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07-08" sheetId="1" r:id="rId5"/>
    <sheet state="visible" name="2026-07-09" sheetId="2" r:id="rId6"/>
    <sheet state="visible" name="2026-07-10" sheetId="3" r:id="rId7"/>
    <sheet state="visible" name="2026-07-13" sheetId="4" r:id="rId8"/>
    <sheet state="visible" name="2026-07-14" sheetId="5" r:id="rId9"/>
    <sheet state="visible" name="2026-07-15" sheetId="6" r:id="rId10"/>
    <sheet state="visible" name="2026-07-16" sheetId="7" r:id="rId11"/>
    <sheet state="visible" name="2026-07-17" sheetId="8" r:id="rId12"/>
    <sheet state="visible" name="2026-07-18" sheetId="9" r:id="rId13"/>
    <sheet state="visible" name="2026-07-19" sheetId="10" r:id="rId14"/>
    <sheet state="visible" name="2026-07-20" sheetId="11" r:id="rId15"/>
    <sheet state="visible" name="2026-07-21" sheetId="12" r:id="rId16"/>
    <sheet state="visible" name="2026-07-22" sheetId="13" r:id="rId17"/>
    <sheet state="visible" name="2026-07-23" sheetId="14" r:id="rId18"/>
    <sheet state="visible" name="2026-07-24" sheetId="15" r:id="rId19"/>
    <sheet state="visible" name="2026-07-27" sheetId="16" r:id="rId20"/>
    <sheet state="visible" name="2026-07-28" sheetId="17" r:id="rId21"/>
    <sheet state="visible" name="2026-07-29" sheetId="18" r:id="rId22"/>
    <sheet state="visible" name="2026-07-30" sheetId="19" r:id="rId23"/>
    <sheet state="visible" name="2026-07-31" sheetId="20" r:id="rId24"/>
    <sheet state="visible" name="2026-08-03" sheetId="21" r:id="rId25"/>
    <sheet state="visible" name="2026-08-04" sheetId="22" r:id="rId26"/>
    <sheet state="visible" name="2026-08-05" sheetId="23" r:id="rId27"/>
  </sheets>
  <definedNames/>
  <calcPr/>
</workbook>
</file>

<file path=xl/sharedStrings.xml><?xml version="1.0" encoding="utf-8"?>
<sst xmlns="http://schemas.openxmlformats.org/spreadsheetml/2006/main" count="24496" uniqueCount="6671">
  <si>
    <t>Trade ID</t>
  </si>
  <si>
    <t>ws21xza</t>
  </si>
  <si>
    <t>Symbol</t>
  </si>
  <si>
    <t>Type</t>
  </si>
  <si>
    <t>Setup</t>
  </si>
  <si>
    <t>Stage</t>
  </si>
  <si>
    <t>Entry Price (Alert)</t>
  </si>
  <si>
    <t>Targets (Buy/Sell)</t>
  </si>
  <si>
    <t>Dir Prob</t>
  </si>
  <si>
    <t>Context</t>
  </si>
  <si>
    <t>Research</t>
  </si>
  <si>
    <t>Live Price</t>
  </si>
  <si>
    <t>Live PnL %</t>
  </si>
  <si>
    <t>1D PnL %</t>
  </si>
  <si>
    <t>5D PnL %</t>
  </si>
  <si>
    <t>20D PnL %</t>
  </si>
  <si>
    <t>Raw Request</t>
  </si>
  <si>
    <t>LLM Triage</t>
  </si>
  <si>
    <t>Entry Time</t>
  </si>
  <si>
    <t>LLM Reasoning</t>
  </si>
  <si>
    <t>Status</t>
  </si>
  <si>
    <t>AV Data</t>
  </si>
  <si>
    <t>Exit Time</t>
  </si>
  <si>
    <t>Entry Price (Market)</t>
  </si>
  <si>
    <t>Exit Price (Alert)</t>
  </si>
  <si>
    <t>Verdict</t>
  </si>
  <si>
    <t>Exit Price (Market)</t>
  </si>
  <si>
    <t>Conviction</t>
  </si>
  <si>
    <t>PnL (Alert)</t>
  </si>
  <si>
    <t>Action Plan</t>
  </si>
  <si>
    <t>PnL (Market)</t>
  </si>
  <si>
    <t>PnL % (Market)</t>
  </si>
  <si>
    <t>Duration (Mins)</t>
  </si>
  <si>
    <t>News Source Link</t>
  </si>
  <si>
    <t>VRSK</t>
  </si>
  <si>
    <t>News Sentiment</t>
  </si>
  <si>
    <t>LONG</t>
  </si>
  <si>
    <t>A+ Trend Long</t>
  </si>
  <si>
    <t>News Catalyst</t>
  </si>
  <si>
    <t>Buy: 92.5 | Sell: 32</t>
  </si>
  <si>
    <t>SURVIVOR (0)</t>
  </si>
  <si>
    <t>GL</t>
  </si>
  <si>
    <t>OPEN</t>
  </si>
  <si>
    <t>DDOG</t>
  </si>
  <si>
    <t>Buy: 85.6 | Sell: 28.4</t>
  </si>
  <si>
    <t>NEUTRAL</t>
  </si>
  <si>
    <t>Analyst Rating</t>
  </si>
  <si>
    <t>ESS</t>
  </si>
  <si>
    <t>{"symbol": "VRSK", "strategy": "Daily", "action": "LONG", "alert_price": 185.38, "score": "", "dir_prob": "95.1", "net_sigma": "", "grade": "", "align": "", "premium": "", "wrong_if": "", "context": "", "subject": "Alert: Rev - Screener v1 (SPY, 12): Any alert() function call", "body": "{\"ticker\":\"VRSK\", \"setup\":\"A+ Trend Long\", \"side\":\"LONG\", \"price\":185.38, \"stage\":2, \"buy\":92.5, \"sell\":32, \"prime\":2, \"revL\":0, \"revS\":0, \"vcp\":0, \"dir_prob\":95.1, \"time\":1783690200000}", "ticker": "VRSK", "setup": "A+ Trend Long", "side": "LONG", "price": 185.38, "stage": 2, "buy": 92.5, "sell": 32, "prime": 2, "revL": 0, "revS": 0, "vcp": 0, "time": 1783690200000, "email_id": "b'376'", "timestamp": "2026-07-10 16:01:00"}</t>
  </si>
  <si>
    <t>CUT (1/10)</t>
  </si>
  <si>
    <t>No entry mode is firing: buy=0, sell=0, dir_prob=0, rev_zone_l=0, rev_zone_s=0, stage=0, and regime=0 provide no directional edge or reversal signal. News read is NEUTRAL with catalyst 'none' as all provided headlines are empty. Triage is CUT because dominant_score (buy=0) is below 50 and no clean setup or reversal formation exists; the only soft flag is 'earnings' from earnings_days=-1 (unknown earnings window, CAUTION gate), which does not alter the CUT.</t>
  </si>
  <si>
    <t/>
  </si>
  <si>
    <t>INCY</t>
  </si>
  <si>
    <t>Buy: 94.6 | Sell: 6.9</t>
  </si>
  <si>
    <t>BULLISH</t>
  </si>
  <si>
    <t>LLY</t>
  </si>
  <si>
    <t>General Market</t>
  </si>
  <si>
    <t>{"symbol": "DDOG", "strategy": "Daily", "action": "LONG", "alert_price": 260.12, "score": "", "dir_prob": "90.1", "net_sigma": "", "grade": "", "align": "", "premium": "", "wrong_if": "", "context": "", "subject": "Alert: Rev - Screener v1 (SPY, 12): Any alert() function call", "body": "{\"ticker\":\"DDOG\", \"setup\":\"A+ Trend Long\", \"side\":\"LONG\", \"price\":260.12, \"stage\":2, \"buy\":85.6, \"sell\":28.4, \"prime\":2, \"revL\":0, \"revS\":0, \"vcp\":0, \"dir_prob\":90.1, \"time\":1783949400000}", "ticker": "DDOG", "setup": "A+ Trend Long", "side": "LONG", "price": 260.12, "stage": 2, "buy": 85.6, "sell": 28.4, "prime": 2, "revL": 0, "revS": 0, "vcp": 0, "time": 1783949400000, "email_id": "b'588'", "timestamp": "2026-07-13 16:01:00"}</t>
  </si>
  <si>
    <t>GE</t>
  </si>
  <si>
    <t>{"symbol": "INCY", "strategy": "Daily", "action": "LONG", "alert_price": 116.73, "score": "", "dir_prob": "94.8", "net_sigma": "", "grade": "", "align": "", "premium": "", "wrong_if": "", "context": "", "subject": "Alert: Rev - Screener v1 (SPY, 12): Any alert() function call", "body": "{\"ticker\":\"INCY\", \"setup\":\"A+ Trend Long\", \"side\":\"LONG\", \"price\":116.73, \"stage\":2, \"buy\":94.6, \"sell\":6.9, \"prime\":2, \"revL\":0, \"revS\":0, \"vcp\":0, \"dir_prob\":94.8, \"time\":1783690200000}", "ticker": "INCY", "setup": "A+ Trend Long", "side": "LONG", "price": 116.73, "stage": 2, "buy": 94.6, "sell": 6.9, "prime": 2, "revL": 0, "revS": 0, "vcp": 0, "time": 1783690200000, "email_id": "b'379'", "timestamp": "2026-07-10 16:01:01"}</t>
  </si>
  <si>
    <t>AMCR</t>
  </si>
  <si>
    <t>No entry mode is firing: buy=0, sell=0, dir_prob=0, ignition_long=0, rev_zone_l=0, rev_zone_s=0, and stage=0/regime=0 provide no directional edge (dominant_score buy=0 &lt;50). News read is NEUTRAL with catalyst 'none' from empty headlines, so no confirmation or contradiction exists. Triage is CUT because there is no active edge (no score &gt;=50, no reversal zone &gt;=7); the only soft flag is 'earnings' due to earnings_days=-1 / earnings_gate=CAUTION, which does not change the cut.</t>
  </si>
  <si>
    <t>Buy: 97 | Sell: 4.8</t>
  </si>
  <si>
    <t>BNY</t>
  </si>
  <si>
    <t>Buy: 89.7 | Sell: 10.2</t>
  </si>
  <si>
    <t>Earnings</t>
  </si>
  <si>
    <t>AIZ</t>
  </si>
  <si>
    <t>BBY</t>
  </si>
  <si>
    <t>{"symbol": "AMCR", "strategy": "Daily", "action": "LONG", "alert_price": 42.43, "score": "", "dir_prob": "94.7", "net_sigma": "", "grade": "", "align": "", "premium": "", "wrong_if": "", "context": "", "subject": "Alert: Rev - Screener v1 (SPY, 12): Any alert() function call", "body": "{\"ticker\":\"AMCR\", \"setup\":\"A+ Trend Long\", \"side\":\"LONG\", \"price\":42.43, \"stage\":2, \"buy\":97, \"sell\":4.8, \"prime\":2, \"revL\":0, \"revS\":0, \"vcp\":0, \"dir_prob\":94.7, \"time\":1783949400000}", "ticker": "AMCR", "setup": "A+ Trend Long", "side": "LONG", "price": 42.43, "stage": 2, "buy": 97, "sell": 4.8, "prime": 2, "revL": 0, "revS": 0, "vcp": 0, "time": 1783949400000, "email_id": "b'587'", "timestamp": "2026-07-13 16:01:00"}</t>
  </si>
  <si>
    <t>JNJ</t>
  </si>
  <si>
    <t>Coiled VCP</t>
  </si>
  <si>
    <t>Buy: 96.7 | Sell: 4.5</t>
  </si>
  <si>
    <t>GWW</t>
  </si>
  <si>
    <t>Buy: 83 | Sell: 21.1</t>
  </si>
  <si>
    <t>{"symbol": "BNY", "strategy": "Daily", "action": "LONG", "alert_price": 151.91, "score": "", "dir_prob": "86.3", "net_sigma": "", "grade": "", "align": "", "premium": "", "wrong_if": "", "context": "", "subject": "Alert: Rev - Screener v1 (SPY, 12): Any alert() function call", "body": "{\"ticker\":\"BNY\", \"setup\":\"A+ Trend Long\", \"side\":\"LONG\", \"price\":151.91, \"stage\":2, \"buy\":89.7, \"sell\":10.2, \"prime\":2, \"revL\":0, \"revS\":0, \"vcp\":0, \"dir_prob\":86.3, \"time\":1783690200000}", "ticker": "BNY", "setup": "A+ Trend Long", "side": "LONG", "price": 151.91, "stage": 2, "buy": 89.7, "sell": 10.2, "prime": 2, "revL": 0, "revS": 0, "vcp": 0, "time": 1783690200000, "email_id": "b'469'", "timestamp": "2026-07-10 16:01:06"}</t>
  </si>
  <si>
    <t>No technical edge is firing: buy=0, sell=0, dir_prob=0, stage=0, regime=0, ignition_long=0, rev_zone_l=0 and rev_zone_s=0, so entry_mode is NONE with dominant_score (buy=0) below 50 — a hard CUT per triage rules. News reads CONFIRMS with catalyst 'Predicted $100B private commitments and rapid customer growth' (bullish headlines from Robinhood CEO and Gerstner), but per spec news cannot rescue a CUT/WATCH into a PASS. key_flags carries only 'earnings' (earnings_days=-1, gate=CAUTION); no exhaustion, churn, chased, or stage_lag flags apply since all related values are zero/null.</t>
  </si>
  <si>
    <t>ITW</t>
  </si>
  <si>
    <t>AEE</t>
  </si>
  <si>
    <t>Buy: 95.4 | Sell: 25</t>
  </si>
  <si>
    <t>{"symbol": "JNJ", "strategy": "Daily", "action": "LONG", "alert_price": 257.89, "score": "", "dir_prob": "95.6", "net_sigma": "", "grade": "", "align": "", "premium": "", "wrong_if": "", "context": "", "subject": "Alert: Rev - Screener v1 (SPY, 12): Any alert() function call", "body": "{\"ticker\":\"JNJ\", \"setup\":\"A+ Trend Long\", \"side\":\"LONG\", \"price\":257.89, \"stage\":2, \"buy\":96.7, \"sell\":4.5, \"prime\":2, \"revL\":0, \"revS\":0, \"vcp\":0, \"dir_prob\":95.6, \"time\":1783949400000}", "ticker": "JNJ", "setup": "A+ Trend Long", "side": "LONG", "price": 257.89, "stage": 2, "buy": 96.7, "sell": 4.5, "prime": 2, "revL": 0, "revS": 0, "vcp": 0, "time": 1783949400000, "email_id": "b'589'", "timestamp": "2026-07-13 16:01:01"}</t>
  </si>
  <si>
    <t>ABBV</t>
  </si>
  <si>
    <t>Buy: 97.1 | Sell: 4.1</t>
  </si>
  <si>
    <t>APH</t>
  </si>
  <si>
    <t>{"symbol": "AEE", "strategy": "Daily", "action": "LONG", "alert_price": 112.94, "score": "", "dir_prob": "88.6", "net_sigma": "", "grade": "", "align": "", "premium": "", "wrong_if": "", "context": "", "subject": "Alert: Rev - Screener v1 (SPY, 12): Any alert() function call", "body": "{\"ticker\":\"AEE\", \"setup\":\"A+ Trend Long\", \"side\":\"LONG\", \"price\":112.94, \"stage\":2, \"buy\":95.4, \"sell\":25, \"prime\":2, \"revL\":0, \"revS\":0, \"vcp\":0, \"dir_prob\":88.6, \"time\":1783690200000}", "ticker": "AEE", "setup": "A+ Trend Long", "side": "LONG", "price": 112.94, "stage": 2, "buy": 95.4, "sell": 25, "prime": 2, "revL": 0, "revS": 0, "vcp": 0, "time": 1783690200000, "email_id": "b'471'", "timestamp": "2026-07-10 16:01:28"}</t>
  </si>
  <si>
    <t>CUT (2/10)</t>
  </si>
  <si>
    <t>No technical edge is firing: buy=0, sell=0, dir_prob=0, rev_zone_l=0, rev_zone_s=0, ignition_long=0, and stage/regime are all 0, so entry_mode is NONE with dominant_score (buy=0) below 50. News reads CONFIRMS via the catalyst 'Multiple analysts raise price targets on Globe Life' (Jefferies/Wells Fargo PT hikes), which is bullish but cannot rescue a CUT. Triage is CUT ('no active edge') because no valid trend, breakout, or reversion signal is present; the only soft flag is 'earnings' from earnings_gate=CAUTION (earnings_days=-1), which annotates but does not alter the cut.</t>
  </si>
  <si>
    <t>IR</t>
  </si>
  <si>
    <t>Bullish Squeeze Release</t>
  </si>
  <si>
    <t>Buy: 58.6 | Sell: 44.9</t>
  </si>
  <si>
    <t>BEARISH</t>
  </si>
  <si>
    <t>{"symbol": "ABBV", "strategy": "Daily", "action": "LONG", "alert_price": 248.03, "score": "", "dir_prob": "94.7", "net_sigma": "", "grade": "", "align": "", "premium": "", "wrong_if": "", "context": "", "subject": "Alert: Rev - Screener v1 (SPY, 12): Any alert() function call", "body": "{\"ticker\":\"ABBV\", \"setup\":\"A+ Trend Long\", \"side\":\"LONG\", \"price\":248.03, \"stage\":2, \"buy\":97.1, \"sell\":4.1, \"prime\":2, \"revL\":0, \"revS\":0, \"vcp\":0, \"dir_prob\":94.7, \"time\":1783949400000}", "ticker": "ABBV", "setup": "A+ Trend Long", "side": "LONG", "price": 248.03, "stage": 2, "buy": 97.1, "sell": 4.1, "prime": 2, "revL": 0, "revS": 0, "vcp": 0, "time": 1783949400000, "email_id": "b'590'", "timestamp": "2026-07-13 16:01:02"}</t>
  </si>
  <si>
    <t>IP</t>
  </si>
  <si>
    <t>KO</t>
  </si>
  <si>
    <t>Buy: 90 | Sell: 15.8</t>
  </si>
  <si>
    <t>FITB</t>
  </si>
  <si>
    <t>LYV</t>
  </si>
  <si>
    <t>{"symbol": "KO", "strategy": "Daily", "action": "LONG", "alert_price": 84.28, "score": "", "dir_prob": "91.9", "net_sigma": "", "grade": "", "align": "", "premium": "", "wrong_if": "", "context": "", "subject": "Alert: Rev - Screener v1 (SPY, 12): Any alert() function call", "body": "{\"ticker\":\"KO\", \"setup\":\"A+ Trend Long\", \"side\":\"LONG\", \"price\":84.28, \"stage\":2, \"buy\":90, \"sell\":15.8, \"prime\":2, \"revL\":0, \"revS\":0, \"vcp\":0, \"dir_prob\":91.9, \"time\":1783949400000}", "ticker": "KO", "setup": "A+ Trend Long", "side": "LONG", "price": 84.28, "stage": 2, "buy": 90, "sell": 15.8, "prime": 2, "revL": 0, "revS": 0, "vcp": 0, "time": 1783949400000, "email_id": "b'591'", "timestamp": "2026-07-13 16:01:01"}</t>
  </si>
  <si>
    <t>{"symbol": "BBY", "strategy": "Daily", "action": "LONG", "alert_price": 80.0, "score": "", "dir_prob": "88.9", "net_sigma": "", "grade": "", "align": "", "premium": "", "wrong_if": "", "context": "", "subject": "Alert: Rev - Screener v1 (SPY, 12): Any alert() function call", "body": "{\"ticker\":\"BBY\", \"setup\":\"Coiled VCP\", \"side\":\"LONG\", \"price\":80.00, \"stage\":2, \"buy\":83, \"sell\":21.1, \"prime\":1, \"revL\":0, \"revS\":0, \"vcp\":1, \"dir_prob\":88.9, \"time\":1783603800000}", "ticker": "BBY", "setup": "Coiled VCP", "side": "LONG", "price": 80.0, "stage": 2, "buy": 83, "sell": 21.1, "prime": 1, "revL": 0, "revS": 0, "vcp": 1, "time": 1783603800000, "email_id": "b'195'", "timestamp": "2026-07-09 16:01:16"}</t>
  </si>
  <si>
    <t>RF</t>
  </si>
  <si>
    <t>KDP</t>
  </si>
  <si>
    <t>Buy: 95.6 | Sell: 6.2</t>
  </si>
  <si>
    <t>{"symbol": "BBY", "strategy": "Daily", "action": "LONG", "alert_price": 82.78, "score": "", "dir_prob": "65.7", "net_sigma": "", "grade": "", "align": "", "premium": "", "wrong_if": "", "context": "", "subject": "Alert: Rev - Screener v1 (SPY, 12): Any alert() function call", "body": "{\"ticker\":\"BBY\", \"setup\":\"Bullish Squeeze Release\", \"side\":\"LONG\", \"price\":82.78, \"stage\":2, \"buy\":58.6, \"sell\":44.9, \"prime\":0, \"revL\":0, \"revS\":0, \"vcp\":2, \"dir_prob\":65.7, \"time\":1783690200000}", "ticker": "BBY", "setup": "Bullish Squeeze Release", "side": "LONG", "price": 82.78, "stage": 2, "buy": 58.6, "sell": 44.9, "prime": 0, "revL": 0, "revS": 0, "vcp": 2, "time": 1783690200000, "email_id": "b'536'", "timestamp": "2026-07-10 16:01:34"}</t>
  </si>
  <si>
    <t>PASS (5/10)</t>
  </si>
  <si>
    <t>TREND_LONG is firing: dominant_side is long with buy score 87.6 (&gt;=65), dir_prob 89.39, stage 2, and no ignition or Zone-0 reversion. News read is NEUTRAL with catalyst 'none' (headlines empty), so no confirmation or contradiction. Triage is PASS as a trend/dip-buy long since regime 6 (squeeze) and stage 2 do not cap it; soft flags apply because zone_state is above_zone (chased), earnings_days is -1 with CAUTION gate (earnings), and regime 6 triggers squeeze — none alter the PASS verdict.</t>
  </si>
  <si>
    <t>DG</t>
  </si>
  <si>
    <t>Buy: 96.8 | Sell: 16.6</t>
  </si>
  <si>
    <t>DTE</t>
  </si>
  <si>
    <t>{"symbol": "RF", "strategy": "Daily", "action": "LONG", "alert_price": 31.07, "score": "", "dir_prob": "93.2", "net_sigma": "", "grade": "", "align": "", "premium": "", "wrong_if": "", "context": "", "subject": "Alert: Rev - Screener v1 (SPY, 12): Any alert() function call", "body": "{\"ticker\":\"RF\", \"setup\":\"A+ Trend Long\", \"side\":\"LONG\", \"price\":31.07, \"stage\":2, \"buy\":95.6, \"sell\":6.2, \"prime\":2, \"revL\":0, \"revS\":0, \"vcp\":0, \"dir_prob\":93.2, \"time\":1783949400000}", "ticker": "RF", "setup": "A+ Trend Long", "side": "LONG", "price": 31.07, "stage": 2, "buy": 95.6, "sell": 6.2, "prime": 2, "revL": 0, "revS": 0, "vcp": 0, "time": 1783949400000, "email_id": "b'592'", "timestamp": "2026-07-13 16:01:02"}</t>
  </si>
  <si>
    <t>DLTR</t>
  </si>
  <si>
    <t>Buy: 96.6 | Sell: 5.9</t>
  </si>
  <si>
    <t>COF</t>
  </si>
  <si>
    <t>Buy: 96 | Sell: 28.1</t>
  </si>
  <si>
    <t>{"symbol": "GL", "strategy": "Daily", "action": "LONG", "alert_price": 179.06, "score": "", "dir_prob": "87.3", "net_sigma": "", "grade": "", "align": "", "premium": "", "wrong_if": "", "context": "", "subject": "Alert: Rev - Screener v1 (SPY, 12): Any alert() function call", "body": "{\"ticker\":\"GL\", \"setup\":\"A+ Trend Long\", \"side\":\"LONG\", \"price\":179.06, \"stage\":2, \"buy\":96.8, \"sell\":16.6, \"prime\":2, \"revL\":0, \"revS\":0, \"vcp\":0, \"dir_prob\":87.3, \"time\":1783690200000}", "ticker": "GL", "setup": "A+ Trend Long", "side": "LONG", "price": 179.06, "stage": 2, "buy": 96.8, "sell": 16.6, "prime": 2, "revL": 0, "revS": 0, "vcp": 0, "time": 1783690200000, "email_id": "b'507'", "timestamp": "2026-07-10 16:01:21"}</t>
  </si>
  <si>
    <t>TREND_SHORT is firing: dominant_side is short with sell score 84.2 (&gt;=65) while dir_prob 42.79 confirms bearish lean, within stage 4 and regime 4 downtrend; rev_zone_s is only 2.0 (no counter-trend bottom) and ignition is absent. News read is NEUTRAL with catalyst 'none' from empty headlines, so no contradiction to the short thesis. Triage is PASS as no veto cap applies (no CONTRADICTS, earnings_gate CAUTION not FAIL, and long-side chased R:R rule irrelevant for short); key_flags note churn from opposite_score 86.04 and earnings caution from earnings_days -1 / CAUTION gate.</t>
  </si>
  <si>
    <t>CAH</t>
  </si>
  <si>
    <t>Buy: 97 | Sell: 6.2</t>
  </si>
  <si>
    <t>{"symbol": "ITW", "strategy": "Daily", "action": "LONG", "alert_price": 271.59, "score": "", "dir_prob": "94.8", "net_sigma": "", "grade": "", "align": "", "premium": "", "wrong_if": "", "context": "", "subject": "Alert: Rev - Screener v1 (SPY, 12): Any alert() function call", "body": "{\"ticker\":\"ITW\", \"setup\":\"A+ Trend Long\", \"side\":\"LONG\", \"price\":271.59, \"stage\":2, \"buy\":96.6, \"sell\":5.9, \"prime\":2, \"revL\":0, \"revS\":0, \"vcp\":0, \"dir_prob\":94.8, \"time\":1783949400000}", "ticker": "ITW", "setup": "A+ Trend Long", "side": "LONG", "price": 271.59, "stage": 2, "buy": 96.6, "sell": 5.9, "prime": 2, "revL": 0, "revS": 0, "vcp": 0, "time": 1783949400000, "email_id": "b'593'", "timestamp": "2026-07-13 16:01:03"}</t>
  </si>
  <si>
    <t>KEY</t>
  </si>
  <si>
    <t>ACN</t>
  </si>
  <si>
    <t>SHORT</t>
  </si>
  <si>
    <t>A+ Trend Short</t>
  </si>
  <si>
    <t>Buy: 11.8 | Sell: 88.6</t>
  </si>
  <si>
    <t>{"symbol": "DLTR", "strategy": "Daily", "action": "LONG", "alert_price": 120.94, "score": "", "dir_prob": "93.1", "net_sigma": "", "grade": "", "align": "", "premium": "", "wrong_if": "", "context": "", "subject": "Alert: Rev - Screener v1 (SPY, 12): Any alert() function call", "body": "{\"ticker\":\"DLTR\", \"setup\":\"A+ Trend Long\", \"side\":\"LONG\", \"price\":120.94, \"stage\":2, \"buy\":96, \"sell\":28.1, \"prime\":2, \"revL\":0, \"revS\":0, \"vcp\":0, \"dir_prob\":93.1, \"time\":1783603800000}", "ticker": "DLTR", "setup": "A+ Trend Long", "side": "LONG", "price": 120.94, "stage": 2, "buy": 96, "sell": 28.1, "prime": 2, "revL": 0, "revS": 0, "vcp": 0, "time": 1783603800000, "email_id": "b'240'", "timestamp": "2026-07-09 16:01:36"}</t>
  </si>
  <si>
    <t>HBAN</t>
  </si>
  <si>
    <t>{"symbol": "GE", "strategy": "Daily", "action": "LONG", "alert_price": 359.27, "score": "", "dir_prob": "95.2", "net_sigma": "", "grade": "", "align": "", "premium": "", "wrong_if": "", "context": "", "subject": "Alert: Rev - Screener v1 (SPY, 12): Any alert() function call", "body": "{\"ticker\":\"GE\", \"setup\":\"A+ Trend Long\", \"side\":\"LONG\", \"price\":359.27, \"stage\":2, \"buy\":97, \"sell\":6.2, \"prime\":2, \"revL\":0, \"revS\":0, \"vcp\":0, \"dir_prob\":95.2, \"time\":1783690200000}", "ticker": "GE", "setup": "A+ Trend Long", "side": "LONG", "price": 359.27, "stage": 2, "buy": 97, "sell": 6.2, "prime": 2, "revL": 0, "revS": 0, "vcp": 0, "time": 1783690200000, "email_id": "b'457'", "timestamp": "2026-07-10 16:01:16"}</t>
  </si>
  <si>
    <t>PASS (3/10)</t>
  </si>
  <si>
    <t>CDW</t>
  </si>
  <si>
    <t>TREND_SHORT fires on dominant_side=short with sell=67.81 (&gt;=65) and dir_prob=16.04 confirming bearish control, while stage=4 and regime=4 denote a downtrend. News read is NEUTRAL relative to the short: the catalyst is a Corporate Action (EC approval of Chart acquisition, LNG awards) with no direct contradiction of the downtrend. Triage is PASS as no veto cap applies (rev_zone_l&lt;10, stage!=2, no contradiction); the only soft flag is 'earnings' because earnings_gate=CAUTION and earnings_days=-1.</t>
  </si>
  <si>
    <t>SNA</t>
  </si>
  <si>
    <t>BKR</t>
  </si>
  <si>
    <t>{"symbol": "ACN", "strategy": "Daily", "action": "SHORT", "alert_price": 138.51, "score": "", "dir_prob": "10.7", "net_sigma": "", "grade": "", "align": "", "premium": "", "wrong_if": "", "context": "", "subject": "Alert: Rev - Screener v1 (SPY, 12): Any alert() function call", "body": "{\"ticker\":\"ACN\", \"setup\":\"A+ Trend Short\", \"side\":\"SHORT\", \"price\":138.51, \"stage\":4, \"buy\":11.8, \"sell\":88.6, \"prime\":-2, \"revL\":0, \"revS\":0, \"vcp\":0, \"dir_prob\":10.7, \"time\":1783949400000}", "ticker": "ACN", "setup": "A+ Trend Short", "side": "SHORT", "price": 138.51, "stage": 4, "buy": 11.8, "sell": 88.6, "prime": -2, "revL": 0, "revS": 0, "vcp": 0, "time": 1783949400000, "email_id": "b'594'", "timestamp": "2026-07-13 16:01:01"}</t>
  </si>
  <si>
    <t>Buy: 88.5 | Sell: 15.6</t>
  </si>
  <si>
    <t>Buy: 8.8 | Sell: 93.9</t>
  </si>
  <si>
    <t>Early Action Long</t>
  </si>
  <si>
    <t>ECL</t>
  </si>
  <si>
    <t>Buy: 82.7 | Sell: 51.9</t>
  </si>
  <si>
    <t>MAA</t>
  </si>
  <si>
    <t>{"symbol": "BKR", "strategy": "Daily", "action": "SHORT", "alert_price": 57.56, "score": "", "dir_prob": "3.2", "net_sigma": "", "grade": "", "align": "", "premium": "", "wrong_if": "", "context": "", "subject": "Alert: Rev - Screener v1 (SPY, 12): Any alert() function call", "body": "{\"ticker\":\"BKR\", \"setup\":\"A+ Trend Short\", \"side\":\"SHORT\", \"price\":57.56, \"stage\":4, \"buy\":8.8, \"sell\":93.9, \"prime\":-2, \"revL\":0, \"revS\":0, \"vcp\":0, \"dir_prob\":3.2, \"time\":1783690200000}", "ticker": "BKR", "setup": "A+ Trend Short", "side": "SHORT", "price": 57.56, "stage": 4, "buy": 8.8, "sell": 93.9, "prime": -2, "revL": 0, "revS": 0, "vcp": 0, "time": 1783690200000, "email_id": "b'553'", "timestamp": "2026-07-10 16:01:36"}</t>
  </si>
  <si>
    <t>TREND_LONG fires on dominant_side=long with buy=76.71 (&gt;=65) and dir_prob=70.43, supported by stage=2 and regime=0 (healthy) with low ext_pct=1.86 and exhaustion=0.0614. News is NEUTRAL: the headline on Trump withholding a housing bill signature is a sector-political item, tagged catalyst 'Trump housing bill protest' with no clear directional contradiction. Triage is PASS as no veto applies (regime not climax/distribution, stage not 4, news not contradicting); soft flags 'chased' (zone_state=above_zone, rr_from_current=1.30) and 'earnings' (earnings_days=-1, gate CAUTION) annotate but do not cap the verdict.</t>
  </si>
  <si>
    <t>LII</t>
  </si>
  <si>
    <t>{"symbol": "KDP", "strategy": "Daily", "action": "LONG", "alert_price": 31.28, "score": "", "dir_prob": "71", "net_sigma": "", "grade": "", "align": "", "premium": "", "wrong_if": "", "context": "", "subject": "Alert: Rev - Screener v1 (SPY, 12): Any alert() function call", "body": "{\"ticker\":\"KDP\", \"setup\":\"Early Action Long\", \"side\":\"LONG\", \"price\":31.28, \"stage\":2, \"buy\":82.7, \"sell\":51.9, \"prime\":1, \"revL\":0, \"revS\":0, \"vcp\":0, \"dir_prob\":71, \"time\":1783949400000}", "ticker": "KDP", "setup": "Early Action Long", "side": "LONG", "price": 31.28, "stage": 2, "buy": 82.7, "sell": 51.9, "prime": 1, "revL": 0, "revS": 0, "vcp": 0, "time": 1783949400000, "email_id": "b'595'", "timestamp": "2026-07-13 16:01:01"}</t>
  </si>
  <si>
    <t>MRK</t>
  </si>
  <si>
    <t>MCHP</t>
  </si>
  <si>
    <t>Buy: 96.1 | Sell: 6.3</t>
  </si>
  <si>
    <t>Buy: 12.4 | Sell: 85.8</t>
  </si>
  <si>
    <t>DE</t>
  </si>
  <si>
    <t>{"symbol": "CDW", "strategy": "Daily", "action": "LONG", "alert_price": 140.23, "score": "", "dir_prob": "97.5", "net_sigma": "", "grade": "", "align": "", "premium": "", "wrong_if": "", "context": "", "subject": "Alert: Rev - Screener v1 (SPY, 12): Any alert() function call", "body": "{\"ticker\":\"CDW\", \"setup\":\"A+ Trend Long\", \"side\":\"LONG\", \"price\":140.23, \"stage\":2, \"buy\":88.5, \"sell\":15.6, \"prime\":2, \"revL\":0, \"revS\":0, \"vcp\":0, \"dir_prob\":97.5, \"time\":1783603800000}", "ticker": "CDW", "setup": "A+ Trend Long", "side": "LONG", "price": 140.23, "stage": 2, "buy": 88.5, "sell": 15.6, "prime": 2, "revL": 0, "revS": 0, "vcp": 0, "time": 1783603800000, "email_id": "b'265'", "timestamp": "2026-07-09 16:01:19"}</t>
  </si>
  <si>
    <t>{"symbol": "MRK", "strategy": "Daily", "action": "LONG", "alert_price": 124.04, "score": "", "dir_prob": "92.6", "net_sigma": "", "grade": "", "align": "", "premium": "", "wrong_if": "", "context": "", "subject": "Alert: Rev - Screener v1 (SPY, 12): Any alert() function call", "body": "{\"ticker\":\"MRK\", \"setup\":\"A+ Trend Long\", \"side\":\"LONG\", \"price\":124.04, \"stage\":2, \"buy\":96.1, \"sell\":6.3, \"prime\":2, \"revL\":0, \"revS\":0, \"vcp\":0, \"dir_prob\":92.6, \"time\":1783949400000}", "ticker": "MRK", "setup": "A+ Trend Long", "side": "LONG", "price": 124.04, "stage": 2, "buy": 96.1, "sell": 6.3, "prime": 2, "revL": 0, "revS": 0, "vcp": 0, "time": 1783949400000, "email_id": "b'596'", "timestamp": "2026-07-13 16:01:04"}</t>
  </si>
  <si>
    <t>DHR</t>
  </si>
  <si>
    <t>GPC</t>
  </si>
  <si>
    <t>Buy: 90.5 | Sell: 3.5</t>
  </si>
  <si>
    <t>{"symbol": "MCHP", "strategy": "Daily", "action": "SHORT", "alert_price": 88.59, "score": "", "dir_prob": "16.4", "net_sigma": "", "grade": "", "align": "", "premium": "", "wrong_if": "", "context": "", "subject": "Alert: Rev - Screener v1 (SPY, 12): Any alert() function call", "body": "{\"ticker\":\"MCHP\", \"setup\":\"A+ Trend Short\", \"side\":\"SHORT\", \"price\":88.59, \"stage\":4, \"buy\":12.4, \"sell\":85.8, \"prime\":-2, \"revL\":0, \"revS\":0, \"vcp\":0, \"dir_prob\":16.4, \"time\":1783690200000}", "ticker": "MCHP", "setup": "A+ Trend Short", "side": "SHORT", "price": 88.59, "stage": 4, "buy": 12.4, "sell": 85.8, "prime": -2, "revL": 0, "revS": 0, "vcp": 0, "time": 1783690200000, "email_id": "b'435'", "timestamp": "2026-07-10 16:01:34"}</t>
  </si>
  <si>
    <t>TREND_SHORT is firing: dominant_side is short with sell score 79.64 (&gt;=65) and dir_prob 7.6 confirming bearish control, while stage 4 and regime 4 denote a downtrend. News read is NEUTRAL with catalyst 'none' from empty headlines, so no contradiction or confirmation. Triage is PASS as a trend short with no Zone-0 long reversal (rev_zone_l=0) and stage not 2; the only soft flag is 'earnings' because earnings_gate is CAUTION (earnings_days=-1), which does not cap the verdict.</t>
  </si>
  <si>
    <t>FLEX</t>
  </si>
  <si>
    <t>FTNT</t>
  </si>
  <si>
    <t>Buy: 33.1 | Sell: 85.8</t>
  </si>
  <si>
    <t>BG</t>
  </si>
  <si>
    <t>{"symbol": "GPC", "strategy": "Daily", "action": "LONG", "alert_price": 123.52, "score": "", "dir_prob": "96.5", "net_sigma": "", "grade": "", "align": "", "premium": "", "wrong_if": "", "context": "", "subject": "Alert: Rev - Screener v1 (SPY, 12): Any alert() function call", "body": "{\"ticker\":\"GPC\", \"setup\":\"A+ Trend Long\", \"side\":\"LONG\", \"price\":123.52, \"stage\":2, \"buy\":90.5, \"sell\":3.5, \"prime\":2, \"revL\":0, \"revS\":0, \"vcp\":0, \"dir_prob\":96.5, \"time\":1783949400000}", "ticker": "GPC", "setup": "A+ Trend Long", "side": "LONG", "price": 123.52, "stage": 2, "buy": 90.5, "sell": 3.5, "prime": 2, "revL": 0, "revS": 0, "vcp": 0, "time": 1783949400000, "email_id": "b'597'", "timestamp": "2026-07-13 16:01:09"}</t>
  </si>
  <si>
    <t>ES</t>
  </si>
  <si>
    <t>Buy: 5 | Sell: 90.3</t>
  </si>
  <si>
    <t>Buy: 95.8 | Sell: 6.5</t>
  </si>
  <si>
    <t>MMM</t>
  </si>
  <si>
    <t>LUV</t>
  </si>
  <si>
    <t>CL</t>
  </si>
  <si>
    <t>{"symbol": "ES", "strategy": "Daily", "action": "LONG", "alert_price": 74.88, "score": "", "dir_prob": "95.4", "net_sigma": "", "grade": "", "align": "", "premium": "", "wrong_if": "", "context": "", "subject": "Alert: Rev - Screener v1 (SPY, 12): Any alert() function call", "body": "{\"ticker\":\"ES\", \"setup\":\"A+ Trend Long\", \"side\":\"LONG\", \"price\":74.88, \"stage\":2, \"buy\":95.8, \"sell\":6.5, \"prime\":2, \"revL\":0, \"revS\":0, \"vcp\":0, \"dir_prob\":95.4, \"time\":1783949400000}", "ticker": "ES", "setup": "A+ Trend Long", "side": "LONG", "price": 74.88, "stage": 2, "buy": 95.8, "sell": 6.5, "prime": 2, "revL": 0, "revS": 0, "vcp": 0, "time": 1783949400000, "email_id": "b'598'", "timestamp": "2026-07-13 16:01:04"}</t>
  </si>
  <si>
    <t>{"symbol": "BG", "strategy": "Daily", "action": "SHORT", "alert_price": 114.28, "score": "", "dir_prob": "7", "net_sigma": "", "grade": "", "align": "", "premium": "", "wrong_if": "", "context": "", "subject": "Alert: Rev - Screener v1 (SPY, 12): Any alert() function call", "body": "{\"ticker\":\"BG\", \"setup\":\"A+ Trend Short\", \"side\":\"SHORT\", \"price\":114.28, \"stage\":4, \"buy\":5, \"sell\":90.3, \"prime\":-2, \"revL\":0, \"revS\":0, \"vcp\":0, \"dir_prob\":7, \"time\":1783690200000}", "ticker": "BG", "setup": "A+ Trend Short", "side": "SHORT", "price": 114.28, "stage": 4, "buy": 5, "sell": 90.3, "prime": -2, "revL": 0, "revS": 0, "vcp": 0, "time": 1783690200000, "email_id": "b'500'", "timestamp": "2026-07-10 16:01:38"}</t>
  </si>
  <si>
    <t>PCAR</t>
  </si>
  <si>
    <t>TREND_SHORT is firing: dominant_side is short with sell score 71.91 (&gt;=65), dir_prob 18.04 confirms bearish bias, and stage 4 / regime 4 denote a downtrend. News is neutral (catalyst: General Market; minor insider sale headline carries no material contradiction to the short thesis). Triage is PASS for trend short with no WATCH cap triggered (rev_zone_l 3.5 &lt;10, stage !=2); the only annotation is an 'earnings' soft flag from earnings_gate CAUTION / earnings_days -1.</t>
  </si>
  <si>
    <t>Buy: 93 | Sell: 24.1</t>
  </si>
  <si>
    <t>NXPI</t>
  </si>
  <si>
    <t>D</t>
  </si>
  <si>
    <t>Buy: 18.7 | Sell: 95.2</t>
  </si>
  <si>
    <t>{"symbol": "FLEX", "strategy": "Daily", "action": "SHORT", "alert_price": 139.92, "score": "", "dir_prob": "11.9", "net_sigma": "", "grade": "", "align": "", "premium": "", "wrong_if": "", "context": "", "subject": "Alert: Rev - Screener v1 (SPY, 12): Any alert() function call", "body": "{\"ticker\":\"FLEX\", \"setup\":\"A+ Trend Short\", \"side\":\"SHORT\", \"price\":139.92, \"stage\":4, \"buy\":33.1, \"sell\":85.8, \"prime\":-2, \"revL\":0, \"revS\":0, \"vcp\":0, \"dir_prob\":11.9, \"time\":1783603800000}", "ticker": "FLEX", "setup": "A+ Trend Short", "side": "SHORT", "price": 139.92, "stage": 4, "buy": 33.1, "sell": 85.8, "prime": -2, "revL": 0, "revS": 0, "vcp": 0, "time": 1783603800000, "email_id": "b'167'", "timestamp": "2026-07-09 16:01:03"}</t>
  </si>
  <si>
    <t>WFC</t>
  </si>
  <si>
    <t>HRL</t>
  </si>
  <si>
    <t>{"symbol": "NXPI", "strategy": "Daily", "action": "SHORT", "alert_price": 292.29, "score": "", "dir_prob": "10.9", "net_sigma": "", "grade": "", "align": "", "premium": "", "wrong_if": "", "context": "", "subject": "Alert: Rev - Screener v1 (SPY, 12): Any alert() function call", "body": "{\"ticker\":\"NXPI\", \"setup\":\"A+ Trend Short\", \"side\":\"SHORT\", \"price\":292.29, \"stage\":4, \"buy\":18.7, \"sell\":95.2, \"prime\":-2, \"revL\":0, \"revS\":0, \"vcp\":0, \"dir_prob\":10.9, \"time\":1783690200000}", "ticker": "NXPI", "setup": "A+ Trend Short", "side": "SHORT", "price": 292.29, "stage": 4, "buy": 18.7, "sell": 95.2, "prime": -2, "revL": 0, "revS": 0, "vcp": 0, "time": 1783690200000, "email_id": "b'529'", "timestamp": "2026-07-10 16:01:20"}</t>
  </si>
  <si>
    <t>PASS (6/10)</t>
  </si>
  <si>
    <t>{"symbol": "PCAR", "strategy": "Daily", "action": "LONG", "alert_price": 124.25, "score": "", "dir_prob": "90", "net_sigma": "", "grade": "", "align": "", "premium": "", "wrong_if": "", "context": "", "subject": "Alert: Rev - Screener v1 (SPY, 12): Any alert() function call", "body": "{\"ticker\":\"PCAR\", \"setup\":\"A+ Trend Long\", \"side\":\"LONG\", \"price\":124.25, \"stage\":2, \"buy\":93, \"sell\":24.1, \"prime\":2, \"revL\":0, \"revS\":0, \"vcp\":0, \"dir_prob\":90, \"time\":1783949400000}", "ticker": "PCAR", "setup": "A+ Trend Long", "side": "LONG", "price": 124.25, "stage": 2, "buy": 93, "sell": 24.1, "prime": 2, "revL": 0, "revS": 0, "vcp": 0, "time": 1783949400000, "email_id": "b'599'", "timestamp": "2026-07-13 16:01:04"}</t>
  </si>
  <si>
    <t>Entry mode is REVERSION_SHORT: rev_zone_s=10.5 (Zone 0) with stage=2 (up trend) flags a counter-trend overbought short, despite buy=90.83 and dominant_side=long. News is CONFIRMS relative to the long side via the catalyst 'Multiple analysts raise price targets' (JP Morgan, TD Cowen, Citigroup hikes). Triage is PASS for mean-reversion with counter_trend_high_risk; soft flags stage_lag (short in stage 2) and earnings (gate CAUTION, days=-1) apply, but no veto triggers since news does not contradict the recorded dominant side.</t>
  </si>
  <si>
    <t>CPRT</t>
  </si>
  <si>
    <t>UNH</t>
  </si>
  <si>
    <t>KR</t>
  </si>
  <si>
    <t>Buy: 87.8 | Sell: 17.2</t>
  </si>
  <si>
    <t>Buy: 21.1 | Sell: 92.1</t>
  </si>
  <si>
    <t>VMC</t>
  </si>
  <si>
    <t>MAS</t>
  </si>
  <si>
    <t>Buy: 18.2 | Sell: 87.9</t>
  </si>
  <si>
    <t>{"symbol": "KR", "strategy": "Daily", "action": "SHORT", "alert_price": 60.55, "score": "", "dir_prob": "15.5", "net_sigma": "", "grade": "", "align": "", "premium": "", "wrong_if": "", "context": "", "subject": "Alert: Rev - Screener v1 (SPY, 12): Any alert() function call", "body": "{\"ticker\":\"KR\", \"setup\":\"A+ Trend Short\", \"side\":\"SHORT\", \"price\":60.55, \"stage\":4, \"buy\":21.1, \"sell\":92.1, \"prime\":-2, \"revL\":0, \"revS\":0, \"vcp\":0, \"dir_prob\":15.5, \"time\":1783690200000}", "ticker": "KR", "setup": "A+ Trend Short", "side": "SHORT", "price": 60.55, "stage": 4, "buy": 21.1, "sell": 92.1, "prime": -2, "revL": 0, "revS": 0, "vcp": 0, "time": 1783690200000, "email_id": "b'532'", "timestamp": "2026-07-10 16:01:40"}</t>
  </si>
  <si>
    <t>TREND_SHORT is firing: dominant_side is short with sell score 80.19 (&gt;=65), dir_prob 3.5 (&lt;50 bearish), and stage 4 downtrend confirming bearish control. News CONFIRMS the short bias — Truist Securities lowered its price target to $38 while maintaining Hold, a bearish catalyst aligned with the dominant direction. Triage is PASS as no veto applies (rev_zone_l=2.0 &lt;10, stage!=2, earnings_gate=CAUTION not FAIL); the only soft flag is 'earnings' due to unknown earnings date (earnings_days=-1, gate CAUTION).</t>
  </si>
  <si>
    <t>CVX</t>
  </si>
  <si>
    <t>Buy: 6.7 | Sell: 90.9</t>
  </si>
  <si>
    <t>BAX</t>
  </si>
  <si>
    <t>{"symbol": "UNH", "strategy": "Daily", "action": "LONG", "alert_price": 429.13, "score": "", "dir_prob": "89.4", "net_sigma": "", "grade": "", "align": "", "premium": "", "wrong_if": "", "context": "", "subject": "Alert: Rev - Screener v1 (SPY, 12): Any alert() function call", "body": "{\"ticker\":\"UNH\", \"setup\":\"A+ Trend Long\", \"side\":\"LONG\", \"price\":429.13, \"stage\":2, \"buy\":87.8, \"sell\":17.2, \"prime\":2, \"revL\":0, \"revS\":0, \"vcp\":0, \"dir_prob\":89.4, \"time\":1783949400000}", "ticker": "UNH", "setup": "A+ Trend Long", "side": "LONG", "price": 429.13, "stage": 2, "buy": 87.8, "sell": 17.2, "prime": 2, "revL": 0, "revS": 0, "vcp": 0, "time": 1783949400000, "email_id": "b'600'", "timestamp": "2026-07-13 16:01:03"}</t>
  </si>
  <si>
    <t>Buy: 90.8 | Sell: 17.6</t>
  </si>
  <si>
    <t>{"symbol": "CVX", "strategy": "Daily", "action": "SHORT", "alert_price": 176.39, "score": "", "dir_prob": "8.7", "net_sigma": "", "grade": "", "align": "", "premium": "", "wrong_if": "", "context": "", "subject": "Alert: Rev - Screener v1 (SPY, 12): Any alert() function call", "body": "{\"ticker\":\"CVX\", \"setup\":\"A+ Trend Short\", \"side\":\"SHORT\", \"price\":176.39, \"stage\":4, \"buy\":6.7, \"sell\":90.9, \"prime\":-2, \"revL\":0, \"revS\":0, \"vcp\":0, \"dir_prob\":8.7, \"time\":1783690200000}", "ticker": "CVX", "setup": "A+ Trend Short", "side": "SHORT", "price": 176.39, "stage": 4, "buy": 6.7, "sell": 90.9, "prime": -2, "revL": 0, "revS": 0, "vcp": 0, "time": 1783690200000, "email_id": "b'420'", "timestamp": "2026-07-10 16:01:14"}</t>
  </si>
  <si>
    <t>TREND_LONG fires on dominant_side=long with buy=86.45 (&gt;=65) and dir_prob=88.43, supported by stage=2 and healthy regime=0. News read is NEUTRAL with catalyst 'none' from empty headlines, so no contradiction or confirmation. Triage is PASS: no veto applies (zone_state=above_zone with rr_from_current=1.46 &gt;=1.0 avoids the chased-poor-R:R cap, and earnings_gate=CAUTION not FAIL). Soft flags added are 'chased' (zone_state=above_zone, not in_zone) and 'earnings' (earnings_days=-1, gate CAUTION); ext_pct=53.25 is extended but exhaustion=0.2662 &lt;0.3 so no exhaustion flag.</t>
  </si>
  <si>
    <t>RL</t>
  </si>
  <si>
    <t>DGX</t>
  </si>
  <si>
    <t>Buy: 86.9 | Sell: 33.3</t>
  </si>
  <si>
    <t>NVR</t>
  </si>
  <si>
    <t>{"symbol": "DG", "strategy": "Daily", "action": "LONG", "alert_price": 123.44, "score": "", "dir_prob": "96.2", "net_sigma": "", "grade": "", "align": "", "premium": "", "wrong_if": "", "context": "", "subject": "Alert: Rev - Screener v1 (SPY, 12): Any alert() function call", "body": "{\"ticker\":\"DG\", \"setup\":\"A+ Trend Long\", \"side\":\"LONG\", \"price\":123.44, \"stage\":2, \"buy\":90.8, \"sell\":17.6, \"prime\":2, \"revL\":0, \"revS\":6.5, \"vcp\":1, \"dir_prob\":96.2, \"time\":1783949400000}", "ticker": "DG", "setup": "A+ Trend Long", "side": "LONG", "price": 123.44, "stage": 2, "buy": 90.8, "sell": 17.6, "prime": 2, "revL": 0, "revS": 6.5, "vcp": 1, "time": 1783949400000, "email_id": "b'601'", "timestamp": "2026-07-13 16:01:04"}</t>
  </si>
  <si>
    <t>AWK</t>
  </si>
  <si>
    <t>{"symbol": "CPRT", "strategy": "Daily", "action": "SHORT", "alert_price": 28.33, "score": "", "dir_prob": "19.3", "net_sigma": "", "grade": "", "align": "", "premium": "", "wrong_if": "", "context": "", "subject": "Alert: Rev - Screener v1 (SPY, 12): Any alert() function call", "body": "{\"ticker\":\"CPRT\", \"setup\":\"A+ Trend Short\", \"side\":\"SHORT\", \"price\":28.33, \"stage\":4, \"buy\":18.2, \"sell\":87.9, \"prime\":-2, \"revL\":0, \"revS\":0, \"vcp\":0, \"dir_prob\":19.3, \"time\":1783603800000}", "ticker": "CPRT", "setup": "A+ Trend Short", "side": "SHORT", "price": 28.33, "stage": 4, "buy": 18.2, "sell": 87.9, "prime": -2, "revL": 0, "revS": 0, "vcp": 0, "time": 1783603800000, "email_id": "b'157'", "timestamp": "2026-07-09 16:01:03"}</t>
  </si>
  <si>
    <t>Buy: 93.8 | Sell: 13.8</t>
  </si>
  <si>
    <t>WST</t>
  </si>
  <si>
    <t>{"symbol": "RL", "strategy": "Daily", "action": "LONG", "alert_price": 394.85, "score": "", "dir_prob": "83.3", "net_sigma": "", "grade": "", "align": "", "premium": "", "wrong_if": "", "context": "", "subject": "Alert: Rev - Screener v1 (SPY, 12): Any alert() function call", "body": "{\"ticker\":\"RL\", \"setup\":\"A+ Trend Long\", \"side\":\"LONG\", \"price\":394.85, \"stage\":2, \"buy\":86.9, \"sell\":33.3, \"prime\":2, \"revL\":0, \"revS\":0, \"vcp\":1, \"dir_prob\":83.3, \"time\":1783690200000}", "ticker": "RL", "setup": "A+ Trend Long", "side": "LONG", "price": 394.85, "stage": 2, "buy": 86.9, "sell": 33.3, "prime": 2, "revL": 0, "revS": 0, "vcp": 1, "time": 1783690200000, "email_id": "b'502'", "timestamp": "2026-07-10 16:01:28"}</t>
  </si>
  <si>
    <t>TREND_LONG is firing: dominant_side is long with buy score 98.72 (&gt;=65), dir_prob 94.22, stage 2, and regime 0 (healthy) confirming a strong uptrend with no exhaustion (ext_pct 9.03, exhaustion 0.09). News read is NEUTRAL with catalyst 'none' as all provided headlines are empty, so no contradiction or confirmation applies. Triage is PASS because no veto cap triggers (regime not climax/distribution, stage not 4, earnings_gate only CAUTION, and rr_from_current 1.47 &gt;=1.0 despite above_zone); soft flags 'chased' (zone_state above_zone) and 'earnings' (earnings_gate CAUTION, earnings_days -1) annotate but do not block.</t>
  </si>
  <si>
    <t>SHW</t>
  </si>
  <si>
    <t>ROL</t>
  </si>
  <si>
    <t>NFLX</t>
  </si>
  <si>
    <t>Buy: 7.6 | Sell: 87.1</t>
  </si>
  <si>
    <t>{"symbol": "AWK", "strategy": "Daily", "action": "LONG", "alert_price": 131.51, "score": "", "dir_prob": "97.7", "net_sigma": "", "grade": "", "align": "", "premium": "", "wrong_if": "", "context": "", "subject": "Alert: Rev - Screener v1 (SPY, 12): Any alert() function call", "body": "{\"ticker\":\"AWK\", \"setup\":\"A+ Trend Long\", \"side\":\"LONG\", \"price\":131.51, \"stage\":2, \"buy\":93.8, \"sell\":13.8, \"prime\":2, \"revL\":0, \"revS\":0, \"vcp\":0, \"dir_prob\":97.7, \"time\":1783949400000}", "ticker": "AWK", "setup": "A+ Trend Long", "side": "LONG", "price": 131.51, "stage": 2, "buy": 93.8, "sell": 13.8, "prime": 2, "revL": 0, "revS": 0, "vcp": 0, "time": 1783949400000, "email_id": "b'602'", "timestamp": "2026-07-13 16:01:00"}</t>
  </si>
  <si>
    <t>WMT</t>
  </si>
  <si>
    <t>Buy: 9.2 | Sell: 87.4</t>
  </si>
  <si>
    <t>Buy: 5.9 | Sell: 86.4</t>
  </si>
  <si>
    <t>MNST</t>
  </si>
  <si>
    <t>Corporate Action</t>
  </si>
  <si>
    <t>WAT</t>
  </si>
  <si>
    <t>{"symbol": "ROL", "strategy": "Daily", "action": "SHORT", "alert_price": 44.45, "score": "", "dir_prob": "8.1", "net_sigma": "", "grade": "", "align": "", "premium": "", "wrong_if": "", "context": "", "subject": "Alert: Rev - Screener v1 (SPY, 12): Any alert() function call", "body": "{\"ticker\":\"ROL\", \"setup\":\"A+ Trend Short\", \"side\":\"SHORT\", \"price\":44.45, \"stage\":4, \"buy\":7.6, \"sell\":87.1, \"prime\":-2, \"revL\":0, \"revS\":0, \"vcp\":0, \"dir_prob\":8.1, \"time\":1783690200000}", "ticker": "ROL", "setup": "A+ Trend Short", "side": "SHORT", "price": 44.45, "stage": 4, "buy": 7.6, "sell": 87.1, "prime": -2, "revL": 0, "revS": 0, "vcp": 0, "time": 1783690200000, "email_id": "b'510'", "timestamp": "2026-07-10 16:01:39"}</t>
  </si>
  <si>
    <t>PASS (7/10)</t>
  </si>
  <si>
    <t>TREND_LONG fires on dominant_side=long with buy=96.33 (&gt;=65), dir_prob=87.63, stage=2, regime=0 (healthy), and exhaustion=0.0777 indicating a rideable trend. News read is NEUTRAL with catalyst 'none' as all provided headlines are empty. Triage is PASS: no veto applies (no contradiction, earnings_gate=CAUTION not FAIL, zone_state=above_zone but rr_from_current=1.07 &gt;=1.0 so no poor-R:R cap); soft flags 'chased' (long and zone_state=above_zone) and 'earnings' (earnings_days=-1) annotate but do not block.</t>
  </si>
  <si>
    <t>{"symbol": "WMT", "strategy": "Daily", "action": "SHORT", "alert_price": 114.8, "score": "", "dir_prob": "5.7", "net_sigma": "", "grade": "", "align": "", "premium": "", "wrong_if": "", "context": "", "subject": "Alert: Rev - Screener v1 (SPY, 12): Any alert() function call", "body": "{\"ticker\":\"WMT\", \"setup\":\"A+ Trend Short\", \"side\":\"SHORT\", \"price\":114.80, \"stage\":4, \"buy\":9.2, \"sell\":87.4, \"prime\":-2, \"revL\":0, \"revS\":0, \"vcp\":0, \"dir_prob\":5.7, \"time\":1783949400000}", "ticker": "WMT", "setup": "A+ Trend Short", "side": "SHORT", "price": 114.8, "stage": 4, "buy": 9.2, "sell": 87.4, "prime": -2, "revL": 0, "revS": 0, "vcp": 0, "time": 1783949400000, "email_id": "b'603'", "timestamp": "2026-07-13 16:01:04"}</t>
  </si>
  <si>
    <t>VRTX</t>
  </si>
  <si>
    <t>PHM</t>
  </si>
  <si>
    <t>Buy: 92.5 | Sell: 3.4</t>
  </si>
  <si>
    <t>Buy: 97.8 | Sell: 3.9</t>
  </si>
  <si>
    <t>DOC</t>
  </si>
  <si>
    <t>{"symbol": "NFLX", "strategy": "Daily", "action": "SHORT", "alert_price": 75.46, "score": "", "dir_prob": "16.2", "net_sigma": "", "grade": "", "align": "", "premium": "", "wrong_if": "", "context": "", "subject": "Alert: Rev - Screener v1 (SPY, 12): Any alert() function call", "body": "{\"ticker\":\"NFLX\", \"setup\":\"A+ Trend Short\", \"side\":\"SHORT\", \"price\":75.46, \"stage\":4, \"buy\":5.9, \"sell\":86.4, \"prime\":-2, \"revL\":0, \"revS\":0, \"vcp\":0, \"dir_prob\":16.2, \"time\":1783603800000}", "ticker": "NFLX", "setup": "A+ Trend Short", "side": "SHORT", "price": 75.46, "stage": 4, "buy": 5.9, "sell": 86.4, "prime": -2, "revL": 0, "revS": 0, "vcp": 0, "time": 1783603800000, "email_id": "b'210'", "timestamp": "2026-07-09 16:01:22"}</t>
  </si>
  <si>
    <t>WRB</t>
  </si>
  <si>
    <t>{"symbol": "PHM", "strategy": "Daily", "action": "LONG", "alert_price": 124.8, "score": "", "dir_prob": "94.5", "net_sigma": "", "grade": "", "align": "", "premium": "", "wrong_if": "", "context": "", "subject": "Alert: Rev - Screener v1 (SPY, 12): Any alert() function call", "body": "{\"ticker\":\"PHM\", \"setup\":\"A+ Trend Long\", \"side\":\"LONG\", \"price\":124.80, \"stage\":2, \"buy\":92.5, \"sell\":3.4, \"prime\":2, \"revL\":0, \"revS\":0, \"vcp\":0, \"dir_prob\":94.5, \"time\":1783690200000}", "ticker": "PHM", "setup": "A+ Trend Long", "side": "LONG", "price": 124.8, "stage": 2, "buy": 92.5, "sell": 3.4, "prime": 2, "revL": 0, "revS": 0, "vcp": 0, "time": 1783690200000, "email_id": "b'472'", "timestamp": "2026-07-10 16:01:20"}</t>
  </si>
  <si>
    <t>TREND_LONG fires on dominant_side=long with buy=95.87 (&gt;=65) in Stage 2 and regime 0, supported by dir_prob=70.93; ext_pct=14.1 and exhaustion=0.097 show healthy trend, not extended. News CONFIRMS via Goldman/Wells Fargo PT raises and Buy/Overweight ratings (catalyst: analyst upgrades/PT raises), bullish sentiment. Triage is PASS: no contradiction, earnings_gate=CAUTION (not FAIL), and rr_from_current=1.27 with zone_state=above_zone avoids the chased-poor-RR cap; key_flags note chased (above_zone) and earnings (days=-1/CAUTION) only as soft annotations.</t>
  </si>
  <si>
    <t>{"symbol": "CAH", "strategy": "Daily", "action": "LONG", "alert_price": 233.65, "score": "", "dir_prob": "98.6", "net_sigma": "", "grade": "", "align": "", "premium": "", "wrong_if": "", "context": "", "subject": "Alert: Rev - Screener v1 (SPY, 12): Any alert() function call", "body": "{\"ticker\":\"CAH\", \"setup\":\"A+ Trend Long\", \"side\":\"LONG\", \"price\":233.65, \"stage\":2, \"buy\":97.8, \"sell\":3.9, \"prime\":2, \"revL\":0, \"revS\":0, \"vcp\":0, \"dir_prob\":98.6, \"time\":1783949400000}", "ticker": "CAH", "setup": "A+ Trend Long", "side": "LONG", "price": 233.65, "stage": 2, "buy": 97.8, "sell": 3.9, "prime": 2, "revL": 0, "revS": 0, "vcp": 0, "time": 1783949400000, "email_id": "b'604'", "timestamp": "2026-07-13 16:01:06"}</t>
  </si>
  <si>
    <t>CCI</t>
  </si>
  <si>
    <t>Buy: 96.1 | Sell: 14.4</t>
  </si>
  <si>
    <t>USB</t>
  </si>
  <si>
    <t>Buy: 3.4 | Sell: 92.3</t>
  </si>
  <si>
    <t>TDG</t>
  </si>
  <si>
    <t>Buy: 94.8 | Sell: 19.4</t>
  </si>
  <si>
    <t>WSM</t>
  </si>
  <si>
    <t>{"symbol": "CCI", "strategy": "Daily", "action": "SHORT", "alert_price": 79.65, "score": "", "dir_prob": "7.9", "net_sigma": "", "grade": "", "align": "", "premium": "", "wrong_if": "", "context": "", "subject": "Alert: Rev - Screener v1 (SPY, 12): Any alert() function call", "body": "{\"ticker\":\"CCI\", \"setup\":\"A+ Trend Short\", \"side\":\"SHORT\", \"price\":79.65, \"stage\":4, \"buy\":3.4, \"sell\":92.3, \"prime\":-2, \"revL\":0, \"revS\":0, \"vcp\":0, \"dir_prob\":7.9, \"time\":1783690200000}", "ticker": "CCI", "setup": "A+ Trend Short", "side": "SHORT", "price": 79.65, "stage": 4, "buy": 3.4, "sell": 92.3, "prime": -2, "revL": 0, "revS": 0, "vcp": 0, "time": 1783690200000, "email_id": "b'442'", "timestamp": "2026-07-10 16:01:37"}</t>
  </si>
  <si>
    <t>PASS (8/10)</t>
  </si>
  <si>
    <t>{"symbol": "APH", "strategy": "Daily", "action": "LONG", "alert_price": 155.99, "score": "", "dir_prob": "91.5", "net_sigma": "", "grade": "", "align": "", "premium": "", "wrong_if": "", "context": "", "subject": "Alert: Rev - Screener v1 (SPY, 12): Any alert() function call", "body": "{\"ticker\":\"APH\", \"setup\":\"A+ Trend Long\", \"side\":\"LONG\", \"price\":155.99, \"stage\":2, \"buy\":96.1, \"sell\":14.4, \"prime\":2, \"revL\":0, \"revS\":0, \"vcp\":0, \"dir_prob\":91.5, \"time\":1783949400000}", "ticker": "APH", "setup": "A+ Trend Long", "side": "LONG", "price": 155.99, "stage": 2, "buy": 96.1, "sell": 14.4, "prime": 2, "revL": 0, "revS": 0, "vcp": 0, "time": 1783949400000, "email_id": "b'605'", "timestamp": "2026-07-13 16:01:06"}</t>
  </si>
  <si>
    <t>TREND_LONG is firing on buy score 97.09 (&gt;=65), dir_prob 95.22, stage 2, and regime 0 (healthy), with price 179.28 inside the long zone [177.04,179.28] and R:R 2.31 from current. News read is NEUTRAL with catalyst 'none' from empty headlines, so no confirmation or contradiction applies. Triage is PASS as no veto cap triggers (regime not climax/distribution, stage not 4, earnings gate only CAUTION, zone_state in_zone with R:R&gt;=1). Soft flags apply: earnings (earnings_days -1, gate CAUTION) and aggressive_target (long_target 199.92 implies ~11.5% upside vs exp_move_pct 8.41%).</t>
  </si>
  <si>
    <t>AKAM</t>
  </si>
  <si>
    <t>Buy: 9.2 | Sell: 93</t>
  </si>
  <si>
    <t>ADI</t>
  </si>
  <si>
    <t>AMAT</t>
  </si>
  <si>
    <t>Buy: 10.5 | Sell: 85.4</t>
  </si>
  <si>
    <t>CFG</t>
  </si>
  <si>
    <t>{"symbol": "AKAM", "strategy": "Daily", "action": "SHORT", "alert_price": 125.13, "score": "", "dir_prob": "5.2", "net_sigma": "", "grade": "", "align": "", "premium": "", "wrong_if": "", "context": "", "subject": "Alert: Rev - Screener v1 (SPY, 12): Any alert() function call", "body": "{\"ticker\":\"AKAM\", \"setup\":\"A+ Trend Short\", \"side\":\"SHORT\", \"price\":125.13, \"stage\":4, \"buy\":9.2, \"sell\":93, \"prime\":-2, \"revL\":0, \"revS\":0, \"vcp\":0, \"dir_prob\":5.2, \"time\":1783949400000}", "ticker": "AKAM", "setup": "A+ Trend Short", "side": "SHORT", "price": 125.13, "stage": 4, "buy": 9.2, "sell": 93, "prime": -2, "revL": 0, "revS": 0, "vcp": 0, "time": 1783949400000, "email_id": "b'606'", "timestamp": "2026-07-13 16:01:04"}</t>
  </si>
  <si>
    <t>Buy: 96.9 | Sell: 6.2</t>
  </si>
  <si>
    <t>{"symbol": "DG", "strategy": "Daily", "action": "LONG", "alert_price": 115.73, "score": "", "dir_prob": "96.7", "net_sigma": "", "grade": "", "align": "", "premium": "", "wrong_if": "", "context": "", "subject": "Alert: Rev - Screener v1 (SPY, 12): Any alert() function call", "body": "{\"ticker\":\"DG\", \"setup\":\"A+ Trend Long\", \"side\":\"LONG\", \"price\":115.73, \"stage\":2, \"buy\":94.8, \"sell\":19.4, \"prime\":2, \"revL\":0, \"revS\":0, \"vcp\":1, \"dir_prob\":96.7, \"time\":1783603800000}", "ticker": "DG", "setup": "A+ Trend Long", "side": "LONG", "price": 115.73, "stage": 2, "buy": 94.8, "sell": 19.4, "prime": 2, "revL": 0, "revS": 0, "vcp": 1, "time": 1783603800000, "email_id": "b'321'", "timestamp": "2026-07-09 16:01:17"}</t>
  </si>
  <si>
    <t>{"symbol": "ADI", "strategy": "Daily", "action": "SHORT", "alert_price": 395.71, "score": "", "dir_prob": "8.4", "net_sigma": "", "grade": "", "align": "", "premium": "", "wrong_if": "", "context": "", "subject": "Alert: Rev - Screener v1 (SPY, 12): Any alert() function call", "body": "{\"ticker\":\"ADI\", \"setup\":\"A+ Trend Short\", \"side\":\"SHORT\", \"price\":395.71, \"stage\":4, \"buy\":10.5, \"sell\":85.4, \"prime\":-2, \"revL\":0, \"revS\":0, \"vcp\":0, \"dir_prob\":8.4, \"time\":1783690200000}", "ticker": "ADI", "setup": "A+ Trend Short", "side": "SHORT", "price": 395.71, "stage": 4, "buy": 10.5, "sell": 85.4, "prime": -2, "revL": 0, "revS": 0, "vcp": 0, "time": 1783690200000, "email_id": "b'554'", "timestamp": "2026-07-10 16:01:38"}</t>
  </si>
  <si>
    <t>TREND_LONG fires on dominant_side=long with buy=94.69 (&gt;=65) and dir_prob=90.97, supported by stage=2 and healthy regime=0. News read is NEUTRAL with catalyst 'none' (headlines empty), so no confirmation or contradiction. Triage is PASS: no veto applies (no news contradiction, earnings_gate=CAUTION not FAIL, zone_state=in_zone with rr_from_current=1.89 &gt;=1.0), and the only soft flag is 'earnings' from earnings_days=-1/CAUTION; ext_pct=23.02 but exhaustion=0.2395 &lt;0.3 so no exhaustion flag, and opposite_score=11.78 &lt;60 so no churn.</t>
  </si>
  <si>
    <t>MGM</t>
  </si>
  <si>
    <t>{"symbol": "HBAN", "strategy": "Daily", "action": "LONG", "alert_price": 17.93, "score": "", "dir_prob": "94.9", "net_sigma": "", "grade": "", "align": "", "premium": "", "wrong_if": "", "context": "", "subject": "Alert: Rev - Screener v1 (SPY, 12): Any alert() function call", "body": "{\"ticker\":\"HBAN\", \"setup\":\"A+ Trend Long\", \"side\":\"LONG\", \"price\":17.93, \"stage\":2, \"buy\":96.9, \"sell\":6.2, \"prime\":2, \"revL\":0, \"revS\":0, \"vcp\":0, \"dir_prob\":94.9, \"time\":1783949400000}", "ticker": "HBAN", "setup": "A+ Trend Long", "side": "LONG", "price": 17.93, "stage": 2, "buy": 96.9, "sell": 6.2, "prime": 2, "revL": 0, "revS": 0, "vcp": 0, "time": 1783949400000, "email_id": "b'607'", "timestamp": "2026-07-13 16:01:00"}</t>
  </si>
  <si>
    <t>Buy: 93.8 | Sell: 36.9</t>
  </si>
  <si>
    <t>BXP</t>
  </si>
  <si>
    <t>TROW</t>
  </si>
  <si>
    <t>Buy: 93 | Sell: 7.2</t>
  </si>
  <si>
    <t>HOOD</t>
  </si>
  <si>
    <t>Buy: 10 | Sell: 91</t>
  </si>
  <si>
    <t>{"symbol": "MGM", "strategy": "Daily", "action": "LONG", "alert_price": 46.87, "score": "", "dir_prob": "83.4", "net_sigma": "", "grade": "", "align": "", "premium": "", "wrong_if": "", "context": "", "subject": "Alert: Rev - Screener v1 (SPY, 12): Any alert() function call", "body": "{\"ticker\":\"MGM\", \"setup\":\"A+ Trend Long\", \"side\":\"LONG\", \"price\":46.87, \"stage\":2, \"buy\":93.8, \"sell\":36.9, \"prime\":2, \"revL\":0, \"revS\":0, \"vcp\":1, \"dir_prob\":83.4, \"time\":1783690200000}", "ticker": "MGM", "setup": "A+ Trend Long", "side": "LONG", "price": 46.87, "stage": 2, "buy": 93.8, "sell": 36.9, "prime": 2, "revL": 0, "revS": 0, "vcp": 1, "time": 1783690200000, "email_id": "b'468'", "timestamp": "2026-07-10 16:01:21"}</t>
  </si>
  <si>
    <t>TREND_LONG fires on buy score 97.84 (&gt;=65) with dominant_side long, stage 2, regime 0 (healthy), dir_prob 93.3, and ext_pct 15.76 (normal) with low exhaustion 0.1632. News read is NEUTRAL with catalyst 'none' (empty headlines), so no confirmation or contradiction. Triage is PASS: no WATCH cap applies (regime not climax/distribution, stage not 4, no news contradiction, zone_state in_zone with rr_from_current 2.0). Soft flags added: 'earnings' (earnings_days -1 / CAUTION gate) and 'aggressive_target' (long_target 259.28 is ~7% above price vs exp_move_pct 6.0); no exhaustion, churn, chased, or stage_lag flags triggered.</t>
  </si>
  <si>
    <t>PANW</t>
  </si>
  <si>
    <t>Buy: 90.1 | Sell: 9.9</t>
  </si>
  <si>
    <t>{"symbol": "TROW", "strategy": "Daily", "action": "LONG", "alert_price": 113.65, "score": "", "dir_prob": "94.3", "net_sigma": "", "grade": "", "align": "", "premium": "", "wrong_if": "", "context": "", "subject": "Alert: Rev - Screener v1 (SPY, 12): Any alert() function call", "body": "{\"ticker\":\"TROW\", \"setup\":\"A+ Trend Long\", \"side\":\"LONG\", \"price\":113.65, \"stage\":2, \"buy\":93, \"sell\":7.2, \"prime\":2, \"revL\":0, \"revS\":0, \"vcp\":0, \"dir_prob\":94.3, \"time\":1783949400000}", "ticker": "TROW", "setup": "A+ Trend Long", "side": "LONG", "price": 113.65, "stage": 2, "buy": 93, "sell": 7.2, "prime": 2, "revL": 0, "revS": 0, "vcp": 0, "time": 1783949400000, "email_id": "b'608'", "timestamp": "2026-07-13 16:01:07"}</t>
  </si>
  <si>
    <t>DASH</t>
  </si>
  <si>
    <t>Buy: 96.4 | Sell: 4.3</t>
  </si>
  <si>
    <t>STT</t>
  </si>
  <si>
    <t>{"symbol": "FTNT", "strategy": "Daily", "action": "LONG", "alert_price": 157.51, "score": "", "dir_prob": "92.8", "net_sigma": "", "grade": "", "align": "", "premium": "", "wrong_if": "", "context": "", "subject": "Alert: Rev - Screener v1 (SPY, 12): Any alert() function call", "body": "{\"ticker\":\"FTNT\", \"setup\":\"A+ Trend Long\", \"side\":\"LONG\", \"price\":157.51, \"stage\":2, \"buy\":90.1, \"sell\":9.9, \"prime\":2, \"revL\":0, \"revS\":0, \"vcp\":0, \"dir_prob\":92.8, \"time\":1783690200000}", "ticker": "FTNT", "setup": "A+ Trend Long", "side": "LONG", "price": 157.51, "stage": 2, "buy": 90.1, "sell": 9.9, "prime": 2, "revL": 0, "revS": 0, "vcp": 0, "time": 1783690200000, "email_id": "b'496'", "timestamp": "2026-07-10 16:01:30"}</t>
  </si>
  <si>
    <t>TREND_LONG fires on dominant_side=long with buy=98.12 (&gt;=65) and dir_prob=89.42, while stage=2 and regime=0 show a healthy uptrend with no ignition or reversion scores (rev_zone_l=2.0, rev_zone_s=4.0). Price sits in_zone (59.07-59.67) with rr_from_current=1.99, just under the 2.0 conviction bonus threshold, and ext_pct=15.42 with exhaustion=0.14 indicate no extension or climax risk. News is NEUTRAL with catalyst 'Earnings' and no CONFIRM/CONTRADICT vs the long bias; headlines reference semis and broad earnings season, not BAC specifically. Triage is PASS as no veto applies, but earnings_days=-1 / earnings_gate=CAUTION adds the soft 'earnings' flag only, not a cap.</t>
  </si>
  <si>
    <t>JPM</t>
  </si>
  <si>
    <t>LVS</t>
  </si>
  <si>
    <t>{"symbol": "DASH", "strategy": "Daily", "action": "LONG", "alert_price": 189.6, "score": "", "dir_prob": "97.9", "net_sigma": "", "grade": "", "align": "", "premium": "", "wrong_if": "", "context": "", "subject": "Alert: Rev - Screener v1 (SPY, 12): Any alert() function call", "body": "{\"ticker\":\"DASH\", \"setup\":\"A+ Trend Long\", \"side\":\"LONG\", \"price\":189.60, \"stage\":2, \"buy\":96.4, \"sell\":4.3, \"prime\":2, \"revL\":0, \"revS\":0, \"vcp\":0, \"dir_prob\":97.9, \"time\":1783949400000}", "ticker": "DASH", "setup": "A+ Trend Long", "side": "LONG", "price": 189.6, "stage": 2, "buy": 96.4, "sell": 4.3, "prime": 2, "revL": 0, "revS": 0, "vcp": 0, "time": 1783949400000, "email_id": "b'609'", "timestamp": "2026-07-13 16:01:00"}</t>
  </si>
  <si>
    <t>{"symbol": "ACN", "strategy": "Daily", "action": "SHORT", "alert_price": 139.04, "score": "", "dir_prob": "9.2", "net_sigma": "", "grade": "", "align": "", "premium": "", "wrong_if": "", "context": "", "subject": "Alert: Rev - Screener v1 (SPY, 12): Any alert() function call", "body": "{\"ticker\":\"ACN\", \"setup\":\"A+ Trend Short\", \"side\":\"SHORT\", \"price\":139.04, \"stage\":4, \"buy\":10, \"sell\":91, \"prime\":-2, \"revL\":0, \"revS\":0, \"vcp\":0, \"dir_prob\":9.2, \"time\":1783603800000}", "ticker": "ACN", "setup": "A+ Trend Short", "side": "SHORT", "price": 139.04, "stage": 4, "buy": 10, "sell": 91, "prime": -2, "revL": 0, "revS": 0, "vcp": 0, "time": 1783603800000, "email_id": "b'299'", "timestamp": "2026-07-09 16:01:09"}</t>
  </si>
  <si>
    <t>Buy: 11.1 | Sell: 89.8</t>
  </si>
  <si>
    <t>Buy: 91 | Sell: 8.8</t>
  </si>
  <si>
    <t>IFF</t>
  </si>
  <si>
    <t>DXCM</t>
  </si>
  <si>
    <t>LNT</t>
  </si>
  <si>
    <t>{"symbol": "LVS", "strategy": "Daily", "action": "SHORT", "alert_price": 46.69, "score": "", "dir_prob": "12.6", "net_sigma": "", "grade": "", "align": "", "premium": "", "wrong_if": "", "context": "", "subject": "Alert: Rev - Screener v1 (SPY, 12): Any alert() function call", "body": "{\"ticker\":\"LVS\", \"setup\":\"A+ Trend Short\", \"side\":\"SHORT\", \"price\":46.69, \"stage\":4, \"buy\":11.1, \"sell\":89.8, \"prime\":-2, \"revL\":0, \"revS\":0, \"vcp\":0, \"dir_prob\":12.6, \"time\":1783690200000}", "ticker": "LVS", "setup": "A+ Trend Short", "side": "SHORT", "price": 46.69, "stage": 4, "buy": 11.1, "sell": 89.8, "prime": -2, "revL": 0, "revS": 0, "vcp": 0, "time": 1783690200000, "email_id": "b'503'", "timestamp": "2026-07-10 16:01:40"}</t>
  </si>
  <si>
    <t>TREND_LONG is firing: dominant_side is long with buy score 93.84 (&gt;=65), dir_prob 86.32, stage 2, and regime 0 (healthy) confirming a strong trend/dip-buy long. News read is NEUTRAL with catalyst 'none' from empty headlines, so no confirmation or contradiction. Triage is PASS as no veto applies (no news contradiction, earnings gate CAUTION not FAIL, zone_state in_zone with rr_from_current 2.0); soft flags 'earnings' (earnings_days -1, gate CAUTION) and 'aggressive_target' (long_target 115.5 is +6.86% vs exp_move_pct 5.67%) annotate but do not cap the verdict.</t>
  </si>
  <si>
    <t>Buy: 80.5 | Sell: 33.7</t>
  </si>
  <si>
    <t>{"symbol": "FTNT", "strategy": "Daily", "action": "LONG", "alert_price": 160.66, "score": "", "dir_prob": "93.1", "net_sigma": "", "grade": "", "align": "", "premium": "", "wrong_if": "", "context": "", "subject": "Alert: Rev - Screener v1 (SPY, 12): Any alert() function call", "body": "{\"ticker\":\"FTNT\", \"setup\":\"A+ Trend Long\", \"side\":\"LONG\", \"price\":160.66, \"stage\":2, \"buy\":91, \"sell\":8.8, \"prime\":2, \"revL\":0, \"revS\":0, \"vcp\":0, \"dir_prob\":93.1, \"time\":1783949400000}", "ticker": "FTNT", "setup": "A+ Trend Long", "side": "LONG", "price": 160.66, "stage": 2, "buy": 91, "sell": 8.8, "prime": 2, "revL": 0, "revS": 0, "vcp": 0, "time": 1783949400000, "email_id": "b'610'", "timestamp": "2026-07-13 16:01:05"}</t>
  </si>
  <si>
    <t>Buy: 89.2 | Sell: 10.4</t>
  </si>
  <si>
    <t>Buy: 95.3 | Sell: 25.8</t>
  </si>
  <si>
    <t>HD</t>
  </si>
  <si>
    <t>KVUE</t>
  </si>
  <si>
    <t>{"symbol": "BNY", "strategy": "Daily", "action": "LONG", "alert_price": 151.25, "score": "", "dir_prob": "85.9", "net_sigma": "", "grade": "", "align": "", "premium": "", "wrong_if": "", "context": "", "subject": "Alert: Rev - Screener v1 (SPY, 12): Any alert() function call", "body": "{\"ticker\":\"BNY\", \"setup\":\"A+ Trend Long\", \"side\":\"LONG\", \"price\":151.25, \"stage\":2, \"buy\":89.2, \"sell\":10.4, \"prime\":2, \"revL\":0, \"revS\":0, \"vcp\":0, \"dir_prob\":85.9, \"time\":1783949400000}", "ticker": "BNY", "setup": "A+ Trend Long", "side": "LONG", "price": 151.25, "stage": 2, "buy": 89.2, "sell": 10.4, "prime": 2, "revL": 0, "revS": 0, "vcp": 0, "time": 1783949400000, "email_id": "b'611'", "timestamp": "2026-07-13 16:01:01"}</t>
  </si>
  <si>
    <t>Buy: 95.4 | Sell: 6.6</t>
  </si>
  <si>
    <t>BEN</t>
  </si>
  <si>
    <t>{"symbol": "DGX", "strategy": "Daily", "action": "LONG", "alert_price": 207.5, "score": "", "dir_prob": "93.4", "net_sigma": "", "grade": "", "align": "", "premium": "", "wrong_if": "", "context": "", "subject": "Alert: Rev - Screener v1 (SPY, 12): Any alert() function call", "body": "{\"ticker\":\"DGX\", \"setup\":\"A+ Trend Long\", \"side\":\"LONG\", \"price\":207.50, \"stage\":2, \"buy\":95.3, \"sell\":25.8, \"prime\":2, \"revL\":0, \"revS\":0, \"vcp\":0, \"dir_prob\":93.4, \"time\":1783690200000}", "ticker": "DGX", "setup": "A+ Trend Long", "side": "LONG", "price": 207.5, "stage": 2, "buy": 95.3, "sell": 25.8, "prime": 2, "revL": 0, "revS": 0, "vcp": 0, "time": 1783690200000, "email_id": "b'497'", "timestamp": "2026-07-10 16:01:20"}</t>
  </si>
  <si>
    <t>{"symbol": "DXCM", "strategy": "Daily", "action": "LONG", "alert_price": 73.02, "score": "", "dir_prob": "84.9", "net_sigma": "", "grade": "", "align": "", "premium": "", "wrong_if": "", "context": "", "subject": "Alert: Rev - Screener v1 (SPY, 12): Any alert() function call", "body": "{\"ticker\":\"DXCM\", \"setup\":\"Early Action Long\", \"side\":\"LONG\", \"price\":73.02, \"stage\":2, \"buy\":80.5, \"sell\":33.7, \"prime\":1, \"revL\":0, \"revS\":0, \"vcp\":0, \"dir_prob\":84.9, \"time\":1783603800000}", "ticker": "DXCM", "setup": "Early Action Long", "side": "LONG", "price": 73.02, "stage": 2, "buy": 80.5, "sell": 33.7, "prime": 1, "revL": 0, "revS": 0, "vcp": 0, "time": 1783603800000, "email_id": "b'220'", "timestamp": "2026-07-09 16:01:34"}</t>
  </si>
  <si>
    <t>TREND_LONG fires on dominant_side=long with buy=97.39 (&gt;=65), dir_prob=93.53, stage=2, regime=0 (healthy), and ext_pct=10.09 with exhaustion=0.08 showing no extension. News read is NEUTRAL with catalyst 'none' (empty headlines), so no contradiction or confirmation. Triage is PASS as regime is not climax/distribution and stage is not 4; the only soft flag is 'earnings' from earnings_gate=CAUTION and earnings_days=-1, which does not cap the verdict. Zone_state=in_zone with rr_from_current=1.18 is acceptable though below the 2.0 conviction bonus threshold.</t>
  </si>
  <si>
    <t>MPWR</t>
  </si>
  <si>
    <t>PRU</t>
  </si>
  <si>
    <t>Buy: 5.3 | Sell: 89.8</t>
  </si>
  <si>
    <t>{"symbol": "BAX", "strategy": "Daily", "action": "LONG", "alert_price": 22.59, "score": "", "dir_prob": "96.6", "net_sigma": "", "grade": "", "align": "", "premium": "", "wrong_if": "", "context": "", "subject": "Alert: Rev - Screener v1 (SPY, 12): Any alert() function call", "body": "{\"ticker\":\"BAX\", \"setup\":\"A+ Trend Long\", \"side\":\"LONG\", \"price\":22.59, \"stage\":2, \"buy\":95.4, \"sell\":6.6, \"prime\":2, \"revL\":0, \"revS\":0, \"vcp\":0, \"dir_prob\":96.6, \"time\":1783949400000}", "ticker": "BAX", "setup": "A+ Trend Long", "side": "LONG", "price": 22.59, "stage": 2, "buy": 95.4, "sell": 6.6, "prime": 2, "revL": 0, "revS": 0, "vcp": 0, "time": 1783949400000, "email_id": "b'612'", "timestamp": "2026-07-13 16:01:08"}</t>
  </si>
  <si>
    <t>UDR</t>
  </si>
  <si>
    <t>IBM</t>
  </si>
  <si>
    <t>Buy: 90.3 | Sell: 13.3</t>
  </si>
  <si>
    <t>Buy: 15.7 | Sell: 96.5</t>
  </si>
  <si>
    <t>CVS</t>
  </si>
  <si>
    <t>{"symbol": "MPWR", "strategy": "Daily", "action": "SHORT", "alert_price": 1351.6, "score": "", "dir_prob": "4.5", "net_sigma": "", "grade": "", "align": "", "premium": "", "wrong_if": "", "context": "", "subject": "Alert: Rev - Screener v1 (SPY, 12): Any alert() function call", "body": "{\"ticker\":\"MPWR\", \"setup\":\"A+ Trend Short\", \"side\":\"SHORT\", \"price\":1351.60, \"stage\":4, \"buy\":5.3, \"sell\":89.8, \"prime\":-2, \"revL\":0, \"revS\":0, \"vcp\":0, \"dir_prob\":4.5, \"time\":1783690200000}", "ticker": "MPWR", "setup": "A+ Trend Short", "side": "SHORT", "price": 1351.6, "stage": 4, "buy": 5.3, "sell": 89.8, "prime": -2, "revL": 0, "revS": 0, "vcp": 0, "time": 1783690200000, "email_id": "b'383'", "timestamp": "2026-07-10 16:01:03"}</t>
  </si>
  <si>
    <t>TREND_LONG fires on dominant_side=long with buy=92.77 (&gt;=65), dir_prob=87.49, stage=2 and regime=0 (healthy uptrend); no ignition or rev_zone_l signal present (rev_zone_l=0). News is NEUTRAL with catalyst 'Earnings' — Needham maintains Buy but lowers target to $235, neither confirming nor contradicting the long edge. Triage is PASS as no veto applies: regime is not climax/distribution, stage is not 4, news does not contradict, and rr_from_current=1.73 is above 1.0 despite price being above_zone. Soft flags 'chased' (zone_state=above_zone) and 'earnings' (earnings_gate=CAUTION, earnings_days=-1) annotate but do not cap the pass; ext_pct=41.82 but exhaustion=0.23 &lt;0.3 so no exhaustion flag.</t>
  </si>
  <si>
    <t>ECHO</t>
  </si>
  <si>
    <t>Buy: 8.4 | Sell: 85.9</t>
  </si>
  <si>
    <t>PFG</t>
  </si>
  <si>
    <t>{"symbol": "IBM", "strategy": "Daily", "action": "LONG", "alert_price": 290.34, "score": "", "dir_prob": "94", "net_sigma": "", "grade": "", "align": "", "premium": "", "wrong_if": "", "context": "", "subject": "Alert: Rev - Screener v1 (SPY, 12): Any alert() function call", "body": "{\"ticker\":\"IBM\", \"setup\":\"A+ Trend Long\", \"side\":\"LONG\", \"price\":290.34, \"stage\":2, \"buy\":90.3, \"sell\":13.3, \"prime\":2, \"revL\":0, \"revS\":0, \"vcp\":0, \"dir_prob\":94, \"time\":1783949400000}", "ticker": "IBM", "setup": "A+ Trend Long", "side": "LONG", "price": 290.34, "stage": 2, "buy": 90.3, "sell": 13.3, "prime": 2, "revL": 0, "revS": 0, "vcp": 0, "time": 1783949400000, "email_id": "b'613'", "timestamp": "2026-07-13 16:01:08"}</t>
  </si>
  <si>
    <t>IQV</t>
  </si>
  <si>
    <t>Buy: 79.2 | Sell: 9.6</t>
  </si>
  <si>
    <t>AES</t>
  </si>
  <si>
    <t>WEC</t>
  </si>
  <si>
    <t>{"symbol": "AKAM", "strategy": "Daily", "action": "SHORT", "alert_price": 129.54, "score": "", "dir_prob": "5.3", "net_sigma": "", "grade": "", "align": "", "premium": "", "wrong_if": "", "context": "", "subject": "Alert: Rev - Screener v1 (SPY, 12): Any alert() function call", "body": "{\"ticker\":\"AKAM\", \"setup\":\"A+ Trend Short\", \"side\":\"SHORT\", \"price\":129.54, \"stage\":4, \"buy\":15.7, \"sell\":96.5, \"prime\":-2, \"revL\":0, \"revS\":0, \"vcp\":0, \"dir_prob\":5.3, \"time\":1783603800000}", "ticker": "AKAM", "setup": "A+ Trend Short", "side": "SHORT", "price": 129.54, "stage": 4, "buy": 15.7, "sell": 96.5, "prime": -2, "revL": 0, "revS": 0, "vcp": 0, "time": 1783603800000, "email_id": "b'267'", "timestamp": "2026-07-09 16:01:17"}</t>
  </si>
  <si>
    <t>{"symbol": "ECHO", "strategy": "Daily", "action": "SHORT", "alert_price": 95.98, "score": "", "dir_prob": "8.6", "net_sigma": "", "grade": "", "align": "", "premium": "", "wrong_if": "", "context": "", "subject": "Alert: Rev - Screener v1 (SPY, 12): Any alert() function call", "body": "{\"ticker\":\"ECHO\", \"setup\":\"A+ Trend Short\", \"side\":\"SHORT\", \"price\":95.98, \"stage\":4, \"buy\":8.4, \"sell\":85.9, \"prime\":-2, \"revL\":0, \"revS\":0, \"vcp\":0, \"dir_prob\":8.6, \"time\":1783690200000}", "ticker": "ECHO", "setup": "A+ Trend Short", "side": "SHORT", "price": 95.98, "stage": 4, "buy": 8.4, "sell": 85.9, "prime": -2, "revL": 0, "revS": 0, "vcp": 0, "time": 1783690200000, "email_id": "b'388'", "timestamp": "2026-07-10 16:01:06"}</t>
  </si>
  <si>
    <t>CPT</t>
  </si>
  <si>
    <t>TREND_LONG is firing: buy score 99.06 (&gt;=65), dir_prob 91.11, stage 2, regime 0 (healthy), with ext_pct 9.55 and exhaustion 0.048 confirming a non-extended uptrend. News read is NEUTRAL with catalyst 'none' (headlines empty), so no contradiction or confirmation. Triage is PASS as a trend/dip-buy long with no veto caps (regime not climax/distribution, stage not 4, zone_state in_zone so the rr_from_current 0.847 poor-R:R veto does not apply). Only soft flag is 'earnings' because earnings_days is -1 and earnings_gate is CAUTION; no churn, exhaustion, chased, or stage_lag flags are triggered by the provided values.</t>
  </si>
  <si>
    <t>{"symbol": "IQV", "strategy": "Daily", "action": "LONG", "alert_price": 207.47, "score": "", "dir_prob": "87", "net_sigma": "", "grade": "", "align": "", "premium": "", "wrong_if": "", "context": "", "subject": "Alert: Rev - Screener v1 (SPY, 12): Any alert() function call", "body": "{\"ticker\":\"IQV\", \"setup\":\"Early Action Long\", \"side\":\"LONG\", \"price\":207.47, \"stage\":2, \"buy\":79.2, \"sell\":9.6, \"prime\":1, \"revL\":0, \"revS\":0, \"vcp\":0, \"dir_prob\":87, \"time\":1783949400000}", "ticker": "IQV", "setup": "Early Action Long", "side": "LONG", "price": 207.47, "stage": 2, "buy": 79.2, "sell": 9.6, "prime": 1, "revL": 0, "revS": 0, "vcp": 0, "time": 1783949400000, "email_id": "b'614'", "timestamp": "2026-07-13 16:01:01"}</t>
  </si>
  <si>
    <t>YUM</t>
  </si>
  <si>
    <t>Buy: 94.1 | Sell: 15.9</t>
  </si>
  <si>
    <t>Buy: 91.8 | Sell: 10</t>
  </si>
  <si>
    <t>ORCL</t>
  </si>
  <si>
    <t>EA</t>
  </si>
  <si>
    <t>Buy: 14.3 | Sell: 89</t>
  </si>
  <si>
    <t>{"symbol": "DG", "strategy": "Daily", "action": "LONG", "alert_price": 118.89, "score": "", "dir_prob": "96.9", "net_sigma": "", "grade": "", "align": "", "premium": "", "wrong_if": "", "context": "", "subject": "Alert: Rev - Screener v1 (SPY, 12): Any alert() function call", "body": "{\"ticker\":\"DG\", \"setup\":\"A+ Trend Long\", \"side\":\"LONG\", \"price\":118.89, \"stage\":2, \"buy\":94.1, \"sell\":15.9, \"prime\":2, \"revL\":0, \"revS\":0, \"vcp\":1, \"dir_prob\":96.9, \"time\":1783690200000}", "ticker": "DG", "setup": "A+ Trend Long", "side": "LONG", "price": 118.89, "stage": 2, "buy": 94.1, "sell": 15.9, "prime": 2, "revL": 0, "revS": 0, "vcp": 1, "time": 1783690200000, "email_id": "b'397'", "timestamp": "2026-07-10 16:01:06"}</t>
  </si>
  <si>
    <t>TREND_LONG is firing: buy score 95.96 (&gt;=65), dir_prob 92.39, stage 2 up-trend, regime 0 healthy, ext_pct 1.12 (not extended), exhaustion 0.0056 low. News read is CONFIRMS — the headline shows BofA Securities maintaining a Buy rating (with a modestly lower $231 target), supporting the long side. Triage is PASS as a trend/dip-buy long with no veto cap (regime not climax/distribution, stage not 4, earnings gate only CAUTION, R:R 1.25 &gt;=1.0). Soft flags apply: 'chased' because zone_state is above_zone (price 201.52 vs long_zone 199.08-200.60) and 'earnings' because earnings_days is -1 with CAUTION gate; neither blocks the pass.</t>
  </si>
  <si>
    <t>{"symbol": "YUM", "strategy": "Daily", "action": "LONG", "alert_price": 161.71, "score": "", "dir_prob": "94", "net_sigma": "", "grade": "", "align": "", "premium": "", "wrong_if": "", "context": "", "subject": "Alert: Rev - Screener v1 (SPY, 12): Any alert() function call", "body": "{\"ticker\":\"YUM\", \"setup\":\"A+ Trend Long\", \"side\":\"LONG\", \"price\":161.71, \"stage\":2, \"buy\":91.8, \"sell\":10, \"prime\":2, \"revL\":0, \"revS\":0, \"vcp\":0, \"dir_prob\":94, \"time\":1783949400000}", "ticker": "YUM", "setup": "A+ Trend Long", "side": "LONG", "price": 161.71, "stage": 2, "buy": 91.8, "sell": 10, "prime": 2, "revL": 0, "revS": 0, "vcp": 0, "time": 1783949400000, "email_id": "b'615'", "timestamp": "2026-07-13 16:01:01"}</t>
  </si>
  <si>
    <t>C</t>
  </si>
  <si>
    <t>Buy: 81.7 | Sell: 51.1</t>
  </si>
  <si>
    <t>Buy: 88.9 | Sell: 18.4</t>
  </si>
  <si>
    <t>PNC</t>
  </si>
  <si>
    <t>HSIC</t>
  </si>
  <si>
    <t>{"symbol": "ORCL", "strategy": "Daily", "action": "SHORT", "alert_price": 144.24, "score": "", "dir_prob": "9.7", "net_sigma": "", "grade": "", "align": "", "premium": "", "wrong_if": "", "context": "", "subject": "Alert: Rev - Screener v1 (SPY, 12): Any alert() function call", "body": "{\"ticker\":\"ORCL\", \"setup\":\"A+ Trend Short\", \"side\":\"SHORT\", \"price\":144.24, \"stage\":4, \"buy\":14.3, \"sell\":89, \"prime\":-2, \"revL\":0, \"revS\":0, \"vcp\":0, \"dir_prob\":9.7, \"time\":1783603800000}", "ticker": "ORCL", "setup": "A+ Trend Short", "side": "SHORT", "price": 144.24, "stage": 4, "buy": 14.3, "sell": 89, "prime": -2, "revL": 0, "revS": 0, "vcp": 0, "time": 1783603800000, "email_id": "b'194'", "timestamp": "2026-07-09 16:01:14"}</t>
  </si>
  <si>
    <t>{"symbol": "C", "strategy": "Daily", "action": "LONG", "alert_price": 140.6, "score": "", "dir_prob": "69.8", "net_sigma": "", "grade": "", "align": "", "premium": "", "wrong_if": "", "context": "", "subject": "Alert: Rev - Screener v1 (SPY, 12): Any alert() function call", "body": "{\"ticker\":\"C\", \"setup\":\"Coiled VCP\", \"side\":\"LONG\", \"price\":140.60, \"stage\":2, \"buy\":81.7, \"sell\":51.1, \"prime\":1, \"revL\":0, \"revS\":0, \"vcp\":1, \"dir_prob\":69.8, \"time\":1783690200000}", "ticker": "C", "setup": "Coiled VCP", "side": "LONG", "price": 140.6, "stage": 2, "buy": 81.7, "sell": 51.1, "prime": 1, "revL": 0, "revS": 0, "vcp": 1, "time": 1783690200000, "email_id": "b'424'", "timestamp": "2026-07-10 16:01:25"}</t>
  </si>
  <si>
    <t>{"symbol": "D", "strategy": "Daily", "action": "LONG", "alert_price": 70.81, "score": "", "dir_prob": "90.6", "net_sigma": "", "grade": "", "align": "", "premium": "", "wrong_if": "", "context": "", "subject": "Alert: Rev - Screener v1 (SPY, 12): Any alert() function call", "body": "{\"ticker\":\"D\", \"setup\":\"A+ Trend Long\", \"side\":\"LONG\", \"price\":70.81, \"stage\":2, \"buy\":88.9, \"sell\":18.4, \"prime\":2, \"revL\":0, \"revS\":0, \"vcp\":1, \"dir_prob\":90.6, \"time\":1783949400000}", "ticker": "D", "setup": "A+ Trend Long", "side": "LONG", "price": 70.81, "stage": 2, "buy": 88.9, "sell": 18.4, "prime": 2, "revL": 0, "revS": 0, "vcp": 1, "time": 1783949400000, "email_id": "b'616'", "timestamp": "2026-07-13 16:01:08"}</t>
  </si>
  <si>
    <t>TREND_LONG is firing on buy score 87.55 (&gt;=65) with dir_prob 84.69, stage 2, and regime 0 (healthy); price 401.94 sits in_zone [397.92,401.94] with rr_from_current 2.0 from current. News read is NEUTRAL with catalyst 'none' (headlines empty), so no contradiction to the long bias. Triage is PASS as no WATCH cap applies (regime not climax/distribution, stage not 4, zone_state in_zone with R:R&gt;=1); soft flags earnings (earnings_gate CAUTION, days -1) and aggressive_target (long_target 428.9 is ~6.7% above price vs exp_move_pct 5.69%) are annotated but do not block.</t>
  </si>
  <si>
    <t>VZ</t>
  </si>
  <si>
    <t>Buy: 8.6 | Sell: 86.1</t>
  </si>
  <si>
    <t>DOW</t>
  </si>
  <si>
    <t>Buy: 4.3 | Sell: 87.8</t>
  </si>
  <si>
    <t>AOS</t>
  </si>
  <si>
    <t>BAC</t>
  </si>
  <si>
    <t>Buy: 86.4 | Sell: 33.6</t>
  </si>
  <si>
    <t>{"symbol": "DOW", "strategy": "Daily", "action": "SHORT", "alert_price": 29.03, "score": "", "dir_prob": "5.7", "net_sigma": "", "grade": "", "align": "", "premium": "", "wrong_if": "", "context": "", "subject": "Alert: Rev - Screener v1 (SPY, 12): Any alert() function call", "body": "{\"ticker\":\"DOW\", \"setup\":\"A+ Trend Short\", \"side\":\"SHORT\", \"price\":29.03, \"stage\":4, \"buy\":4.3, \"sell\":87.8, \"prime\":-2, \"revL\":0, \"revS\":0, \"vcp\":0, \"dir_prob\":5.7, \"time\":1783690200000}", "ticker": "DOW", "setup": "A+ Trend Short", "side": "SHORT", "price": 29.03, "stage": 4, "buy": 4.3, "sell": 87.8, "prime": -2, "revL": 0, "revS": 0, "vcp": 0, "time": 1783690200000, "email_id": "b'430'", "timestamp": "2026-07-10 16:01:31"}</t>
  </si>
  <si>
    <t>TREND_SHORT is firing: sell score 93.04 (&gt;=65) with dir_prob 20.55 (&lt;50 bearish) in stage 4 / regime 4 downtrend, confirming short dominance. News CONFIRMS the short side via catalyst 'NFLX slides, earnings focus' with bearish headlines of post-bell slides and viewer struggles. Triage is PASS with no WATCH cap since rev_zone_l=8 (&lt;10) and stage!=2; soft flags apply: churn (opposite_score 61.62 &gt;=60) and earnings (earnings_gate CAUTION, days -1).</t>
  </si>
  <si>
    <t>{"symbol": "VZ", "strategy": "Daily", "action": "SHORT", "alert_price": 42.71, "score": "", "dir_prob": "13", "net_sigma": "", "grade": "", "align": "", "premium": "", "wrong_if": "", "context": "", "subject": "Alert: Rev - Screener v1 (SPY, 12): Any alert() function call", "body": "{\"ticker\":\"VZ\", \"setup\":\"A+ Trend Short\", \"side\":\"SHORT\", \"price\":42.71, \"stage\":4, \"buy\":8.6, \"sell\":86.1, \"prime\":-2, \"revL\":0, \"revS\":0, \"vcp\":0, \"dir_prob\":13, \"time\":1783949400000}", "ticker": "VZ", "setup": "A+ Trend Short", "side": "SHORT", "price": 42.71, "stage": 4, "buy": 8.6, "sell": 86.1, "prime": -2, "revL": 0, "revS": 0, "vcp": 0, "time": 1783949400000, "email_id": "b'617'", "timestamp": "2026-07-13 16:01:22"}</t>
  </si>
  <si>
    <t>LH</t>
  </si>
  <si>
    <t>ZBRA</t>
  </si>
  <si>
    <t>Buy: 87.4 | Sell: 9.4</t>
  </si>
  <si>
    <t>Buy: 89.9 | Sell: 22.4</t>
  </si>
  <si>
    <t>SPG</t>
  </si>
  <si>
    <t>{"symbol": "AOS", "strategy": "Daily", "action": "LONG", "alert_price": 60.44, "score": "", "dir_prob": "91.9", "net_sigma": "", "grade": "", "align": "", "premium": "", "wrong_if": "", "context": "", "subject": "Alert: Rev - Screener v1 (SPY, 12): Any alert() function call", "body": "{\"ticker\":\"AOS\", \"setup\":\"A+ Trend Long\", \"side\":\"LONG\", \"price\":60.44, \"stage\":2, \"buy\":89.9, \"sell\":22.4, \"prime\":2, \"revL\":0, \"revS\":0, \"vcp\":0, \"dir_prob\":91.9, \"time\":1783690200000}", "ticker": "AOS", "setup": "A+ Trend Long", "side": "LONG", "price": 60.44, "stage": 2, "buy": 89.9, "sell": 22.4, "prime": 2, "revL": 0, "revS": 0, "vcp": 0, "time": 1783690200000, "email_id": "b'534'", "timestamp": "2026-07-10 16:01:32"}</t>
  </si>
  <si>
    <t>TREND_LONG fires on dominant_side=long with buy=98.56 (&gt;=65) in stage=2 and regime=0 (healthy); dir_prob=88.89 confirms strong bullish edge, while ext_pct=4.4 and exhaustion=0.022 show no extension or climax risk. News read is NEUTRAL with catalyst='none' (empty headlines), so no contradiction to the long thesis. Triage is PASS as no veto applies: zone_state=in_zone (rr_from_current=0.95 does not trigger chased-poor-R:R cap which requires above_zone), and the only soft flag is earnings (earnings_gate=CAUTION, earnings_days=-1) which annotates but does not block.</t>
  </si>
  <si>
    <t>PPG</t>
  </si>
  <si>
    <t>PEP</t>
  </si>
  <si>
    <t>Buy: 17.3 | Sell: 85.7</t>
  </si>
  <si>
    <t>{"symbol": "ZBRA", "strategy": "Daily", "action": "LONG", "alert_price": 266.73, "score": "", "dir_prob": "96.1", "net_sigma": "", "grade": "", "align": "", "premium": "", "wrong_if": "", "context": "", "subject": "Alert: Rev - Screener v1 (SPY, 12): Any alert() function call", "body": "{\"ticker\":\"ZBRA\", \"setup\":\"A+ Trend Long\", \"side\":\"LONG\", \"price\":266.73, \"stage\":2, \"buy\":87.4, \"sell\":9.4, \"prime\":2, \"revL\":0, \"revS\":0, \"vcp\":0, \"dir_prob\":96.1, \"time\":1783949400000}", "ticker": "ZBRA", "setup": "A+ Trend Long", "side": "LONG", "price": 266.73, "stage": 2, "buy": 87.4, "sell": 9.4, "prime": 2, "revL": 0, "revS": 0, "vcp": 0, "time": 1783949400000, "email_id": "b'618'", "timestamp": "2026-07-13 16:01:07"}</t>
  </si>
  <si>
    <t>SLB</t>
  </si>
  <si>
    <t>Buy: 2.6 | Sell: 94.6</t>
  </si>
  <si>
    <t>ALLE</t>
  </si>
  <si>
    <t>{"symbol": "AOS", "strategy": "Daily", "action": "LONG", "alert_price": 59.0, "score": "", "dir_prob": "87.8", "net_sigma": "", "grade": "", "align": "", "premium": "", "wrong_if": "", "context": "", "subject": "Alert: Rev - Screener v1 (SPY, 12): Any alert() function call", "body": "{\"ticker\":\"AOS\", \"setup\":\"A+ Trend Long\", \"side\":\"LONG\", \"price\":59.00, \"stage\":2, \"buy\":86.4, \"sell\":33.6, \"prime\":2, \"revL\":0, \"revS\":0, \"vcp\":0, \"dir_prob\":87.8, \"time\":1783603800000}", "ticker": "AOS", "setup": "A+ Trend Long", "side": "LONG", "price": 59.0, "stage": 2, "buy": 86.4, "sell": 33.6, "prime": 2, "revL": 0, "revS": 0, "vcp": 0, "time": 1783603800000, "email_id": "b'218'", "timestamp": "2026-07-09 16:01:28"}</t>
  </si>
  <si>
    <t>{"symbol": "PEP", "strategy": "Daily", "action": "SHORT", "alert_price": 137.41, "score": "", "dir_prob": "19", "net_sigma": "", "grade": "", "align": "", "premium": "", "wrong_if": "", "context": "", "subject": "Alert: Rev - Screener v1 (SPY, 12): Any alert() function call", "body": "{\"ticker\":\"PEP\", \"setup\":\"A+ Trend Short\", \"side\":\"SHORT\", \"price\":137.41, \"stage\":4, \"buy\":17.3, \"sell\":85.7, \"prime\":-2, \"revL\":0, \"revS\":0, \"vcp\":-2, \"dir_prob\":19, \"time\":1783690200000}", "ticker": "PEP", "setup": "A+ Trend Short", "side": "SHORT", "price": 137.41, "stage": 4, "buy": 17.3, "sell": 85.7, "prime": -2, "revL": 0, "revS": 0, "vcp": -2, "time": 1783690200000, "email_id": "b'462'", "timestamp": "2026-07-10 16:01:21"}</t>
  </si>
  <si>
    <t>TREND_LONG is firing on buy score 97.76 (&gt;=65), dir_prob 95.29, stage 2 uptrend, and regime 0 (healthy) with no ignition or rev-zone override. News is neutral with catalyst 'Amcor Dongguan expansion project' and no contradiction to the long side. Triage is PASS as regime is not climax/distribution, stage is not 4, and zone_state in_zone with rr_from_current 1.92 avoids the chased-R:R cap. The only soft flag is earnings (gate CAUTION, earnings_days -1), which trims conviction but does not cap the verdict.</t>
  </si>
  <si>
    <t>AEP</t>
  </si>
  <si>
    <t>Buy: 7 | Sell: 89.5</t>
  </si>
  <si>
    <t>{"symbol": "SLB", "strategy": "Daily", "action": "SHORT", "alert_price": 47.37, "score": "", "dir_prob": "2.6", "net_sigma": "", "grade": "", "align": "", "premium": "", "wrong_if": "", "context": "", "subject": "Alert: Rev - Screener v1 (SPY, 12): Any alert() function call", "body": "{\"ticker\":\"SLB\", \"setup\":\"A+ Trend Short\", \"side\":\"SHORT\", \"price\":47.37, \"stage\":4, \"buy\":2.6, \"sell\":94.6, \"prime\":-2, \"revL\":0, \"revS\":0, \"vcp\":0, \"dir_prob\":2.6, \"time\":1783949400000}", "ticker": "SLB", "setup": "A+ Trend Short", "side": "SHORT", "price": 47.37, "stage": 4, "buy": 2.6, "sell": 94.6, "prime": -2, "revL": 0, "revS": 0, "vcp": 0, "time": 1783949400000, "email_id": "b'619'", "timestamp": "2026-07-13 16:01:09"}</t>
  </si>
  <si>
    <t>PNW</t>
  </si>
  <si>
    <t>Buy: 96.3 | Sell: 5.2</t>
  </si>
  <si>
    <t>{"symbol": "ACN", "strategy": "Daily", "action": "SHORT", "alert_price": 135.22, "score": "", "dir_prob": "8.9", "net_sigma": "", "grade": "", "align": "", "premium": "", "wrong_if": "", "context": "", "subject": "Alert: Rev - Screener v1 (SPY, 12): Any alert() function call", "body": "{\"ticker\":\"ACN\", \"setup\":\"A+ Trend Short\", \"side\":\"SHORT\", \"price\":135.22, \"stage\":4, \"buy\":7, \"sell\":89.5, \"prime\":-2, \"revL\":0, \"revS\":0, \"vcp\":0, \"dir_prob\":8.9, \"time\":1783690200000}", "ticker": "ACN", "setup": "A+ Trend Short", "side": "SHORT", "price": 135.22, "stage": 4, "buy": 7, "sell": 89.5, "prime": -2, "revL": 0, "revS": 0, "vcp": 0, "time": 1783690200000, "email_id": "b'492'", "timestamp": "2026-07-10 16:01:34"}</t>
  </si>
  <si>
    <t>TREND_LONG is firing on buy score 95.62 (&gt;=65), dir_prob 93.26, stage 2 uptrend, and regime 6 (squeeze); price sits in_zone with rr_from_current 1.65 from the long entry zone. News CONFIRMS the long bias via a Wolfe Research upgrade to Peer Perform (bullish sentiment). Triage is PASS: no veto applies (no contradiction, earnings gate only CAUTION, R:R not poor), with soft flags 'squeeze' and 'earnings' (unknown date) annotating but not blocking the setup.</t>
  </si>
  <si>
    <t>Buy: 94.5 | Sell: 11.2</t>
  </si>
  <si>
    <t>Q</t>
  </si>
  <si>
    <t>Buy: 22.4 | Sell: 86</t>
  </si>
  <si>
    <t>COO</t>
  </si>
  <si>
    <t>{"symbol": "PNW", "strategy": "Daily", "action": "LONG", "alert_price": 108.59, "score": "", "dir_prob": "96.2", "net_sigma": "", "grade": "", "align": "", "premium": "", "wrong_if": "", "context": "", "subject": "Alert: Rev - Screener v1 (SPY, 12): Any alert() function call", "body": "{\"ticker\":\"PNW\", \"setup\":\"A+ Trend Long\", \"side\":\"LONG\", \"price\":108.59, \"stage\":2, \"buy\":96.3, \"sell\":5.2, \"prime\":2, \"revL\":0, \"revS\":0, \"vcp\":0, \"dir_prob\":96.2, \"time\":1783949400000}", "ticker": "PNW", "setup": "A+ Trend Long", "side": "LONG", "price": 108.59, "stage": 2, "buy": 96.3, "sell": 5.2, "prime": 2, "revL": 0, "revS": 0, "vcp": 0, "time": 1783949400000, "email_id": "b'620'", "timestamp": "2026-07-13 16:01:02"}</t>
  </si>
  <si>
    <t>Buy: 22.5 | Sell: 89.7</t>
  </si>
  <si>
    <t>{"symbol": "Q", "strategy": "Daily", "action": "SHORT", "alert_price": 143.73, "score": "", "dir_prob": "50", "net_sigma": "", "grade": "", "align": "", "premium": "", "wrong_if": "", "context": "", "subject": "Alert: Rev - Screener v1 (SPY, 12): Any alert() function call", "body": "{\"ticker\":\"Q\", \"setup\":\"A+ Trend Short\", \"side\":\"SHORT\", \"price\":143.73, \"stage\":4, \"buy\":22.4, \"sell\":86, \"prime\":-2, \"revL\":0, \"revS\":0, \"vcp\":0, \"dir_prob\":50, \"time\":1783690200000}", "ticker": "Q", "setup": "A+ Trend Short", "side": "SHORT", "price": 143.73, "stage": 4, "buy": 22.4, "sell": 86, "prime": -2, "revL": 0, "revS": 0, "vcp": 0, "time": 1783690200000, "email_id": "b'562'", "timestamp": "2026-07-10 16:01:27"}</t>
  </si>
  <si>
    <t>TREND_LONG fires on dominant_side=long with buy=95.56 (&gt;=65) and dir_prob=88.92, while stage=2 and regime=0 (healthy) confirm an intact uptrend; zone_state=in_zone shows price is still inside the long entry zone (77.60-78.85). News read is NEUTRAL with catalyst='none' from empty headlines, so no contradiction or confirmation. Triage is PASS as a trend/dip-buy long with no veto caps; the only soft flag is 'earnings' because earnings_gate=CAUTION and earnings_days=-1 (unknown date) warrant caution but do not block the setup.</t>
  </si>
  <si>
    <t>CSX</t>
  </si>
  <si>
    <t>Buy: 86.7 | Sell: 21.9</t>
  </si>
  <si>
    <t>MS</t>
  </si>
  <si>
    <t>{"symbol": "IR", "strategy": "Daily", "action": "LONG", "alert_price": 77.06, "score": "", "dir_prob": "95.6", "net_sigma": "", "grade": "", "align": "", "premium": "", "wrong_if": "", "context": "", "subject": "Alert: Rev - Screener v1 (SPY, 12): Any alert() function call", "body": "{\"ticker\":\"IR\", \"setup\":\"A+ Trend Long\", \"side\":\"LONG\", \"price\":77.06, \"stage\":2, \"buy\":94.5, \"sell\":11.2, \"prime\":2, \"revL\":0, \"revS\":0, \"vcp\":0, \"dir_prob\":95.6, \"time\":1783603800000}", "ticker": "IR", "setup": "A+ Trend Long", "side": "LONG", "price": 77.06, "stage": 2, "buy": 94.5, "sell": 11.2, "prime": 2, "revL": 0, "revS": 0, "vcp": 0, "time": 1783603800000, "email_id": "b'313'", "timestamp": "2026-07-09 16:01:34"}</t>
  </si>
  <si>
    <t>PH</t>
  </si>
  <si>
    <t>{"symbol": "CSX", "strategy": "Daily", "action": "LONG", "alert_price": 49.42, "score": "", "dir_prob": "81.4", "net_sigma": "", "grade": "", "align": "", "premium": "", "wrong_if": "", "context": "", "subject": "Alert: Rev - Screener v1 (SPY, 12): Any alert() function call", "body": "{\"ticker\":\"CSX\", \"setup\":\"A+ Trend Long\", \"side\":\"LONG\", \"price\":49.42, \"stage\":2, \"buy\":86.7, \"sell\":21.9, \"prime\":2, \"revL\":0, \"revS\":0, \"vcp\":0, \"dir_prob\":81.4, \"time\":1783690200000}", "ticker": "CSX", "setup": "A+ Trend Long", "side": "LONG", "price": 49.42, "stage": 2, "buy": 86.7, "sell": 21.9, "prime": 2, "revL": 0, "revS": 0, "vcp": 0, "time": 1783690200000, "email_id": "b'396'", "timestamp": "2026-07-10 16:01:07"}</t>
  </si>
  <si>
    <t>TREND_LONG fires on dominant_side=long with buy=98.08 (&gt;=65) in stage=2 and regime=0 (healthy), supported by dir_prob=91.05 showing strong directional edge. News read is NEUTRAL with catalyst 'none' (headlines empty), so no confirmation or contradiction. zone_state=in_zone with rr_from_current=2.01 (&gt;=2) gives clean entry, ext_pct=15.25 and exhaustion=0.12 show no extension/climax risk, and opposite_score=19.09 rules out churn; the only soft flag is 'earnings' because earnings_days=-1 and earnings_gate=CAUTION, which does not cap the PASS.</t>
  </si>
  <si>
    <t>HUM</t>
  </si>
  <si>
    <t>{"symbol": "KR", "strategy": "Daily", "action": "SHORT", "alert_price": 59.32, "score": "", "dir_prob": "17.5", "net_sigma": "", "grade": "", "align": "", "premium": "", "wrong_if": "", "context": "", "subject": "Alert: Rev - Screener v1 (SPY, 12): Any alert() function call", "body": "{\"ticker\":\"KR\", \"setup\":\"A+ Trend Short\", \"side\":\"SHORT\", \"price\":59.32, \"stage\":4, \"buy\":22.5, \"sell\":89.7, \"prime\":-2, \"revL\":0, \"revS\":0, \"vcp\":0, \"dir_prob\":17.5, \"time\":1783949400000}", "ticker": "KR", "setup": "A+ Trend Short", "side": "SHORT", "price": 59.32, "stage": 4, "buy": 22.5, "sell": 89.7, "prime": -2, "revL": 0, "revS": 0, "vcp": 0, "time": 1783949400000, "email_id": "b'621'", "timestamp": "2026-07-13 16:01:04"}</t>
  </si>
  <si>
    <t>APA</t>
  </si>
  <si>
    <t>Buy: 7.6 | Sell: 89.8</t>
  </si>
  <si>
    <t>Buy: 93.6 | Sell: 16.4</t>
  </si>
  <si>
    <t>Buy: 93.8 | Sell: 15.3</t>
  </si>
  <si>
    <t>DVA</t>
  </si>
  <si>
    <t>{"symbol": "APA", "strategy": "Daily", "action": "SHORT", "alert_price": 33.44, "score": "", "dir_prob": "4.4", "net_sigma": "", "grade": "", "align": "", "premium": "", "wrong_if": "", "context": "", "subject": "Alert: Rev - Screener v1 (SPY, 12): Any alert() function call", "body": "{\"ticker\":\"APA\", \"setup\":\"A+ Trend Short\", \"side\":\"SHORT\", \"price\":33.44, \"stage\":4, \"buy\":7.6, \"sell\":89.8, \"prime\":-2, \"revL\":0, \"revS\":0, \"vcp\":0, \"dir_prob\":4.4, \"time\":1783690200000}", "ticker": "APA", "setup": "A+ Trend Short", "side": "SHORT", "price": 33.44, "stage": 4, "buy": 7.6, "sell": 89.8, "prime": -2, "revL": 0, "revS": 0, "vcp": 0, "time": 1783690200000, "email_id": "b'402'", "timestamp": "2026-07-10 16:01:08"}</t>
  </si>
  <si>
    <t>TREND_LONG is firing: buy score 98.72 (&gt;=65), dir_prob 95.23, stage 2 uptrend, regime 0 healthy, with no ignition or Zone-0 reversion needed. News is NEUTRAL via the catalyst 'Analyst Rating' (RBC raised PT to $77, Citi lowered to $72) — neither confirms nor contradicts the long bias. Triage is PASS: no WATCH cap applies (regime not climax/distribution, stage not 4, zone_state in_zone with rr_from_current 2.0). Soft flags added: 'earnings' (earnings_gate CAUTION, earnings_days -1) and 'aggressive_target' (long_target 66.93 is ~8.5% above price vs exp_move_pct 7.21%).</t>
  </si>
  <si>
    <t>Buy: 83.8 | Sell: 34.3</t>
  </si>
  <si>
    <t>{"symbol": "DLTR", "strategy": "Daily", "action": "LONG", "alert_price": 126.36, "score": "", "dir_prob": "94.8", "net_sigma": "", "grade": "", "align": "", "premium": "", "wrong_if": "", "context": "", "subject": "Alert: Rev - Screener v1 (SPY, 12): Any alert() function call", "body": "{\"ticker\":\"DLTR\", \"setup\":\"A+ Trend Long\", \"side\":\"LONG\", \"price\":126.36, \"stage\":2, \"buy\":93.6, \"sell\":16.4, \"prime\":2, \"revL\":0, \"revS\":0, \"vcp\":0, \"dir_prob\":94.8, \"time\":1783949400000}", "ticker": "DLTR", "setup": "A+ Trend Long", "side": "LONG", "price": 126.36, "stage": 2, "buy": 93.6, "sell": 16.4, "prime": 2, "revL": 0, "revS": 0, "vcp": 0, "time": 1783949400000, "email_id": "b'622'", "timestamp": "2026-07-13 16:01:10"}</t>
  </si>
  <si>
    <t>EXPE</t>
  </si>
  <si>
    <t>TECH</t>
  </si>
  <si>
    <t>Buy: 83.8 | Sell: 25.1</t>
  </si>
  <si>
    <t>BRK.B</t>
  </si>
  <si>
    <t>{"symbol": "DDOG", "strategy": "Daily", "action": "LONG", "alert_price": 257.48, "score": "", "dir_prob": "87.4", "net_sigma": "", "grade": "", "align": "", "premium": "", "wrong_if": "", "context": "", "subject": "Alert: Rev - Screener v1 (SPY, 12): Any alert() function call", "body": "{\"ticker\":\"DDOG\", \"setup\":\"Early Action Long\", \"side\":\"LONG\", \"price\":257.48, \"stage\":2, \"buy\":83.8, \"sell\":34.3, \"prime\":1, \"revL\":0, \"revS\":0, \"vcp\":0, \"dir_prob\":87.4, \"time\":1783690200000}", "ticker": "DDOG", "setup": "Early Action Long", "side": "LONG", "price": 257.48, "stage": 2, "buy": 83.8, "sell": 34.3, "prime": 1, "revL": 0, "revS": 0, "vcp": 0, "time": 1783690200000, "email_id": "b'512'", "timestamp": "2026-07-10 16:01:31"}</t>
  </si>
  <si>
    <t>PASS (9/10)</t>
  </si>
  <si>
    <t>TREND_LONG is firing on buy score 97.93 (&gt;=65), dir_prob 97.67, stage 2 and regime 0, with price inside the long zone (233.01-235.80) and R:R from current ~2.0. News CONFIRMS the long bias via the TD Cowen headline maintaining Buy and raising the target to $275. Triage is PASS as no veto applies (no contradiction, earnings only CAUTION, zone in_zone with acceptable R:R). Soft flags are earnings (earnings_days -1, gate CAUTION) and aggressive_target (long_target 254.46 is +7.9% vs exp_move_pct 5.43%); exhaustion, churn, chased and stage_lag do not apply per the given values.</t>
  </si>
  <si>
    <t>{"symbol": "AMAT", "strategy": "Daily", "action": "LONG", "alert_price": 588.92, "score": "", "dir_prob": "84.5", "net_sigma": "", "grade": "", "align": "", "premium": "", "wrong_if": "", "context": "", "subject": "Alert: Rev - Screener v1 (SPY, 12): Any alert() function call", "body": "{\"ticker\":\"AMAT\", \"setup\":\"A+ Trend Long\", \"side\":\"LONG\", \"price\":588.92, \"stage\":2, \"buy\":93.8, \"sell\":15.3, \"prime\":2, \"revL\":0, \"revS\":0, \"vcp\":0, \"dir_prob\":84.5, \"time\":1783603800000}", "ticker": "AMAT", "setup": "A+ Trend Long", "side": "LONG", "price": 588.92, "stage": 2, "buy": 93.8, "sell": 15.3, "prime": 2, "revL": 0, "revS": 0, "vcp": 0, "time": 1783603800000, "email_id": "b'204'", "timestamp": "2026-07-09 16:01:19"}</t>
  </si>
  <si>
    <t>Buy: 97.1 | Sell: 6.1</t>
  </si>
  <si>
    <t>CINF</t>
  </si>
  <si>
    <t>{"symbol": "TECH", "strategy": "Daily", "action": "LONG", "alert_price": 71.39, "score": "", "dir_prob": "91.3", "net_sigma": "", "grade": "", "align": "", "premium": "", "wrong_if": "", "context": "", "subject": "Alert: Rev - Screener v1 (SPY, 12): Any alert() function call", "body": "{\"ticker\":\"TECH\", \"setup\":\"Early Action Long\", \"side\":\"LONG\", \"price\":71.39, \"stage\":2, \"buy\":83.8, \"sell\":25.1, \"prime\":1, \"revL\":0, \"revS\":0, \"vcp\":0, \"dir_prob\":91.3, \"time\":1783949400000}", "ticker": "TECH", "setup": "Early Action Long", "side": "LONG", "price": 71.39, "stage": 2, "buy": 83.8, "sell": 25.1, "prime": 1, "revL": 0, "revS": 0, "vcp": 0, "time": 1783949400000, "email_id": "b'625'", "timestamp": "2026-07-13 16:01:12"}</t>
  </si>
  <si>
    <t>MTB</t>
  </si>
  <si>
    <t>Buy: 95.3 | Sell: 5.7</t>
  </si>
  <si>
    <t>{"symbol": "HBAN", "strategy": "Daily", "action": "LONG", "alert_price": 17.87, "score": "", "dir_prob": "95.1", "net_sigma": "", "grade": "", "align": "", "premium": "", "wrong_if": "", "context": "", "subject": "Alert: Rev - Screener v1 (SPY, 12): Any alert() function call", "body": "{\"ticker\":\"HBAN\", \"setup\":\"A+ Trend Long\", \"side\":\"LONG\", \"price\":17.87, \"stage\":2, \"buy\":97.1, \"sell\":6.1, \"prime\":2, \"revL\":0, \"revS\":0, \"vcp\":0, \"dir_prob\":95.1, \"time\":1783690200000}", "ticker": "HBAN", "setup": "A+ Trend Long", "side": "LONG", "price": 17.87, "stage": 2, "buy": 97.1, "sell": 6.1, "prime": 2, "revL": 0, "revS": 0, "vcp": 0, "time": 1783690200000, "email_id": "b'516'", "timestamp": "2026-07-10 16:01:36"}</t>
  </si>
  <si>
    <t>TREND_LONG fires on dominant_side=long with buy=92.7 (&gt;=65) and dir_prob=94.72, supported by stage=2 (uptrend) and regime=0 (healthy). News read is NEUTRAL with catalyst 'none' (headlines empty), so no confirmation or contradiction. Triage is PASS: no veto applies (no news contradiction, earnings_gate=CAUTION not FAIL, zone_state=in_zone with rr_from_current=2.05 &gt;=1.0), and the only soft flag is 'earnings' from earnings_days=-1/CAUTION; ext_pct=11.4 and exhaustion=0.07 show no exhaustion or extension.</t>
  </si>
  <si>
    <t>FISV</t>
  </si>
  <si>
    <t>CRWD</t>
  </si>
  <si>
    <t>Buy: 88.4 | Sell: 17.5</t>
  </si>
  <si>
    <t>DELL</t>
  </si>
  <si>
    <t>Buy: 26.6 | Sell: 85.6</t>
  </si>
  <si>
    <t>{"symbol": "MTB", "strategy": "Daily", "action": "LONG", "alert_price": 242.58, "score": "", "dir_prob": "94.2", "net_sigma": "", "grade": "", "align": "", "premium": "", "wrong_if": "", "context": "", "subject": "Alert: Rev - Screener v1 (SPY, 12): Any alert() function call", "body": "{\"ticker\":\"MTB\", \"setup\":\"A+ Trend Long\", \"side\":\"LONG\", \"price\":242.58, \"stage\":2, \"buy\":95.3, \"sell\":5.7, \"prime\":2, \"revL\":0, \"revS\":0, \"vcp\":0, \"dir_prob\":94.2, \"time\":1783949400000}", "ticker": "MTB", "setup": "A+ Trend Long", "side": "LONG", "price": 242.58, "stage": 2, "buy": 95.3, "sell": 5.7, "prime": 2, "revL": 0, "revS": 0, "vcp": 0, "time": 1783949400000, "email_id": "b'624'", "timestamp": "2026-07-13 16:01:10"}</t>
  </si>
  <si>
    <t>{"symbol": "CRWD", "strategy": "Daily", "action": "LONG", "alert_price": 187.18, "score": "", "dir_prob": "93.4", "net_sigma": "", "grade": "", "align": "", "premium": "", "wrong_if": "", "context": "", "subject": "Alert: Rev - Screener v1 (SPY, 12): Any alert() function call", "body": "{\"ticker\":\"CRWD\", \"setup\":\"A+ Trend Long\", \"side\":\"LONG\", \"price\":187.18, \"stage\":2, \"buy\":88.4, \"sell\":17.5, \"prime\":2, \"revL\":0, \"revS\":0, \"vcp\":0, \"dir_prob\":93.4, \"time\":1783690200000}", "ticker": "CRWD", "setup": "A+ Trend Long", "side": "LONG", "price": 187.18, "stage": 2, "buy": 88.4, "sell": 17.5, "prime": 2, "revL": 0, "revS": 0, "vcp": 0, "time": 1783690200000, "email_id": "b'509'", "timestamp": "2026-07-10 16:01:41"}</t>
  </si>
  <si>
    <t>DAL</t>
  </si>
  <si>
    <t>TREND_LONG fires on dominant_side=long with buy=91.92 (&gt;=65), dir_prob=96.12, stage=2 and regime=0 (healthy), while rev_zone_l=3.5 and ignition_long=0 rule out reversion/breakout modes. News read is NEUTRAL with catalyst='none' from empty headlines, so no contradiction or confirmation applies. Triage is PASS as regime is not climax/distribution and stage is not 4; soft flags added are 'earnings' (earnings_gate=CAUTION, earnings_days=-1) and 'aggressive_target' (long_target 79.34 is +6.06% vs exp_move_pct 5.81%), with zone_state=in_zone and rr_from_current=2.0 keeping entry quality intact.</t>
  </si>
  <si>
    <t>Buy: 96.5 | Sell: 5.7</t>
  </si>
  <si>
    <t>AMZN</t>
  </si>
  <si>
    <t>Buy: 13.8 | Sell: 92.8</t>
  </si>
  <si>
    <t>SYY</t>
  </si>
  <si>
    <t>{"symbol": "PNC", "strategy": "Daily", "action": "LONG", "alert_price": 252.84, "score": "", "dir_prob": "93.9", "net_sigma": "", "grade": "", "align": "", "premium": "", "wrong_if": "", "context": "", "subject": "Alert: Rev - Screener v1 (SPY, 12): Any alert() function call", "body": "{\"ticker\":\"PNC\", \"setup\":\"A+ Trend Long\", \"side\":\"LONG\", \"price\":252.84, \"stage\":2, \"buy\":96.5, \"sell\":5.7, \"prime\":2, \"revL\":0, \"revS\":0, \"vcp\":0, \"dir_prob\":93.9, \"time\":1783949400000}", "ticker": "PNC", "setup": "A+ Trend Long", "side": "LONG", "price": 252.84, "stage": 2, "buy": 96.5, "sell": 5.7, "prime": 2, "revL": 0, "revS": 0, "vcp": 0, "time": 1783949400000, "email_id": "b'623'", "timestamp": "2026-07-13 16:01:04"}</t>
  </si>
  <si>
    <t>TMO</t>
  </si>
  <si>
    <t>{"symbol": "AMZN", "strategy": "Daily", "action": "SHORT", "alert_price": 245.36, "score": "", "dir_prob": "11.1", "net_sigma": "", "grade": "", "align": "", "premium": "", "wrong_if": "", "context": "", "subject": "Alert: Rev - Screener v1 (SPY, 12): Any alert() function call", "body": "{\"ticker\":\"AMZN\", \"setup\":\"A+ Trend Short\", \"side\":\"SHORT\", \"price\":245.36, \"stage\":4, \"buy\":13.8, \"sell\":92.8, \"prime\":-2, \"revL\":0, \"revS\":0, \"vcp\":1, \"dir_prob\":11.1, \"time\":1783690200000}", "ticker": "AMZN", "setup": "A+ Trend Short", "side": "SHORT", "price": 245.36, "stage": 4, "buy": 13.8, "sell": 92.8, "prime": -2, "revL": 0, "revS": 0, "vcp": 1, "time": 1783690200000, "email_id": "b'403'", "timestamp": "2026-07-10 16:01:09"}</t>
  </si>
  <si>
    <t>TREND_LONG fires on buy=98.88 (&gt;=65) with dir_prob=89.76 and stage=2 healthy regime=0, confirming a strong dominant long side. News is NEUTRAL with catalyst 'Earnings' (Q2 print preview) offering no confirmation or contradiction. Triage is PASS: zone_state=in_zone with rr_from_current=2.0 meets R:R, ext_pct=17.88 and exhaustion=0.0894 show no exhaustion, and only soft flag is 'earnings' from earnings_days=-1/CAUTION gate which does not cap the pass.</t>
  </si>
  <si>
    <t>Buy: 93.5 | Sell: 10</t>
  </si>
  <si>
    <t>{"symbol": "FISV", "strategy": "Daily", "action": "SHORT", "alert_price": 51.64, "score": "", "dir_prob": "16.1", "net_sigma": "", "grade": "", "align": "", "premium": "", "wrong_if": "", "context": "", "subject": "Alert: Rev - Screener v1 (SPY, 12): Any alert() function call", "body": "{\"ticker\":\"FISV\", \"setup\":\"A+ Trend Short\", \"side\":\"SHORT\", \"price\":51.64, \"stage\":4, \"buy\":26.6, \"sell\":85.6, \"prime\":-2, \"revL\":0, \"revS\":0, \"vcp\":0, \"dir_prob\":16.1, \"time\":1783603800000}", "ticker": "FISV", "setup": "A+ Trend Short", "side": "SHORT", "price": 51.64, "stage": 4, "buy": 26.6, "sell": 85.6, "prime": -2, "revL": 0, "revS": 0, "vcp": 0, "time": 1783603800000, "email_id": "b'164'", "timestamp": "2026-07-09 16:01:03"}</t>
  </si>
  <si>
    <t>XOM</t>
  </si>
  <si>
    <t>Buy: 6.7 | Sell: 91.7</t>
  </si>
  <si>
    <t>BIIB</t>
  </si>
  <si>
    <t>RVTY</t>
  </si>
  <si>
    <t>Buy: 90.7 | Sell: 3.4</t>
  </si>
  <si>
    <t>{"symbol": "WST", "strategy": "Daily", "action": "LONG", "alert_price": 359.74, "score": "", "dir_prob": "92", "net_sigma": "", "grade": "", "align": "", "premium": "", "wrong_if": "", "context": "", "subject": "Alert: Rev - Screener v1 (SPY, 12): Any alert() function call", "body": "{\"ticker\":\"WST\", \"setup\":\"A+ Trend Long\", \"side\":\"LONG\", \"price\":359.74, \"stage\":2, \"buy\":93.5, \"sell\":10, \"prime\":2, \"revL\":0, \"revS\":0, \"vcp\":0, \"dir_prob\":92, \"time\":1783949400000}", "ticker": "WST", "setup": "A+ Trend Long", "side": "LONG", "price": 359.74, "stage": 2, "buy": 93.5, "sell": 10, "prime": 2, "revL": 0, "revS": 0, "vcp": 0, "time": 1783949400000, "email_id": "b'626'", "timestamp": "2026-07-13 16:01:14"}</t>
  </si>
  <si>
    <t>ANET</t>
  </si>
  <si>
    <t>Buy: 88.9 | Sell: 20</t>
  </si>
  <si>
    <t>{"symbol": "XOM", "strategy": "Daily", "action": "SHORT", "alert_price": 138.82, "score": "", "dir_prob": "4.5", "net_sigma": "", "grade": "", "align": "", "premium": "", "wrong_if": "", "context": "", "subject": "Alert: Rev - Screener v1 (SPY, 12): Any alert() function call", "body": "{\"ticker\":\"XOM\", \"setup\":\"A+ Trend Short\", \"side\":\"SHORT\", \"price\":138.82, \"stage\":4, \"buy\":6.7, \"sell\":91.7, \"prime\":-2, \"revL\":0, \"revS\":0, \"vcp\":0, \"dir_prob\":4.5, \"time\":1783690200000}", "ticker": "XOM", "setup": "A+ Trend Short", "side": "SHORT", "price": 138.82, "stage": 4, "buy": 6.7, "sell": 91.7, "prime": -2, "revL": 0, "revS": 0, "vcp": 0, "time": 1783690200000, "email_id": "b'433'", "timestamp": "2026-07-10 16:01:30"}</t>
  </si>
  <si>
    <t>MET</t>
  </si>
  <si>
    <t>TREND_LONG fires on dominant_side=long with buy=97.03 (&gt;=65), dir_prob=94.24, stage=2, regime=0 (healthy), and ignition/rev zones inactive (ignition_long=0, rev_zone_l=2.0). News read is NEUTRAL with catalyst 'none' from empty headlines, so no confirmation or contradiction. Triage is PASS: no WATCH cap applies (regime not climax/distribution, stage not 4, zone_state=in_zone with rr_from_current=2.63 &gt;=1.0, no news contradiction, earnings only CAUTION). Soft flags added: 'earnings' (earnings_days=-1/CAUTION) and 'aggressive_target' (long_target 104.5 is +13.3% vs exp_move_pct 7.05); ext_pct=11 and exhaustion=0.055 preclude exhaustion/chased flags.</t>
  </si>
  <si>
    <t>AXON</t>
  </si>
  <si>
    <t>Buy: 73.4 | Sell: 5.7</t>
  </si>
  <si>
    <t>AXP</t>
  </si>
  <si>
    <t>ABNB</t>
  </si>
  <si>
    <t>{"symbol": "ANET", "strategy": "Daily", "action": "LONG", "alert_price": 181.12, "score": "", "dir_prob": "89.5", "net_sigma": "", "grade": "", "align": "", "premium": "", "wrong_if": "", "context": "", "subject": "Alert: Rev - Screener v1 (SPY, 12): Any alert() function call", "body": "{\"ticker\":\"ANET\", \"setup\":\"A+ Trend Long\", \"side\":\"LONG\", \"price\":181.12, \"stage\":2, \"buy\":88.9, \"sell\":20, \"prime\":2, \"revL\":0, \"revS\":0, \"vcp\":0, \"dir_prob\":89.5, \"time\":1783949400000}", "ticker": "ANET", "setup": "A+ Trend Long", "side": "LONG", "price": 181.12, "stage": 2, "buy": 88.9, "sell": 20, "prime": 2, "revL": 0, "revS": 0, "vcp": 0, "time": 1783949400000, "email_id": "b'627'", "timestamp": "2026-07-13 16:01:14"}</t>
  </si>
  <si>
    <t>{"symbol": "AXON", "strategy": "Daily", "action": "LONG", "alert_price": 565.6, "score": "", "dir_prob": "97.3", "net_sigma": "", "grade": "", "align": "", "premium": "", "wrong_if": "", "context": "", "subject": "Alert: Rev - Screener v1 (SPY, 12): Any alert() function call", "body": "{\"ticker\":\"AXON\", \"setup\":\"Early Action Long\", \"side\":\"LONG\", \"price\":565.60, \"stage\":2, \"buy\":73.4, \"sell\":5.7, \"prime\":1, \"revL\":0, \"revS\":0, \"vcp\":0, \"dir_prob\":97.3, \"time\":1783690200000}", "ticker": "AXON", "setup": "Early Action Long", "side": "LONG", "price": 565.6, "stage": 2, "buy": 73.4, "sell": 5.7, "prime": 1, "revL": 0, "revS": 0, "vcp": 0, "time": 1783690200000, "email_id": "b'434'", "timestamp": "2026-07-10 16:01:30"}</t>
  </si>
  <si>
    <t>TREND_LONG is firing: buy score 97.52 (&gt;=65), dir_prob 91.45, stage 2 uptrend, regime 0 healthy, with price inside long_zone [193.64,195.93] and rr_from_current 2.0. News CONFIRMS the long bias via recent UK MoD training contract headlines (bullish catalyst), though the provided earnings_catalyst field notes pending earnings. Triage is PASS as no veto applies; the only soft flag is 'earnings' (earnings_gate CAUTION, days unknown) which annotates but does not cap the verdict, and no exhaustion/churn/chased flags are triggered given ext_pct 9.23 and opposite_score 22.35.</t>
  </si>
  <si>
    <t>Buy: 3.2 | Sell: 92.5</t>
  </si>
  <si>
    <t>{"symbol": "VMC", "strategy": "Daily", "action": "LONG", "alert_price": 288.68, "score": "", "dir_prob": "92.8", "net_sigma": "", "grade": "", "align": "", "premium": "", "wrong_if": "", "context": "", "subject": "Alert: Rev - Screener v1 (SPY, 12): Any alert() function call", "body": "{\"ticker\":\"VMC\", \"setup\":\"A+ Trend Long\", \"side\":\"LONG\", \"price\":288.68, \"stage\":2, \"buy\":90.7, \"sell\":3.4, \"prime\":2, \"revL\":0, \"revS\":0, \"vcp\":0, \"dir_prob\":92.8, \"time\":1783603800000}", "ticker": "VMC", "setup": "A+ Trend Long", "side": "LONG", "price": 288.68, "stage": 2, "buy": 90.7, "sell": 3.4, "prime": 2, "revL": 0, "revS": 0, "vcp": 0, "time": 1783603800000, "email_id": "b'209'", "timestamp": "2026-07-09 16:01:17"}</t>
  </si>
  <si>
    <t>FAST</t>
  </si>
  <si>
    <t>LYB</t>
  </si>
  <si>
    <t>Buy: 6.7 | Sell: 92.7</t>
  </si>
  <si>
    <t>UAL</t>
  </si>
  <si>
    <t>KMB</t>
  </si>
  <si>
    <t>{"symbol": "CCI", "strategy": "Daily", "action": "SHORT", "alert_price": 79.83, "score": "", "dir_prob": "7.9", "net_sigma": "", "grade": "", "align": "", "premium": "", "wrong_if": "", "context": "", "subject": "Alert: Rev - Screener v1 (SPY, 12): Any alert() function call", "body": "{\"ticker\":\"CCI\", \"setup\":\"A+ Trend Short\", \"side\":\"SHORT\", \"price\":79.83, \"stage\":4, \"buy\":3.2, \"sell\":92.5, \"prime\":-2, \"revL\":0, \"revS\":0, \"vcp\":0, \"dir_prob\":7.9, \"time\":1783949400000}", "ticker": "CCI", "setup": "A+ Trend Short", "side": "SHORT", "price": 79.83, "stage": 4, "buy": 3.2, "sell": 92.5, "prime": -2, "revL": 0, "revS": 0, "vcp": 0, "time": 1783949400000, "email_id": "b'628'", "timestamp": "2026-07-13 16:01:15"}</t>
  </si>
  <si>
    <t>FANG</t>
  </si>
  <si>
    <t>Buy: 8.5 | Sell: 90.9</t>
  </si>
  <si>
    <t>Buy: 94.5 | Sell: 5.2</t>
  </si>
  <si>
    <t>{"symbol": "LYB", "strategy": "Daily", "action": "SHORT", "alert_price": 56.35, "score": "", "dir_prob": "8.3", "net_sigma": "", "grade": "", "align": "", "premium": "", "wrong_if": "", "context": "", "subject": "Alert: Rev - Screener v1 (SPY, 12): Any alert() function call", "body": "{\"ticker\":\"LYB\", \"setup\":\"A+ Trend Short\", \"side\":\"SHORT\", \"price\":56.35, \"stage\":4, \"buy\":6.7, \"sell\":92.7, \"prime\":-2, \"revL\":0, \"revS\":0, \"vcp\":0, \"dir_prob\":8.3, \"time\":1783690200000}", "ticker": "LYB", "setup": "A+ Trend Short", "side": "SHORT", "price": 56.35, "stage": 4, "buy": 6.7, "sell": 92.7, "prime": -2, "revL": 0, "revS": 0, "vcp": 0, "time": 1783690200000, "email_id": "b'438'", "timestamp": "2026-07-10 16:01:37"}</t>
  </si>
  <si>
    <t>TREND_LONG fires on dominant_side=long with buy=98.52 (&gt;=65) and dir_prob=93.79, supported by stage=2 and regime=0 (healthy uptrend); ext_pct=14.8 and exhaustion=0.074 show no extension or climax risk. News read is NEUTRAL with catalyst 'none' from empty headlines, so no confirmation or contradiction. Triage is PASS: no veto applies (earnings_gate=CAUTION not FAIL, zone_state=in_zone with rr_from_current=2.0 meets R:R), and the only soft flag is 'earnings' from earnings_days=-1/CAUTION; no exhaustion, churn, chased, or stage_lag flags present.</t>
  </si>
  <si>
    <t>Buy: 97.4 | Sell: 15.2</t>
  </si>
  <si>
    <t>{"symbol": "FANG", "strategy": "Daily", "action": "SHORT", "alert_price": 191.66, "score": "", "dir_prob": "4.1", "net_sigma": "", "grade": "", "align": "", "premium": "", "wrong_if": "", "context": "", "subject": "Alert: Rev - Screener v1 (SPY, 12): Any alert() function call", "body": "{\"ticker\":\"FANG\", \"setup\":\"A+ Trend Short\", \"side\":\"SHORT\", \"price\":191.66, \"stage\":4, \"buy\":8.5, \"sell\":90.9, \"prime\":-2, \"revL\":0, \"revS\":0, \"vcp\":0, \"dir_prob\":4.1, \"time\":1783949400000}", "ticker": "FANG", "setup": "A+ Trend Short", "side": "SHORT", "price": 191.66, "stage": 4, "buy": 8.5, "sell": 90.9, "prime": -2, "revL": 0, "revS": 0, "vcp": 0, "time": 1783949400000, "email_id": "b'629'", "timestamp": "2026-07-13 16:01:16"}</t>
  </si>
  <si>
    <t>VRSN</t>
  </si>
  <si>
    <t>Buy: 7.9 | Sell: 91.1</t>
  </si>
  <si>
    <t>{"symbol": "KMB", "strategy": "Daily", "action": "LONG", "alert_price": 109.94, "score": "", "dir_prob": "99.1", "net_sigma": "", "grade": "", "align": "", "premium": "", "wrong_if": "", "context": "", "subject": "Alert: Rev - Screener v1 (SPY, 12): Any alert() function call", "body": "{\"ticker\":\"KMB\", \"setup\":\"A+ Trend Long\", \"side\":\"LONG\", \"price\":109.94, \"stage\":2, \"buy\":94.5, \"sell\":5.2, \"prime\":2, \"revL\":0, \"revS\":0, \"vcp\":0, \"dir_prob\":99.1, \"time\":1783603800000}", "ticker": "KMB", "setup": "A+ Trend Long", "side": "LONG", "price": 109.94, "stage": 2, "buy": 94.5, "sell": 5.2, "prime": 2, "revL": 0, "revS": 0, "vcp": 0, "time": 1783603800000, "email_id": "b'302'", "timestamp": "2026-07-09 16:01:14"}</t>
  </si>
  <si>
    <t>{"symbol": "TDG", "strategy": "Daily", "action": "LONG", "alert_price": 1291.28, "score": "", "dir_prob": "94", "net_sigma": "", "grade": "", "align": "", "premium": "", "wrong_if": "", "context": "", "subject": "Alert: Rev - Screener v1 (SPY, 12): Any alert() function call", "body": "{\"ticker\":\"TDG\", \"setup\":\"A+ Trend Long\", \"side\":\"LONG\", \"price\":1291.28, \"stage\":2, \"buy\":97.4, \"sell\":15.2, \"prime\":2, \"revL\":0, \"revS\":0, \"vcp\":1, \"dir_prob\":94, \"time\":1783690200000}", "ticker": "TDG", "setup": "A+ Trend Long", "side": "LONG", "price": 1291.28, "stage": 2, "buy": 97.4, "sell": 15.2, "prime": 2, "revL": 0, "revS": 0, "vcp": 1, "time": 1783690200000, "email_id": "b'524'", "timestamp": "2026-07-10 16:01:32"}</t>
  </si>
  <si>
    <t>TREND_SHORT is firing: dominant_side is short with sell score 85.79 (&gt;=65), dir_prob 16.17 confirms bearish bias, and stage 4 / regime 4 denote a downtrend. News CONFIRMS the short thesis via a bearish analyst action — Morgan Stanley maintained Equal-Weight but lowered the price target to $173. Triage is PASS as no veto cap applies; the only annotation is an 'earnings' soft flag from earnings_gate CAUTION (earnings_days unknown at -1). No churn, oversold, chased, or stage_lag flags are present given ext_pct 0.0 and opposite_score 51.73.</t>
  </si>
  <si>
    <t>{"symbol": "VRSN", "strategy": "Daily", "action": "SHORT", "alert_price": 270.3, "score": "", "dir_prob": "8.8", "net_sigma": "", "grade": "", "align": "", "premium": "", "wrong_if": "", "context": "", "subject": "Alert: Rev - Screener v1 (SPY, 12): Any alert() function call", "body": "{\"ticker\":\"VRSN\", \"setup\":\"A+ Trend Short\", \"side\":\"SHORT\", \"price\":270.30, \"stage\":4, \"buy\":7.9, \"sell\":91.1, \"prime\":-2, \"revL\":0, \"revS\":0, \"vcp\":0, \"dir_prob\":8.8, \"time\":1783949400000}", "ticker": "VRSN", "setup": "A+ Trend Short", "side": "SHORT", "price": 270.3, "stage": 4, "buy": 7.9, "sell": 91.1, "prime": -2, "revL": 0, "revS": 0, "vcp": 0, "time": 1783949400000, "email_id": "b'630'", "timestamp": "2026-07-13 16:01:14"}</t>
  </si>
  <si>
    <t>Buy: 91.8 | Sell: 16.5</t>
  </si>
  <si>
    <t>GD</t>
  </si>
  <si>
    <t>Buy: 88.1 | Sell: 7.1</t>
  </si>
  <si>
    <t>Buy: 96.2 | Sell: 14.3</t>
  </si>
  <si>
    <t>LLM Trade Decision</t>
  </si>
  <si>
    <t>{"symbol": "GD", "strategy": "Daily", "action": "LONG", "alert_price": 372.85, "score": "", "dir_prob": "95.1", "net_sigma": "", "grade": "", "align": "", "premium": "", "wrong_if": "", "context": "", "subject": "Alert: Rev - Screener v1 (SPY, 12): Any alert() function call", "body": "{\"ticker\":\"GD\", \"setup\":\"A+ Trend Long\", \"side\":\"LONG\", \"price\":372.85, \"stage\":2, \"buy\":88.1, \"sell\":7.1, \"prime\":2, \"revL\":0, \"revS\":0, \"vcp\":0, \"dir_prob\":95.1, \"time\":1783949400000}", "ticker": "GD", "setup": "A+ Trend Long", "side": "LONG", "price": 372.85, "stage": 2, "buy": 88.1, "sell": 7.1, "prime": 2, "revL": 0, "revS": 0, "vcp": 0, "time": 1783949400000, "email_id": "b'631'", "timestamp": "2026-07-13 16:01:20"}</t>
  </si>
  <si>
    <t>{"symbol": "D", "strategy": "Daily", "action": "LONG", "alert_price": 70.08, "score": "", "dir_prob": "91.9", "net_sigma": "", "grade": "", "align": "", "premium": "", "wrong_if": "", "context": "", "subject": "Alert: Rev - Screener v1 (SPY, 12): Any alert() function call", "body": "{\"ticker\":\"D\", \"setup\":\"A+ Trend Long\", \"side\":\"LONG\", \"price\":70.08, \"stage\":2, \"buy\":91.8, \"sell\":16.5, \"prime\":2, \"revL\":0, \"revS\":0, \"vcp\":1, \"dir_prob\":91.9, \"time\":1783690200000}", "ticker": "D", "setup": "A+ Trend Long", "side": "LONG", "price": 70.08, "stage": 2, "buy": 91.8, "sell": 16.5, "prime": 2, "revL": 0, "revS": 0, "vcp": 1, "time": 1783690200000, "email_id": "b'541'", "timestamp": "2026-07-10 16:01:25"}</t>
  </si>
  <si>
    <t>TREND_SHORT is firing: dominant_side is short with sell score 85.78 (&gt;=65) and dir_prob 5.61 indicating strong bearish edge, while stage 4 and regime 4 confirm a downtrend. News reads CONFIRMS via the catalyst 'Analyst Rating' (BofA lowered target to $26, bearish tilt supporting short). Triage is PASS as no veto cap applies (rev_zone_l=0, stage!=2, regime not climax/distribution); the only soft flag is 'earnings' from earnings_gate CAUTION and unknown earnings_days, which does not block the pass.</t>
  </si>
  <si>
    <t>Buy: 96.4 | Sell: 10.9</t>
  </si>
  <si>
    <t>Buy: 4.1 | Sell: 90.5</t>
  </si>
  <si>
    <t>EXE</t>
  </si>
  <si>
    <t>Buy: 39.8 | Sell: 87.8</t>
  </si>
  <si>
    <t>{"symbol": "GL", "strategy": "Daily", "action": "LONG", "alert_price": 178.61, "score": "", "dir_prob": "88.7", "net_sigma": "", "grade": "", "align": "", "premium": "", "wrong_if": "", "context": "", "subject": "Alert: Rev - Screener v1 (SPY, 12): Any alert() function call", "body": "{\"ticker\":\"GL\", \"setup\":\"A+ Trend Long\", \"side\":\"LONG\", \"price\":178.61, \"stage\":2, \"buy\":96.4, \"sell\":10.9, \"prime\":2, \"revL\":0, \"revS\":0, \"vcp\":0, \"dir_prob\":88.7, \"time\":1783949400000}", "ticker": "GL", "setup": "A+ Trend Long", "side": "LONG", "price": 178.61, "stage": 2, "buy": 96.4, "sell": 10.9, "prime": 2, "revL": 0, "revS": 0, "vcp": 0, "time": 1783949400000, "email_id": "b'632'", "timestamp": "2026-07-13 16:01:16"}</t>
  </si>
  <si>
    <t>UPS</t>
  </si>
  <si>
    <t>{"symbol": "CINF", "strategy": "Daily", "action": "LONG", "alert_price": 175.4, "score": "", "dir_prob": "94.3", "net_sigma": "", "grade": "", "align": "", "premium": "", "wrong_if": "", "context": "", "subject": "Alert: Rev - Screener v1 (SPY, 12): Any alert() function call", "body": "{\"ticker\":\"CINF\", \"setup\":\"A+ Trend Long\", \"side\":\"LONG\", \"price\":175.40, \"stage\":2, \"buy\":96.2, \"sell\":14.3, \"prime\":2, \"revL\":0, \"revS\":0, \"vcp\":0, \"dir_prob\":94.3, \"time\":1783603800000}", "ticker": "CINF", "setup": "A+ Trend Long", "side": "LONG", "price": 175.4, "stage": 2, "buy": 96.2, "sell": 14.3, "prime": 2, "revL": 0, "revS": 0, "vcp": 0, "time": 1783603800000, "email_id": "b'229'", "timestamp": "2026-07-09 16:01:33"}</t>
  </si>
  <si>
    <t>Buy: 87.6 | Sell: 24.2</t>
  </si>
  <si>
    <t>{"symbol": "EXE", "strategy": "Daily", "action": "SHORT", "alert_price": 87.3, "score": "", "dir_prob": "32.9", "net_sigma": "", "grade": "", "align": "", "premium": "", "wrong_if": "", "context": "", "subject": "Alert: Rev - Screener v1 (SPY, 12): Any alert() function call", "body": "{\"ticker\":\"EXE\", \"setup\":\"A+ Trend Short\", \"side\":\"SHORT\", \"price\":87.30, \"stage\":4, \"buy\":39.8, \"sell\":87.8, \"prime\":-2, \"revL\":0, \"revS\":0, \"vcp\":1, \"dir_prob\":32.9, \"time\":1783690200000}", "ticker": "EXE", "setup": "A+ Trend Short", "side": "SHORT", "price": 87.3, "stage": 4, "buy": 39.8, "sell": 87.8, "prime": -2, "revL": 0, "revS": 0, "vcp": 1, "time": 1783690200000, "email_id": "b'455'", "timestamp": "2026-07-10 16:01:02"}</t>
  </si>
  <si>
    <t>TREND_LONG is firing: buy score 89.25 (&gt;=65), dir_prob 96.2, stage 2, regime 0 Healthy, with no ignition or Zone-0 reversion. News CONFIRMS the long bias via the cited catalyst — Trump Accounts predicted to draw $100B and faster customer growth (bullish headlines). Triage is PASS: no veto applies (regime not climax/distribution, stage not 4, no contradiction, rr_from_current 1.32 &gt;=1.0 despite above_zone). Soft flags added: 'chased' because zone_state is above_zone, and 'earnings' because earnings_days is -1 with CAUTION gate; no exhaustion, churn, or stage_lag present.</t>
  </si>
  <si>
    <t>MRNA</t>
  </si>
  <si>
    <t>Buy: 97 | Sell: 4.6</t>
  </si>
  <si>
    <t>Buy: 96 | Sell: 10.3</t>
  </si>
  <si>
    <t>{"symbol": "DOW", "strategy": "Daily", "action": "SHORT", "alert_price": 30.33, "score": "", "dir_prob": "5.4", "net_sigma": "", "grade": "", "align": "", "premium": "", "wrong_if": "", "context": "", "subject": "Alert: Rev - Screener v1 (SPY, 12): Any alert() function call", "body": "{\"ticker\":\"DOW\", \"setup\":\"A+ Trend Short\", \"side\":\"SHORT\", \"price\":30.33, \"stage\":4, \"buy\":4.1, \"sell\":90.5, \"prime\":-2, \"revL\":0, \"revS\":0, \"vcp\":0, \"dir_prob\":5.4, \"time\":1784035800000}", "ticker": "DOW", "setup": "A+ Trend Short", "side": "SHORT", "price": 30.33, "stage": 4, "buy": 4.1, "sell": 90.5, "prime": -2, "revL": 0, "revS": 0, "vcp": 0, "time": 1784035800000, "email_id": "b'789'", "timestamp": "2026-07-14 16:01:01"}</t>
  </si>
  <si>
    <t>CUT</t>
  </si>
  <si>
    <t>bad_data</t>
  </si>
  <si>
    <t>Buy: 88.6 | Sell: 10.5</t>
  </si>
  <si>
    <t>{"symbol": "UPS", "strategy": "Daily", "action": "LONG", "alert_price": 112.86, "score": "", "dir_prob": "85.4", "net_sigma": "", "grade": "", "align": "", "premium": "", "wrong_if": "", "context": "", "subject": "Alert: Rev - Screener v1 (SPY, 12): Any alert() function call", "body": "{\"ticker\":\"UPS\", \"setup\":\"Bullish Squeeze Release\", \"side\":\"LONG\", \"price\":112.86, \"stage\":2, \"buy\":87.6, \"sell\":24.2, \"prime\":0, \"revL\":0, \"revS\":0, \"vcp\":2, \"dir_prob\":85.4, \"time\":1783949400000}", "ticker": "UPS", "setup": "Bullish Squeeze Release", "side": "LONG", "price": 112.86, "stage": 2, "buy": 87.6, "sell": 24.2, "prime": 0, "revL": 0, "revS": 0, "vcp": 2, "time": 1783949400000, "email_id": "b'633'", "timestamp": "2026-07-13 16:01:09"}</t>
  </si>
  <si>
    <t>{"symbol": "MRNA", "strategy": "Daily", "action": "LONG", "alert_price": 68.27, "score": "", "dir_prob": "96.8", "net_sigma": "", "grade": "", "align": "", "premium": "", "wrong_if": "", "context": "", "subject": "Alert: Rev - Screener v1 (SPY, 12): Any alert() function call", "body": "{\"ticker\":\"MRNA\", \"setup\":\"A+ Trend Long\", \"side\":\"LONG\", \"price\":68.27, \"stage\":2, \"buy\":97, \"sell\":4.6, \"prime\":2, \"revL\":0, \"revS\":0, \"vcp\":0, \"dir_prob\":96.8, \"time\":1783690200000}", "ticker": "MRNA", "setup": "A+ Trend Long", "side": "LONG", "price": 68.27, "stage": 2, "buy": 97, "sell": 4.6, "prime": 2, "revL": 0, "revS": 0, "vcp": 0, "time": 1783690200000, "email_id": "b'495'", "timestamp": "2026-07-10 16:01:27"}</t>
  </si>
  <si>
    <t>TREND_LONG fires on dominant_side=long with buy=87.18 (&gt;=65) in stage=2 and regime=6 (squeeze), while ignition_long=0 and rev_zone_l=0 confirm no breakout/reversion mode. News CONFIRMS the long bias via Barclays raising MGM's price target to $48 (bullish sentiment). Triage is PASS as no veto applies: earnings_gate=CAUTION (not FAIL), zone_state=above_zone but rr_from_current=1.29 (&gt;=1.0) avoids the chased-poor-R:R cap; soft flags churn (opposite_score=60.14), chased (above_zone), earnings (days=-1), and squeeze (regime=6) annotate but do not block.</t>
  </si>
  <si>
    <t>Buy: 94.4 | Sell: 5.6</t>
  </si>
  <si>
    <t>L</t>
  </si>
  <si>
    <t>Buy: 94.8 | Sell: 7.7</t>
  </si>
  <si>
    <t>{"symbol": "FTNT", "strategy": "Daily", "action": "LONG", "alert_price": 166.86, "score": "", "dir_prob": "92", "net_sigma": "", "grade": "", "align": "", "premium": "", "wrong_if": "", "context": "", "subject": "Alert: Rev - Screener v1 (SPY, 12): Any alert() function call", "body": "{\"ticker\":\"FTNT\", \"setup\":\"A+ Trend Long\", \"side\":\"LONG\", \"price\":166.86, \"stage\":2, \"buy\":88.6, \"sell\":10.5, \"prime\":2, \"revL\":0, \"revS\":0, \"vcp\":0, \"dir_prob\":92, \"time\":1784035800000}", "ticker": "FTNT", "setup": "A+ Trend Long", "side": "LONG", "price": 166.86, "stage": 2, "buy": 88.6, "sell": 10.5, "prime": 2, "revL": 0, "revS": 0, "vcp": 0, "time": 1784035800000, "email_id": "b'791'", "timestamp": "2026-07-14 16:01:01"}</t>
  </si>
  <si>
    <t>Buy: 89.8 | Sell: 29.2</t>
  </si>
  <si>
    <t>{"symbol": "SYY", "strategy": "Daily", "action": "LONG", "alert_price": 82.03, "score": "", "dir_prob": "96.2", "net_sigma": "", "grade": "", "align": "", "premium": "", "wrong_if": "", "context": "", "subject": "Alert: Rev - Screener v1 (SPY, 12): Any alert() function call", "body": "{\"ticker\":\"SYY\", \"setup\":\"A+ Trend Long\", \"side\":\"LONG\", \"price\":82.03, \"stage\":2, \"buy\":96, \"sell\":10.3, \"prime\":2, \"revL\":0, \"revS\":0, \"vcp\":0, \"dir_prob\":96.2, \"time\":1783603800000}", "ticker": "SYY", "setup": "A+ Trend Long", "side": "LONG", "price": 82.03, "stage": 2, "buy": 96, "sell": 10.3, "prime": 2, "revL": 0, "revS": 0, "vcp": 0, "time": 1783603800000, "email_id": "b'303'", "timestamp": "2026-07-09 16:01:15"}</t>
  </si>
  <si>
    <t>{"symbol": "AXON", "strategy": "Daily", "action": "LONG", "alert_price": 546.91, "score": "", "dir_prob": "98.7", "net_sigma": "", "grade": "", "align": "", "premium": "", "wrong_if": "", "context": "", "subject": "Alert: Rev - Screener v1 (SPY, 12): Any alert() function call", "body": "{\"ticker\":\"AXON\", \"setup\":\"A+ Trend Long\", \"side\":\"LONG\", \"price\":546.91, \"stage\":2, \"buy\":94.4, \"sell\":5.6, \"prime\":2, \"revL\":0, \"revS\":0, \"vcp\":0, \"dir_prob\":98.7, \"time\":1783949400000}", "ticker": "AXON", "setup": "A+ Trend Long", "side": "LONG", "price": 546.91, "stage": 2, "buy": 94.4, "sell": 5.6, "prime": 2, "revL": 0, "revS": 0, "vcp": 0, "time": 1783949400000, "email_id": "b'634'", "timestamp": "2026-07-13 16:01:13"}</t>
  </si>
  <si>
    <t>PFE</t>
  </si>
  <si>
    <t>{"symbol": "L", "strategy": "Daily", "action": "LONG", "alert_price": 114.97, "score": "", "dir_prob": "91.9", "net_sigma": "", "grade": "", "align": "", "premium": "", "wrong_if": "", "context": "", "subject": "Alert: Rev - Screener v1 (SPY, 12): Any alert() function call", "body": "{\"ticker\":\"L\", \"setup\":\"A+ Trend Long\", \"side\":\"LONG\", \"price\":114.97, \"stage\":2, \"buy\":94.8, \"sell\":7.7, \"prime\":2, \"revL\":0, \"revS\":0, \"vcp\":0, \"dir_prob\":91.9, \"time\":1783690200000}", "ticker": "L", "setup": "A+ Trend Long", "side": "LONG", "price": 114.97, "stage": 2, "buy": 94.8, "sell": 7.7, "prime": 2, "revL": 0, "revS": 0, "vcp": 0, "time": 1783690200000, "email_id": "b'548'", "timestamp": "2026-07-10 16:01:51"}</t>
  </si>
  <si>
    <t>WATCH (4/10)</t>
  </si>
  <si>
    <t>TREND_LONG fires on dominant_side=long with buy=84.25 (&gt;=65), dir_prob=87.3, stage=2, regime=0 (healthy); no ignition or rev-zone scores triggered. News read is CONTRADICTS: the sole headline is Scotiabank maintaining Sector Underperform (bearish analyst rating) despite a PT raise to $137, opposing the long bias. Triage is capped at WATCH by the news contradiction veto; soft flags apply because zone_state=above_zone (chased, rr_from_current=1.21) and earnings_gate=CAUTION with earnings_days=-1 (earnings). No exhaustion, churn, or stage-lag flags are present per the provided values.</t>
  </si>
  <si>
    <t>Buy: 8.8 | Sell: 91.7</t>
  </si>
  <si>
    <t>Buy: 94.6 | Sell: 8.4</t>
  </si>
  <si>
    <t>{"symbol": "AMAT", "strategy": "Daily", "action": "LONG", "alert_price": 595.74, "score": "", "dir_prob": "75.4", "net_sigma": "", "grade": "", "align": "", "premium": "", "wrong_if": "", "context": "", "subject": "Alert: Rev - Screener v1 (SPY, 12): Any alert() function call", "body": "{\"ticker\":\"AMAT\", \"setup\":\"A+ Trend Long\", \"side\":\"LONG\", \"price\":595.74, \"stage\":2, \"buy\":89.8, \"sell\":29.2, \"prime\":2, \"revL\":0, \"revS\":0, \"vcp\":0, \"dir_prob\":75.4, \"time\":1784035800000}", "ticker": "AMAT", "setup": "A+ Trend Long", "side": "LONG", "price": 595.74, "stage": 2, "buy": 89.8, "sell": 29.2, "prime": 2, "revL": 0, "revS": 0, "vcp": 0, "time": 1784035800000, "email_id": "b'793'", "timestamp": "2026-07-14 16:01:01"}</t>
  </si>
  <si>
    <t>Buy: 95.5 | Sell: 5.4</t>
  </si>
  <si>
    <t>Buy: 11 | Sell: 87.4</t>
  </si>
  <si>
    <t>{"symbol": "PFE", "strategy": "Daily", "action": "SHORT", "alert_price": 24.48, "score": "", "dir_prob": "6.6", "net_sigma": "", "grade": "", "align": "", "premium": "", "wrong_if": "", "context": "", "subject": "Alert: Rev - Screener v1 (SPY, 12): Any alert() function call", "body": "{\"ticker\":\"PFE\", \"setup\":\"A+ Trend Short\", \"side\":\"SHORT\", \"price\":24.48, \"stage\":4, \"buy\":8.8, \"sell\":91.7, \"prime\":-2, \"revL\":0, \"revS\":0, \"vcp\":0, \"dir_prob\":6.6, \"time\":1783949400000}", "ticker": "PFE", "setup": "A+ Trend Short", "side": "SHORT", "price": 24.48, "stage": 4, "buy": 8.8, "sell": 91.7, "prime": -2, "revL": 0, "revS": 0, "vcp": 0, "time": 1783949400000, "email_id": "b'635'", "timestamp": "2026-07-13 16:01:18"}</t>
  </si>
  <si>
    <t>Buy: 91.7 | Sell: 17.3</t>
  </si>
  <si>
    <t>{"symbol": "LYV", "strategy": "Daily", "action": "LONG", "alert_price": 179.79, "score": "", "dir_prob": "91.5", "net_sigma": "", "grade": "", "align": "", "premium": "", "wrong_if": "", "context": "", "subject": "Alert: Rev - Screener v1 (SPY, 12): Any alert() function call", "body": "{\"ticker\":\"LYV\", \"setup\":\"A+ Trend Long\", \"side\":\"LONG\", \"price\":179.79, \"stage\":2, \"buy\":94.6, \"sell\":8.4, \"prime\":2, \"revL\":0, \"revS\":0, \"vcp\":0, \"dir_prob\":91.5, \"time\":1783690200000}", "ticker": "LYV", "setup": "A+ Trend Long", "side": "LONG", "price": 179.79, "stage": 2, "buy": 94.6, "sell": 8.4, "prime": 2, "revL": 0, "revS": 0, "vcp": 0, "time": 1783690200000, "email_id": "b'546'", "timestamp": "2026-07-10 16:01:23"}</t>
  </si>
  <si>
    <t>TREND_LONG is firing: buy score 90.41 (&gt;=65), dir_prob 82.61, stage 2, regime 1. News CONFIRMS the long bias via BTIG maintaining Buy and raising the price target to $186, a bullish analyst action. Triage is PASS with no veto cap (no contradiction, earnings only CAUTION, R:R 1.27 from above_zone is &gt;=1.0); soft flags apply — exhaustion (ext_pct 50.18, exhaustion 0.4464), chased (zone_state above_zone), earnings (gate CAUTION, days -1), and extended (regime 1).</t>
  </si>
  <si>
    <t>{"symbol": "MTB", "strategy": "Daily", "action": "LONG", "alert_price": 241.83, "score": "", "dir_prob": "94.3", "net_sigma": "", "grade": "", "align": "", "premium": "", "wrong_if": "", "context": "", "subject": "Alert: Rev - Screener v1 (SPY, 12): Any alert() function call", "body": "{\"ticker\":\"MTB\", \"setup\":\"A+ Trend Long\", \"side\":\"LONG\", \"price\":241.83, \"stage\":2, \"buy\":95.5, \"sell\":5.4, \"prime\":2, \"revL\":0, \"revS\":0, \"vcp\":0, \"dir_prob\":94.3, \"time\":1784035800000}", "ticker": "MTB", "setup": "A+ Trend Long", "side": "LONG", "price": 241.83, "stage": 2, "buy": 95.5, "sell": 5.4, "prime": 2, "revL": 0, "revS": 0, "vcp": 0, "time": 1784035800000, "email_id": "b'792'", "timestamp": "2026-07-14 16:01:01"}</t>
  </si>
  <si>
    <t>Buy: 93.9 | Sell: 7.8</t>
  </si>
  <si>
    <t>Buy: 94.7 | Sell: 8.7</t>
  </si>
  <si>
    <t>{"symbol": "STT", "strategy": "Daily", "action": "LONG", "alert_price": 178.14, "score": "", "dir_prob": "88.8", "net_sigma": "", "grade": "", "align": "", "premium": "", "wrong_if": "", "context": "", "subject": "Alert: Rev - Screener v1 (SPY, 12): Any alert() function call", "body": "{\"ticker\":\"STT\", \"setup\":\"A+ Trend Long\", \"side\":\"LONG\", \"price\":178.14, \"stage\":2, \"buy\":91.7, \"sell\":17.3, \"prime\":2, \"revL\":0, \"revS\":0, \"vcp\":0, \"dir_prob\":88.8, \"time\":1783949400000}", "ticker": "STT", "setup": "A+ Trend Long", "side": "LONG", "price": 178.14, "stage": 2, "buy": 91.7, "sell": 17.3, "prime": 2, "revL": 0, "revS": 0, "vcp": 0, "time": 1783949400000, "email_id": "b'636'", "timestamp": "2026-07-13 16:01:20"}</t>
  </si>
  <si>
    <t>Buy: 97.3 | Sell: 10.1</t>
  </si>
  <si>
    <t>{"symbol": "ECHO", "strategy": "Daily", "action": "SHORT", "alert_price": 97.97, "score": "", "dir_prob": "8.7", "net_sigma": "", "grade": "", "align": "", "premium": "", "wrong_if": "", "context": "", "subject": "Alert: Rev - Screener v1 (SPY, 12): Any alert() function call", "body": "{\"ticker\":\"ECHO\", \"setup\":\"A+ Trend Short\", \"side\":\"SHORT\", \"price\":97.97, \"stage\":4, \"buy\":11, \"sell\":87.4, \"prime\":-2, \"revL\":0, \"revS\":0, \"vcp\":0, \"dir_prob\":8.7, \"time\":1783603800000}", "ticker": "ECHO", "setup": "A+ Trend Short", "side": "SHORT", "price": 97.97, "stage": 4, "buy": 11, "sell": 87.4, "prime": -2, "revL": 0, "revS": 0, "vcp": 0, "time": 1783603800000, "email_id": "b'175'", "timestamp": "2026-07-09 16:01:03"}</t>
  </si>
  <si>
    <t>{"symbol": "MNST", "strategy": "Daily", "action": "LONG", "alert_price": 97.36, "score": "", "dir_prob": "88.6", "net_sigma": "", "grade": "", "align": "", "premium": "", "wrong_if": "", "context": "", "subject": "Alert: Rev - Screener v1 (SPY, 12): Any alert() function call", "body": "{\"ticker\":\"MNST\", \"setup\":\"A+ Trend Long\", \"side\":\"LONG\", \"price\":97.36, \"stage\":2, \"buy\":93.9, \"sell\":7.8, \"prime\":2, \"revL\":0, \"revS\":0, \"vcp\":0, \"dir_prob\":88.6, \"time\":1783690200000}", "ticker": "MNST", "setup": "A+ Trend Long", "side": "LONG", "price": 97.36, "stage": 2, "buy": 93.9, "sell": 7.8, "prime": 2, "revL": 0, "revS": 0, "vcp": 0, "time": 1783690200000, "email_id": "b'544'", "timestamp": "2026-07-10 16:01:29"}</t>
  </si>
  <si>
    <t>WATCH (1/10)</t>
  </si>
  <si>
    <t>No clean entry mode is firing: buy score 63.03 is below the 65 threshold for TREND_LONG, ignition_long=0, and rev_zone_l=4.5 (&lt;7), while dominant_score 63.03 &gt;=50 yields a WATCH for moderate no-clean-setup. News is bullish (General Market catalyst) and CONFIRMS the long side, with no contradiction. Triage is WATCH because zone_state=above_zone with rr_from_current=-0.13 (&lt;1.0) caps as chased poor R:R, and key_flags include chased (not in zone) and earnings (earnings_gate=CAUTION, days=-1); exhaustion 0.15 and ext_pct 30 do not trigger exhaustion flag.</t>
  </si>
  <si>
    <t>Buy: 95.6 | Sell: 5.5</t>
  </si>
  <si>
    <t>{"symbol": "LLY", "strategy": "Daily", "action": "LONG", "alert_price": 1153.69, "score": "", "dir_prob": "92.8", "net_sigma": "", "grade": "", "align": "", "premium": "", "wrong_if": "", "context": "", "subject": "Alert: Rev - Screener v1 (SPY, 12): Any alert() function call", "body": "{\"ticker\":\"LLY\", \"setup\":\"A+ Trend Long\", \"side\":\"LONG\", \"price\":1153.69, \"stage\":2, \"buy\":94.7, \"sell\":8.7, \"prime\":2, \"revL\":0, \"revS\":0, \"vcp\":0, \"dir_prob\":92.8, \"time\":1784035800000}", "ticker": "LLY", "setup": "A+ Trend Long", "side": "LONG", "price": 1153.69, "stage": 2, "buy": 94.7, "sell": 8.7, "prime": 2, "revL": 0, "revS": 0, "vcp": 0, "time": 1784035800000, "email_id": "b'796'", "timestamp": "2026-07-14 16:01:04"}</t>
  </si>
  <si>
    <t>{"symbol": "CFG", "strategy": "Daily", "action": "LONG", "alert_price": 70.36, "score": "", "dir_prob": "89.9", "net_sigma": "", "grade": "", "align": "", "premium": "", "wrong_if": "", "context": "", "subject": "Alert: Rev - Screener v1 (SPY, 12): Any alert() function call", "body": "{\"ticker\":\"CFG\", \"setup\":\"A+ Trend Long\", \"side\":\"LONG\", \"price\":70.36, \"stage\":2, \"buy\":97.3, \"sell\":10.1, \"prime\":2, \"revL\":0, \"revS\":0, \"vcp\":0, \"dir_prob\":89.9, \"time\":1783949400000}", "ticker": "CFG", "setup": "A+ Trend Long", "side": "LONG", "price": 70.36, "stage": 2, "buy": 97.3, "sell": 10.1, "prime": 2, "revL": 0, "revS": 0, "vcp": 0, "time": 1783949400000, "email_id": "b'637'", "timestamp": "2026-07-13 16:01:24"}</t>
  </si>
  <si>
    <t>NTAP</t>
  </si>
  <si>
    <t>Buy: 98.1 | Sell: 3.5</t>
  </si>
  <si>
    <t>Buy: 82.5 | Sell: 37.5</t>
  </si>
  <si>
    <t>Buy: 98 | Sell: 3.4</t>
  </si>
  <si>
    <t>{"symbol": "MTB", "strategy": "Daily", "action": "LONG", "alert_price": 242.38, "score": "", "dir_prob": "94.3", "net_sigma": "", "grade": "", "align": "", "premium": "", "wrong_if": "", "context": "", "subject": "Alert: Rev - Screener v1 (SPY, 12): Any alert() function call", "body": "{\"ticker\":\"MTB\", \"setup\":\"A+ Trend Long\", \"side\":\"LONG\", \"price\":242.38, \"stage\":2, \"buy\":95.6, \"sell\":5.5, \"prime\":2, \"revL\":0, \"revS\":0, \"vcp\":0, \"dir_prob\":94.3, \"time\":1783690200000}", "ticker": "MTB", "setup": "A+ Trend Long", "side": "LONG", "price": 242.38, "stage": 2, "buy": 95.6, "sell": 5.5, "prime": 2, "revL": 0, "revS": 0, "vcp": 0, "time": 1783690200000, "email_id": "b'398'", "timestamp": "2026-07-10 16:01:08"}</t>
  </si>
  <si>
    <t>TREND_SHORT fires: dominant_side is short with sell score 73.26 (&gt;=65) while stage=4 and regime=6 (squeeze). News CONFIRMS the short via catalyst 'billionaire cuts Amazon stake 10%' (bearish sentiment, supports downside). Triage is PASS with no veto cap; soft flags apply — churn (opposite buy 84.26&gt;=60), earnings (gate CAUTION, days -1), and squeeze (regime 6). Long-side zone_state/rr ignored for short judgment.</t>
  </si>
  <si>
    <t>Buy: 96.8 | Sell: 9.7</t>
  </si>
  <si>
    <t>{"symbol": "CAH", "strategy": "Daily", "action": "LONG", "alert_price": 230.03, "score": "", "dir_prob": "98.5", "net_sigma": "", "grade": "", "align": "", "premium": "", "wrong_if": "", "context": "", "subject": "Alert: Rev - Screener v1 (SPY, 12): Any alert() function call", "body": "{\"ticker\":\"CAH\", \"setup\":\"A+ Trend Long\", \"side\":\"LONG\", \"price\":230.03, \"stage\":2, \"buy\":98.1, \"sell\":3.5, \"prime\":2, \"revL\":0, \"revS\":0, \"vcp\":0, \"dir_prob\":98.5, \"time\":1784035800000}", "ticker": "CAH", "setup": "A+ Trend Long", "side": "LONG", "price": 230.03, "stage": 2, "buy": 98.1, "sell": 3.5, "prime": 2, "revL": 0, "revS": 0, "vcp": 0, "time": 1784035800000, "email_id": "b'799'", "timestamp": "2026-07-14 16:01:05"}</t>
  </si>
  <si>
    <t>{"symbol": "NTAP", "strategy": "Daily", "action": "LONG", "alert_price": 163.94, "score": "", "dir_prob": "85.1", "net_sigma": "", "grade": "", "align": "", "premium": "", "wrong_if": "", "context": "", "subject": "Alert: Rev - Screener v1 (SPY, 12): Any alert() function call", "body": "{\"ticker\":\"NTAP\", \"setup\":\"Early Action Long\", \"side\":\"LONG\", \"price\":163.94, \"stage\":2, \"buy\":82.5, \"sell\":37.5, \"prime\":1, \"revL\":0, \"revS\":0, \"vcp\":0, \"dir_prob\":85.1, \"time\":1783949400000}", "ticker": "NTAP", "setup": "Early Action Long", "side": "LONG", "price": 163.94, "stage": 2, "buy": 82.5, "sell": 37.5, "prime": 1, "revL": 0, "revS": 0, "vcp": 0, "time": 1783949400000, "email_id": "b'638'", "timestamp": "2026-07-13 16:01:15"}</t>
  </si>
  <si>
    <t>GEN</t>
  </si>
  <si>
    <t>COP</t>
  </si>
  <si>
    <t>Buy: 84.1 | Sell: 19.6</t>
  </si>
  <si>
    <t>Buy: 9.6 | Sell: 89.1</t>
  </si>
  <si>
    <t>{"symbol": "IP", "strategy": "Daily", "action": "LONG", "alert_price": 37.19, "score": "", "dir_prob": "98.1", "net_sigma": "", "grade": "", "align": "", "premium": "", "wrong_if": "", "context": "", "subject": "Alert: Rev - Screener v1 (SPY, 12): Any alert() function call", "body": "{\"ticker\":\"IP\", \"setup\":\"A+ Trend Long\", \"side\":\"LONG\", \"price\":37.19, \"stage\":2, \"buy\":98, \"sell\":3.4, \"prime\":2, \"revL\":0, \"revS\":0, \"vcp\":0, \"dir_prob\":98.1, \"time\":1783603800000}", "ticker": "IP", "setup": "A+ Trend Long", "side": "LONG", "price": 37.19, "stage": 2, "buy": 98, "sell": 3.4, "prime": 2, "revL": 0, "revS": 0, "vcp": 0, "time": 1783603800000, "email_id": "b'216'", "timestamp": "2026-07-09 16:01:16"}</t>
  </si>
  <si>
    <t>{"symbol": "BAC", "strategy": "Daily", "action": "LONG", "alert_price": 59.64, "score": "", "dir_prob": "91.4", "net_sigma": "", "grade": "", "align": "", "premium": "", "wrong_if": "", "context": "", "subject": "Alert: Rev - Screener v1 (SPY, 12): Any alert() function call", "body": "{\"ticker\":\"BAC\", \"setup\":\"A+ Trend Long\", \"side\":\"LONG\", \"price\":59.64, \"stage\":2, \"buy\":96.8, \"sell\":9.7, \"prime\":2, \"revL\":0, \"revS\":0, \"vcp\":0, \"dir_prob\":91.4, \"time\":1783690200000}", "ticker": "BAC", "setup": "A+ Trend Long", "side": "LONG", "price": 59.64, "stage": 2, "buy": 96.8, "sell": 9.7, "prime": 2, "revL": 0, "revS": 0, "vcp": 0, "time": 1783690200000, "email_id": "b'404'", "timestamp": "2026-07-10 16:01:12"}</t>
  </si>
  <si>
    <t>WATCH (3/10)</t>
  </si>
  <si>
    <t>{"symbol": "GEN", "strategy": "Daily", "action": "LONG", "alert_price": 26.17, "score": "", "dir_prob": "93.5", "net_sigma": "", "grade": "", "align": "", "premium": "", "wrong_if": "", "context": "", "subject": "Alert: Rev - Screener v1 (SPY, 12): Any alert() function call", "body": "{\"ticker\":\"GEN\", \"setup\":\"Early Action Long\", \"side\":\"LONG\", \"price\":26.17, \"stage\":2, \"buy\":84.1, \"sell\":19.6, \"prime\":1, \"revL\":0, \"revS\":0, \"vcp\":0, \"dir_prob\":93.5, \"time\":1783949400000}", "ticker": "GEN", "setup": "Early Action Long", "side": "LONG", "price": 26.17, "stage": 2, "buy": 84.1, "sell": 19.6, "prime": 1, "revL": 0, "revS": 0, "vcp": 0, "time": 1783949400000, "email_id": "b'639'", "timestamp": "2026-07-13 16:01:34"}</t>
  </si>
  <si>
    <t>No primary entry mode is firing: buy=60.0 (below the 65 TREND_LONG threshold), ignition_long=0, and rev_zone_l=0 / rev_zone_s=4 are inactive, leaving entry_mode=NONE with dominant_score=60 (&gt;=50) as a moderate but unclean long. News is neutral with no catalyst (empty headlines, confirm_contradict=NEUTRAL). Triage is WATCH ('moderate, no clean setup') since no breakout/reversion/trend edge is active; key_flags apply because ext_pct=61.24 with exhaustion=0.3062 triggers exhaustion, zone_state=above_zone triggers chased, and earnings_days=-1 triggers earnings caution.</t>
  </si>
  <si>
    <t>VTR</t>
  </si>
  <si>
    <t>{"symbol": "COP", "strategy": "Daily", "action": "SHORT", "alert_price": 111.85, "score": "", "dir_prob": "7.9", "net_sigma": "", "grade": "", "align": "", "premium": "", "wrong_if": "", "context": "", "subject": "Alert: Rev - Screener v1 (SPY, 12): Any alert() function call", "body": "{\"ticker\":\"COP\", \"setup\":\"A+ Trend Short\", \"side\":\"SHORT\", \"price\":111.85, \"stage\":4, \"buy\":9.6, \"sell\":89.1, \"prime\":-2, \"revL\":0, \"revS\":0, \"vcp\":0, \"dir_prob\":7.9, \"time\":1784035800000}", "ticker": "COP", "setup": "A+ Trend Short", "side": "SHORT", "price": 111.85, "stage": 4, "buy": 9.6, "sell": 89.1, "prime": -2, "revL": 0, "revS": 0, "vcp": 0, "time": 1784035800000, "email_id": "b'801'", "timestamp": "2026-07-14 16:01:13"}</t>
  </si>
  <si>
    <t>Buy: 92.1 | Sell: 11.1</t>
  </si>
  <si>
    <t>CEG</t>
  </si>
  <si>
    <t>Buy: 96.1 | Sell: 5.4</t>
  </si>
  <si>
    <t>Buy: 14.4 | Sell: 86.2</t>
  </si>
  <si>
    <t>Buy: 44.4 | Sell: 87.2</t>
  </si>
  <si>
    <t>{"symbol": "VTR", "strategy": "Daily", "action": "LONG", "alert_price": 92.05, "score": "", "dir_prob": "89.7", "net_sigma": "", "grade": "", "align": "", "premium": "", "wrong_if": "", "context": "", "subject": "Alert: Rev - Screener v1 (SPY, 12): Any alert() function call", "body": "{\"ticker\":\"VTR\", \"setup\":\"A+ Trend Long\", \"side\":\"LONG\", \"price\":92.05, \"stage\":2, \"buy\":92.1, \"sell\":11.1, \"prime\":2, \"revL\":0, \"revS\":0, \"vcp\":0, \"dir_prob\":89.7, \"time\":1783949400000}", "ticker": "VTR", "setup": "A+ Trend Long", "side": "LONG", "price": 92.05, "stage": 2, "buy": 92.1, "sell": 11.1, "prime": 2, "revL": 0, "revS": 0, "vcp": 0, "time": 1783949400000, "email_id": "b'640'", "timestamp": "2026-07-13 16:01:34"}</t>
  </si>
  <si>
    <t>FOX</t>
  </si>
  <si>
    <t>{"symbol": "CEG", "strategy": "Daily", "action": "SHORT", "alert_price": 256.41, "score": "", "dir_prob": "15.2", "net_sigma": "", "grade": "", "align": "", "premium": "", "wrong_if": "", "context": "", "subject": "Alert: Rev - Screener v1 (SPY, 12): Any alert() function call", "body": "{\"ticker\":\"CEG\", \"setup\":\"A+ Trend Short\", \"side\":\"SHORT\", \"price\":256.41, \"stage\":4, \"buy\":14.4, \"sell\":86.2, \"prime\":-2, \"revL\":0, \"revS\":0, \"vcp\":0, \"dir_prob\":15.2, \"time\":1784035800000}", "ticker": "CEG", "setup": "A+ Trend Short", "side": "SHORT", "price": 256.41, "stage": 4, "buy": 14.4, "sell": 86.2, "prime": -2, "revL": 0, "revS": 0, "vcp": 0, "time": 1784035800000, "email_id": "b'802'", "timestamp": "2026-07-14 16:01:06"}</t>
  </si>
  <si>
    <t>Buy: 12.4 | Sell: 90.5</t>
  </si>
  <si>
    <t>{"symbol": "PNW", "strategy": "Daily", "action": "LONG", "alert_price": 108.12, "score": "", "dir_prob": "96.3", "net_sigma": "", "grade": "", "align": "", "premium": "", "wrong_if": "", "context": "", "subject": "Alert: Rev - Screener v1 (SPY, 12): Any alert() function call", "body": "{\"ticker\":\"PNW\", \"setup\":\"A+ Trend Long\", \"side\":\"LONG\", \"price\":108.12, \"stage\":2, \"buy\":96.1, \"sell\":5.4, \"prime\":2, \"revL\":0, \"revS\":0, \"vcp\":0, \"dir_prob\":96.3, \"time\":1783690200000}", "ticker": "PNW", "setup": "A+ Trend Long", "side": "LONG", "price": 108.12, "stage": 2, "buy": 96.1, "sell": 5.4, "prime": 2, "revL": 0, "revS": 0, "vcp": 0, "time": 1783690200000, "email_id": "b'409'", "timestamp": "2026-07-10 16:01:13"}</t>
  </si>
  <si>
    <t>No clean entry mode is firing: ignition_long=0, rev_zone_l=3.5 (&lt;10) and buy=60 (&lt;65) so TREND_LONG is unmet, leaving entry_mode NONE with dominant_score=60 (moderate, no edge). News is CONFIRMS via Stifel PT raise to $635 and ARK bullishness, but earnings_days=-1 triggers CAUTION. Triage is WATCH ('moderate, no clean setup'); soft flags apply: ext_pct=75.3 with exhaustion=0.3765 (exhaustion), zone_state=above_zone (chased), earnings_gate CAUTION (earnings), regime=6 (squeeze).</t>
  </si>
  <si>
    <t>Buy: 97.2 | Sell: 4.5</t>
  </si>
  <si>
    <t>Buy: 96.4 | Sell: 5.4</t>
  </si>
  <si>
    <t>{"symbol": "FOX", "strategy": "Daily", "action": "SHORT", "alert_price": 50.23, "score": "", "dir_prob": "5.9", "net_sigma": "", "grade": "", "align": "", "premium": "", "wrong_if": "", "context": "", "subject": "Alert: Rev - Screener v1 (SPY, 12): Any alert() function call", "body": "{\"ticker\":\"FOX\", \"setup\":\"A+ Trend Short\", \"side\":\"SHORT\", \"price\":50.23, \"stage\":4, \"buy\":12.4, \"sell\":90.5, \"prime\":-2, \"revL\":0, \"revS\":0, \"vcp\":0, \"dir_prob\":5.9, \"time\":1783949400000}", "ticker": "FOX", "setup": "A+ Trend Short", "side": "SHORT", "price": 50.23, "stage": 4, "buy": 12.4, "sell": 90.5, "prime": -2, "revL": 0, "revS": 0, "vcp": 0, "time": 1783949400000, "email_id": "b'641'", "timestamp": "2026-07-13 16:01:25"}</t>
  </si>
  <si>
    <t>ELV</t>
  </si>
  <si>
    <t>Buy: 76.8 | Sell: 37.7</t>
  </si>
  <si>
    <t>{"symbol": "SHW", "strategy": "Daily", "action": "LONG", "alert_price": 328.6, "score": "", "dir_prob": "96.7", "net_sigma": "", "grade": "", "align": "", "premium": "", "wrong_if": "", "context": "", "subject": "Alert: Rev - Screener v1 (SPY, 12): Any alert() function call", "body": "{\"ticker\":\"SHW\", \"setup\":\"A+ Trend Long\", \"side\":\"LONG\", \"price\":328.60, \"stage\":2, \"buy\":97.2, \"sell\":4.5, \"prime\":2, \"revL\":0, \"revS\":0, \"vcp\":0, \"dir_prob\":96.7, \"time\":1784035800000}", "ticker": "SHW", "setup": "A+ Trend Long", "side": "LONG", "price": 328.6, "stage": 2, "buy": 97.2, "sell": 4.5, "prime": 2, "revL": 0, "revS": 0, "vcp": 0, "time": 1784035800000, "email_id": "b'804'", "timestamp": "2026-07-14 16:01:08"}</t>
  </si>
  <si>
    <t>{"symbol": "EXE", "strategy": "Daily", "action": "SHORT", "alert_price": 88.96, "score": "", "dir_prob": "37", "net_sigma": "", "grade": "", "align": "", "premium": "", "wrong_if": "", "context": "", "subject": "Alert: Rev - Screener v1 (SPY, 12): Any alert() function call", "body": "{\"ticker\":\"EXE\", \"setup\":\"A+ Trend Short\", \"side\":\"SHORT\", \"price\":88.96, \"stage\":4, \"buy\":44.4, \"sell\":87.2, \"prime\":-2, \"revL\":0, \"revS\":0, \"vcp\":1, \"dir_prob\":37, \"time\":1783603800000}", "ticker": "EXE", "setup": "A+ Trend Short", "side": "SHORT", "price": 88.96, "stage": 4, "buy": 44.4, "sell": 87.2, "prime": -2, "revL": 0, "revS": 0, "vcp": 1, "time": 1783603800000, "email_id": "b'234'", "timestamp": "2026-07-09 16:01:36"}</t>
  </si>
  <si>
    <t>FCX</t>
  </si>
  <si>
    <t>Buy: 9.2 | Sell: 90.5</t>
  </si>
  <si>
    <t>{"symbol": "LNT", "strategy": "Daily", "action": "LONG", "alert_price": 76.4, "score": "", "dir_prob": "93.6", "net_sigma": "", "grade": "", "align": "", "premium": "", "wrong_if": "", "context": "", "subject": "Alert: Rev - Screener v1 (SPY, 12): Any alert() function call", "body": "{\"ticker\":\"LNT\", \"setup\":\"A+ Trend Long\", \"side\":\"LONG\", \"price\":76.40, \"stage\":2, \"buy\":96.4, \"sell\":5.4, \"prime\":2, \"revL\":0, \"revS\":0, \"vcp\":0, \"dir_prob\":93.6, \"time\":1783690200000}", "ticker": "LNT", "setup": "A+ Trend Long", "side": "LONG", "price": 76.4, "stage": 2, "buy": 96.4, "sell": 5.4, "prime": 2, "revL": 0, "revS": 0, "vcp": 0, "time": 1783690200000, "email_id": "b'415'", "timestamp": "2026-07-10 16:01:16"}</t>
  </si>
  <si>
    <t>Entry mode is NONE: dominant_side is short with sell score 63.61 (below the 65 threshold for TREND_SHORT) and dir_prob 17.21 signals bearish bias, but rev_zone_s is only 4.0 (Zone 2, not a reversal trigger) and ignition_long is 0. News read is NEUTRAL with no catalyst from empty headlines. Triage is WATCH because dominant_score (sell=63.61) is &gt;=50, giving a moderate but no clean setup per the NONE branch. Soft flags apply: churn (opposite_score 69.66 &gt;=60) and earnings (earnings_gate CAUTION, earnings_days -1); no veto caps or other flags are triggered.</t>
  </si>
  <si>
    <t>{"symbol": "ELV", "strategy": "Daily", "action": "LONG", "alert_price": 425.41, "score": "", "dir_prob": "78.1", "net_sigma": "", "grade": "", "align": "", "premium": "", "wrong_if": "", "context": "", "subject": "Alert: Rev - Screener v1 (SPY, 12): Any alert() function call", "body": "{\"ticker\":\"ELV\", \"setup\":\"Early Action Long\", \"side\":\"LONG\", \"price\":425.41, \"stage\":2, \"buy\":76.8, \"sell\":37.7, \"prime\":1, \"revL\":0, \"revS\":0, \"vcp\":0, \"dir_prob\":78.1, \"time\":1783949400000}", "ticker": "ELV", "setup": "Early Action Long", "side": "LONG", "price": 425.41, "stage": 2, "buy": 76.8, "sell": 37.7, "prime": 1, "revL": 0, "revS": 0, "vcp": 0, "time": 1783949400000, "email_id": "b'642'", "timestamp": "2026-07-13 16:01:34"}</t>
  </si>
  <si>
    <t>Buy: 80.5 | Sell: 27.4</t>
  </si>
  <si>
    <t>Buy: 97.4 | Sell: 4.1</t>
  </si>
  <si>
    <t>{"symbol": "FCX", "strategy": "Daily", "action": "SHORT", "alert_price": 61.97, "score": "", "dir_prob": "9.5", "net_sigma": "", "grade": "", "align": "", "premium": "", "wrong_if": "", "context": "", "subject": "Alert: Rev - Screener v1 (SPY, 12): Any alert() function call", "body": "{\"ticker\":\"FCX\", \"setup\":\"A+ Trend Short\", \"side\":\"SHORT\", \"price\":61.97, \"stage\":4, \"buy\":9.2, \"sell\":90.5, \"prime\":-2, \"revL\":0, \"revS\":0, \"vcp\":0, \"dir_prob\":9.5, \"time\":1784035800000}", "ticker": "FCX", "setup": "A+ Trend Short", "side": "SHORT", "price": 61.97, "stage": 4, "buy": 9.2, "sell": 90.5, "prime": -2, "revL": 0, "revS": 0, "vcp": 0, "time": 1784035800000, "email_id": "b'806'", "timestamp": "2026-07-14 16:01:02"}</t>
  </si>
  <si>
    <t>Buy: 93.9 | Sell: 30.7</t>
  </si>
  <si>
    <t>{"symbol": "PH", "strategy": "Daily", "action": "LONG", "alert_price": 960.72, "score": "", "dir_prob": "89.4", "net_sigma": "", "grade": "", "align": "", "premium": "", "wrong_if": "", "context": "", "subject": "Alert: Rev - Screener v1 (SPY, 12): Any alert() function call", "body": "{\"ticker\":\"PH\", \"setup\":\"A+ Trend Long\", \"side\":\"LONG\", \"price\":960.72, \"stage\":2, \"buy\":97.4, \"sell\":15.2, \"prime\":2, \"revL\":0, \"revS\":0, \"vcp\":0, \"dir_prob\":89.4, \"time\":1783690200000}", "ticker": "PH", "setup": "A+ Trend Long", "side": "LONG", "price": 960.72, "stage": 2, "buy": 97.4, "sell": 15.2, "prime": 2, "revL": 0, "revS": 0, "vcp": 0, "time": 1783690200000, "email_id": "b'521'", "timestamp": "2026-07-10 16:01:33"}</t>
  </si>
  <si>
    <t>No entry mode fires: rev_zone_l=5.0 and rev_zone_s=5.5 are below Zone-1 thresholds, ignition_long=0, and sell=60.0 (&lt;65) fails TREND_SHORT despite dominant_side=short with dir_prob=32.2 in Stage 4 / Regime 6 (squeeze). News is NEUTRAL to the short thesis — the sole headline cites unrelated semiconductors' rallies (catalyst: 'General Market'), not CIEN-specific contradiction. Triage is WATCH ('moderate, no clean setup') since dominant_score=60 &gt;=50 with no reversal zone; key_flags note earnings (earnings_days=-1, gate CAUTION) and squeeze (regime=6), but no veto cap applies.</t>
  </si>
  <si>
    <t>Buy: 97.5 | Sell: 8</t>
  </si>
  <si>
    <t>{"symbol": "ECL", "strategy": "Daily", "action": "LONG", "alert_price": 271.85, "score": "", "dir_prob": "97.1", "net_sigma": "", "grade": "", "align": "", "premium": "", "wrong_if": "", "context": "", "subject": "Alert: Rev - Screener v1 (SPY, 12): Any alert() function call", "body": "{\"ticker\":\"ECL\", \"setup\":\"A+ Trend Long\", \"side\":\"LONG\", \"price\":271.85, \"stage\":2, \"buy\":97.4, \"sell\":4.1, \"prime\":2, \"revL\":0, \"revS\":0, \"vcp\":0, \"dir_prob\":97.1, \"time\":1783949400000}", "ticker": "ECL", "setup": "A+ Trend Long", "side": "LONG", "price": 271.85, "stage": 2, "buy": 97.4, "sell": 4.1, "prime": 2, "revL": 0, "revS": 0, "vcp": 0, "time": 1783949400000, "email_id": "b'643'", "timestamp": "2026-07-13 16:01:24"}</t>
  </si>
  <si>
    <t>{"symbol": "DVA", "strategy": "Daily", "action": "LONG", "alert_price": 232.42, "score": "", "dir_prob": "91.2", "net_sigma": "", "grade": "", "align": "", "premium": "", "wrong_if": "", "context": "", "subject": "Alert: Rev - Screener v1 (SPY, 12): Any alert() function call", "body": "{\"ticker\":\"DVA\", \"setup\":\"A+ Trend Long\", \"side\":\"LONG\", \"price\":232.42, \"stage\":2, \"buy\":93.9, \"sell\":30.7, \"prime\":2, \"revL\":0, \"revS\":0, \"vcp\":0, \"dir_prob\":91.2, \"time\":1784035800000}", "ticker": "DVA", "setup": "A+ Trend Long", "side": "LONG", "price": 232.42, "stage": 2, "buy": 93.9, "sell": 30.7, "prime": 2, "revL": 0, "revS": 0, "vcp": 0, "time": 1784035800000, "email_id": "b'809'", "timestamp": "2026-07-14 16:01:08"}</t>
  </si>
  <si>
    <t>Buy: 96.5 | Sell: 14.8</t>
  </si>
  <si>
    <t>Buy: 14.2 | Sell: 89.8</t>
  </si>
  <si>
    <t>{"symbol": "RL", "strategy": "Daily", "action": "LONG", "alert_price": 387.51, "score": "", "dir_prob": "83.1", "net_sigma": "", "grade": "", "align": "", "premium": "", "wrong_if": "", "context": "", "subject": "Alert: Rev - Screener v1 (SPY, 12): Any alert() function call", "body": "{\"ticker\":\"RL\", \"setup\":\"Early Action Long\", \"side\":\"LONG\", \"price\":387.51, \"stage\":2, \"buy\":80.5, \"sell\":27.4, \"prime\":1, \"revL\":0, \"revS\":0, \"vcp\":0, \"dir_prob\":83.1, \"time\":1783603800000}", "ticker": "RL", "setup": "Early Action Long", "side": "LONG", "price": 387.51, "stage": 2, "buy": 80.5, "sell": 27.4, "prime": 1, "revL": 0, "revS": 0, "vcp": 0, "time": 1783603800000, "email_id": "b'273'", "timestamp": "2026-07-09 16:01:24"}</t>
  </si>
  <si>
    <t>{"symbol": "COF", "strategy": "Daily", "action": "LONG", "alert_price": 201.42, "score": "", "dir_prob": "97.3", "net_sigma": "", "grade": "", "align": "", "premium": "", "wrong_if": "", "context": "", "subject": "Alert: Rev - Screener v1 (SPY, 12): Any alert() function call", "body": "{\"ticker\":\"COF\", \"setup\":\"A+ Trend Long\", \"side\":\"LONG\", \"price\":201.42, \"stage\":2, \"buy\":97.5, \"sell\":8, \"prime\":2, \"revL\":0, \"revS\":0, \"vcp\":0, \"dir_prob\":97.3, \"time\":1783690200000}", "ticker": "COF", "setup": "A+ Trend Long", "side": "LONG", "price": 201.42, "stage": 2, "buy": 97.5, "sell": 8, "prime": 2, "revL": 0, "revS": 0, "vcp": 0, "time": 1783690200000, "email_id": "b'542'", "timestamp": "2026-07-10 16:01:38"}</t>
  </si>
  <si>
    <t>{"symbol": "FOX", "strategy": "Daily", "action": "SHORT", "alert_price": 49.49, "score": "", "dir_prob": "6.5", "net_sigma": "", "grade": "", "align": "", "premium": "", "wrong_if": "", "context": "", "subject": "Alert: Rev - Screener v1 (SPY, 12): Any alert() function call", "body": "{\"ticker\":\"FOX\", \"setup\":\"A+ Trend Short\", \"side\":\"SHORT\", \"price\":49.49, \"stage\":4, \"buy\":14.2, \"sell\":89.8, \"prime\":-2, \"revL\":0, \"revS\":0, \"vcp\":0, \"dir_prob\":6.5, \"time\":1784035800000}", "ticker": "FOX", "setup": "A+ Trend Short", "side": "SHORT", "price": 49.49, "stage": 4, "buy": 14.2, "sell": 89.8, "prime": -2, "revL": 0, "revS": 0, "vcp": 0, "time": 1784035800000, "email_id": "b'811'", "timestamp": "2026-07-14 16:01:05"}</t>
  </si>
  <si>
    <t>No entry mode fires: dominant_side is short with sell score 63.35 (below the 65 threshold for TREND_SHORT) and rev_zone_s is 0, while stage 4 and regime 4 confirm a downtrend but no clean short trigger. News read is NEUTRAL with no catalyst from empty headlines. Triage is WATCH because dominant_score 63.35 &gt;= 50 yields a moderate setup with no clean edge; the only flag is earnings (gate CAUTION, earnings_days -1), with no contradiction, churn, or chased conditions present.</t>
  </si>
  <si>
    <t>Buy: 95.9 | Sell: 5.2</t>
  </si>
  <si>
    <t>Buy: 96.1 | Sell: 5.7</t>
  </si>
  <si>
    <t>{"symbol": "UAL", "strategy": "Daily", "action": "LONG", "alert_price": 121.17, "score": "", "dir_prob": "89.9", "net_sigma": "", "grade": "", "align": "", "premium": "", "wrong_if": "", "context": "", "subject": "Alert: Rev - Screener v1 (SPY, 12): Any alert() function call", "body": "{\"ticker\":\"UAL\", \"setup\":\"A+ Trend Long\", \"side\":\"LONG\", \"price\":121.17, \"stage\":2, \"buy\":96.5, \"sell\":14.8, \"prime\":2, \"revL\":0, \"revS\":0, \"vcp\":0, \"dir_prob\":89.9, \"time\":1783949400000}", "ticker": "UAL", "setup": "A+ Trend Long", "side": "LONG", "price": 121.17, "stage": 2, "buy": 96.5, "sell": 14.8, "prime": 2, "revL": 0, "revS": 0, "vcp": 0, "time": 1783949400000, "email_id": "b'644'", "timestamp": "2026-07-13 16:01:32"}</t>
  </si>
  <si>
    <t>Buy: 95.6 | Sell: 5.7</t>
  </si>
  <si>
    <t>Buy: 96.1 | Sell: 22.8</t>
  </si>
  <si>
    <t>{"symbol": "RF", "strategy": "Daily", "action": "LONG", "alert_price": 30.93, "score": "", "dir_prob": "93.3", "net_sigma": "", "grade": "", "align": "", "premium": "", "wrong_if": "", "context": "", "subject": "Alert: Rev - Screener v1 (SPY, 12): Any alert() function call", "body": "{\"ticker\":\"RF\", \"setup\":\"A+ Trend Long\", \"side\":\"LONG\", \"price\":30.93, \"stage\":2, \"buy\":96.1, \"sell\":5.7, \"prime\":2, \"revL\":0, \"revS\":0, \"vcp\":0, \"dir_prob\":93.3, \"time\":1784035800000}", "ticker": "RF", "setup": "A+ Trend Long", "side": "LONG", "price": 30.93, "stage": 2, "buy": 96.1, "sell": 5.7, "prime": 2, "revL": 0, "revS": 0, "vcp": 0, "time": 1784035800000, "email_id": "b'814'", "timestamp": "2026-07-14 16:01:09"}</t>
  </si>
  <si>
    <t>AIG</t>
  </si>
  <si>
    <t>Buy: 93.3 | Sell: 9.7</t>
  </si>
  <si>
    <t>{"symbol": "SNA", "strategy": "Daily", "action": "LONG", "alert_price": 402.02, "score": "", "dir_prob": "89.9", "net_sigma": "", "grade": "", "align": "", "premium": "", "wrong_if": "", "context": "", "subject": "Alert: Rev - Screener v1 (SPY, 12): Any alert() function call", "body": "{\"ticker\":\"SNA\", \"setup\":\"A+ Trend Long\", \"side\":\"LONG\", \"price\":402.02, \"stage\":2, \"buy\":95.6, \"sell\":5.7, \"prime\":2, \"revL\":0, \"revS\":0, \"vcp\":0, \"dir_prob\":89.9, \"time\":1783690200000}", "ticker": "SNA", "setup": "A+ Trend Long", "side": "LONG", "price": 402.02, "stage": 2, "buy": 95.6, "sell": 5.7, "prime": 2, "revL": 0, "revS": 0, "vcp": 0, "time": 1783690200000, "email_id": "b'556'", "timestamp": "2026-07-10 16:01:16"}</t>
  </si>
  <si>
    <t>TREND_LONG fires on buy score 68.67 (&gt;=65) with dir_prob 55.44 and dominant_side long, while rev_zone_l 7.0 is only Zone 1 (not a counter-trend trigger) and ignition_long is 0. News read is NEUTRAL with catalyst 'none' from empty headlines, so no confirmation or contradiction applies. Triage is capped to WATCH because regime 3 (Distribution) triggers the trend-long cap and zone_state 'above_zone' with rr_from_current 0.317 (&lt;1.0) adds the chased/poor-R:R veto. Soft flags 'chased' (price above long zone) and 'earnings' (earnings_days -1, gate CAUTION) apply; ext_pct 9.19 and exhaustion 0.196 are benign and stage 2 carries no stage_lag.</t>
  </si>
  <si>
    <t>{"symbol": "BRK.B", "strategy": "Daily", "action": "LONG", "alert_price": 496.95, "score": "", "dir_prob": "92.8", "net_sigma": "", "grade": "", "align": "", "premium": "", "wrong_if": "", "context": "", "subject": "Alert: Rev - Screener v1 (SPY, 12): Any alert() function call", "body": "{\"ticker\":\"BRK.B\", \"setup\":\"A+ Trend Long\", \"side\":\"LONG\", \"price\":496.95, \"stage\":2, \"buy\":96.1, \"sell\":22.8, \"prime\":2, \"revL\":0, \"revS\":0, \"vcp\":0, \"dir_prob\":92.8, \"time\":1783949400000}", "ticker": "BRK.B", "setup": "A+ Trend Long", "side": "LONG", "price": 496.95, "stage": 2, "buy": 96.1, "sell": 22.8, "prime": 2, "revL": 0, "revS": 0, "vcp": 0, "time": 1783949400000, "email_id": "b'645'", "timestamp": "2026-07-13 16:01:25"}</t>
  </si>
  <si>
    <t>{"symbol": "MTB", "strategy": "Daily", "action": "LONG", "alert_price": 237.9, "score": "", "dir_prob": "94.4", "net_sigma": "", "grade": "", "align": "", "premium": "", "wrong_if": "", "context": "", "subject": "Alert: Rev - Screener v1 (SPY, 12): Any alert() function call", "body": "{\"ticker\":\"MTB\", \"setup\":\"A+ Trend Long\", \"side\":\"LONG\", \"price\":237.90, \"stage\":2, \"buy\":95.9, \"sell\":5.2, \"prime\":2, \"revL\":0, \"revS\":0, \"vcp\":0, \"dir_prob\":94.4, \"time\":1783603800000}", "ticker": "MTB", "setup": "A+ Trend Long", "side": "LONG", "price": 237.9, "stage": 2, "buy": 95.9, "sell": 5.2, "prime": 2, "revL": 0, "revS": 0, "vcp": 0, "time": 1783603800000, "email_id": "b'339'", "timestamp": "2026-07-09 16:01:19"}</t>
  </si>
  <si>
    <t>CRL</t>
  </si>
  <si>
    <t>Buy: 94.4 | Sell: 10.7</t>
  </si>
  <si>
    <t>Buy: 6.1 | Sell: 87.9</t>
  </si>
  <si>
    <t>CTSH</t>
  </si>
  <si>
    <t>{"symbol": "AIG", "strategy": "Daily", "action": "LONG", "alert_price": 79.0, "score": "", "dir_prob": "97.9", "net_sigma": "", "grade": "", "align": "", "premium": "", "wrong_if": "", "context": "", "subject": "Alert: Rev - Screener v1 (SPY, 12): Any alert() function call", "body": "{\"ticker\":\"AIG\", \"setup\":\"A+ Trend Long\", \"side\":\"LONG\", \"price\":79.00, \"stage\":2, \"buy\":93.3, \"sell\":9.7, \"prime\":2, \"revL\":0, \"revS\":0, \"vcp\":0, \"dir_prob\":97.9, \"time\":1784035800000}", "ticker": "AIG", "setup": "A+ Trend Long", "side": "LONG", "price": 79.0, "stage": 2, "buy": 93.3, "sell": 9.7, "prime": 2, "revL": 0, "revS": 0, "vcp": 0, "time": 1784035800000, "email_id": "b'816'", "timestamp": "2026-07-14 16:01:10"}</t>
  </si>
  <si>
    <t>Buy: 95.1 | Sell: 9.3</t>
  </si>
  <si>
    <t>{"symbol": "NFLX", "strategy": "Daily", "action": "SHORT", "alert_price": 73.37, "score": "", "dir_prob": "15.7", "net_sigma": "", "grade": "", "align": "", "premium": "", "wrong_if": "", "context": "", "subject": "Alert: Rev - Screener v1 (SPY, 12): Any alert() function call", "body": "{\"ticker\":\"NFLX\", \"setup\":\"A+ Trend Short\", \"side\":\"SHORT\", \"price\":73.37, \"stage\":4, \"buy\":6.1, \"sell\":87.9, \"prime\":-2, \"revL\":0, \"revS\":0, \"vcp\":0, \"dir_prob\":15.7, \"time\":1783690200000}", "ticker": "NFLX", "setup": "A+ Trend Short", "side": "SHORT", "price": 73.37, "stage": 4, "buy": 6.1, "sell": 87.9, "prime": -2, "revL": 0, "revS": 0, "vcp": 0, "time": 1783690200000, "email_id": "b'558'", "timestamp": "2026-07-10 16:01:28"}</t>
  </si>
  <si>
    <t>TREND_LONG fires on dominant_side=long with buy=72.97 (&gt;=65) and dir_prob=94.16, while stage=2 and regime=0 (healthy) show a clean uptrend with low exhaustion (0.0321) and modest ext_pct=6.43. News read is CONTRADICTS: the catalyst 'Analyst Rating' shows multiple shops maintaining Underperform/Underweight with targets mostly below price (68, 67), opposing the long bias despite two Neutral raises. Triage is capped to WATCH by the CONTRADICTS veto and again by long zone_state=above_zone with rr_from_current=0.43 (&lt;1.0, chased poor R:R); soft flags earnings (gate CAUTION, days=-1) and chased apply, no exhaustion/churn/stage_lag present.</t>
  </si>
  <si>
    <t>Buy: 13.3 | Sell: 91.7</t>
  </si>
  <si>
    <t>{"symbol": "CRL", "strategy": "Daily", "action": "LONG", "alert_price": 229.85, "score": "", "dir_prob": "94.1", "net_sigma": "", "grade": "", "align": "", "premium": "", "wrong_if": "", "context": "", "subject": "Alert: Rev - Screener v1 (SPY, 12): Any alert() function call", "body": "{\"ticker\":\"CRL\", \"setup\":\"A+ Trend Long\", \"side\":\"LONG\", \"price\":229.85, \"stage\":2, \"buy\":94.4, \"sell\":10.7, \"prime\":2, \"revL\":0, \"revS\":0, \"vcp\":0, \"dir_prob\":94.1, \"time\":1783949400000}", "ticker": "CRL", "setup": "A+ Trend Long", "side": "LONG", "price": 229.85, "stage": 2, "buy": 94.4, "sell": 10.7, "prime": 2, "revL": 0, "revS": 0, "vcp": 0, "time": 1783949400000, "email_id": "b'646'", "timestamp": "2026-07-13 16:01:32"}</t>
  </si>
  <si>
    <t>Buy: 83.8 | Sell: 8.4</t>
  </si>
  <si>
    <t>Buy: 8.3 | Sell: 93.3</t>
  </si>
  <si>
    <t>{"symbol": "YUM", "strategy": "Daily", "action": "LONG", "alert_price": 158.2, "score": "", "dir_prob": "94.6", "net_sigma": "", "grade": "", "align": "", "premium": "", "wrong_if": "", "context": "", "subject": "Alert: Rev - Screener v1 (SPY, 12): Any alert() function call", "body": "{\"ticker\":\"YUM\", \"setup\":\"A+ Trend Long\", \"side\":\"LONG\", \"price\":158.20, \"stage\":2, \"buy\":95.1, \"sell\":9.3, \"prime\":2, \"revL\":0, \"revS\":0, \"vcp\":0, \"dir_prob\":94.6, \"time\":1784035800000}", "ticker": "YUM", "setup": "A+ Trend Long", "side": "LONG", "price": 158.2, "stage": 2, "buy": 95.1, "sell": 9.3, "prime": 2, "revL": 0, "revS": 0, "vcp": 0, "time": 1784035800000, "email_id": "b'819'", "timestamp": "2026-07-14 16:01:12"}</t>
  </si>
  <si>
    <t>Buy: 7 | Sell: 87.8</t>
  </si>
  <si>
    <t>{"symbol": "TMO", "strategy": "Daily", "action": "LONG", "alert_price": 527.07, "score": "", "dir_prob": "88.8", "net_sigma": "", "grade": "", "align": "", "premium": "", "wrong_if": "", "context": "", "subject": "Alert: Rev - Screener v1 (SPY, 12): Any alert() function call", "body": "{\"ticker\":\"TMO\", \"setup\":\"Early Action Long\", \"side\":\"LONG\", \"price\":527.07, \"stage\":2, \"buy\":83.8, \"sell\":8.4, \"prime\":1, \"revL\":0, \"revS\":0, \"vcp\":0, \"dir_prob\":88.8, \"time\":1783690200000}", "ticker": "TMO", "setup": "Early Action Long", "side": "LONG", "price": 527.07, "stage": 2, "buy": 83.8, "sell": 8.4, "prime": 1, "revL": 0, "revS": 0, "vcp": 0, "time": 1783690200000, "email_id": "b'446'", "timestamp": "2026-07-10 16:01:03"}</t>
  </si>
  <si>
    <t>WATCH (2/10)</t>
  </si>
  <si>
    <t>TREND_SHORT is firing: sell score 68.8 (&gt;=65), dir_prob 24.28 (&lt;50 bearish), stage 4 downtrend, regime 6 squeeze. News read is CONTRADICTS — headlines show bullish semiconductor ETF record inflows and market dip-buying, opposing the short dominant side. Triage capped at WATCH by the news contradiction veto; soft flags apply for earnings (gate CAUTION, days -1 unknown) and squeeze (regime 6). No churn, oversold, chased, or stage_lag flags present.</t>
  </si>
  <si>
    <t>{"symbol": "BKR", "strategy": "Daily", "action": "SHORT", "alert_price": 57.67, "score": "", "dir_prob": "3.3", "net_sigma": "", "grade": "", "align": "", "premium": "", "wrong_if": "", "context": "", "subject": "Alert: Rev - Screener v1 (SPY, 12): Any alert() function call", "body": "{\"ticker\":\"BKR\", \"setup\":\"A+ Trend Short\", \"side\":\"SHORT\", \"price\":57.67, \"stage\":4, \"buy\":8.3, \"sell\":93.3, \"prime\":-2, \"revL\":0, \"revS\":0, \"vcp\":0, \"dir_prob\":3.3, \"time\":1783949400000}", "ticker": "BKR", "setup": "A+ Trend Short", "side": "SHORT", "price": 57.67, "stage": 4, "buy": 8.3, "sell": 93.3, "prime": -2, "revL": 0, "revS": 0, "vcp": 0, "time": 1783949400000, "email_id": "b'647'", "timestamp": "2026-07-13 16:01:31"}</t>
  </si>
  <si>
    <t>ERIE</t>
  </si>
  <si>
    <t>Buy: 96.6 | Sell: 5.7</t>
  </si>
  <si>
    <t>{"symbol": "WMT", "strategy": "Daily", "action": "SHORT", "alert_price": 113.68, "score": "", "dir_prob": "5.3", "net_sigma": "", "grade": "", "align": "", "premium": "", "wrong_if": "", "context": "", "subject": "Alert: Rev - Screener v1 (SPY, 12): Any alert() function call", "body": "{\"ticker\":\"WMT\", \"setup\":\"A+ Trend Short\", \"side\":\"SHORT\", \"price\":113.68, \"stage\":4, \"buy\":7, \"sell\":87.8, \"prime\":-2, \"revL\":0, \"revS\":0, \"vcp\":0, \"dir_prob\":5.3, \"time\":1784035800000}", "ticker": "WMT", "setup": "A+ Trend Short", "side": "SHORT", "price": 113.68, "stage": 4, "buy": 7, "sell": 87.8, "prime": -2, "revL": 0, "revS": 0, "vcp": 0, "time": 1784035800000, "email_id": "b'820'", "timestamp": "2026-07-14 16:01:12"}</t>
  </si>
  <si>
    <t>Buy: 71.5 | Sell: 16.5</t>
  </si>
  <si>
    <t>BUY</t>
  </si>
  <si>
    <t>8</t>
  </si>
  <si>
    <t>Buy: 93.2 | Sell: 27.1</t>
  </si>
  <si>
    <t>{"symbol": "CTSH", "strategy": "Daily", "action": "SHORT", "alert_price": 43.37, "score": "", "dir_prob": "10.5", "net_sigma": "", "grade": "", "align": "", "premium": "", "wrong_if": "", "context": "", "subject": "Alert: Rev - Screener v1 (SPY, 12): Any alert() function call", "body": "{\"ticker\":\"CTSH\", \"setup\":\"A+ Trend Short\", \"side\":\"SHORT\", \"price\":43.37, \"stage\":4, \"buy\":13.3, \"sell\":91.7, \"prime\":-2, \"revL\":0, \"revS\":0, \"vcp\":0, \"dir_prob\":10.5, \"time\":1783603800000}", "ticker": "CTSH", "setup": "A+ Trend Short", "side": "SHORT", "price": 43.37, "stage": 4, "buy": 13.3, "sell": 91.7, "prime": -2, "revL": 0, "revS": 0, "vcp": 0, "time": 1783603800000, "email_id": "b'275'", "timestamp": "2026-07-09 16:01:33"}</t>
  </si>
  <si>
    <t>Entry: $42.56-$43.18 (Long Entry Zone). Ideal entry on micro-pullback to $42.70-$42.90. Current price $43.18 is at zone top — acceptable but not optimal. DO NOT chase above $43.50.
Stop: $41.55 (Long Stop Loss from Row 3). Risk = $1.63 (3.78% from entry). Just above the 3% rule — size accordingly. Hard invalidation below $41.55.
Target: $46.31 (Long Target from Row 4). Reward = $3.13 (7.25%). R:R = 1.92:1 ✓ (above 1.5:1 minimum). Within 21-day expected move (9.65%) — statistically sound.
EXECUTE LONG at 100% standard size. All filters green: PRIME BUY + Stage 2 + ▲ score + Dir Prob 95.29% + Regime 0 (Healthy) + Ext% only 5.04% (not parabolic). The ▲ arrow on a 97 Buy score confirms conviction is strengthening, not fading. DORMANT energy suggests a volatility expansion is imminent — this favors a breakout continuation, not a fade. If user owns 100+ shares: consider selling covered calls at $46 (near target) for 30-45 DTE to capture premium while waiting for target hit. If earnings fall within 7 days, reduce to 50% size or skip per Bible rules.</t>
  </si>
  <si>
    <t>{"symbol": "AMCR", "strategy": "Daily", "action": "LONG", "alert_price": 43.18, "score": "", "dir_prob": "94.6", "net_sigma": "", "grade": "", "align": "", "premium": "", "wrong_if": "", "context": "", "subject": "Alert: Rev - Screener v1 (SPY, 12): Any alert() function call", "body": "{\"ticker\":\"AMCR\", \"setup\":\"A+ Trend Long\", \"side\":\"LONG\", \"price\":43.18, \"stage\":2, \"buy\":96.6, \"sell\":5.7, \"prime\":2, \"revL\":0, \"revS\":0, \"vcp\":0, \"dir_prob\":94.6, \"time\":1783690200000}", "ticker": "AMCR", "setup": "A+ Trend Long", "side": "LONG", "price": 43.18, "stage": 2, "buy": 96.6, "sell": 5.7, "prime": 2, "revL": 0, "revS": 0, "vcp": 0, "time": 1783690200000, "email_id": "b'447'", "timestamp": "2026-07-10 16:01:09"}</t>
  </si>
  <si>
    <t>No clean entry mode is firing: buy=59.27 (below the 65 TREND_LONG threshold), ignition_long=0, and rev_zone_l=4.5 / rev_zone_s=3.0 are both sub-7, so this falls under NONE with dominant_score=59.27 (&gt;=50) yielding a WATCH for moderate but unconfirmed long bias. News read is NEUTRAL with catalyst 'none' from empty headlines, providing no directional contradiction. Triage is WATCH ('moderate, no clean setup'); soft flags apply because earnings_gate=CAUTION (earnings_days=-1) adds 'earnings' and zone_state=above_zone with rr_from_current=0.09 adds 'chased' — no veto caps or other flags are triggered from the provided values.</t>
  </si>
  <si>
    <t>MKC</t>
  </si>
  <si>
    <t>{"symbol": "ERIE", "strategy": "Daily", "action": "LONG", "alert_price": 247.07, "score": "", "dir_prob": "97.7", "net_sigma": "", "grade": "", "align": "", "premium": "", "wrong_if": "", "context": "", "subject": "Alert: Rev - Screener v1 (SPY, 12): Any alert() function call", "body": "{\"ticker\":\"ERIE\", \"setup\":\"Early Action Long\", \"side\":\"LONG\", \"price\":247.07, \"stage\":2, \"buy\":71.5, \"sell\":16.5, \"prime\":1, \"revL\":0, \"revS\":0, \"vcp\":0, \"dir_prob\":97.7, \"time\":1783949400000}", "ticker": "ERIE", "setup": "Early Action Long", "side": "LONG", "price": 247.07, "stage": 2, "buy": 71.5, "sell": 16.5, "prime": 1, "revL": 0, "revS": 0, "vcp": 0, "time": 1783949400000, "email_id": "b'648'", "timestamp": "2026-07-13 16:01:32"}</t>
  </si>
  <si>
    <t>{"symbol": "PCAR", "strategy": "Daily", "action": "LONG", "alert_price": 123.97, "score": "", "dir_prob": "89.3", "net_sigma": "", "grade": "", "align": "", "premium": "", "wrong_if": "", "context": "", "subject": "Alert: Rev - Screener v1 (SPY, 12): Any alert() function call", "body": "{\"ticker\":\"PCAR\", \"setup\":\"A+ Trend Long\", \"side\":\"LONG\", \"price\":123.97, \"stage\":2, \"buy\":93.2, \"sell\":27.1, \"prime\":2, \"revL\":0, \"revS\":0, \"vcp\":0, \"dir_prob\":89.3, \"time\":1784035800000}", "ticker": "PCAR", "setup": "A+ Trend Long", "side": "LONG", "price": 123.97, "stage": 2, "buy": 93.2, "sell": 27.1, "prime": 2, "revL": 0, "revS": 0, "vcp": 0, "time": 1784035800000, "email_id": "b'821'", "timestamp": "2026-07-14 16:01:13"}</t>
  </si>
  <si>
    <t>Buy: 88.5 | Sell: 9.1</t>
  </si>
  <si>
    <t>Buy: 95.7 | Sell: 15.5</t>
  </si>
  <si>
    <t>Buy: 77.2 | Sell: 6.2</t>
  </si>
  <si>
    <t>Buy: 94.3 | Sell: 15.4</t>
  </si>
  <si>
    <t>{"symbol": "TMO", "strategy": "Daily", "action": "LONG", "alert_price": 528.46, "score": "", "dir_prob": "89.8", "net_sigma": "", "grade": "", "align": "", "premium": "", "wrong_if": "", "context": "", "subject": "Alert: Rev - Screener v1 (SPY, 12): Any alert() function call", "body": "{\"ticker\":\"TMO\", \"setup\":\"A+ Trend Long\", \"side\":\"LONG\", \"price\":528.46, \"stage\":2, \"buy\":88.5, \"sell\":9.1, \"prime\":2, \"revL\":0, \"revS\":0, \"vcp\":0, \"dir_prob\":89.8, \"time\":1783949400000}", "ticker": "TMO", "setup": "A+ Trend Long", "side": "LONG", "price": 528.46, "stage": 2, "buy": 88.5, "sell": 9.1, "prime": 2, "revL": 0, "revS": 0, "vcp": 0, "time": 1783949400000, "email_id": "b'649'", "timestamp": "2026-07-13 16:01:07"}</t>
  </si>
  <si>
    <t>{"symbol": "HRL", "strategy": "Daily", "action": "LONG", "alert_price": 24.81, "score": "", "dir_prob": "94.7", "net_sigma": "", "grade": "", "align": "", "premium": "", "wrong_if": "", "context": "", "subject": "Alert: Rev - Screener v1 (SPY, 12): Any alert() function call", "body": "{\"ticker\":\"HRL\", \"setup\":\"A+ Trend Long\", \"side\":\"LONG\", \"price\":24.81, \"stage\":2, \"buy\":94.3, \"sell\":15.4, \"prime\":2, \"revL\":0, \"revS\":0, \"vcp\":0, \"dir_prob\":94.7, \"time\":1784035800000}", "ticker": "HRL", "setup": "A+ Trend Long", "side": "LONG", "price": 24.81, "stage": 2, "buy": 94.3, "sell": 15.4, "prime": 2, "revL": 0, "revS": 0, "vcp": 0, "time": 1784035800000, "email_id": "b'824'", "timestamp": "2026-07-14 16:01:14"}</t>
  </si>
  <si>
    <t>Buy: 95 | Sell: 20.6</t>
  </si>
  <si>
    <t>{"symbol": "IR", "strategy": "Daily", "action": "LONG", "alert_price": 78.85, "score": "", "dir_prob": "95.1", "net_sigma": "", "grade": "", "align": "", "premium": "", "wrong_if": "", "context": "", "subject": "Alert: Rev - Screener v1 (SPY, 12): Any alert() function call", "body": "{\"ticker\":\"IR\", \"setup\":\"A+ Trend Long\", \"side\":\"LONG\", \"price\":78.85, \"stage\":2, \"buy\":95.7, \"sell\":15.5, \"prime\":2, \"revL\":0, \"revS\":0, \"vcp\":0, \"dir_prob\":95.1, \"time\":1783690200000}", "ticker": "IR", "setup": "A+ Trend Long", "side": "LONG", "price": 78.85, "stage": 2, "buy": 95.7, "sell": 15.5, "prime": 2, "revL": 0, "revS": 0, "vcp": 0, "time": 1783690200000, "email_id": "b'476'", "timestamp": "2026-07-10 16:01:52"}</t>
  </si>
  <si>
    <t>TREND_LONG is firing: buy score 65.54 (&gt;=65) with dir_prob 82.91 and stage 2 / regime 0 indicating a healthy uptrend. News CONFIRMS the long side via the catalyst 'Multiple analysts raise price targets' (three banks lifted PTs). Triage is capped to WATCH because zone_state is above_zone and rr_from_current is 0.279 (&lt;1.0), marking a chased entry with poor R:R; key_flags show 'chased' and 'earnings' (earnings_days=-1, gate CAUTION). No exhaustion, churn, or stage-lag flags apply from the given values.</t>
  </si>
  <si>
    <t>BALL</t>
  </si>
  <si>
    <t>Buy: 4.3 | Sell: 86.6</t>
  </si>
  <si>
    <t>Buy: 94.4 | Sell: 8</t>
  </si>
  <si>
    <t>{"symbol": "HRL", "strategy": "Daily", "action": "LONG", "alert_price": 24.46, "score": "", "dir_prob": "94.1", "net_sigma": "", "grade": "", "align": "", "premium": "", "wrong_if": "", "context": "", "subject": "Alert: Rev - Screener v1 (SPY, 12): Any alert() function call", "body": "{\"ticker\":\"HRL\", \"setup\":\"A+ Trend Long\", \"side\":\"LONG\", \"price\":24.46, \"stage\":2, \"buy\":95, \"sell\":20.6, \"prime\":2, \"revL\":0, \"revS\":0, \"vcp\":0, \"dir_prob\":94.1, \"time\":1783949400000}", "ticker": "HRL", "setup": "A+ Trend Long", "side": "LONG", "price": 24.46, "stage": 2, "buy": 95, "sell": 20.6, "prime": 2, "revL": 0, "revS": 0, "vcp": 0, "time": 1783949400000, "email_id": "b'650'", "timestamp": "2026-07-13 16:01:29"}</t>
  </si>
  <si>
    <t>NUE</t>
  </si>
  <si>
    <t>{"symbol": "BALL", "strategy": "Daily", "action": "LONG", "alert_price": 61.7, "score": "", "dir_prob": "96.5", "net_sigma": "", "grade": "", "align": "", "premium": "", "wrong_if": "", "context": "", "subject": "Alert: Rev - Screener v1 (SPY, 12): Any alert() function call", "body": "{\"ticker\":\"BALL\", \"setup\":\"A+ Trend Long\", \"side\":\"LONG\", \"price\":61.70, \"stage\":2, \"buy\":94.4, \"sell\":8, \"prime\":2, \"revL\":0, \"revS\":0, \"vcp\":0, \"dir_prob\":96.5, \"time\":1783690200000}", "ticker": "BALL", "setup": "A+ Trend Long", "side": "LONG", "price": 61.7, "stage": 2, "buy": 94.4, "sell": 8, "prime": 2, "revL": 0, "revS": 0, "vcp": 0, "time": 1783690200000, "email_id": "b'485'", "timestamp": "2026-07-10 16:01:33"}</t>
  </si>
  <si>
    <t>{"symbol": "MKC", "strategy": "Daily", "action": "LONG", "alert_price": 51.54, "score": "", "dir_prob": "98.2", "net_sigma": "", "grade": "", "align": "", "premium": "", "wrong_if": "", "context": "", "subject": "Alert: Rev - Screener v1 (SPY, 12): Any alert() function call", "body": "{\"ticker\":\"MKC\", \"setup\":\"Early Action Long\", \"side\":\"LONG\", \"price\":51.54, \"stage\":2, \"buy\":77.2, \"sell\":6.2, \"prime\":1, \"revL\":0, \"revS\":0, \"vcp\":0, \"dir_prob\":98.2, \"time\":1783603800000}", "ticker": "MKC", "setup": "Early Action Long", "side": "LONG", "price": 51.54, "stage": 2, "buy": 77.2, "sell": 6.2, "prime": 1, "revL": 0, "revS": 0, "vcp": 0, "time": 1783603800000, "email_id": "b'338'", "timestamp": "2026-07-09 16:01:20"}</t>
  </si>
  <si>
    <t>TREND_SHORT is firing: dominant_side is short with sell score 68.95 (&gt;=65) and dir_prob 8.5 confirming bearish bias, while stage 4 and regime 4 show downtrend. News read is CONTRADICTS — Raymond James maintained Outperform (lowered target to $61) and a major contract award are bullish long-side items opposing the short thesis. Triage is capped at WATCH by the CONTRADICTS news veto despite the clean short signal. Soft flag 'earnings' applies because earnings_gate is CAUTION and earnings_days is -1 (unknown), but no exhaustion, churn, or chased flags are present.</t>
  </si>
  <si>
    <t>Buy: 9.4 | Sell: 91.4</t>
  </si>
  <si>
    <t>{"symbol": "BG", "strategy": "Daily", "action": "SHORT", "alert_price": 116.69, "score": "", "dir_prob": "7.9", "net_sigma": "", "grade": "", "align": "", "premium": "", "wrong_if": "", "context": "", "subject": "Alert: Rev - Screener v1 (SPY, 12): Any alert() function call", "body": "{\"ticker\":\"BG\", \"setup\":\"A+ Trend Short\", \"side\":\"SHORT\", \"price\":116.69, \"stage\":4, \"buy\":4.3, \"sell\":86.6, \"prime\":-2, \"revL\":0, \"revS\":0, \"vcp\":0, \"dir_prob\":7.9, \"time\":1784035800000}", "ticker": "BG", "setup": "A+ Trend Short", "side": "SHORT", "price": 116.69, "stage": 4, "buy": 4.3, "sell": 86.6, "prime": -2, "revL": 0, "revS": 0, "vcp": 0, "time": 1784035800000, "email_id": "b'826'", "timestamp": "2026-07-14 16:01:15"}</t>
  </si>
  <si>
    <t>Buy: 86.8 | Sell: 6.2</t>
  </si>
  <si>
    <t>Buy: 95.2 | Sell: 5.7</t>
  </si>
  <si>
    <t>{"symbol": "ES", "strategy": "Daily", "action": "LONG", "alert_price": 74.83, "score": "", "dir_prob": "94.2", "net_sigma": "", "grade": "", "align": "", "premium": "", "wrong_if": "", "context": "", "subject": "Alert: Rev - Screener v1 (SPY, 12): Any alert() function call", "body": "{\"ticker\":\"ES\", \"setup\":\"A+ Trend Long\", \"side\":\"LONG\", \"price\":74.83, \"stage\":2, \"buy\":86.8, \"sell\":6.2, \"prime\":2, \"revL\":0, \"revS\":0, \"vcp\":0, \"dir_prob\":94.2, \"time\":1783690200000}", "ticker": "ES", "setup": "A+ Trend Long", "side": "LONG", "price": 74.83, "stage": 2, "buy": 86.8, "sell": 6.2, "prime": 2, "revL": 0, "revS": 0, "vcp": 0, "time": 1783690200000, "email_id": "b'414'", "timestamp": "2026-07-10 16:01:22"}</t>
  </si>
  <si>
    <t>No entry mode fires: sell score is 60.0 (below the 65 threshold for TREND_SHORT), rev_zone_s is 0.0 and rev_zone_l is 1.5 (both below reversal tiers), and ignition_long is 0, leaving dominant_side=short without a clean signal in Stage 4 / regime 4. News is mixed — RBC lowered its price target to $210 but maintained Outperform, classified NEUTRAL relative to the short side rather than a clear confirm or contradict. Triage is WATCH because dominant_score (sell=60) is &gt;=50 with no clean setup, and the only flag is 'earnings' from earnings_gate=CAUTION and earnings_days=-1 (unknown date).</t>
  </si>
  <si>
    <t>Buy: 85.9 | Sell: 7.3</t>
  </si>
  <si>
    <t>{"symbol": "NUE", "strategy": "Daily", "action": "SHORT", "alert_price": 232.88, "score": "", "dir_prob": "6.3", "net_sigma": "", "grade": "", "align": "", "premium": "", "wrong_if": "", "context": "", "subject": "Alert: Rev - Screener v1 (SPY, 12): Any alert() function call", "body": "{\"ticker\":\"NUE\", \"setup\":\"A+ Trend Short\", \"side\":\"SHORT\", \"price\":232.88, \"stage\":4, \"buy\":9.4, \"sell\":91.4, \"prime\":-2, \"revL\":0, \"revS\":0, \"vcp\":0, \"dir_prob\":6.3, \"time\":1783949400000}", "ticker": "NUE", "setup": "A+ Trend Short", "side": "SHORT", "price": 232.88, "stage": 4, "buy": 9.4, "sell": 91.4, "prime": -2, "revL": 0, "revS": 0, "vcp": 0, "time": 1783949400000, "email_id": "b'651'", "timestamp": "2026-07-13 16:01:32"}</t>
  </si>
  <si>
    <t>{"symbol": "HSIC", "strategy": "Daily", "action": "LONG", "alert_price": 86.92, "score": "", "dir_prob": "95.4", "net_sigma": "", "grade": "", "align": "", "premium": "", "wrong_if": "", "context": "", "subject": "Alert: Rev - Screener v1 (SPY, 12): Any alert() function call", "body": "{\"ticker\":\"HSIC\", \"setup\":\"A+ Trend Long\", \"side\":\"LONG\", \"price\":86.92, \"stage\":2, \"buy\":95.2, \"sell\":5.7, \"prime\":2, \"revL\":0, \"revS\":0, \"vcp\":0, \"dir_prob\":95.4, \"time\":1784035800000}", "ticker": "HSIC", "setup": "A+ Trend Long", "side": "LONG", "price": 86.92, "stage": 2, "buy": 95.2, "sell": 5.7, "prime": 2, "revL": 0, "revS": 0, "vcp": 0, "time": 1784035800000, "email_id": "b'828'", "timestamp": "2026-07-14 16:01:19"}</t>
  </si>
  <si>
    <t>Buy: 96.1 | Sell: 7.7</t>
  </si>
  <si>
    <t>Buy: 97.1 | Sell: 17.3</t>
  </si>
  <si>
    <t>Buy: 86.7 | Sell: 13</t>
  </si>
  <si>
    <t>{"symbol": "FAST", "strategy": "Daily", "action": "LONG", "alert_price": 46.49, "score": "", "dir_prob": "93.6", "net_sigma": "", "grade": "", "align": "", "premium": "", "wrong_if": "", "context": "", "subject": "Alert: Rev - Screener v1 (SPY, 12): Any alert() function call", "body": "{\"ticker\":\"FAST\", \"setup\":\"A+ Trend Long\", \"side\":\"LONG\", \"price\":46.49, \"stage\":2, \"buy\":96.1, \"sell\":7.7, \"prime\":2, \"revL\":0, \"revS\":0, \"vcp\":0, \"dir_prob\":93.6, \"time\":1783690200000}", "ticker": "FAST", "setup": "A+ Trend Long", "side": "LONG", "price": 46.49, "stage": 2, "buy": 96.1, "sell": 7.7, "prime": 2, "revL": 0, "revS": 0, "vcp": 0, "time": 1783690200000, "email_id": "b'377'", "timestamp": "2026-07-10 16:01:01"}</t>
  </si>
  <si>
    <t>TREND_LONG is firing: dominant_side is long with buy score 78.8 (&gt;=65), dir_prob 92.13, stage 2, and regime 0 (healthy) confirming a trend/dip-buy long setup. News read is NEUTRAL with catalyst 'none' (headlines empty), so no contradiction or confirmation. Triage is capped to WATCH because price is above_zone (zone_state=above_zone) with rr_from_current 0.096 (&lt;1.0), a chased poor R:R entry per the veto overlay. Soft flags apply: 'chased' (zone_state != in_zone) and 'earnings' (earnings_days=-1, gate CAUTION); no exhaustion, churn, or stage_lag given ext_pct 9.47, opposite_score 29.53, and stage 2.</t>
  </si>
  <si>
    <t>CMS</t>
  </si>
  <si>
    <t>Buy: 93.4 | Sell: 15.6</t>
  </si>
  <si>
    <t>{"symbol": "LUV", "strategy": "Daily", "action": "LONG", "alert_price": 47.93, "score": "", "dir_prob": "94.1", "net_sigma": "", "grade": "", "align": "", "premium": "", "wrong_if": "", "context": "", "subject": "Alert: Rev - Screener v1 (SPY, 12): Any alert() function call", "body": "{\"ticker\":\"LUV\", \"setup\":\"A+ Trend Long\", \"side\":\"LONG\", \"price\":47.93, \"stage\":2, \"buy\":97.1, \"sell\":17.3, \"prime\":2, \"revL\":0, \"revS\":0, \"vcp\":0, \"dir_prob\":94.1, \"time\":1783949400000}", "ticker": "LUV", "setup": "A+ Trend Long", "side": "LONG", "price": 47.93, "stage": 2, "buy": 97.1, "sell": 17.3, "prime": 2, "revL": 0, "revS": 0, "vcp": 0, "time": 1783949400000, "email_id": "b'652'", "timestamp": "2026-07-13 16:01:30"}</t>
  </si>
  <si>
    <t>{"symbol": "GWW", "strategy": "Daily", "action": "LONG", "alert_price": 1371.09, "score": "", "dir_prob": "89.7", "net_sigma": "", "grade": "", "align": "", "premium": "", "wrong_if": "", "context": "", "subject": "Alert: Rev - Screener v1 (SPY, 12): Any alert() function call", "body": "{\"ticker\":\"GWW\", \"setup\":\"A+ Trend Long\", \"side\":\"LONG\", \"price\":1371.09, \"stage\":2, \"buy\":86.7, \"sell\":13, \"prime\":2, \"revL\":0, \"revS\":0, \"vcp\":1, \"dir_prob\":89.7, \"time\":1784035800000}", "ticker": "GWW", "setup": "A+ Trend Long", "side": "LONG", "price": 1371.09, "stage": 2, "buy": 86.7, "sell": 13, "prime": 2, "revL": 0, "revS": 0, "vcp": 1, "time": 1784035800000, "email_id": "b'831'", "timestamp": "2026-07-14 16:01:27"}</t>
  </si>
  <si>
    <t>Buy: 14.8 | Sell: 92.5</t>
  </si>
  <si>
    <t>Buy: 74.7 | Sell: 28.9</t>
  </si>
  <si>
    <t>{"symbol": "DHR", "strategy": "Daily", "action": "LONG", "alert_price": 195.83, "score": "", "dir_prob": "90.9", "net_sigma": "", "grade": "", "align": "", "premium": "", "wrong_if": "", "context": "", "subject": "Alert: Rev - Screener v1 (SPY, 12): Any alert() function call", "body": "{\"ticker\":\"DHR\", \"setup\":\"A+ Trend Long\", \"side\":\"LONG\", \"price\":195.83, \"stage\":2, \"buy\":85.9, \"sell\":7.3, \"prime\":2, \"revL\":0, \"revS\":0, \"vcp\":0, \"dir_prob\":90.9, \"time\":1783603800000}", "ticker": "DHR", "setup": "A+ Trend Long", "side": "LONG", "price": 195.83, "stage": 2, "buy": 85.9, "sell": 7.3, "prime": 2, "revL": 0, "revS": 0, "vcp": 0, "time": 1783603800000, "email_id": "b'165'", "timestamp": "2026-07-09 16:01:03"}</t>
  </si>
  <si>
    <t>{"symbol": "CMS", "strategy": "Daily", "action": "LONG", "alert_price": 75.39, "score": "", "dir_prob": "92.3", "net_sigma": "", "grade": "", "align": "", "premium": "", "wrong_if": "", "context": "", "subject": "Alert: Rev - Screener v1 (SPY, 12): Any alert() function call", "body": "{\"ticker\":\"CMS\", \"setup\":\"A+ Trend Long\", \"side\":\"LONG\", \"price\":75.39, \"stage\":2, \"buy\":93.4, \"sell\":15.6, \"prime\":2, \"revL\":0, \"revS\":0, \"vcp\":0, \"dir_prob\":92.3, \"time\":1783690200000}", "ticker": "CMS", "setup": "A+ Trend Long", "side": "LONG", "price": 75.39, "stage": 2, "buy": 93.4, "sell": 15.6, "prime": 2, "revL": 0, "revS": 0, "vcp": 0, "time": 1783690200000, "email_id": "b'395'", "timestamp": "2026-07-10 16:01:07"}</t>
  </si>
  <si>
    <t>TREND_LONG is firing: buy score 82.81 (&gt;=65) with dir_prob 81.77 and stage 2 / regime 0 confirm a healthy uptrend, while rev_zone_l 4.5 is too weak for reversion. News read is NEUTRAL — the listed catalyst 'Earnings' is unconfirmed by the provided headlines (Blue Owl exodus, staff-bet ban, semi boost) which do not directly support or oppose GS. Triage is capped to WATCH because price is above_zone (zone_state=above_zone) with rr_from_current 0.17 (&lt;1.0), a chased poor R:R entry per the veto overlay; key_flags add 'chased' and 'earnings' (gate CAUTION, days=-1). No exhaustion, churn, or stage-lag flags apply given ext_pct 18.39, exhaustion 0.09, and opposite_score 12.01.</t>
  </si>
  <si>
    <t>{"symbol": "AMZN", "strategy": "Daily", "action": "SHORT", "alert_price": 247.34, "score": "", "dir_prob": "11.7", "net_sigma": "", "grade": "", "align": "", "premium": "", "wrong_if": "", "context": "", "subject": "Alert: Rev - Screener v1 (SPY, 12): Any alert() function call", "body": "{\"ticker\":\"AMZN\", \"setup\":\"A+ Trend Short\", \"side\":\"SHORT\", \"price\":247.34, \"stage\":4, \"buy\":14.8, \"sell\":92.5, \"prime\":-2, \"revL\":0, \"revS\":0, \"vcp\":2, \"dir_prob\":11.7, \"time\":1783949400000}", "ticker": "AMZN", "setup": "A+ Trend Short", "side": "SHORT", "price": 247.34, "stage": 4, "buy": 14.8, "sell": 92.5, "prime": -2, "revL": 0, "revS": 0, "vcp": 2, "time": 1783949400000, "email_id": "b'653'", "timestamp": "2026-07-13 16:01:12"}</t>
  </si>
  <si>
    <t>Buy: 12 | Sell: 90.6</t>
  </si>
  <si>
    <t>Buy: 96.8 | Sell: 13.5</t>
  </si>
  <si>
    <t>{"symbol": "VRSK", "strategy": "Daily", "action": "LONG", "alert_price": 190.55, "score": "", "dir_prob": "91.7", "net_sigma": "", "grade": "", "align": "", "premium": "", "wrong_if": "", "context": "", "subject": "Alert: Rev - Screener v1 (SPY, 12): Any alert() function call", "body": "{\"ticker\":\"VRSK\", \"setup\":\"Early Action Long\", \"side\":\"LONG\", \"price\":190.55, \"stage\":2, \"buy\":74.7, \"sell\":28.9, \"prime\":1, \"revL\":0, \"revS\":0, \"vcp\":0, \"dir_prob\":91.7, \"time\":1784035800000}", "ticker": "VRSK", "setup": "Early Action Long", "side": "LONG", "price": 190.55, "stage": 2, "buy": 74.7, "sell": 28.9, "prime": 1, "revL": 0, "revS": 0, "vcp": 0, "time": 1784035800000, "email_id": "b'833'", "timestamp": "2026-07-14 16:01:26"}</t>
  </si>
  <si>
    <t>Buy: 96.3 | Sell: 6.8</t>
  </si>
  <si>
    <t>Buy: 6.1 | Sell: 90.5</t>
  </si>
  <si>
    <t>{"symbol": "FOX", "strategy": "Daily", "action": "SHORT", "alert_price": 48.74, "score": "", "dir_prob": "5.7", "net_sigma": "", "grade": "", "align": "", "premium": "", "wrong_if": "", "context": "", "subject": "Alert: Rev - Screener v1 (SPY, 12): Any alert() function call", "body": "{\"ticker\":\"FOX\", \"setup\":\"A+ Trend Short\", \"side\":\"SHORT\", \"price\":48.74, \"stage\":4, \"buy\":12, \"sell\":90.6, \"prime\":-2, \"revL\":0, \"revS\":0, \"vcp\":0, \"dir_prob\":5.7, \"time\":1783690200000}", "ticker": "FOX", "setup": "A+ Trend Short", "side": "SHORT", "price": 48.74, "stage": 4, "buy": 12, "sell": 90.6, "prime": -2, "revL": 0, "revS": 0, "vcp": 0, "time": 1783690200000, "email_id": "b'428'", "timestamp": "2026-07-10 16:01:28"}</t>
  </si>
  <si>
    <t>TREND_SHORT is firing: dominant_side=short with sell=77.36 (&gt;=65), dir_prob=18.79 (&lt;50 bearish), stage=4 (downtrend) and regime=4 confirming bearish control. News read is NEUTRAL: the catalyst is analyst rating (Citi/Barclays maintain Buy/Overweight but lower price targets), which is mixed and does not clearly contradict the short bias. Triage is PASS as a trend short with no WATCH cap (no CONTRADICTS, no FAIL earnings, rev_zone_l=4 &lt;10, stage!=2); the only soft flag is 'earnings' because earnings_gate=CAUTION and earnings_days=-1 (unknown).</t>
  </si>
  <si>
    <t>Buy: 97.2 | Sell: 5</t>
  </si>
  <si>
    <t>{"symbol": "BAC", "strategy": "Daily", "action": "LONG", "alert_price": 59.53, "score": "", "dir_prob": "90.3", "net_sigma": "", "grade": "", "align": "", "premium": "", "wrong_if": "", "context": "", "subject": "Alert: Rev - Screener v1 (SPY, 12): Any alert() function call", "body": "{\"ticker\":\"BAC\", \"setup\":\"A+ Trend Long\", \"side\":\"LONG\", \"price\":59.53, \"stage\":2, \"buy\":96.8, \"sell\":13.5, \"prime\":2, \"revL\":0, \"revS\":0, \"vcp\":0, \"dir_prob\":90.3, \"time\":1783949400000}", "ticker": "BAC", "setup": "A+ Trend Long", "side": "LONG", "price": 59.53, "stage": 2, "buy": 96.8, "sell": 13.5, "prime": 2, "revL": 0, "revS": 0, "vcp": 0, "time": 1783949400000, "email_id": "b'655'", "timestamp": "2026-07-13 16:01:34"}</t>
  </si>
  <si>
    <t>CNC</t>
  </si>
  <si>
    <t>Buy: 73.1 | Sell: 43.7</t>
  </si>
  <si>
    <t>{"symbol": "ITW", "strategy": "Daily", "action": "LONG", "alert_price": 268.82, "score": "", "dir_prob": "95", "net_sigma": "", "grade": "", "align": "", "premium": "", "wrong_if": "", "context": "", "subject": "Alert: Rev - Screener v1 (SPY, 12): Any alert() function call", "body": "{\"ticker\":\"ITW\", \"setup\":\"A+ Trend Long\", \"side\":\"LONG\", \"price\":268.82, \"stage\":2, \"buy\":97.2, \"sell\":5, \"prime\":2, \"revL\":0, \"revS\":0, \"vcp\":0, \"dir_prob\":95, \"time\":1783690200000}", "ticker": "ITW", "setup": "A+ Trend Long", "side": "LONG", "price": 268.82, "stage": 2, "buy": 97.2, "sell": 5, "prime": 2, "revL": 0, "revS": 0, "vcp": 0, "time": 1783690200000, "email_id": "b'431'", "timestamp": "2026-07-10 16:01:11"}</t>
  </si>
  <si>
    <t>{"symbol": "PFE", "strategy": "Daily", "action": "SHORT", "alert_price": 24.26, "score": "", "dir_prob": "6.4", "net_sigma": "", "grade": "", "align": "", "premium": "", "wrong_if": "", "context": "", "subject": "Alert: Rev - Screener v1 (SPY, 12): Any alert() function call", "body": "{\"ticker\":\"PFE\", \"setup\":\"A+ Trend Short\", \"side\":\"SHORT\", \"price\":24.26, \"stage\":4, \"buy\":6.1, \"sell\":90.5, \"prime\":-2, \"revL\":0, \"revS\":0, \"vcp\":0, \"dir_prob\":6.4, \"time\":1784035800000}", "ticker": "PFE", "setup": "A+ Trend Short", "side": "SHORT", "price": 24.26, "stage": 4, "buy": 6.1, "sell": 90.5, "prime": -2, "revL": 0, "revS": 0, "vcp": 0, "time": 1784035800000, "email_id": "b'834'", "timestamp": "2026-07-14 16:01:22"}</t>
  </si>
  <si>
    <t>TREND_SHORT is firing: sell score 78.16 (&gt;=65), dir_prob 7.06 (&lt;50 bearish), stage 4 and regime 4 confirm a downtrend short edge. News read is CONTRADICTS — the Wolfe Research upgrade to Outperform with $188 PT is bullish and opposes the dominant short side. Triage is capped at WATCH by the news-contradiction veto; an earnings CAUTION soft flag (earnings_days=-1) is attached, with no exhaustion, churn, or stage-lag flags applying.</t>
  </si>
  <si>
    <t>Buy: 96.5 | Sell: 5.6</t>
  </si>
  <si>
    <t>Buy: 95.5 | Sell: 17.7</t>
  </si>
  <si>
    <t>{"symbol": "HRL", "strategy": "Daily", "action": "LONG", "alert_price": 24.33, "score": "", "dir_prob": "96.4", "net_sigma": "", "grade": "", "align": "", "premium": "", "wrong_if": "", "context": "", "subject": "Alert: Rev - Screener v1 (SPY, 12): Any alert() function call", "body": "{\"ticker\":\"HRL\", \"setup\":\"A+ Trend Long\", \"side\":\"LONG\", \"price\":24.33, \"stage\":2, \"buy\":96.3, \"sell\":6.8, \"prime\":2, \"revL\":0, \"revS\":0, \"vcp\":0, \"dir_prob\":96.4, \"time\":1783603800000}", "ticker": "HRL", "setup": "A+ Trend Long", "side": "LONG", "price": 24.33, "stage": 2, "buy": 96.3, "sell": 6.8, "prime": 2, "revL": 0, "revS": 0, "vcp": 0, "time": 1783603800000, "email_id": "b'163'", "timestamp": "2026-07-09 16:01:02"}</t>
  </si>
  <si>
    <t>{"symbol": "CNC", "strategy": "Daily", "action": "LONG", "alert_price": 68.27, "score": "", "dir_prob": "65.3", "net_sigma": "", "grade": "", "align": "", "premium": "", "wrong_if": "", "context": "", "subject": "Alert: Rev - Screener v1 (SPY, 12): Any alert() function call", "body": "{\"ticker\":\"CNC\", \"setup\":\"Early Action Long\", \"side\":\"LONG\", \"price\":68.27, \"stage\":2, \"buy\":73.1, \"sell\":43.7, \"prime\":1, \"revL\":0, \"revS\":0, \"vcp\":0, \"dir_prob\":65.3, \"time\":1783949400000}", "ticker": "CNC", "setup": "Early Action Long", "side": "LONG", "price": 68.27, "stage": 2, "buy": 73.1, "sell": 43.7, "prime": 1, "revL": 0, "revS": 0, "vcp": 0, "time": 1783949400000, "email_id": "b'654'", "timestamp": "2026-07-13 16:01:34"}</t>
  </si>
  <si>
    <t>IVZ</t>
  </si>
  <si>
    <t>Buy: 75.2 | Sell: 60</t>
  </si>
  <si>
    <t>{"symbol": "UAL", "strategy": "Daily", "action": "LONG", "alert_price": 120.33, "score": "", "dir_prob": "88.9", "net_sigma": "", "grade": "", "align": "", "premium": "", "wrong_if": "", "context": "", "subject": "Alert: Rev - Screener v1 (SPY, 12): Any alert() function call", "body": "{\"ticker\":\"UAL\", \"setup\":\"A+ Trend Long\", \"side\":\"LONG\", \"price\":120.33, \"stage\":2, \"buy\":95.5, \"sell\":17.7, \"prime\":2, \"revL\":0, \"revS\":0, \"vcp\":0, \"dir_prob\":88.9, \"time\":1784035800000}", "ticker": "UAL", "setup": "A+ Trend Long", "side": "LONG", "price": 120.33, "stage": 2, "buy": 95.5, "sell": 17.7, "prime": 2, "revL": 0, "revS": 0, "vcp": 0, "time": 1784035800000, "email_id": "b'836'", "timestamp": "2026-07-14 16:01:27"}</t>
  </si>
  <si>
    <t>{"symbol": "KVUE", "strategy": "Daily", "action": "LONG", "alert_price": 19.48, "score": "", "dir_prob": "95.8", "net_sigma": "", "grade": "", "align": "", "premium": "", "wrong_if": "", "context": "", "subject": "Alert: Rev - Screener v1 (SPY, 12): Any alert() function call", "body": "{\"ticker\":\"KVUE\", \"setup\":\"A+ Trend Long\", \"side\":\"LONG\", \"price\":19.48, \"stage\":2, \"buy\":96.5, \"sell\":5.6, \"prime\":2, \"revL\":0, \"revS\":0, \"vcp\":0, \"dir_prob\":95.8, \"time\":1783690200000}", "ticker": "KVUE", "setup": "A+ Trend Long", "side": "LONG", "price": 19.48, "stage": 2, "buy": 96.5, "sell": 5.6, "prime": 2, "revL": 0, "revS": 0, "vcp": 0, "time": 1783690200000, "email_id": "b'526'", "timestamp": "2026-07-10 16:01:36"}</t>
  </si>
  <si>
    <t>TREND_LONG fires on dominant_side=long with buy=78.93 (&gt;=65), dir_prob=83.28, stage=2, regime=0 (healthy), ext_pct=2.94 and exhaustion=0.0282 indicating no extension or climax risk. News is NEUTRAL via a minor congress-member sale headline (catalyst: 'Congress member sold $15K'), neither confirming nor contradicting the long bias. Triage is capped to WATCH because zone_state=above_zone with rr_from_current=-0.25 (&lt;1.0) triggers a chased/poor-R:R veto, and earnings_gate=CAUTION (earnings_days=-1) adds a soft earnings flag; no exhaustion, churn, or stage-lag apply.</t>
  </si>
  <si>
    <t>EXPD</t>
  </si>
  <si>
    <t>Buy: 92.6 | Sell: 14</t>
  </si>
  <si>
    <t>Buy: 86 | Sell: 21.4</t>
  </si>
  <si>
    <t>Buy: 96.2 | Sell: 6.7</t>
  </si>
  <si>
    <t>{"symbol": "IVZ", "strategy": "Daily", "action": "LONG", "alert_price": 28.41, "score": "", "dir_prob": "56", "net_sigma": "", "grade": "", "align": "", "premium": "", "wrong_if": "", "context": "", "subject": "Alert: Rev - Screener v1 (SPY, 12): Any alert() function call", "body": "{\"ticker\":\"IVZ\", \"setup\":\"Early Action Long\", \"side\":\"LONG\", \"price\":28.41, \"stage\":2, \"buy\":75.2, \"sell\":60, \"prime\":1, \"revL\":0, \"revS\":0, \"vcp\":0, \"dir_prob\":56, \"time\":1783949400000}", "ticker": "IVZ", "setup": "Early Action Long", "side": "LONG", "price": 28.41, "stage": 2, "buy": 75.2, "sell": 60, "prime": 1, "revL": 0, "revS": 0, "vcp": 0, "time": 1783949400000, "email_id": "b'656'", "timestamp": "2026-07-13 16:01:04"}</t>
  </si>
  <si>
    <t>VICI</t>
  </si>
  <si>
    <t>Buy: 9.7 | Sell: 85.2</t>
  </si>
  <si>
    <t>{"symbol": "EXPD", "strategy": "Daily", "action": "LONG", "alert_price": 172.0, "score": "", "dir_prob": "83", "net_sigma": "", "grade": "", "align": "", "premium": "", "wrong_if": "", "context": "", "subject": "Alert: Rev - Screener v1 (SPY, 12): Any alert() function call", "body": "{\"ticker\":\"EXPD\", \"setup\":\"A+ Trend Long\", \"side\":\"LONG\", \"price\":172.00, \"stage\":2, \"buy\":86, \"sell\":21.4, \"prime\":2, \"revL\":0, \"revS\":0, \"vcp\":0, \"dir_prob\":83, \"time\":1783690200000}", "ticker": "EXPD", "setup": "A+ Trend Long", "side": "LONG", "price": 172.0, "stage": 2, "buy": 86, "sell": 21.4, "prime": 2, "revL": 0, "revS": 0, "vcp": 0, "time": 1783690200000, "email_id": "b'535'", "timestamp": "2026-07-10 16:01:39"}</t>
  </si>
  <si>
    <t>WATCH (6/10)</t>
  </si>
  <si>
    <t>TREND_LONG is firing on buy score 93.76 and dir_prob 74.21 in Stage 2, but regime 3 (Distribution) caps the triage at WATCH per the trend-long rule. News is neutral: Morgan Stanley maintained Equal-Weight and raised its target to $365, which neither confirms nor contradicts the long side. The WATCH cap is driven solely by the distribution regime; soft flags apply for exhaustion (ext_pct 23.74, exhaustion 0.47), chased entry (zone_state above_zone at 353.71 vs long_zone 346-348), and earnings caution (earnings_days -1, gate CAUTION).</t>
  </si>
  <si>
    <t>{"symbol": "AOS", "strategy": "Daily", "action": "LONG", "alert_price": 60.9, "score": "", "dir_prob": "94.1", "net_sigma": "", "grade": "", "align": "", "premium": "", "wrong_if": "", "context": "", "subject": "Alert: Rev - Screener v1 (SPY, 12): Any alert() function call", "body": "{\"ticker\":\"AOS\", \"setup\":\"A+ Trend Long\", \"side\":\"LONG\", \"price\":60.90, \"stage\":2, \"buy\":92.6, \"sell\":14, \"prime\":2, \"revL\":0, \"revS\":0, \"vcp\":0, \"dir_prob\":94.1, \"time\":1784035800000}", "ticker": "AOS", "setup": "A+ Trend Long", "side": "LONG", "price": 60.9, "stage": 2, "buy": 92.6, "sell": 14, "prime": 2, "revL": 0, "revS": 0, "vcp": 0, "time": 1784035800000, "email_id": "b'837'", "timestamp": "2026-07-14 16:01:30"}</t>
  </si>
  <si>
    <t>ED</t>
  </si>
  <si>
    <t>Buy: 90.2 | Sell: 24.2</t>
  </si>
  <si>
    <t>Buy: 20.6 | Sell: 85.5</t>
  </si>
  <si>
    <t>{"symbol": "VICI", "strategy": "Daily", "action": "SHORT", "alert_price": 26.39, "score": "", "dir_prob": "13.4", "net_sigma": "", "grade": "", "align": "", "premium": "", "wrong_if": "", "context": "", "subject": "Alert: Rev - Screener v1 (SPY, 12): Any alert() function call", "body": "{\"ticker\":\"VICI\", \"setup\":\"A+ Trend Short\", \"side\":\"SHORT\", \"price\":26.39, \"stage\":4, \"buy\":9.7, \"sell\":85.2, \"prime\":-2, \"revL\":0, \"revS\":0, \"vcp\":0, \"dir_prob\":13.4, \"time\":1783949400000}", "ticker": "VICI", "setup": "A+ Trend Short", "side": "SHORT", "price": 26.39, "stage": 4, "buy": 9.7, "sell": 85.2, "prime": -2, "revL": 0, "revS": 0, "vcp": 0, "time": 1783949400000, "email_id": "b'657'", "timestamp": "2026-07-13 16:01:06"}</t>
  </si>
  <si>
    <t>{"symbol": "ED", "strategy": "Daily", "action": "LONG", "alert_price": 111.15, "score": "", "dir_prob": "92.1", "net_sigma": "", "grade": "", "align": "", "premium": "", "wrong_if": "", "context": "", "subject": "Alert: Rev - Screener v1 (SPY, 12): Any alert() function call", "body": "{\"ticker\":\"ED\", \"setup\":\"A+ Trend Long\", \"side\":\"LONG\", \"price\":111.15, \"stage\":2, \"buy\":90.2, \"sell\":24.2, \"prime\":2, \"revL\":0, \"revS\":0, \"vcp\":0, \"dir_prob\":92.1, \"time\":1783690200000}", "ticker": "ED", "setup": "A+ Trend Long", "side": "LONG", "price": 111.15, "stage": 2, "buy": 90.2, "sell": 24.2, "prime": 2, "revL": 0, "revS": 0, "vcp": 0, "time": 1783690200000, "email_id": "b'540'", "timestamp": "2026-07-10 16:01:26"}</t>
  </si>
  <si>
    <t>PASS (4/10)</t>
  </si>
  <si>
    <t>TREND_SHORT is firing: dominant_side is short with sell score 84.02 (&gt;=65), dir_prob 23.37 confirms bearish bias, and stage 4 / regime 4 denote a downtrend. News read is NEUTRAL with catalyst 'none' from empty headlines, so no contradiction or confirmation. Triage is PASS as a clean trend short with no veto cap (rev_zone_l=0, stage!=2); soft flags apply for churn (opposite_score 69.98&gt;=60) and earnings (earnings_gate CAUTION, days=-1), but these annotate rather than block.</t>
  </si>
  <si>
    <t>Buy: 96.9 | Sell: 5.7</t>
  </si>
  <si>
    <t>Buy: 96.8 | Sell: 11.7</t>
  </si>
  <si>
    <t>{"symbol": "Q", "strategy": "Daily", "action": "SHORT", "alert_price": 141.66, "score": "", "dir_prob": "50", "net_sigma": "", "grade": "", "align": "", "premium": "", "wrong_if": "", "context": "", "subject": "Alert: Rev - Screener v1 (SPY, 12): Any alert() function call", "body": "{\"ticker\":\"Q\", \"setup\":\"A+ Trend Short\", \"side\":\"SHORT\", \"price\":141.66, \"stage\":4, \"buy\":20.6, \"sell\":85.5, \"prime\":-2, \"revL\":0, \"revS\":0, \"vcp\":0, \"dir_prob\":50, \"time\":1784035800000}", "ticker": "Q", "setup": "A+ Trend Short", "side": "SHORT", "price": 141.66, "stage": 4, "buy": 20.6, "sell": 85.5, "prime": -2, "revL": 0, "revS": 0, "vcp": 0, "time": 1784035800000, "email_id": "b'841'", "timestamp": "2026-07-14 16:01:33"}</t>
  </si>
  <si>
    <t>{"symbol": "KVUE", "strategy": "Daily", "action": "LONG", "alert_price": 19.17, "score": "", "dir_prob": "95.8", "net_sigma": "", "grade": "", "align": "", "premium": "", "wrong_if": "", "context": "", "subject": "Alert: Rev - Screener v1 (SPY, 12): Any alert() function call", "body": "{\"ticker\":\"KVUE\", \"setup\":\"A+ Trend Long\", \"side\":\"LONG\", \"price\":19.17, \"stage\":2, \"buy\":96.2, \"sell\":6.7, \"prime\":2, \"revL\":0, \"revS\":0, \"vcp\":0, \"dir_prob\":95.8, \"time\":1783603800000}", "ticker": "KVUE", "setup": "A+ Trend Long", "side": "LONG", "price": 19.17, "stage": 2, "buy": 96.2, "sell": 6.7, "prime": 2, "revL": 0, "revS": 0, "vcp": 0, "time": 1783603800000, "email_id": "b'312'", "timestamp": "2026-07-09 16:01:05"}</t>
  </si>
  <si>
    <t>Buy: 5.7 | Sell: 86.1</t>
  </si>
  <si>
    <t>{"symbol": "SYY", "strategy": "Daily", "action": "LONG", "alert_price": 83.46, "score": "", "dir_prob": "96.7", "net_sigma": "", "grade": "", "align": "", "premium": "", "wrong_if": "", "context": "", "subject": "Alert: Rev - Screener v1 (SPY, 12): Any alert() function call", "body": "{\"ticker\":\"SYY\", \"setup\":\"A+ Trend Long\", \"side\":\"LONG\", \"price\":83.46, \"stage\":2, \"buy\":96.9, \"sell\":5.7, \"prime\":2, \"revL\":0, \"revS\":0, \"vcp\":0, \"dir_prob\":96.7, \"time\":1783949400000}", "ticker": "SYY", "setup": "A+ Trend Long", "side": "LONG", "price": 83.46, "stage": 2, "buy": 96.9, "sell": 5.7, "prime": 2, "revL": 0, "revS": 0, "vcp": 0, "time": 1783949400000, "email_id": "b'658'", "timestamp": "2026-07-13 16:01:07"}</t>
  </si>
  <si>
    <t>{"symbol": "KEY", "strategy": "Daily", "action": "LONG", "alert_price": 23.3, "score": "", "dir_prob": "92.2", "net_sigma": "", "grade": "", "align": "", "premium": "", "wrong_if": "", "context": "", "subject": "Alert: Rev - Screener v1 (SPY, 12): Any alert() function call", "body": "{\"ticker\":\"KEY\", \"setup\":\"A+ Trend Long\", \"side\":\"LONG\", \"price\":23.30, \"stage\":2, \"buy\":96.8, \"sell\":11.7, \"prime\":2, \"revL\":0, \"revS\":0, \"vcp\":1, \"dir_prob\":92.2, \"time\":1783690200000}", "ticker": "KEY", "setup": "A+ Trend Long", "side": "LONG", "price": 23.3, "stage": 2, "buy": 96.8, "sell": 11.7, "prime": 2, "revL": 0, "revS": 0, "vcp": 1, "time": 1783690200000, "email_id": "b'448'", "timestamp": "2026-07-10 16:01:10"}</t>
  </si>
  <si>
    <t>FFIV</t>
  </si>
  <si>
    <t>WATCH (5/10)</t>
  </si>
  <si>
    <t>TREND_LONG is firing via buy score 91.91 (&gt;=65) with stage 2 and dominant_side long, though dir_prob 46.26 shows weak directional probability. News read is CONTRADICTS: the sole headline is Evercore ISI maintaining an Underperform rating (bearish analyst view) while raising target to $35. Triage is capped at WATCH by two veto overlays — CONTRADICTS news and chased/poor R:R (zone_state above_zone, rr_from_current 0.048 &lt;1.0); soft flags apply: exhaustion (ext_pct 24.45, exhaustion 0.3167), churn (opposite_score 75.15), chased (above zone), earnings (earnings_days -1, CAUTION), and extended regime 1.</t>
  </si>
  <si>
    <t>Buy: 84.3 | Sell: 22.8</t>
  </si>
  <si>
    <t>Buy: 94 | Sell: 10</t>
  </si>
  <si>
    <t>Buy: 96.1 | Sell: 10.6</t>
  </si>
  <si>
    <t>{"symbol": "VZ", "strategy": "Daily", "action": "SHORT", "alert_price": 42.46, "score": "", "dir_prob": "11.9", "net_sigma": "", "grade": "", "align": "", "premium": "", "wrong_if": "", "context": "", "subject": "Alert: Rev - Screener v1 (SPY, 12): Any alert() function call", "body": "{\"ticker\":\"VZ\", \"setup\":\"A+ Trend Short\", \"side\":\"SHORT\", \"price\":42.46, \"stage\":4, \"buy\":5.7, \"sell\":86.1, \"prime\":-2, \"revL\":0, \"revS\":0, \"vcp\":0, \"dir_prob\":11.9, \"time\":1784035800000}", "ticker": "VZ", "setup": "A+ Trend Short", "side": "SHORT", "price": 42.46, "stage": 4, "buy": 5.7, "sell": 86.1, "prime": -2, "revL": 0, "revS": 0, "vcp": 0, "time": 1784035800000, "email_id": "b'845'", "timestamp": "2026-07-14 16:01:36"}</t>
  </si>
  <si>
    <t>ABT</t>
  </si>
  <si>
    <t>{"symbol": "FFIV", "strategy": "Daily", "action": "LONG", "alert_price": 420.98, "score": "", "dir_prob": "76.1", "net_sigma": "", "grade": "", "align": "", "premium": "", "wrong_if": "", "context": "", "subject": "Alert: Rev - Screener v1 (SPY, 12): Any alert() function call", "body": "{\"ticker\":\"FFIV\", \"setup\":\"Early Action Long\", \"side\":\"LONG\", \"price\":420.98, \"stage\":2, \"buy\":84.3, \"sell\":22.8, \"prime\":1, \"revL\":0, \"revS\":0, \"vcp\":0, \"dir_prob\":76.1, \"time\":1783949400000}", "ticker": "FFIV", "setup": "Early Action Long", "side": "LONG", "price": 420.98, "stage": 2, "buy": 84.3, "sell": 22.8, "prime": 1, "revL": 0, "revS": 0, "vcp": 0, "time": 1783949400000, "email_id": "b'659'", "timestamp": "2026-07-13 16:01:14"}</t>
  </si>
  <si>
    <t>Buy: 94.4 | Sell: 7.2</t>
  </si>
  <si>
    <t>EQR</t>
  </si>
  <si>
    <t>Buy: 71.4 | Sell: 15.5</t>
  </si>
  <si>
    <t>{"symbol": "LLY", "strategy": "Daily", "action": "LONG", "alert_price": 1188.53, "score": "", "dir_prob": "92.8", "net_sigma": "", "grade": "", "align": "", "premium": "", "wrong_if": "", "context": "", "subject": "Alert: Rev - Screener v1 (SPY, 12): Any alert() function call", "body": "{\"ticker\":\"LLY\", \"setup\":\"A+ Trend Long\", \"side\":\"LONG\", \"price\":1188.53, \"stage\":2, \"buy\":94, \"sell\":10, \"prime\":2, \"revL\":0, \"revS\":0, \"vcp\":0, \"dir_prob\":92.8, \"time\":1783690200000}", "ticker": "LLY", "setup": "A+ Trend Long", "side": "LONG", "price": 1188.53, "stage": 2, "buy": 94, "sell": 10, "prime": 2, "revL": 0, "revS": 0, "vcp": 0, "time": 1783690200000, "email_id": "b'484'", "timestamp": "2026-07-10 16:01:31"}</t>
  </si>
  <si>
    <t>TREND_LONG fires on dominant_side=long with buy=91.29 (&gt;=65), dir_prob=83.72, stage=2, regime=0 (healthy uptrend). News read is NEUTRAL with catalyst 'none' (headlines empty). Triage is capped to WATCH by the veto overlay: long with zone_state=above_zone and rr_from_current=0.0087 (&lt;1.0) flags a chased, poor R:R entry; earnings_gate=CAUTION (earnings_days=-1) adds the 'earnings' soft flag. No exhaustion (exhaustion=0.13), churn (opposite_score=27.34), or stage_lag applies.</t>
  </si>
  <si>
    <t>Buy: 94.2 | Sell: 8.7</t>
  </si>
  <si>
    <t>{"symbol": "MAS", "strategy": "Daily", "action": "LONG", "alert_price": 76.66, "score": "", "dir_prob": "91.6", "net_sigma": "", "grade": "", "align": "", "premium": "", "wrong_if": "", "context": "", "subject": "Alert: Rev - Screener v1 (SPY, 12): Any alert() function call", "body": "{\"ticker\":\"MAS\", \"setup\":\"A+ Trend Long\", \"side\":\"LONG\", \"price\":76.66, \"stage\":2, \"buy\":96.1, \"sell\":10.6, \"prime\":2, \"revL\":0, \"revS\":0, \"vcp\":0, \"dir_prob\":91.6, \"time\":1783603800000}", "ticker": "MAS", "setup": "A+ Trend Long", "side": "LONG", "price": 76.66, "stage": 2, "buy": 96.1, "sell": 10.6, "prime": 2, "revL": 0, "revS": 0, "vcp": 0, "time": 1783603800000, "email_id": "b'294'", "timestamp": "2026-07-09 16:01:35"}</t>
  </si>
  <si>
    <t>{"symbol": "ABT", "strategy": "Daily", "action": "LONG", "alert_price": 88.97, "score": "", "dir_prob": "99.4", "net_sigma": "", "grade": "", "align": "", "premium": "", "wrong_if": "", "context": "", "subject": "Alert: Rev - Screener v1 (SPY, 12): Any alert() function call", "body": "{\"ticker\":\"ABT\", \"setup\":\"A+ Trend Long\", \"side\":\"LONG\", \"price\":88.97, \"stage\":2, \"buy\":94.4, \"sell\":7.2, \"prime\":2, \"revL\":0, \"revS\":0, \"vcp\":0, \"dir_prob\":99.4, \"time\":1784035800000}", "ticker": "ABT", "setup": "A+ Trend Long", "side": "LONG", "price": 88.97, "stage": 2, "buy": 94.4, "sell": 7.2, "prime": 2, "revL": 0, "revS": 0, "vcp": 0, "time": 1784035800000, "email_id": "b'856'", "timestamp": "2026-07-14 16:01:06"}</t>
  </si>
  <si>
    <t>{"symbol": "EQR", "strategy": "Daily", "action": "LONG", "alert_price": 69.71, "score": "", "dir_prob": "89.3", "net_sigma": "", "grade": "", "align": "", "premium": "", "wrong_if": "", "context": "", "subject": "Alert: Rev - Screener v1 (SPY, 12): Any alert() function call", "body": "{\"ticker\":\"EQR\", \"setup\":\"Early Action Long\", \"side\":\"LONG\", \"price\":69.71, \"stage\":2, \"buy\":71.4, \"sell\":15.5, \"prime\":1, \"revL\":0, \"revS\":0, \"vcp\":0, \"dir_prob\":89.3, \"time\":1783949400000}", "ticker": "EQR", "setup": "Early Action Long", "side": "LONG", "price": 69.71, "stage": 2, "buy": 71.4, "sell": 15.5, "prime": 1, "revL": 0, "revS": 0, "vcp": 0, "time": 1783949400000, "email_id": "b'660'", "timestamp": "2026-07-13 16:01:11"}</t>
  </si>
  <si>
    <t>{"symbol": "RVTY", "strategy": "Daily", "action": "LONG", "alert_price": 112.3, "score": "", "dir_prob": "93.8", "net_sigma": "", "grade": "", "align": "", "premium": "", "wrong_if": "", "context": "", "subject": "Alert: Rev - Screener v1 (SPY, 12): Any alert() function call", "body": "{\"ticker\":\"RVTY\", \"setup\":\"A+ Trend Long\", \"side\":\"LONG\", \"price\":112.30, \"stage\":2, \"buy\":94.2, \"sell\":8.7, \"prime\":2, \"revL\":0, \"revS\":0, \"vcp\":0, \"dir_prob\":93.8, \"time\":1783690200000}", "ticker": "RVTY", "setup": "A+ Trend Long", "side": "LONG", "price": 112.3, "stage": 2, "buy": 94.2, "sell": 8.7, "prime": 2, "revL": 0, "revS": 0, "vcp": 0, "time": 1783690200000, "email_id": "b'489'", "timestamp": "2026-07-10 16:02:13"}</t>
  </si>
  <si>
    <t>TREND_LONG is firing: buy score 97.77 (&gt;=65) with dir_prob 67.91, stage 2, and ignition_long 0 confirming a trend read rather than breakout. News CONFIRMS the long side via multiple analyst upgrades/PT raises (BofA, RBC, Wells, Guggenheim) on 2026-07-10, catalyst 'Analyst Rating'. Triage is capped at WATCH because regime 3 (Distribution) blocks a clean PASS; soft flags apply: chased (zone_state above_zone), churn (opposite_score 60), and earnings (gate CAUTION, earnings_days -1). No exhaustion flag (ext_pct 14.44, exhaustion 0.22) and R:R from current 1.67 is acceptable.</t>
  </si>
  <si>
    <t>Buy: 95.9 | Sell: 14.5</t>
  </si>
  <si>
    <t>Buy: 6.5 | Sell: 91.7</t>
  </si>
  <si>
    <t>Buy: 96.3 | Sell: 5.9</t>
  </si>
  <si>
    <t>{"symbol": "ERIE", "strategy": "Daily", "action": "LONG", "alert_price": 238.55, "score": "", "dir_prob": "99.1", "net_sigma": "", "grade": "", "align": "", "premium": "", "wrong_if": "", "context": "", "subject": "Alert: Rev - Screener v1 (SPY, 12): Any alert() function call", "body": "{\"ticker\":\"ERIE\", \"setup\":\"A+ Trend Long\", \"side\":\"LONG\", \"price\":238.55, \"stage\":2, \"buy\":95.9, \"sell\":14.5, \"prime\":2, \"revL\":0, \"revS\":0, \"vcp\":0, \"dir_prob\":99.1, \"time\":1784035800000}", "ticker": "ERIE", "setup": "A+ Trend Long", "side": "LONG", "price": 238.55, "stage": 2, "buy": 95.9, "sell": 14.5, "prime": 2, "revL": 0, "revS": 0, "vcp": 0, "time": 1784035800000, "email_id": "b'858'", "timestamp": "2026-07-14 16:01:13"}</t>
  </si>
  <si>
    <t>Buy: 9.1 | Sell: 90.1</t>
  </si>
  <si>
    <t>AMT</t>
  </si>
  <si>
    <t>{"symbol": "EXPE", "strategy": "Daily", "action": "LONG", "alert_price": 270.83, "score": "", "dir_prob": "90.8", "net_sigma": "", "grade": "", "align": "", "premium": "", "wrong_if": "", "context": "", "subject": "Alert: Rev - Screener v1 (SPY, 12): Any alert() function call", "body": "{\"ticker\":\"EXPE\", \"setup\":\"A+ Trend Long\", \"side\":\"LONG\", \"price\":270.83, \"stage\":2, \"buy\":96.3, \"sell\":5.9, \"prime\":2, \"revL\":0, \"revS\":0, \"vcp\":0, \"dir_prob\":90.8, \"time\":1783690200000}", "ticker": "EXPE", "setup": "A+ Trend Long", "side": "LONG", "price": 270.83, "stage": 2, "buy": 96.3, "sell": 5.9, "prime": 2, "revL": 0, "revS": 0, "vcp": 0, "time": 1783690200000, "email_id": "b'494'", "timestamp": "2026-07-10 16:01:32"}</t>
  </si>
  <si>
    <t>Buy: 2.9 | Sell: 91.3</t>
  </si>
  <si>
    <t>TREND_LONG is firing: dominant_side is long with buy=96.11 (&gt;=65), stage=2, ignition_long=0, and rev_zone_l=3.0 (no reversion). News is NEUTRAL — BofA maintains Neutral but raises PT to $263 (catalyst: Analyst Rating), neither confirming nor contradicting the long. Triage is capped to WATCH because regime=3 (Distribution) triggers a veto cap and zone_state=above_zone with rr_from_current=0.588 (&lt;1.0) flags a chased, poor R:R entry. Key flags: opposite_score=60.0 gives churn, above_zone gives chased, and earnings_gate=CAUTION (days=-1) gives earnings; no exhaustion/extended/contradiction apply.</t>
  </si>
  <si>
    <t>{"symbol": "DOW", "strategy": "Daily", "action": "SHORT", "alert_price": 30.38, "score": "", "dir_prob": "5.5", "net_sigma": "", "grade": "", "align": "", "premium": "", "wrong_if": "", "context": "", "subject": "Alert: Rev - Screener v1 (SPY, 12): Any alert() function call", "body": "{\"ticker\":\"DOW\", \"setup\":\"A+ Trend Short\", \"side\":\"SHORT\", \"price\":30.38, \"stage\":4, \"buy\":6.5, \"sell\":91.7, \"prime\":-2, \"revL\":0, \"revS\":0, \"vcp\":0, \"dir_prob\":5.5, \"time\":1783949400000}", "ticker": "DOW", "setup": "A+ Trend Short", "side": "SHORT", "price": 30.38, "stage": 4, "buy": 6.5, "sell": 91.7, "prime": -2, "revL": 0, "revS": 0, "vcp": 0, "time": 1783949400000, "email_id": "b'661'", "timestamp": "2026-07-13 16:01:10"}</t>
  </si>
  <si>
    <t>Buy: 96.9 | Sell: 16.1</t>
  </si>
  <si>
    <t>Buy: 97.9 | Sell: 6.9</t>
  </si>
  <si>
    <t>{"symbol": "CINF", "strategy": "Daily", "action": "LONG", "alert_price": 179.3, "score": "", "dir_prob": "93.9", "net_sigma": "", "grade": "", "align": "", "premium": "", "wrong_if": "", "context": "", "subject": "Alert: Rev - Screener v1 (SPY, 12): Any alert() function call", "body": "{\"ticker\":\"CINF\", \"setup\":\"A+ Trend Long\", \"side\":\"LONG\", \"price\":179.30, \"stage\":2, \"buy\":96.9, \"sell\":16.1, \"prime\":2, \"revL\":0, \"revS\":0, \"vcp\":0, \"dir_prob\":93.9, \"time\":1783690200000}", "ticker": "CINF", "setup": "A+ Trend Long", "side": "LONG", "price": 179.3, "stage": 2, "buy": 96.9, "sell": 16.1, "prime": 2, "revL": 0, "revS": 0, "vcp": 0, "time": 1783690200000, "email_id": "b'417'", "timestamp": "2026-07-10 16:01:15"}</t>
  </si>
  <si>
    <t>TREND_LONG is firing on buy=91.58 (&gt;=65) with dir_prob=90.96, stage=2 and regime=0 (healthy uptrend). News read is NEUTRAL with catalyst 'none' from empty headlines. Triage is capped to WATCH because price is above_zone (zone_state=above_zone) with rr_from_current=0.35 (&lt;1.0), a chased poor R:R veto; soft flags apply: opposite_score=60.0 gives churn, zone_state!=in_zone gives chased, and earnings_days=-1/earnings_gate=CAUTION gives earnings. No exhaustion, extended, or counter-trend flags are present.</t>
  </si>
  <si>
    <t>{"symbol": "AMT", "strategy": "Daily", "action": "SHORT", "alert_price": 168.83, "score": "", "dir_prob": "8.6", "net_sigma": "", "grade": "", "align": "", "premium": "", "wrong_if": "", "context": "", "subject": "Alert: Rev - Screener v1 (SPY, 12): Any alert() function call", "body": "{\"ticker\":\"AMT\", \"setup\":\"A+ Trend Short\", \"side\":\"SHORT\", \"price\":168.83, \"stage\":4, \"buy\":2.9, \"sell\":91.3, \"prime\":-2, \"revL\":0, \"revS\":0, \"vcp\":0, \"dir_prob\":8.6, \"time\":1784035800000}", "ticker": "AMT", "setup": "A+ Trend Short", "side": "SHORT", "price": 168.83, "stage": 4, "buy": 2.9, "sell": 91.3, "prime": -2, "revL": 0, "revS": 0, "vcp": 0, "time": 1784035800000, "email_id": "b'874'", "timestamp": "2026-07-14 16:01:16"}</t>
  </si>
  <si>
    <t>{"symbol": "KVUE", "strategy": "Daily", "action": "LONG", "alert_price": 19.25, "score": "", "dir_prob": "95.7", "net_sigma": "", "grade": "", "align": "", "premium": "", "wrong_if": "", "context": "", "subject": "Alert: Rev - Screener v1 (SPY, 12): Any alert() function call", "body": "{\"ticker\":\"KVUE\", \"setup\":\"A+ Trend Long\", \"side\":\"LONG\", \"price\":19.25, \"stage\":2, \"buy\":97.9, \"sell\":6.9, \"prime\":2, \"revL\":0, \"revS\":0, \"vcp\":0, \"dir_prob\":95.7, \"time\":1783949400000}", "ticker": "KVUE", "setup": "A+ Trend Long", "side": "LONG", "price": 19.25, "stage": 2, "buy": 97.9, "sell": 6.9, "prime": 2, "revL": 0, "revS": 0, "vcp": 0, "time": 1783949400000, "email_id": "b'662'", "timestamp": "2026-07-13 16:01:26"}</t>
  </si>
  <si>
    <t>IRM</t>
  </si>
  <si>
    <t>Buy: 88.1 | Sell: 13.9</t>
  </si>
  <si>
    <t>Buy: 96.2 | Sell: 5.3</t>
  </si>
  <si>
    <t>Buy: 26.6 | Sell: 92</t>
  </si>
  <si>
    <t>{"symbol": "MPWR", "strategy": "Daily", "action": "SHORT", "alert_price": 1373.5, "score": "", "dir_prob": "4.8", "net_sigma": "", "grade": "", "align": "", "premium": "", "wrong_if": "", "context": "", "subject": "Alert: Rev - Screener v1 (SPY, 12): Any alert() function call", "body": "{\"ticker\":\"MPWR\", \"setup\":\"A+ Trend Short\", \"side\":\"SHORT\", \"price\":1373.50, \"stage\":4, \"buy\":9.1, \"sell\":90.1, \"prime\":-2, \"revL\":0, \"revS\":0, \"vcp\":0, \"dir_prob\":4.8, \"time\":1783603800000}", "ticker": "MPWR", "setup": "A+ Trend Short", "side": "SHORT", "price": 1373.5, "stage": 4, "buy": 9.1, "sell": 90.1, "prime": -2, "revL": 0, "revS": 0, "vcp": 0, "time": 1783603800000, "email_id": "b'198'", "timestamp": "2026-07-09 16:01:18"}</t>
  </si>
  <si>
    <t>{"symbol": "GWW", "strategy": "Daily", "action": "LONG", "alert_price": 1375.78, "score": "", "dir_prob": "90.2", "net_sigma": "", "grade": "", "align": "", "premium": "", "wrong_if": "", "context": "", "subject": "Alert: Rev - Screener v1 (SPY, 12): Any alert() function call", "body": "{\"ticker\":\"GWW\", \"setup\":\"A+ Trend Long\", \"side\":\"LONG\", \"price\":1375.78, \"stage\":2, \"buy\":88.1, \"sell\":13.9, \"prime\":2, \"revL\":0, \"revS\":0, \"vcp\":1, \"dir_prob\":90.2, \"time\":1783690200000}", "ticker": "GWW", "setup": "A+ Trend Long", "side": "LONG", "price": 1375.78, "stage": 2, "buy": 88.1, "sell": 13.9, "prime": 2, "revL": 0, "revS": 0, "vcp": 1, "time": 1783690200000, "email_id": "b'474'", "timestamp": "2026-07-10 16:01:26"}</t>
  </si>
  <si>
    <t>{"symbol": "PNW", "strategy": "Daily", "action": "LONG", "alert_price": 109.02, "score": "", "dir_prob": "96.1", "net_sigma": "", "grade": "", "align": "", "premium": "", "wrong_if": "", "context": "", "subject": "Alert: Rev - Screener v1 (SPY, 12): Any alert() function call", "body": "{\"ticker\":\"PNW\", \"setup\":\"A+ Trend Long\", \"side\":\"LONG\", \"price\":109.02, \"stage\":2, \"buy\":96.2, \"sell\":5.3, \"prime\":2, \"revL\":0, \"revS\":0, \"vcp\":0, \"dir_prob\":96.1, \"time\":1784035800000}", "ticker": "PNW", "setup": "A+ Trend Long", "side": "LONG", "price": 109.02, "stage": 2, "buy": 96.2, "sell": 5.3, "prime": 2, "revL": 0, "revS": 0, "vcp": 0, "time": 1784035800000, "email_id": "b'880'", "timestamp": "2026-07-14 16:01:17"}</t>
  </si>
  <si>
    <t>TREND_LONG is firing: buy score 78.39 (&gt;=65), dir_prob 62.82, stage 2, regime 1 (extended) confirm a healthy uptrend with directional edge. News CONFIRMS the long side via KBW maintaining Outperform and raising its price target to $195 ahead of Q2 earnings. Triage is capped at WATCH because price is above the long entry zone (zone_state above_zone) with poor R:R of 0.057 from current, while soft flags apply: exhaustion (ext_pct 31.53%, exhaustion 0.52), chased entry, earnings caution (gate CAUTION, days unknown), and extended regime.</t>
  </si>
  <si>
    <t>AFL</t>
  </si>
  <si>
    <t>Buy: 92.1 | Sell: 12.1</t>
  </si>
  <si>
    <t>{"symbol": "IRM", "strategy": "Daily", "action": "SHORT", "alert_price": 122.42, "score": "", "dir_prob": "14.6", "net_sigma": "", "grade": "", "align": "", "premium": "", "wrong_if": "", "context": "", "subject": "Alert: Rev - Screener v1 (SPY, 12): Any alert() function call", "body": "{\"ticker\":\"IRM\", \"setup\":\"A+ Trend Short\", \"side\":\"SHORT\", \"price\":122.42, \"stage\":4, \"buy\":26.6, \"sell\":92, \"prime\":-2, \"revL\":0, \"revS\":0, \"vcp\":0, \"dir_prob\":14.6, \"time\":1783949400000}", "ticker": "IRM", "setup": "A+ Trend Short", "side": "SHORT", "price": 122.42, "stage": 4, "buy": 26.6, "sell": 92, "prime": -2, "revL": 0, "revS": 0, "vcp": 0, "time": 1783949400000, "email_id": "b'663'", "timestamp": "2026-07-13 16:01:07"}</t>
  </si>
  <si>
    <t>Buy: 95.7 | Sell: 6.2</t>
  </si>
  <si>
    <t>{"symbol": "AFL", "strategy": "Daily", "action": "LONG", "alert_price": 122.05, "score": "", "dir_prob": "89.9", "net_sigma": "", "grade": "", "align": "", "premium": "", "wrong_if": "", "context": "", "subject": "Alert: Rev - Screener v1 (SPY, 12): Any alert() function call", "body": "{\"ticker\":\"AFL\", \"setup\":\"A+ Trend Long\", \"side\":\"LONG\", \"price\":122.05, \"stage\":2, \"buy\":92.1, \"sell\":12.1, \"prime\":2, \"revL\":0, \"revS\":0, \"vcp\":0, \"dir_prob\":89.9, \"time\":1784035800000}", "ticker": "AFL", "setup": "A+ Trend Long", "side": "LONG", "price": 122.05, "stage": 2, "buy": 92.1, "sell": 12.1, "prime": 2, "revL": 0, "revS": 0, "vcp": 0, "time": 1784035800000, "email_id": "b'882'", "timestamp": "2026-07-14 16:01:04"}</t>
  </si>
  <si>
    <t>BLDR</t>
  </si>
  <si>
    <t>Buy: 87.8 | Sell: 13.2</t>
  </si>
  <si>
    <t>Buy: 90.9 | Sell: 7.9</t>
  </si>
  <si>
    <t>{"symbol": "RF", "strategy": "Daily", "action": "LONG", "alert_price": 31.04, "score": "", "dir_prob": "93.2", "net_sigma": "", "grade": "", "align": "", "premium": "", "wrong_if": "", "context": "", "subject": "Alert: Rev - Screener v1 (SPY, 12): Any alert() function call", "body": "{\"ticker\":\"RF\", \"setup\":\"A+ Trend Long\", \"side\":\"LONG\", \"price\":31.04, \"stage\":2, \"buy\":95.7, \"sell\":6.2, \"prime\":2, \"revL\":0, \"revS\":0, \"vcp\":0, \"dir_prob\":93.2, \"time\":1783690200000}", "ticker": "RF", "setup": "A+ Trend Long", "side": "LONG", "price": 31.04, "stage": 2, "buy": 95.7, "sell": 6.2, "prime": 2, "revL": 0, "revS": 0, "vcp": 0, "time": 1783690200000, "email_id": "b'482'", "timestamp": "2026-07-10 16:01:29"}</t>
  </si>
  <si>
    <t>TREND_LONG is firing: buy score 90.43 (&gt;=65), dir_prob 81.4, stage 2, regime 0 (healthy) confirm a strong long-side trend with no ignition or reversion scores active (rev_zone_l 0, rev_zone_s 3). News is neutral with no catalyst (empty headlines, confirm_contradict NEUTRAL). Triage is capped at WATCH from a PASS because zone_state is above_zone with rr_from_current 0.512 (&lt;1.0) — a chased entry with poor R:R — and earnings_gate CAUTION (earnings_days -1) adds risk; key_flags 'chased' and 'earnings' reflect both, with no exhaustion, churn, or stage-lag present.</t>
  </si>
  <si>
    <t>{"symbol": "BLDR", "strategy": "Daily", "action": "LONG", "alert_price": 75.18, "score": "", "dir_prob": "93.4", "net_sigma": "", "grade": "", "align": "", "premium": "", "wrong_if": "", "context": "", "subject": "Alert: Rev - Screener v1 (SPY, 12): Any alert() function call", "body": "{\"ticker\":\"BLDR\", \"setup\":\"A+ Trend Long\", \"side\":\"LONG\", \"price\":75.18, \"stage\":2, \"buy\":87.8, \"sell\":13.2, \"prime\":2, \"revL\":0, \"revS\":0, \"vcp\":0, \"dir_prob\":93.4, \"time\":1784035800000}", "ticker": "BLDR", "setup": "A+ Trend Long", "side": "LONG", "price": 75.18, "stage": 2, "buy": 87.8, "sell": 13.2, "prime": 2, "revL": 0, "revS": 0, "vcp": 0, "time": 1784035800000, "email_id": "b'883'", "timestamp": "2026-07-14 16:01:22"}</t>
  </si>
  <si>
    <t>Buy: 96 | Sell: 6.3</t>
  </si>
  <si>
    <t>Buy: 97.3 | Sell: 3</t>
  </si>
  <si>
    <t>{"symbol": "ABNB", "strategy": "Daily", "action": "LONG", "alert_price": 148.65, "score": "", "dir_prob": "96.4", "net_sigma": "", "grade": "", "align": "", "premium": "", "wrong_if": "", "context": "", "subject": "Alert: Rev - Screener v1 (SPY, 12): Any alert() function call", "body": "{\"ticker\":\"ABNB\", \"setup\":\"A+ Trend Long\", \"side\":\"LONG\", \"price\":148.65, \"stage\":2, \"buy\":96, \"sell\":6.3, \"prime\":2, \"revL\":0, \"revS\":0, \"vcp\":0, \"dir_prob\":96.4, \"time\":1783690200000}", "ticker": "ABNB", "setup": "A+ Trend Long", "side": "LONG", "price": 148.65, "stage": 2, "buy": 96, "sell": 6.3, "prime": 2, "revL": 0, "revS": 0, "vcp": 0, "time": 1783690200000, "email_id": "b'439'", "timestamp": "2026-07-10 16:01:40"}</t>
  </si>
  <si>
    <t>{"symbol": "ABT", "strategy": "Daily", "action": "LONG", "alert_price": 92.11, "score": "", "dir_prob": "99.3", "net_sigma": "", "grade": "", "align": "", "premium": "", "wrong_if": "", "context": "", "subject": "Alert: Rev - Screener v1 (SPY, 12): Any alert() function call", "body": "{\"ticker\":\"ABT\", \"setup\":\"A+ Trend Long\", \"side\":\"LONG\", \"price\":92.11, \"stage\":2, \"buy\":90.9, \"sell\":7.9, \"prime\":2, \"revL\":0, \"revS\":0, \"vcp\":0, \"dir_prob\":99.3, \"time\":1783949400000}", "ticker": "ABT", "setup": "A+ Trend Long", "side": "LONG", "price": 92.11, "stage": 2, "buy": 90.9, "sell": 7.9, "prime": 2, "revL": 0, "revS": 0, "vcp": 0, "time": 1783949400000, "email_id": "b'664'", "timestamp": "2026-07-13 16:01:05"}</t>
  </si>
  <si>
    <t>TREND_LONG fires on buy score 97.13 (&gt;=65) with dir_prob 72.27, stage 2 and regime 1 (extended) confirming a healthy uptrend. News read is NEUTRAL with catalyst 'none' from empty headlines, so no contradiction or support. Triage caps at WATCH because zone_state is above_zone and rr_from_current is -0.25 (&lt;1.0), marking a chased entry with poor R:R per the veto overlay. Soft flags apply: 'chased' (above zone), 'earnings' (earnings_days -1 / CAUTION), and 'extended' (regime 1); ext_pct 19.51 &lt;20 so exhaustion flag is correctly omitted.</t>
  </si>
  <si>
    <t>{"symbol": "GPC", "strategy": "Daily", "action": "LONG", "alert_price": 122.18, "score": "", "dir_prob": "97.1", "net_sigma": "", "grade": "", "align": "", "premium": "", "wrong_if": "", "context": "", "subject": "Alert: Rev - Screener v1 (SPY, 12): Any alert() function call", "body": "{\"ticker\":\"GPC\", \"setup\":\"A+ Trend Long\", \"side\":\"LONG\", \"price\":122.18, \"stage\":2, \"buy\":97.3, \"sell\":3, \"prime\":2, \"revL\":0, \"revS\":0, \"vcp\":0, \"dir_prob\":97.1, \"time\":1784035800000}", "ticker": "GPC", "setup": "A+ Trend Long", "side": "LONG", "price": 122.18, "stage": 2, "buy": 97.3, "sell": 3, "prime": 2, "revL": 0, "revS": 0, "vcp": 0, "time": 1784035800000, "email_id": "b'884'", "timestamp": "2026-07-14 16:01:11"}</t>
  </si>
  <si>
    <t>Buy: 94.9 | Sell: 8.1</t>
  </si>
  <si>
    <t>Buy: 97.7 | Sell: 15.1</t>
  </si>
  <si>
    <t>Buy: 84.3 | Sell: 60</t>
  </si>
  <si>
    <t>{"symbol": "LYV", "strategy": "Daily", "action": "LONG", "alert_price": 183.21, "score": "", "dir_prob": "91.5", "net_sigma": "", "grade": "", "align": "", "premium": "", "wrong_if": "", "context": "", "subject": "Alert: Rev - Screener v1 (SPY, 12): Any alert() function call", "body": "{\"ticker\":\"LYV\", \"setup\":\"A+ Trend Long\", \"side\":\"LONG\", \"price\":183.21, \"stage\":2, \"buy\":94.9, \"sell\":8.1, \"prime\":2, \"revL\":0, \"revS\":0, \"vcp\":0, \"dir_prob\":91.5, \"time\":1783949400000}", "ticker": "LYV", "setup": "A+ Trend Long", "side": "LONG", "price": 183.21, "stage": 2, "buy": 94.9, "sell": 8.1, "prime": 2, "revL": 0, "revS": 0, "vcp": 0, "time": 1783949400000, "email_id": "b'665'", "timestamp": "2026-07-13 16:01:16"}</t>
  </si>
  <si>
    <t>{"symbol": "CFG", "strategy": "Daily", "action": "LONG", "alert_price": 70.35, "score": "", "dir_prob": "88.7", "net_sigma": "", "grade": "", "align": "", "premium": "", "wrong_if": "", "context": "", "subject": "Alert: Rev - Screener v1 (SPY, 12): Any alert() function call", "body": "{\"ticker\":\"CFG\", \"setup\":\"A+ Trend Long\", \"side\":\"LONG\", \"price\":70.35, \"stage\":2, \"buy\":97.7, \"sell\":15.1, \"prime\":2, \"revL\":0, \"revS\":0, \"vcp\":0, \"dir_prob\":88.7, \"time\":1783690200000}", "ticker": "CFG", "setup": "A+ Trend Long", "side": "LONG", "price": 70.35, "stage": 2, "buy": 97.7, "sell": 15.1, "prime": 2, "revL": 0, "revS": 0, "vcp": 0, "time": 1783690200000, "email_id": "b'504'", "timestamp": "2026-07-10 16:01:31"}</t>
  </si>
  <si>
    <t>TREND_LONG is firing: buy score 97.53 (&gt;=65) with dir_prob 78.79 in stage 2 and healthy regime 0, confirming a dominant long bias. News is NEUTRAL overall — FDA approval of pembrolizumab combo is supportive but Morgan Stanley's PT raise to $113 sits below current $123.54, and catalyst is tagged Analyst Rating. Triage is capped at WATCH because zone_state is above_zone with rr_from_current 0.11 (&lt;1.0), a chased entry with poor R:R; earnings_days -1 triggers CAUTION, adding the earnings flag. No exhaustion, churn, or stage_lag flags apply given ext_pct 13.24, opposite_score 46.43, and stage 2.</t>
  </si>
  <si>
    <t>Buy: 21.5 | Sell: 85.5</t>
  </si>
  <si>
    <t>EW</t>
  </si>
  <si>
    <t>{"symbol": "MS", "strategy": "Daily", "action": "LONG", "alert_price": 228.16, "score": "", "dir_prob": "52.3", "net_sigma": "", "grade": "", "align": "", "premium": "", "wrong_if": "", "context": "", "subject": "Alert: Rev - Screener v1 (SPY, 12): Any alert() function call", "body": "{\"ticker\":\"MS\", \"setup\":\"Early Action Long\", \"side\":\"LONG\", \"price\":228.16, \"stage\":2, \"buy\":84.3, \"sell\":60, \"prime\":1, \"revL\":0, \"revS\":0, \"vcp\":0, \"dir_prob\":52.3, \"time\":1784035800000}", "ticker": "MS", "setup": "Early Action Long", "side": "LONG", "price": 228.16, "stage": 2, "buy": 84.3, "sell": 60, "prime": 1, "revL": 0, "revS": 0, "vcp": 0, "time": 1784035800000, "email_id": "b'887'", "timestamp": "2026-07-14 16:01:13"}</t>
  </si>
  <si>
    <t>Buy: 94.7 | Sell: 7.9</t>
  </si>
  <si>
    <t>{"symbol": "RF", "strategy": "Daily", "action": "LONG", "alert_price": 30.57, "score": "", "dir_prob": "93.2", "net_sigma": "", "grade": "", "align": "", "premium": "", "wrong_if": "", "context": "", "subject": "Alert: Rev - Screener v1 (SPY, 12): Any alert() function call", "body": "{\"ticker\":\"RF\", \"setup\":\"A+ Trend Long\", \"side\":\"LONG\", \"price\":30.57, \"stage\":2, \"buy\":95.8, \"sell\":6.5, \"prime\":2, \"revL\":0, \"revS\":0, \"vcp\":0, \"dir_prob\":93.2, \"time\":1783603800000}", "ticker": "RF", "setup": "A+ Trend Long", "side": "LONG", "price": 30.57, "stage": 2, "buy": 95.8, "sell": 6.5, "prime": 2, "revL": 0, "revS": 0, "vcp": 0, "time": 1783603800000, "email_id": "b'319'", "timestamp": "2026-07-09 16:01:18"}</t>
  </si>
  <si>
    <t>Buy: 23.4 | Sell: 92.5</t>
  </si>
  <si>
    <t>{"symbol": "Q", "strategy": "Daily", "action": "SHORT", "alert_price": 141.03, "score": "", "dir_prob": "50", "net_sigma": "", "grade": "", "align": "", "premium": "", "wrong_if": "", "context": "", "subject": "Alert: Rev - Screener v1 (SPY, 12): Any alert() function call", "body": "{\"ticker\":\"Q\", \"setup\":\"A+ Trend Short\", \"side\":\"SHORT\", \"price\":141.03, \"stage\":4, \"buy\":21.5, \"sell\":85.5, \"prime\":-2, \"revL\":0, \"revS\":0, \"vcp\":0, \"dir_prob\":50, \"time\":1783949400000}", "ticker": "Q", "setup": "A+ Trend Short", "side": "SHORT", "price": 141.03, "stage": 4, "buy": 21.5, "sell": 85.5, "prime": -2, "revL": 0, "revS": 0, "vcp": 0, "time": 1783949400000, "email_id": "b'666'", "timestamp": "2026-07-13 16:01:16"}</t>
  </si>
  <si>
    <t>Buy: 93.6 | Sell: 7.1</t>
  </si>
  <si>
    <t>{"symbol": "EW", "strategy": "Daily", "action": "LONG", "alert_price": 92.2, "score": "", "dir_prob": "93.5", "net_sigma": "", "grade": "", "align": "", "premium": "", "wrong_if": "", "context": "", "subject": "Alert: Rev - Screener v1 (SPY, 12): Any alert() function call", "body": "{\"ticker\":\"EW\", \"setup\":\"A+ Trend Long\", \"side\":\"LONG\", \"price\":92.20, \"stage\":2, \"buy\":94.7, \"sell\":7.9, \"prime\":2, \"revL\":0, \"revS\":0, \"vcp\":0, \"dir_prob\":93.5, \"time\":1783690200000}", "ticker": "EW", "setup": "A+ Trend Long", "side": "LONG", "price": 92.2, "stage": 2, "buy": 94.7, "sell": 7.9, "prime": 2, "revL": 0, "revS": 0, "vcp": 0, "time": 1783690200000, "email_id": "b'550'", "timestamp": "2026-07-10 16:01:31"}</t>
  </si>
  <si>
    <t>TREND_LONG is firing: buy score 98.16 (&gt;=65), dir_prob 89.86, stage 2, regime 0 (healthy) with no ignition or long reversion zone. News read is NEUTRAL with no catalyst (empty headlines), so it neither confirms nor contradicts the long bias. Triage is capped to WATCH because price is above_zone (zone_state=above_zone) with rr_from_current 0.737 (&lt;1.0), a chased poor R:R entry; soft flags 'chased' (not in long zone) and 'earnings' (gate CAUTION, earnings_days -1) apply, while exhaustion/ext_pct and churn conditions are not met.</t>
  </si>
  <si>
    <t>Buy: 95.1 | Sell: 19.1</t>
  </si>
  <si>
    <t>{"symbol": "IRM", "strategy": "Daily", "action": "SHORT", "alert_price": 122.66, "score": "", "dir_prob": "13.3", "net_sigma": "", "grade": "", "align": "", "premium": "", "wrong_if": "", "context": "", "subject": "Alert: Rev - Screener v1 (SPY, 12): Any alert() function call", "body": "{\"ticker\":\"IRM\", \"setup\":\"A+ Trend Short\", \"side\":\"SHORT\", \"price\":122.66, \"stage\":4, \"buy\":23.4, \"sell\":92.5, \"prime\":-2, \"revL\":0, \"revS\":0, \"vcp\":0, \"dir_prob\":13.3, \"time\":1784035800000}", "ticker": "IRM", "setup": "A+ Trend Short", "side": "SHORT", "price": 122.66, "stage": 4, "buy": 23.4, "sell": 92.5, "prime": -2, "revL": 0, "revS": 0, "vcp": 0, "time": 1784035800000, "email_id": "b'889'", "timestamp": "2026-07-14 16:01:29"}</t>
  </si>
  <si>
    <t>COR</t>
  </si>
  <si>
    <t>Buy: 73.2 | Sell: 19.8</t>
  </si>
  <si>
    <t>{"symbol": "VMC", "strategy": "Daily", "action": "LONG", "alert_price": 292.83, "score": "", "dir_prob": "92.4", "net_sigma": "", "grade": "", "align": "", "premium": "", "wrong_if": "", "context": "", "subject": "Alert: Rev - Screener v1 (SPY, 12): Any alert() function call", "body": "{\"ticker\":\"VMC\", \"setup\":\"A+ Trend Long\", \"side\":\"LONG\", \"price\":292.83, \"stage\":2, \"buy\":93.6, \"sell\":7.1, \"prime\":2, \"revL\":0, \"revS\":0, \"vcp\":0, \"dir_prob\":92.4, \"time\":1783949400000}", "ticker": "VMC", "setup": "A+ Trend Long", "side": "LONG", "price": 292.83, "stage": 2, "buy": 93.6, "sell": 7.1, "prime": 2, "revL": 0, "revS": 0, "vcp": 0, "time": 1783949400000, "email_id": "b'667'", "timestamp": "2026-07-13 16:01:14"}</t>
  </si>
  <si>
    <t>Buy: 9.8 | Sell: 92.6</t>
  </si>
  <si>
    <t>{"symbol": "DLTR", "strategy": "Daily", "action": "LONG", "alert_price": 124.88, "score": "", "dir_prob": "94.6", "net_sigma": "", "grade": "", "align": "", "premium": "", "wrong_if": "", "context": "", "subject": "Alert: Rev - Screener v1 (SPY, 12): Any alert() function call", "body": "{\"ticker\":\"DLTR\", \"setup\":\"A+ Trend Long\", \"side\":\"LONG\", \"price\":124.88, \"stage\":2, \"buy\":95.1, \"sell\":19.1, \"prime\":2, \"revL\":0, \"revS\":0, \"vcp\":0, \"dir_prob\":94.6, \"time\":1783690200000}", "ticker": "DLTR", "setup": "A+ Trend Long", "side": "LONG", "price": 124.88, "stage": 2, "buy": 95.1, "sell": 19.1, "prime": 2, "revL": 0, "revS": 0, "vcp": 0, "time": 1783690200000, "email_id": "b'555'", "timestamp": "2026-07-10 16:01:33"}</t>
  </si>
  <si>
    <t>TREND_SHORT is firing: sell score 90.06 (&gt;=65), dir_prob 13.95 (&lt;50 bearish), stage 4 and regime 4 confirm a dominant short side with no ignition or short-reversion zone. News read is CONTRADICTS — provided sentiment is bullish with catalyst 'Analyst Rating', which opposes the short thesis despite vague headlines. Triage is capped at WATCH by the news-contradiction veto; earnings_gate CAUTION adds a soft 'earnings' flag (earnings_days -1), while no churn, stage_lag, or chased flags apply on the short side.</t>
  </si>
  <si>
    <t>IT</t>
  </si>
  <si>
    <t>Buy: 12.8 | Sell: 90.6</t>
  </si>
  <si>
    <t>{"symbol": "COR", "strategy": "Daily", "action": "LONG", "alert_price": 302.25, "score": "", "dir_prob": "91.5", "net_sigma": "", "grade": "", "align": "", "premium": "", "wrong_if": "", "context": "", "subject": "Alert: Rev - Screener v1 (SPY, 12): Any alert() function call", "body": "{\"ticker\":\"COR\", \"setup\":\"Early Action Long\", \"side\":\"LONG\", \"price\":302.25, \"stage\":2, \"buy\":73.2, \"sell\":19.8, \"prime\":1, \"revL\":0, \"revS\":0, \"vcp\":0, \"dir_prob\":91.5, \"time\":1784035800000}", "ticker": "COR", "setup": "Early Action Long", "side": "LONG", "price": 302.25, "stage": 2, "buy": 73.2, "sell": 19.8, "prime": 1, "revL": 0, "revS": 0, "vcp": 0, "time": 1784035800000, "email_id": "b'895'", "timestamp": "2026-07-14 16:01:03"}</t>
  </si>
  <si>
    <t>{"symbol": "XOM", "strategy": "Daily", "action": "SHORT", "alert_price": 144.56, "score": "", "dir_prob": "5", "net_sigma": "", "grade": "", "align": "", "premium": "", "wrong_if": "", "context": "", "subject": "Alert: Rev - Screener v1 (SPY, 12): Any alert() function call", "body": "{\"ticker\":\"XOM\", \"setup\":\"A+ Trend Short\", \"side\":\"SHORT\", \"price\":144.56, \"stage\":4, \"buy\":9.8, \"sell\":92.6, \"prime\":-2, \"revL\":0, \"revS\":0, \"vcp\":0, \"dir_prob\":5, \"time\":1783949400000}", "ticker": "XOM", "setup": "A+ Trend Short", "side": "SHORT", "price": 144.56, "stage": 4, "buy": 9.8, "sell": 92.6, "prime": -2, "revL": 0, "revS": 0, "vcp": 0, "time": 1783949400000, "email_id": "b'668'", "timestamp": "2026-07-13 16:01:16"}</t>
  </si>
  <si>
    <t>CBRE</t>
  </si>
  <si>
    <t>Buy: 92.8 | Sell: 6.1</t>
  </si>
  <si>
    <t>Buy: 90.3 | Sell: 10.7</t>
  </si>
  <si>
    <t>Buy: 90.9 | Sell: 39.7</t>
  </si>
  <si>
    <t>{"symbol": "IT", "strategy": "Daily", "action": "SHORT", "alert_price": 133.25, "score": "", "dir_prob": "8.8", "net_sigma": "", "grade": "", "align": "", "premium": "", "wrong_if": "", "context": "", "subject": "Alert: Rev - Screener v1 (SPY, 12): Any alert() function call", "body": "{\"ticker\":\"IT\", \"setup\":\"A+ Trend Short\", \"side\":\"SHORT\", \"price\":133.25, \"stage\":4, \"buy\":12.8, \"sell\":90.6, \"prime\":-2, \"revL\":0, \"revS\":0, \"vcp\":0, \"dir_prob\":8.8, \"time\":1783690200000}", "ticker": "IT", "setup": "A+ Trend Short", "side": "SHORT", "price": 133.25, "stage": 4, "buy": 12.8, "sell": 90.6, "prime": -2, "revL": 0, "revS": 0, "vcp": 0, "time": 1783690200000, "email_id": "b'557'", "timestamp": "2026-07-10 16:02:14"}</t>
  </si>
  <si>
    <t>TREND_LONG fires on buy score 92.23 (&gt;=65) with dominant_side long, stage 2, regime 0 Healthy, dir_prob 96.5 confirming strong bullish edge; rev_zone_l 2.0 and rev_zone_s 1.5 show no mean-reversion signal. News read is NEUTRAL with catalyst 'none' from empty headlines, so no confirmation or contradiction. Triage caps to WATCH because zone_state is above_zone with rr_from_current 0.255 (&lt;1.0), a chased poor R:R entry; key_flags add 'chased' (not in_zone) and 'earnings' (earnings_days -1, gate CAUTION). No exhaustion/oversold/churn/stage_lag/aggressive flags apply given ext_pct 7.29, exhaustion 0.109, opposite_score 15.53, and stage 2.</t>
  </si>
  <si>
    <t>{"symbol": "CBRE", "strategy": "Daily", "action": "LONG", "alert_price": 133.08, "score": "", "dir_prob": "94.6", "net_sigma": "", "grade": "", "align": "", "premium": "", "wrong_if": "", "context": "", "subject": "Alert: Rev - Screener v1 (SPY, 12): Any alert() function call", "body": "{\"ticker\":\"CBRE\", \"setup\":\"A+ Trend Long\", \"side\":\"LONG\", \"price\":133.08, \"stage\":2, \"buy\":92.8, \"sell\":6.1, \"prime\":2, \"revL\":0, \"revS\":0, \"vcp\":0, \"dir_prob\":94.6, \"time\":1784035800000}", "ticker": "CBRE", "setup": "A+ Trend Long", "side": "LONG", "price": 133.08, "stage": 2, "buy": 92.8, "sell": 6.1, "prime": 2, "revL": 0, "revS": 0, "vcp": 0, "time": 1784035800000, "email_id": "b'897'", "timestamp": "2026-07-14 16:01:20"}</t>
  </si>
  <si>
    <t>Buy: 4.9 | Sell: 91</t>
  </si>
  <si>
    <t>{"symbol": "AIG", "strategy": "Daily", "action": "LONG", "alert_price": 79.9, "score": "", "dir_prob": "97.7", "net_sigma": "", "grade": "", "align": "", "premium": "", "wrong_if": "", "context": "", "subject": "Alert: Rev - Screener v1 (SPY, 12): Any alert() function call", "body": "{\"ticker\":\"AIG\", \"setup\":\"A+ Trend Long\", \"side\":\"LONG\", \"price\":79.90, \"stage\":2, \"buy\":90.3, \"sell\":10.7, \"prime\":2, \"revL\":0, \"revS\":0, \"vcp\":0, \"dir_prob\":97.7, \"time\":1783949400000}", "ticker": "AIG", "setup": "A+ Trend Long", "side": "LONG", "price": 79.9, "stage": 2, "buy": 90.3, "sell": 10.7, "prime": 2, "revL": 0, "revS": 0, "vcp": 0, "time": 1783949400000, "email_id": "b'669'", "timestamp": "2026-07-13 16:01:10"}</t>
  </si>
  <si>
    <t>Buy: 6 | Sell: 90.7</t>
  </si>
  <si>
    <t>Buy: 14.4 | Sell: 87.7</t>
  </si>
  <si>
    <t>{"symbol": "CTSH", "strategy": "Daily", "action": "SHORT", "alert_price": 44.16, "score": "", "dir_prob": "12.5", "net_sigma": "", "grade": "", "align": "", "premium": "", "wrong_if": "", "context": "", "subject": "Alert: Rev - Screener v1 (SPY, 12): Any alert() function call", "body": "{\"ticker\":\"CTSH\", \"setup\":\"A+ Trend Short\", \"side\":\"SHORT\", \"price\":44.16, \"stage\":4, \"buy\":14.4, \"sell\":87.7, \"prime\":-2, \"revL\":0, \"revS\":0, \"vcp\":0, \"dir_prob\":12.5, \"time\":1783949400000}", "ticker": "CTSH", "setup": "A+ Trend Short", "side": "SHORT", "price": 44.16, "stage": 4, "buy": 14.4, "sell": 87.7, "prime": -2, "revL": 0, "revS": 0, "vcp": 0, "time": 1783949400000, "email_id": "b'670'", "timestamp": "2026-07-13 16:01:16"}</t>
  </si>
  <si>
    <t>{"symbol": "PFE", "strategy": "Daily", "action": "SHORT", "alert_price": 24.19, "score": "", "dir_prob": "5.9", "net_sigma": "", "grade": "", "align": "", "premium": "", "wrong_if": "", "context": "", "subject": "Alert: Rev - Screener v1 (SPY, 12): Any alert() function call", "body": "{\"ticker\":\"PFE\", \"setup\":\"A+ Trend Short\", \"side\":\"SHORT\", \"price\":24.19, \"stage\":4, \"buy\":4.9, \"sell\":91, \"prime\":-2, \"revL\":0, \"revS\":0, \"vcp\":0, \"dir_prob\":5.9, \"time\":1783690200000}", "ticker": "PFE", "setup": "A+ Trend Short", "side": "SHORT", "price": 24.19, "stage": 4, "buy": 4.9, "sell": 91, "prime": -2, "revL": 0, "revS": 0, "vcp": 0, "time": 1783690200000, "email_id": "b'456'", "timestamp": "2026-07-10 16:01:17"}</t>
  </si>
  <si>
    <t>Buy: 96.5 | Sell: 5.1</t>
  </si>
  <si>
    <t>TREND_LONG fires on dominant_side=long with buy=96.52 (&gt;=65) and dir_prob=78.83, while stage=2 and regime=0 (healthy) confirm an intact uptrend with no exhaustion (ext_pct=1.3, exhaustion=0.0065). News read is NEUTRAL with catalyst 'none' as all provided headlines are empty, so no confirmation or contradiction applies. Triage is capped to WATCH because price is above_zone (zone_state=above_zone) with rr_from_current=0.71 (&lt;1.0), triggering the chased/poor R:R veto; the earnings_gate=CAUTION (earnings_days=-1) adds a soft 'earnings' flag but does not independently cap. No other soft flags apply: opposite_score=48.33 (&lt;60, no churn), stage not 4, and rev zones are sub-Zone-0.</t>
  </si>
  <si>
    <t>{"symbol": "LYB", "strategy": "Daily", "action": "SHORT", "alert_price": 58.57, "score": "", "dir_prob": "8.9", "net_sigma": "", "grade": "", "align": "", "premium": "", "wrong_if": "", "context": "", "subject": "Alert: Rev - Screener v1 (SPY, 12): Any alert() function call", "body": "{\"ticker\":\"LYB\", \"setup\":\"A+ Trend Short\", \"side\":\"SHORT\", \"price\":58.57, \"stage\":4, \"buy\":6, \"sell\":90.7, \"prime\":-2, \"revL\":0, \"revS\":0, \"vcp\":0, \"dir_prob\":8.9, \"time\":1784035800000}", "ticker": "LYB", "setup": "A+ Trend Short", "side": "SHORT", "price": 58.57, "stage": 4, "buy": 6, "sell": 90.7, "prime": -2, "revL": 0, "revS": 0, "vcp": 0, "time": 1784035800000, "email_id": "b'901'", "timestamp": "2026-07-14 16:01:17"}</t>
  </si>
  <si>
    <t>V</t>
  </si>
  <si>
    <t>{"symbol": "DVA", "strategy": "Daily", "action": "LONG", "alert_price": 229.46, "score": "", "dir_prob": "87.5", "net_sigma": "", "grade": "", "align": "", "premium": "", "wrong_if": "", "context": "", "subject": "Alert: Rev - Screener v1 (SPY, 12): Any alert() function call", "body": "{\"ticker\":\"DVA\", \"setup\":\"A+ Trend Long\", \"side\":\"LONG\", \"price\":229.46, \"stage\":2, \"buy\":90.9, \"sell\":39.7, \"prime\":2, \"revL\":0, \"revS\":0, \"vcp\":0, \"dir_prob\":87.5, \"time\":1783603800000}", "ticker": "DVA", "setup": "A+ Trend Long", "side": "LONG", "price": 229.46, "stage": 2, "buy": 90.9, "sell": 39.7, "prime": 2, "revL": 0, "revS": 0, "vcp": 0, "time": 1783603800000, "email_id": "b'278'", "timestamp": "2026-07-09 16:01:26"}</t>
  </si>
  <si>
    <t>Buy: 76.3 | Sell: 6.2</t>
  </si>
  <si>
    <t>Buy: 25.8 | Sell: 86.7</t>
  </si>
  <si>
    <t>{"symbol": "INCY", "strategy": "Daily", "action": "LONG", "alert_price": 114.2, "score": "", "dir_prob": "95.3", "net_sigma": "", "grade": "", "align": "", "premium": "", "wrong_if": "", "context": "", "subject": "Alert: Rev - Screener v1 (SPY, 12): Any alert() function call", "body": "{\"ticker\":\"INCY\", \"setup\":\"A+ Trend Long\", \"side\":\"LONG\", \"price\":114.20, \"stage\":2, \"buy\":96.5, \"sell\":5.1, \"prime\":2, \"revL\":0, \"revS\":0, \"vcp\":0, \"dir_prob\":95.3, \"time\":1783949400000}", "ticker": "INCY", "setup": "A+ Trend Long", "side": "LONG", "price": 114.2, "stage": 2, "buy": 96.5, "sell": 5.1, "prime": 2, "revL": 0, "revS": 0, "vcp": 0, "time": 1783949400000, "email_id": "b'671'", "timestamp": "2026-07-13 16:01:19"}</t>
  </si>
  <si>
    <t>Buy: 92.3 | Sell: 40.4</t>
  </si>
  <si>
    <t>{"symbol": "V", "strategy": "Daily", "action": "LONG", "alert_price": 348.92, "score": "", "dir_prob": "96.4", "net_sigma": "", "grade": "", "align": "", "premium": "", "wrong_if": "", "context": "", "subject": "Alert: Rev - Screener v1 (SPY, 12): Any alert() function call", "body": "{\"ticker\":\"V\", \"setup\":\"Early Action Long\", \"side\":\"LONG\", \"price\":348.92, \"stage\":2, \"buy\":76.3, \"sell\":6.2, \"prime\":1, \"revL\":0, \"revS\":0, \"vcp\":0, \"dir_prob\":96.4, \"time\":1783690200000}", "ticker": "V", "setup": "Early Action Long", "side": "LONG", "price": 348.92, "stage": 2, "buy": 76.3, "sell": 6.2, "prime": 1, "revL": 0, "revS": 0, "vcp": 0, "time": 1783690200000, "email_id": "b'466'", "timestamp": "2026-07-10 16:01:08"}</t>
  </si>
  <si>
    <t>TREND_LONG is firing: buy score 87.4 (&gt;=65), dir_prob 92.74, stage 2, regime 0 (healthy), with no ignition or rev-zone signal. News read is NEUTRAL with catalyst 'none' (empty headlines). Triage is capped to WATCH because price is above_zone (1296.17 vs long_zone 1243.51-1252.34) with rr_from_current 0.36 (&lt;1.0), triggering the chased/poor-R:R veto; earnings_days -1 and earnings_gate CAUTION add the earnings soft flag and chased flag.</t>
  </si>
  <si>
    <t>APO</t>
  </si>
  <si>
    <t>Buy: 11.4 | Sell: 91.1</t>
  </si>
  <si>
    <t>Buy: 90.7 | Sell: 14.4</t>
  </si>
  <si>
    <t>{"symbol": "WAT", "strategy": "Daily", "action": "LONG", "alert_price": 373.03, "score": "", "dir_prob": "86.7", "net_sigma": "", "grade": "", "align": "", "premium": "", "wrong_if": "", "context": "", "subject": "Alert: Rev - Screener v1 (SPY, 12): Any alert() function call", "body": "{\"ticker\":\"WAT\", \"setup\":\"A+ Trend Long\", \"side\":\"LONG\", \"price\":373.03, \"stage\":2, \"buy\":92.3, \"sell\":40.4, \"prime\":2, \"revL\":0, \"revS\":0, \"vcp\":0, \"dir_prob\":86.7, \"time\":1783949400000}", "ticker": "WAT", "setup": "A+ Trend Long", "side": "LONG", "price": 373.03, "stage": 2, "buy": 92.3, "sell": 40.4, "prime": 2, "revL": 0, "revS": 0, "vcp": 0, "time": 1783949400000, "email_id": "b'672'", "timestamp": "2026-07-13 16:01:06"}</t>
  </si>
  <si>
    <t>Buy: 90.7 | Sell: 38.5</t>
  </si>
  <si>
    <t>{"symbol": "KR", "strategy": "Daily", "action": "SHORT", "alert_price": 58.73, "score": "", "dir_prob": "20.8", "net_sigma": "", "grade": "", "align": "", "premium": "", "wrong_if": "", "context": "", "subject": "Alert: Rev - Screener v1 (SPY, 12): Any alert() function call", "body": "{\"ticker\":\"KR\", \"setup\":\"A+ Trend Short\", \"side\":\"SHORT\", \"price\":58.73, \"stage\":4, \"buy\":25.8, \"sell\":86.7, \"prime\":-2, \"revL\":0, \"revS\":0, \"vcp\":0, \"dir_prob\":20.8, \"time\":1784035800000}", "ticker": "KR", "setup": "A+ Trend Short", "side": "SHORT", "price": 58.73, "stage": 4, "buy": 25.8, "sell": 86.7, "prime": -2, "revL": 0, "revS": 0, "vcp": 0, "time": 1784035800000, "email_id": "b'903'", "timestamp": "2026-07-14 16:01:24"}</t>
  </si>
  <si>
    <t>Buy: 2 | Sell: 90.5</t>
  </si>
  <si>
    <t>{"symbol": "APO", "strategy": "Daily", "action": "SHORT", "alert_price": 120.33, "score": "", "dir_prob": "11.7", "net_sigma": "", "grade": "", "align": "", "premium": "", "wrong_if": "", "context": "", "subject": "Alert: Rev - Screener v1 (SPY, 12): Any alert() function call", "body": "{\"ticker\":\"APO\", \"setup\":\"A+ Trend Short\", \"side\":\"SHORT\", \"price\":120.33, \"stage\":4, \"buy\":11.4, \"sell\":91.1, \"prime\":-2, \"revL\":0, \"revS\":0, \"vcp\":0, \"dir_prob\":11.7, \"time\":1783690200000}", "ticker": "APO", "setup": "A+ Trend Short", "side": "SHORT", "price": 120.33, "stage": 4, "buy": 11.4, "sell": 91.1, "prime": -2, "revL": 0, "revS": 0, "vcp": 0, "time": 1783690200000, "email_id": "b'411'", "timestamp": "2026-07-10 16:01:23"}</t>
  </si>
  <si>
    <t>TREND_LONG fires on dominant_side=long with buy=85.84 (&gt;=65), dir_prob=93.84, stage=2, regime=0 (healthy), and exhaustion=0.0283 indicating a clean trend with no climax risk. News read is NEUTRAL with catalyst 'none' from empty headlines, so no confirmation or contradiction. Triage is capped to WATCH because zone_state=above_zone with rr_from_current=0.785 (&lt;1.0) triggers the chased/poor R:R veto, and earnings_gate=CAUTION (earnings_days=-1) adds the earnings soft flag; key_flags 'chased' and 'earnings' reflect these constraints while the underlying trend signal remains intact.</t>
  </si>
  <si>
    <t>Buy: 93 | Sell: 28.3</t>
  </si>
  <si>
    <t>{"symbol": "AIZ", "strategy": "Daily", "action": "LONG", "alert_price": 280.02, "score": "", "dir_prob": "78.1", "net_sigma": "", "grade": "", "align": "", "premium": "", "wrong_if": "", "context": "", "subject": "Alert: Rev - Screener v1 (SPY, 12): Any alert() function call", "body": "{\"ticker\":\"AIZ\", \"setup\":\"A+ Trend Long\", \"side\":\"LONG\", \"price\":280.02, \"stage\":2, \"buy\":90.7, \"sell\":38.5, \"prime\":2, \"revL\":0, \"revS\":0, \"vcp\":0, \"dir_prob\":78.1, \"time\":1783949400000}", "ticker": "AIZ", "setup": "A+ Trend Long", "side": "LONG", "price": 280.02, "stage": 2, "buy": 90.7, "sell": 38.5, "prime": 2, "revL": 0, "revS": 0, "vcp": 0, "time": 1783949400000, "email_id": "b'673'", "timestamp": "2026-07-13 16:01:20"}</t>
  </si>
  <si>
    <t>STLD</t>
  </si>
  <si>
    <t>Buy: 6.1 | Sell: 91.8</t>
  </si>
  <si>
    <t>{"symbol": "MMM", "strategy": "Daily", "action": "LONG", "alert_price": 155.3, "score": "", "dir_prob": "92.5", "net_sigma": "", "grade": "", "align": "", "premium": "", "wrong_if": "", "context": "", "subject": "Alert: Rev - Screener v1 (SPY, 12): Any alert() function call", "body": "{\"ticker\":\"MMM\", \"setup\":\"A+ Trend Long\", \"side\":\"LONG\", \"price\":155.30, \"stage\":2, \"buy\":90.7, \"sell\":14.4, \"prime\":2, \"revL\":0, \"revS\":0, \"vcp\":0, \"dir_prob\":92.5, \"time\":1783603800000}", "ticker": "MMM", "setup": "A+ Trend Long", "side": "LONG", "price": 155.3, "stage": 2, "buy": 90.7, "sell": 14.4, "prime": 2, "revL": 0, "revS": 0, "vcp": 0, "time": 1783603800000, "email_id": "b'178'", "timestamp": "2026-07-09 16:01:05"}</t>
  </si>
  <si>
    <t>{"symbol": "CCI", "strategy": "Daily", "action": "SHORT", "alert_price": 79.06, "score": "", "dir_prob": "8.2", "net_sigma": "", "grade": "", "align": "", "premium": "", "wrong_if": "", "context": "", "subject": "Alert: Rev - Screener v1 (SPY, 12): Any alert() function call", "body": "{\"ticker\":\"CCI\", \"setup\":\"A+ Trend Short\", \"side\":\"SHORT\", \"price\":79.06, \"stage\":4, \"buy\":2, \"sell\":90.5, \"prime\":-2, \"revL\":0, \"revS\":0, \"vcp\":0, \"dir_prob\":8.2, \"time\":1784035800000}", "ticker": "CCI", "setup": "A+ Trend Short", "side": "SHORT", "price": 79.06, "stage": 4, "buy": 2, "sell": 90.5, "prime": -2, "revL": 0, "revS": 0, "vcp": 0, "time": 1784035800000, "email_id": "b'910'", "timestamp": "2026-07-14 16:01:52"}</t>
  </si>
  <si>
    <t>{"symbol": "CVS", "strategy": "Daily", "action": "LONG", "alert_price": 104.17, "score": "", "dir_prob": "88.6", "net_sigma": "", "grade": "", "align": "", "premium": "", "wrong_if": "", "context": "", "subject": "Alert: Rev - Screener v1 (SPY, 12): Any alert() function call", "body": "{\"ticker\":\"CVS\", \"setup\":\"A+ Trend Long\", \"side\":\"LONG\", \"price\":104.17, \"stage\":2, \"buy\":93, \"sell\":28.3, \"prime\":2, \"revL\":0, \"revS\":0, \"vcp\":0, \"dir_prob\":88.6, \"time\":1783690200000}", "ticker": "CVS", "setup": "A+ Trend Long", "side": "LONG", "price": 104.17, "stage": 2, "buy": 93, "sell": 28.3, "prime": 2, "revL": 0, "revS": 0, "vcp": 0, "time": 1783690200000, "email_id": "b'382'", "timestamp": "2026-07-10 16:01:04"}</t>
  </si>
  <si>
    <t>WATCH (7/10)</t>
  </si>
  <si>
    <t>TREND_LONG is firing: buy score 96.92 (&gt;=65), dir_prob 87.65, stage 2, regime 0 (healthy) with no ignition or rev-zone trigger (rev_zone_l=3). News CONFIRMS the long side via multiple analyst upgrades/price-target raises (catalyst: Analyst Rating). Triage is capped to WATCH because zone_state is above_zone and rr_from_current is 0.586 (&lt;1.0), a chased poor R:R veto; soft flags churn (opposite_score 60), chased (above_zone), and earnings (earnings_days -1, CAUTION) apply, while exhaustion/extended/stage_lag do not.</t>
  </si>
  <si>
    <t>{"symbol": "STLD", "strategy": "Daily", "action": "SHORT", "alert_price": 234.2, "score": "", "dir_prob": "4.5", "net_sigma": "", "grade": "", "align": "", "premium": "", "wrong_if": "", "context": "", "subject": "Alert: Rev - Screener v1 (SPY, 12): Any alert() function call", "body": "{\"ticker\":\"STLD\", \"setup\":\"A+ Trend Short\", \"side\":\"SHORT\", \"price\":234.20, \"stage\":4, \"buy\":6.1, \"sell\":91.8, \"prime\":-2, \"revL\":0, \"revS\":0, \"vcp\":0, \"dir_prob\":4.5, \"time\":1783949400000}", "ticker": "STLD", "setup": "A+ Trend Short", "side": "SHORT", "price": 234.2, "stage": 4, "buy": 6.1, "sell": 91.8, "prime": -2, "revL": 0, "revS": 0, "vcp": 0, "time": 1783949400000, "email_id": "b'674'", "timestamp": "2026-07-13 16:01:23"}</t>
  </si>
  <si>
    <t>Buy: 10.3 | Sell: 86.2</t>
  </si>
  <si>
    <t>Buy: 95.8 | Sell: 6.8</t>
  </si>
  <si>
    <t>Buy: 97.3 | Sell: 4.4</t>
  </si>
  <si>
    <t>Buy: 97 | Sell: 4.3</t>
  </si>
  <si>
    <t>{"symbol": "HSIC", "strategy": "Daily", "action": "LONG", "alert_price": 84.41, "score": "", "dir_prob": "95.5", "net_sigma": "", "grade": "", "align": "", "premium": "", "wrong_if": "", "context": "", "subject": "Alert: Rev - Screener v1 (SPY, 12): Any alert() function call", "body": "{\"ticker\":\"HSIC\", \"setup\":\"A+ Trend Long\", \"side\":\"LONG\", \"price\":84.41, \"stage\":2, \"buy\":95.8, \"sell\":6.8, \"prime\":2, \"revL\":0, \"revS\":0, \"vcp\":0, \"dir_prob\":95.5, \"time\":1783690200000}", "ticker": "HSIC", "setup": "A+ Trend Long", "side": "LONG", "price": 84.41, "stage": 2, "buy": 95.8, "sell": 6.8, "prime": 2, "revL": 0, "revS": 0, "vcp": 0, "time": 1783690200000, "email_id": "b'385'", "timestamp": "2026-07-10 16:01:04"}</t>
  </si>
  <si>
    <t>TREND_LONG is firing: dominant_side is long with buy score 91.03 (&gt;=65), dir_prob 93.18, stage 2, regime 0, and no ignition or rev zone (rev_zone_l 3.0). News read is NEUTRAL with catalyst 'none' from empty headlines, so no contradiction or confirmation. Triage is capped to WATCH because zone_state is above_zone with rr_from_current 0.162 (&lt;1.0), a chased poor R:R entry per the veto overlay; earnings_gate CAUTION with earnings_days -1 adds an earnings soft flag and chased is flagged from above_zone. No exhaustion (ext_pct 18.72, exhaustion 0.12), churn (opposite 21.97), or stage_lag apply.</t>
  </si>
  <si>
    <t>{"symbol": "VRTX", "strategy": "Daily", "action": "LONG", "alert_price": 480.51, "score": "", "dir_prob": "94.3", "net_sigma": "", "grade": "", "align": "", "premium": "", "wrong_if": "", "context": "", "subject": "Alert: Rev - Screener v1 (SPY, 12): Any alert() function call", "body": "{\"ticker\":\"VRTX\", \"setup\":\"A+ Trend Long\", \"side\":\"LONG\", \"price\":480.51, \"stage\":2, \"buy\":97.3, \"sell\":4.4, \"prime\":2, \"revL\":0, \"revS\":0, \"vcp\":0, \"dir_prob\":94.3, \"time\":1783949400000}", "ticker": "VRTX", "setup": "A+ Trend Long", "side": "LONG", "price": 480.51, "stage": 2, "buy": 97.3, "sell": 4.4, "prime": 2, "revL": 0, "revS": 0, "vcp": 0, "time": 1783949400000, "email_id": "b'675'", "timestamp": "2026-07-13 16:01:13"}</t>
  </si>
  <si>
    <t>Buy: 96.8 | Sell: 5.9</t>
  </si>
  <si>
    <t>{"symbol": "CTSH", "strategy": "Daily", "action": "SHORT", "alert_price": 43.02, "score": "", "dir_prob": "11.6", "net_sigma": "", "grade": "", "align": "", "premium": "", "wrong_if": "", "context": "", "subject": "Alert: Rev - Screener v1 (SPY, 12): Any alert() function call", "body": "{\"ticker\":\"CTSH\", \"setup\":\"A+ Trend Short\", \"side\":\"SHORT\", \"price\":43.02, \"stage\":4, \"buy\":10.3, \"sell\":86.2, \"prime\":-2, \"revL\":0, \"revS\":0, \"vcp\":0, \"dir_prob\":11.6, \"time\":1784035800000}", "ticker": "CTSH", "setup": "A+ Trend Short", "side": "SHORT", "price": 43.02, "stage": 4, "buy": 10.3, "sell": 86.2, "prime": -2, "revL": 0, "revS": 0, "vcp": 0, "time": 1784035800000, "email_id": "b'930'", "timestamp": "2026-07-14 16:01:23"}</t>
  </si>
  <si>
    <t>Buy: 96.6 | Sell: 4.4</t>
  </si>
  <si>
    <t>SBAC</t>
  </si>
  <si>
    <t>Buy: 7.2 | Sell: 91.8</t>
  </si>
  <si>
    <t>{"symbol": "GE", "strategy": "Daily", "action": "LONG", "alert_price": 353.47, "score": "", "dir_prob": "95.1", "net_sigma": "", "grade": "", "align": "", "premium": "", "wrong_if": "", "context": "", "subject": "Alert: Rev - Screener v1 (SPY, 12): Any alert() function call", "body": "{\"ticker\":\"GE\", \"setup\":\"A+ Trend Long\", \"side\":\"LONG\", \"price\":353.47, \"stage\":2, \"buy\":96.8, \"sell\":5.9, \"prime\":2, \"revL\":0, \"revS\":0, \"vcp\":0, \"dir_prob\":95.1, \"time\":1783949400000}", "ticker": "GE", "setup": "A+ Trend Long", "side": "LONG", "price": 353.47, "stage": 2, "buy": 96.8, "sell": 5.9, "prime": 2, "revL": 0, "revS": 0, "vcp": 0, "time": 1783949400000, "email_id": "b'676'", "timestamp": "2026-07-13 16:01:19"}</t>
  </si>
  <si>
    <t>{"symbol": "SHW", "strategy": "Daily", "action": "LONG", "alert_price": 334.08, "score": "", "dir_prob": "96.9", "net_sigma": "", "grade": "", "align": "", "premium": "", "wrong_if": "", "context": "", "subject": "Alert: Rev - Screener v1 (SPY, 12): Any alert() function call", "body": "{\"ticker\":\"SHW\", \"setup\":\"A+ Trend Long\", \"side\":\"LONG\", \"price\":334.08, \"stage\":2, \"buy\":96.6, \"sell\":4.4, \"prime\":2, \"revL\":0, \"revS\":0, \"vcp\":0, \"dir_prob\":96.9, \"time\":1783690200000}", "ticker": "SHW", "setup": "A+ Trend Long", "side": "LONG", "price": 334.08, "stage": 2, "buy": 96.6, "sell": 4.4, "prime": 2, "revL": 0, "revS": 0, "vcp": 0, "time": 1783690200000, "email_id": "b'386'", "timestamp": "2026-07-10 16:01:05"}</t>
  </si>
  <si>
    <t>Buy: 85.8 | Sell: 9.9</t>
  </si>
  <si>
    <t>TREND_LONG is firing: dominant_side is long with buy score 97.91 (&gt;=65), dir_prob 91.59, stage 2, and regime 0 (healthy), confirming a strong trend-dip bias. News read is NEUTRAL with catalyst 'none' from empty headlines, so no contradiction or support. Triage is capped at WATCH because price is above_zone (62.41 vs long_zone 61.57-61.89) with rr_from_current 0.67 (&lt;1.0), a chased poor R:R veto; earnings_days is -1 with CAUTION gate adding an earnings soft flag. No exhaustion, churn, stage_lag, or aggressive_target flags apply from the given values.</t>
  </si>
  <si>
    <t>Buy: 87.6 | Sell: 17.9</t>
  </si>
  <si>
    <t>{"symbol": "SBAC", "strategy": "Daily", "action": "SHORT", "alert_price": 187.16, "score": "", "dir_prob": "8.7", "net_sigma": "", "grade": "", "align": "", "premium": "", "wrong_if": "", "context": "", "subject": "Alert: Rev - Screener v1 (SPY, 12): Any alert() function call", "body": "{\"ticker\":\"SBAC\", \"setup\":\"A+ Trend Short\", \"side\":\"SHORT\", \"price\":187.16, \"stage\":4, \"buy\":7.2, \"sell\":91.8, \"prime\":-2, \"revL\":0, \"revS\":0, \"vcp\":0, \"dir_prob\":8.7, \"time\":1784035800000}", "ticker": "SBAC", "setup": "A+ Trend Short", "side": "SHORT", "price": 187.16, "stage": 4, "buy": 7.2, "sell": 91.8, "prime": -2, "revL": 0, "revS": 0, "vcp": 0, "time": 1784035800000, "email_id": "b'932'", "timestamp": "2026-07-14 16:01:35"}</t>
  </si>
  <si>
    <t>{"symbol": "BLDR", "strategy": "Daily", "action": "LONG", "alert_price": 73.48, "score": "", "dir_prob": "93.6", "net_sigma": "", "grade": "", "align": "", "premium": "", "wrong_if": "", "context": "", "subject": "Alert: Rev - Screener v1 (SPY, 12): Any alert() function call", "body": "{\"ticker\":\"BLDR\", \"setup\":\"A+ Trend Long\", \"side\":\"LONG\", \"price\":73.48, \"stage\":2, \"buy\":85.8, \"sell\":9.9, \"prime\":2, \"revL\":0, \"revS\":0, \"vcp\":0, \"dir_prob\":93.6, \"time\":1783949400000}", "ticker": "BLDR", "setup": "A+ Trend Long", "side": "LONG", "price": 73.48, "stage": 2, "buy": 85.8, "sell": 9.9, "prime": 2, "revL": 0, "revS": 0, "vcp": 0, "time": 1783949400000, "email_id": "b'677'", "timestamp": "2026-07-13 16:01:21"}</t>
  </si>
  <si>
    <t>Buy: 8.5 | Sell: 87.3</t>
  </si>
  <si>
    <t>Buy: 94.9 | Sell: 10.1</t>
  </si>
  <si>
    <t>{"symbol": "HD", "strategy": "Daily", "action": "LONG", "alert_price": 338.71, "score": "", "dir_prob": "94.5", "net_sigma": "", "grade": "", "align": "", "premium": "", "wrong_if": "", "context": "", "subject": "Alert: Rev - Screener v1 (SPY, 12): Any alert() function call", "body": "{\"ticker\":\"HD\", \"setup\":\"A+ Trend Long\", \"side\":\"LONG\", \"price\":338.71, \"stage\":2, \"buy\":97, \"sell\":4.3, \"prime\":2, \"revL\":0, \"revS\":0, \"vcp\":0, \"dir_prob\":94.5, \"time\":1783603800000}", "ticker": "HD", "setup": "A+ Trend Long", "side": "LONG", "price": 338.71, "stage": 2, "buy": 97, "sell": 4.3, "prime": 2, "revL": 0, "revS": 0, "vcp": 0, "time": 1783603800000, "email_id": "b'166'", "timestamp": "2026-07-09 16:01:04"}</t>
  </si>
  <si>
    <t>{"symbol": "EQR", "strategy": "Daily", "action": "LONG", "alert_price": 68.7, "score": "", "dir_prob": "92.9", "net_sigma": "", "grade": "", "align": "", "premium": "", "wrong_if": "", "context": "", "subject": "Alert: Rev - Screener v1 (SPY, 12): Any alert() function call", "body": "{\"ticker\":\"EQR\", \"setup\":\"A+ Trend Long\", \"side\":\"LONG\", \"price\":68.70, \"stage\":2, \"buy\":87.6, \"sell\":17.9, \"prime\":2, \"revL\":0, \"revS\":0, \"vcp\":0, \"dir_prob\":92.9, \"time\":1783690200000}", "ticker": "EQR", "setup": "A+ Trend Long", "side": "LONG", "price": 68.7, "stage": 2, "buy": 87.6, "sell": 17.9, "prime": 2, "revL": 0, "revS": 0, "vcp": 0, "time": 1783690200000, "email_id": "b'392'", "timestamp": "2026-07-10 16:01:07"}</t>
  </si>
  <si>
    <t>TREND_LONG is firing on buy score 96.64 (&gt;=65), dir_prob 91.53, stage 2 and healthy regime 0, with low exhaustion 0.092 and ext_pct 7.75 confirming a non-extended uptrend. News read is NEUTRAL with catalyst 'none' from empty headlines, so no confirmation or contradiction. Triage is capped to WATCH because price is above_zone (66.82 vs long_zone 65.34-65.75) with rr_from_current 0.35 (&lt;1.0), a chased poor R:R entry, and earnings_gate CAUTION (earnings_days -1) adds soft risk. Key flags 'chased' and 'earnings' apply; no exhaustion, churn, or stage_lag present.</t>
  </si>
  <si>
    <t>{"symbol": "CMS", "strategy": "Daily", "action": "LONG", "alert_price": 75.75, "score": "", "dir_prob": "93.6", "net_sigma": "", "grade": "", "align": "", "premium": "", "wrong_if": "", "context": "", "subject": "Alert: Rev - Screener v1 (SPY, 12): Any alert() function call", "body": "{\"ticker\":\"CMS\", \"setup\":\"A+ Trend Long\", \"side\":\"LONG\", \"price\":75.75, \"stage\":2, \"buy\":94.9, \"sell\":10.1, \"prime\":2, \"revL\":0, \"revS\":0, \"vcp\":0, \"dir_prob\":93.6, \"time\":1783949400000}", "ticker": "CMS", "setup": "A+ Trend Long", "side": "LONG", "price": 75.75, "stage": 2, "buy": 94.9, "sell": 10.1, "prime": 2, "revL": 0, "revS": 0, "vcp": 0, "time": 1783949400000, "email_id": "b'678'", "timestamp": "2026-07-13 16:01:13"}</t>
  </si>
  <si>
    <t>Buy: 92 | Sell: 37.3</t>
  </si>
  <si>
    <t>Buy: 94.7 | Sell: 11.8</t>
  </si>
  <si>
    <t>{"symbol": "ACN", "strategy": "Daily", "action": "SHORT", "alert_price": 134.56, "score": "", "dir_prob": "10.2", "net_sigma": "", "grade": "", "align": "", "premium": "", "wrong_if": "", "context": "", "subject": "Alert: Rev - Screener v1 (SPY, 12): Any alert() function call", "body": "{\"ticker\":\"ACN\", \"setup\":\"A+ Trend Short\", \"side\":\"SHORT\", \"price\":134.56, \"stage\":4, \"buy\":8.5, \"sell\":87.3, \"prime\":-2, \"revL\":0, \"revS\":0, \"vcp\":0, \"dir_prob\":10.2, \"time\":1784035800000}", "ticker": "ACN", "setup": "A+ Trend Short", "side": "SHORT", "price": 134.56, "stage": 4, "buy": 8.5, "sell": 87.3, "prime": -2, "revL": 0, "revS": 0, "vcp": 0, "time": 1784035800000, "email_id": "b'940'", "timestamp": "2026-07-14 16:01:31"}</t>
  </si>
  <si>
    <t>Buy: 96.4 | Sell: 6.3</t>
  </si>
  <si>
    <t>Buy: 93.8 | Sell: 23.7</t>
  </si>
  <si>
    <t>{"symbol": "EA", "strategy": "Daily", "action": "LONG", "alert_price": 206.34, "score": "", "dir_prob": "93", "net_sigma": "", "grade": "", "align": "", "premium": "", "wrong_if": "", "context": "", "subject": "Alert: Rev - Screener v1 (SPY, 12): Any alert() function call", "body": "{\"ticker\":\"EA\", \"setup\":\"A+ Trend Long\", \"side\":\"LONG\", \"price\":206.34, \"stage\":2, \"buy\":94.7, \"sell\":11.8, \"prime\":2, \"revL\":0, \"revS\":0, \"vcp\":0, \"dir_prob\":93, \"time\":1783949400000}", "ticker": "EA", "setup": "A+ Trend Long", "side": "LONG", "price": 206.34, "stage": 2, "buy": 94.7, "sell": 11.8, "prime": 2, "revL": 0, "revS": 0, "vcp": 0, "time": 1783949400000, "email_id": "b'679'", "timestamp": "2026-07-13 16:01:19"}</t>
  </si>
  <si>
    <t>Buy: 92.2 | Sell: 16.2</t>
  </si>
  <si>
    <t>{"symbol": "DVA", "strategy": "Daily", "action": "LONG", "alert_price": 232.74, "score": "", "dir_prob": "88.7", "net_sigma": "", "grade": "", "align": "", "premium": "", "wrong_if": "", "context": "", "subject": "Alert: Rev - Screener v1 (SPY, 12): Any alert() function call", "body": "{\"ticker\":\"DVA\", \"setup\":\"A+ Trend Long\", \"side\":\"LONG\", \"price\":232.74, \"stage\":2, \"buy\":92, \"sell\":37.3, \"prime\":2, \"revL\":0, \"revS\":0, \"vcp\":0, \"dir_prob\":88.7, \"time\":1783690200000}", "ticker": "DVA", "setup": "A+ Trend Long", "side": "LONG", "price": 232.74, "stage": 2, "buy": 92, "sell": 37.3, "prime": 2, "revL": 0, "revS": 0, "vcp": 0, "time": 1783690200000, "email_id": "b'440'", "timestamp": "2026-07-10 16:01:22"}</t>
  </si>
  <si>
    <t>WATCH (8/10)</t>
  </si>
  <si>
    <t>TREND_LONG fires on buy score 96.08 (&gt;=65) with dir_prob 82.07 and stage 2, indicating strong dominant-side long momentum. News CONFIRMS the long bias via the Scotiabank upgrade/price-target raise to $307 (bullish sentiment). Triage is capped at WATCH because regime 3 (distribution) triggers the veto overlay for TREND_LONG; the only soft flag is 'earnings' from earnings_gate CAUTION (earnings_days -1 unknown). No exhaustion, churn, chased, or stage-lag flags apply given ext_pct 11.8, opposite_score 50.82, zone_state in_zone, and stage 2.</t>
  </si>
  <si>
    <t>{"symbol": "AOS", "strategy": "Daily", "action": "LONG", "alert_price": 59.53, "score": "", "dir_prob": "93.6", "net_sigma": "", "grade": "", "align": "", "premium": "", "wrong_if": "", "context": "", "subject": "Alert: Rev - Screener v1 (SPY, 12): Any alert() function call", "body": "{\"ticker\":\"AOS\", \"setup\":\"A+ Trend Long\", \"side\":\"LONG\", \"price\":59.53, \"stage\":2, \"buy\":92.2, \"sell\":16.2, \"prime\":2, \"revL\":0, \"revS\":0, \"vcp\":0, \"dir_prob\":93.6, \"time\":1783949400000}", "ticker": "AOS", "setup": "A+ Trend Long", "side": "LONG", "price": 59.53, "stage": 2, "buy": 92.2, "sell": 16.2, "prime": 2, "revL": 0, "revS": 0, "vcp": 0, "time": 1783949400000, "email_id": "b'680'", "timestamp": "2026-07-13 16:01:18"}</t>
  </si>
  <si>
    <t>Buy: 96.4 | Sell: 7.5</t>
  </si>
  <si>
    <t>{"symbol": "EW", "strategy": "Daily", "action": "LONG", "alert_price": 90.1, "score": "", "dir_prob": "93.9", "net_sigma": "", "grade": "", "align": "", "premium": "", "wrong_if": "", "context": "", "subject": "Alert: Rev - Screener v1 (SPY, 12): Any alert() function call", "body": "{\"ticker\":\"EW\", \"setup\":\"A+ Trend Long\", \"side\":\"LONG\", \"price\":90.10, \"stage\":2, \"buy\":96.4, \"sell\":6.3, \"prime\":2, \"revL\":0, \"revS\":0, \"vcp\":0, \"dir_prob\":93.9, \"time\":1784035800000}", "ticker": "EW", "setup": "A+ Trend Long", "side": "LONG", "price": 90.1, "stage": 2, "buy": 96.4, "sell": 6.3, "prime": 2, "revL": 0, "revS": 0, "vcp": 0, "time": 1784035800000, "email_id": "b'947'", "timestamp": "2026-07-14 16:01:31"}</t>
  </si>
  <si>
    <t>Buy: 94.5 | Sell: 9</t>
  </si>
  <si>
    <t>Buy: 96.3 | Sell: 20.2</t>
  </si>
  <si>
    <t>{"symbol": "LLY", "strategy": "Daily", "action": "LONG", "alert_price": 1184.59, "score": "", "dir_prob": "92.9", "net_sigma": "", "grade": "", "align": "", "premium": "", "wrong_if": "", "context": "", "subject": "Alert: Rev - Screener v1 (SPY, 12): Any alert() function call", "body": "{\"ticker\":\"LLY\", \"setup\":\"A+ Trend Long\", \"side\":\"LONG\", \"price\":1184.59, \"stage\":2, \"buy\":94.5, \"sell\":9, \"prime\":2, \"revL\":0, \"revS\":0, \"vcp\":0, \"dir_prob\":92.9, \"time\":1783949400000}", "ticker": "LLY", "setup": "A+ Trend Long", "side": "LONG", "price": 1184.59, "stage": 2, "buy": 94.5, "sell": 9, "prime": 2, "revL": 0, "revS": 0, "vcp": 0, "time": 1783949400000, "email_id": "b'681'", "timestamp": "2026-07-13 16:01:12"}</t>
  </si>
  <si>
    <t>Buy: 84.1 | Sell: 16.4</t>
  </si>
  <si>
    <t>{"symbol": "SYY", "strategy": "Daily", "action": "LONG", "alert_price": 83.83, "score": "", "dir_prob": "96.5", "net_sigma": "", "grade": "", "align": "", "premium": "", "wrong_if": "", "context": "", "subject": "Alert: Rev - Screener v1 (SPY, 12): Any alert() function call", "body": "{\"ticker\":\"SYY\", \"setup\":\"A+ Trend Long\", \"side\":\"LONG\", \"price\":83.83, \"stage\":2, \"buy\":96.4, \"sell\":7.5, \"prime\":2, \"revL\":0, \"revS\":0, \"vcp\":0, \"dir_prob\":96.5, \"time\":1783690200000}", "ticker": "SYY", "setup": "A+ Trend Long", "side": "LONG", "price": 83.83, "stage": 2, "buy": 96.4, "sell": 7.5, "prime": 2, "revL": 0, "revS": 0, "vcp": 0, "time": 1783690200000, "email_id": "b'501'", "timestamp": "2026-07-10 16:01:36"}</t>
  </si>
  <si>
    <t>TREND_SHORT is firing: sell score 87.62 (&gt;=65), dir_prob 12.12 (&lt;50 bearish), stage 4 downtrend, regime 4. News read is CONFIRMS with catalyst 'Analyst Rating' and bearish sentiment, supported by headlines citing rising private-credit default risk flagged by UBS. Triage is PASS as no veto cap applies (no contradiction, earnings gate only CAUTION, rev_zone_l=0, stage!=2); the sole soft flag is 'earnings' from earnings_gate=CAUTION and earnings_days=-1, which does not change triage.</t>
  </si>
  <si>
    <t>{"symbol": "CVS", "strategy": "Daily", "action": "LONG", "alert_price": 102.79, "score": "", "dir_prob": "90.2", "net_sigma": "", "grade": "", "align": "", "premium": "", "wrong_if": "", "context": "", "subject": "Alert: Rev - Screener v1 (SPY, 12): Any alert() function call", "body": "{\"ticker\":\"CVS\", \"setup\":\"A+ Trend Long\", \"side\":\"LONG\", \"price\":102.79, \"stage\":2, \"buy\":93.8, \"sell\":23.7, \"prime\":2, \"revL\":0, \"revS\":0, \"vcp\":0, \"dir_prob\":90.2, \"time\":1783603800000}", "ticker": "CVS", "setup": "A+ Trend Long", "side": "LONG", "price": 102.79, "stage": 2, "buy": 93.8, "sell": 23.7, "prime": 2, "revL": 0, "revS": 0, "vcp": 0, "time": 1783603800000, "email_id": "b'249'", "timestamp": "2026-07-09 16:01:12"}</t>
  </si>
  <si>
    <t>Buy: 8.7 | Sell: 88.8</t>
  </si>
  <si>
    <t>{"symbol": "GWW", "strategy": "Daily", "action": "LONG", "alert_price": 1391.61, "score": "", "dir_prob": "88.1", "net_sigma": "", "grade": "", "align": "", "premium": "", "wrong_if": "", "context": "", "subject": "Alert: Rev - Screener v1 (SPY, 12): Any alert() function call", "body": "{\"ticker\":\"GWW\", \"setup\":\"Bullish Squeeze Release\", \"side\":\"LONG\", \"price\":1391.61, \"stage\":2, \"buy\":84.1, \"sell\":16.4, \"prime\":1, \"revL\":0, \"revS\":0, \"vcp\":2, \"dir_prob\":88.1, \"time\":1783949400000}", "ticker": "GWW", "setup": "Bullish Squeeze Release", "side": "LONG", "price": 1391.61, "stage": 2, "buy": 84.1, "sell": 16.4, "prime": 1, "revL": 0, "revS": 0, "vcp": 2, "time": 1783949400000, "email_id": "b'682'", "timestamp": "2026-07-13 16:01:07"}</t>
  </si>
  <si>
    <t>{"symbol": "IR", "strategy": "Daily", "action": "LONG", "alert_price": 79.05, "score": "", "dir_prob": "94.4", "net_sigma": "", "grade": "", "align": "", "premium": "", "wrong_if": "", "context": "", "subject": "Alert: Rev - Screener v1 (SPY, 12): Any alert() function call", "body": "{\"ticker\":\"IR\", \"setup\":\"A+ Trend Long\", \"side\":\"LONG\", \"price\":79.05, \"stage\":2, \"buy\":96.3, \"sell\":20.2, \"prime\":2, \"revL\":0, \"revS\":0, \"vcp\":1, \"dir_prob\":94.4, \"time\":1784035800000}", "ticker": "IR", "setup": "A+ Trend Long", "side": "LONG", "price": 79.05, "stage": 2, "buy": 96.3, "sell": 20.2, "prime": 2, "revL": 0, "revS": 0, "vcp": 1, "time": 1784035800000, "email_id": "b'955'", "timestamp": "2026-07-14 16:01:14"}</t>
  </si>
  <si>
    <t>Buy: 95.1 | Sell: 7.6</t>
  </si>
  <si>
    <t>Buy: 97.7 | Sell: 13.3</t>
  </si>
  <si>
    <t>{"symbol": "SPG", "strategy": "Daily", "action": "LONG", "alert_price": 219.55, "score": "", "dir_prob": "88.4", "net_sigma": "", "grade": "", "align": "", "premium": "", "wrong_if": "", "context": "", "subject": "Alert: Rev - Screener v1 (SPY, 12): Any alert() function call", "body": "{\"ticker\":\"SPG\", \"setup\":\"A+ Trend Long\", \"side\":\"LONG\", \"price\":219.55, \"stage\":2, \"buy\":95.1, \"sell\":7.6, \"prime\":2, \"revL\":0, \"revS\":0, \"vcp\":0, \"dir_prob\":88.4, \"time\":1783949400000}", "ticker": "SPG", "setup": "A+ Trend Long", "side": "LONG", "price": 219.55, "stage": 2, "buy": 95.1, "sell": 7.6, "prime": 2, "revL": 0, "revS": 0, "vcp": 0, "time": 1783949400000, "email_id": "b'683'", "timestamp": "2026-07-13 16:01:02"}</t>
  </si>
  <si>
    <t>{"symbol": "CTSH", "strategy": "Daily", "action": "SHORT", "alert_price": 42.57, "score": "", "dir_prob": "10", "net_sigma": "", "grade": "", "align": "", "premium": "", "wrong_if": "", "context": "", "subject": "Alert: Rev - Screener v1 (SPY, 12): Any alert() function call", "body": "{\"ticker\":\"CTSH\", \"setup\":\"A+ Trend Short\", \"side\":\"SHORT\", \"price\":42.57, \"stage\":4, \"buy\":8.7, \"sell\":88.8, \"prime\":-2, \"revL\":0, \"revS\":0, \"vcp\":0, \"dir_prob\":10, \"time\":1783690200000}", "ticker": "CTSH", "setup": "A+ Trend Short", "side": "SHORT", "price": 42.57, "stage": 4, "buy": 8.7, "sell": 88.8, "prime": -2, "revL": 0, "revS": 0, "vcp": 0, "time": 1783690200000, "email_id": "b'559'", "timestamp": "2026-07-10 16:01:35"}</t>
  </si>
  <si>
    <t>Entry mode is REVERSION_SHORT: rev_zone_s=11.5 (Zone 0) with stage=2 (up/basing trend) signals a counter-trend short setup, despite dominant_side=long from buy=96.61 &gt; sell=86.09 and dir_prob=39.61 leaning bearish. News read is NEUTRAL with catalyst 'none' (headlines empty). Triage is PASS for mean-reversion; no veto applies, but soft flags are present: earnings (earnings_days=-1/CAUTION), churn (opposite_score=86.09), chased (long zone_state=above_zone), and stage_lag (short in stage=2).</t>
  </si>
  <si>
    <t>Buy: 93.4 | Sell: 7</t>
  </si>
  <si>
    <t>Buy: 96.5 | Sell: 7.3</t>
  </si>
  <si>
    <t>Buy: 95.6 | Sell: 5.6</t>
  </si>
  <si>
    <t>{"symbol": "IP", "strategy": "Daily", "action": "LONG", "alert_price": 36.51, "score": "", "dir_prob": "97.1", "net_sigma": "", "grade": "", "align": "", "premium": "", "wrong_if": "", "context": "", "subject": "Alert: Rev - Screener v1 (SPY, 12): Any alert() function call", "body": "{\"ticker\":\"IP\", \"setup\":\"A+ Trend Long\", \"side\":\"LONG\", \"price\":36.51, \"stage\":2, \"buy\":97.7, \"sell\":13.3, \"prime\":2, \"revL\":0, \"revS\":0, \"vcp\":1, \"dir_prob\":97.1, \"time\":1784035800000}", "ticker": "IP", "setup": "A+ Trend Long", "side": "LONG", "price": 36.51, "stage": 2, "buy": 97.7, "sell": 13.3, "prime": 2, "revL": 0, "revS": 0, "vcp": 1, "time": 1784035800000, "email_id": "b'957'", "timestamp": "2026-07-14 16:01:28"}</t>
  </si>
  <si>
    <t>{"symbol": "MNST", "strategy": "Daily", "action": "LONG", "alert_price": 97.05, "score": "", "dir_prob": "88.5", "net_sigma": "", "grade": "", "align": "", "premium": "", "wrong_if": "", "context": "", "subject": "Alert: Rev - Screener v1 (SPY, 12): Any alert() function call", "body": "{\"ticker\":\"MNST\", \"setup\":\"A+ Trend Long\", \"side\":\"LONG\", \"price\":97.05, \"stage\":2, \"buy\":93.4, \"sell\":7, \"prime\":2, \"revL\":0, \"revS\":0, \"vcp\":0, \"dir_prob\":88.5, \"time\":1783949400000}", "ticker": "MNST", "setup": "A+ Trend Long", "side": "LONG", "price": 97.05, "stage": 2, "buy": 93.4, "sell": 7, "prime": 2, "revL": 0, "revS": 0, "vcp": 0, "time": 1783949400000, "email_id": "b'684'", "timestamp": "2026-07-13 16:01:14"}</t>
  </si>
  <si>
    <t>Buy: 96.9 | Sell: 5.3</t>
  </si>
  <si>
    <t>{"symbol": "FITB", "strategy": "Daily", "action": "LONG", "alert_price": 57.07, "score": "", "dir_prob": "92.3", "net_sigma": "", "grade": "", "align": "", "premium": "", "wrong_if": "", "context": "", "subject": "Alert: Rev - Screener v1 (SPY, 12): Any alert() function call", "body": "{\"ticker\":\"FITB\", \"setup\":\"A+ Trend Long\", \"side\":\"LONG\", \"price\":57.07, \"stage\":2, \"buy\":96.5, \"sell\":7.3, \"prime\":2, \"revL\":0, \"revS\":0, \"vcp\":0, \"dir_prob\":92.3, \"time\":1783690200000}", "ticker": "FITB", "setup": "A+ Trend Long", "side": "LONG", "price": 57.07, "stage": 2, "buy": 96.5, "sell": 7.3, "prime": 2, "revL": 0, "revS": 0, "vcp": 0, "time": 1783690200000, "email_id": "b'464'", "timestamp": "2026-07-10 16:01:17"}</t>
  </si>
  <si>
    <t>TREND_LONG is firing on buy score 91.83 (&gt;=65) with dir_prob 56.73 and stage 2, though regime is 3 (Distribution). News CONFIRMS the long side via multiple analyst Buy ratings and price-target raises to $185. Triage is capped at WATCH because regime 3 forces a veto cap and zone_state is above_zone with rr_from_current 0.11 (&lt;1.0), indicating a chased entry with poor R:R. Soft flags apply: opposite_score 62.57 triggers churn, above_zone triggers chased, and earnings_days -1 triggers earnings caution.</t>
  </si>
  <si>
    <t>{"symbol": "USB", "strategy": "Daily", "action": "LONG", "alert_price": 62.35, "score": "", "dir_prob": "93.4", "net_sigma": "", "grade": "", "align": "", "premium": "", "wrong_if": "", "context": "", "subject": "Alert: Rev - Screener v1 (SPY, 12): Any alert() function call", "body": "{\"ticker\":\"USB\", \"setup\":\"A+ Trend Long\", \"side\":\"LONG\", \"price\":62.35, \"stage\":2, \"buy\":96.9, \"sell\":5.3, \"prime\":2, \"revL\":0, \"revS\":0, \"vcp\":0, \"dir_prob\":93.4, \"time\":1783949400000}", "ticker": "USB", "setup": "A+ Trend Long", "side": "LONG", "price": 62.35, "stage": 2, "buy": 96.9, "sell": 5.3, "prime": 2, "revL": 0, "revS": 0, "vcp": 0, "time": 1783949400000, "email_id": "b'685'", "timestamp": "2026-07-13 16:01:20"}</t>
  </si>
  <si>
    <t>Buy: 97.2 | Sell: 4.1</t>
  </si>
  <si>
    <t>Buy: 95.9 | Sell: 7.3</t>
  </si>
  <si>
    <t>{"symbol": "COO", "strategy": "Daily", "action": "LONG", "alert_price": 68.52, "score": "", "dir_prob": "96.7", "net_sigma": "", "grade": "", "align": "", "premium": "", "wrong_if": "", "context": "", "subject": "Alert: Rev - Screener v1 (SPY, 12): Any alert() function call", "body": "{\"ticker\":\"COO\", \"setup\":\"A+ Trend Long\", \"side\":\"LONG\", \"price\":68.52, \"stage\":2, \"buy\":97.4, \"sell\":4.1, \"prime\":2, \"revL\":0, \"revS\":0, \"vcp\":0, \"dir_prob\":96.7, \"time\":1784035800000}", "ticker": "COO", "setup": "A+ Trend Long", "side": "LONG", "price": 68.52, "stage": 2, "buy": 97.4, "sell": 4.1, "prime": 2, "revL": 0, "revS": 0, "vcp": 0, "time": 1784035800000, "email_id": "b'958'", "timestamp": "2026-07-14 16:01:30"}</t>
  </si>
  <si>
    <t>TRV</t>
  </si>
  <si>
    <t>Buy: 97.2 | Sell: 5.2</t>
  </si>
  <si>
    <t>SKIP — Set alerts for the zone, not the price</t>
  </si>
  <si>
    <t>4</t>
  </si>
  <si>
    <t>{"symbol": "PNW", "strategy": "Daily", "action": "LONG", "alert_price": 106.74, "score": "", "dir_prob": "96.4", "net_sigma": "", "grade": "", "align": "", "premium": "", "wrong_if": "", "context": "", "subject": "Alert: Rev - Screener v1 (SPY, 12): Any alert() function call", "body": "{\"ticker\":\"PNW\", \"setup\":\"A+ Trend Long\", \"side\":\"LONG\", \"price\":106.74, \"stage\":2, \"buy\":95.6, \"sell\":5.6, \"prime\":2, \"revL\":0, \"revS\":0, \"vcp\":0, \"dir_prob\":96.4, \"time\":1783603800000}", "ticker": "PNW", "setup": "A+ Trend Long", "side": "LONG", "price": 106.74, "stage": 2, "buy": 95.6, "sell": 5.6, "prime": 2, "revL": 0, "revS": 0, "vcp": 0, "time": 1783603800000, "email_id": "b'301'", "timestamp": "2026-07-09 16:01:17"}</t>
  </si>
  <si>
    <t>{"symbol": "LH", "strategy": "Daily", "action": "LONG", "alert_price": 276.5, "score": "", "dir_prob": "95.6", "net_sigma": "", "grade": "", "align": "", "premium": "", "wrong_if": "", "context": "", "subject": "Alert: Rev - Screener v1 (SPY, 12): Any alert() function call", "body": "{\"ticker\":\"LH\", \"setup\":\"A+ Trend Long\", \"side\":\"LONG\", \"price\":276.50, \"stage\":2, \"buy\":95.9, \"sell\":7.3, \"prime\":2, \"revL\":0, \"revS\":0, \"vcp\":0, \"dir_prob\":95.6, \"time\":1783949400000}", "ticker": "LH", "setup": "A+ Trend Long", "side": "LONG", "price": 276.5, "stage": 2, "buy": 95.9, "sell": 7.3, "prime": 2, "revL": 0, "revS": 0, "vcp": 0, "time": 1783949400000, "email_id": "b'686'", "timestamp": "2026-07-13 16:01:21"}</t>
  </si>
  <si>
    <t>{"symbol": "ECL", "strategy": "Daily", "action": "LONG", "alert_price": 274.34, "score": "", "dir_prob": "97.2", "net_sigma": "", "grade": "", "align": "", "premium": "", "wrong_if": "", "context": "", "subject": "Alert: Rev - Screener v1 (SPY, 12): Any alert() function call", "body": "{\"ticker\":\"ECL\", \"setup\":\"A+ Trend Long\", \"side\":\"LONG\", \"price\":274.34, \"stage\":2, \"buy\":97.2, \"sell\":4.1, \"prime\":2, \"revL\":0, \"revS\":0, \"vcp\":0, \"dir_prob\":97.2, \"time\":1783690200000}", "ticker": "ECL", "setup": "A+ Trend Long", "side": "LONG", "price": 274.34, "stage": 2, "buy": 97.2, "sell": 4.1, "prime": 2, "revL": 0, "revS": 0, "vcp": 0, "time": 1783690200000, "email_id": "b'561'", "timestamp": "2026-07-10 16:01:39"}</t>
  </si>
  <si>
    <t>Entry: 
Stop: 
Target: 
See markdown for full rationale.</t>
  </si>
  <si>
    <t>All technical signals are zero/null (buy=0, sell=0, dir_prob=0, stage=0, regime=0, rev_zone_l=0, rev_zone_s=0, ignition_long=0), so no entry mode fires and dominant_score (buy)=0 is below 50 — there is no active edge. News read is NEUTRAL: the sole headline is Barclays maintaining Equal-Weight with a raised PT (catalyst 'Analyst Rating'), which neither confirms nor contradicts the long side. Triage is CUT because nothing is firing per Step 2B; the 'earnings' flag is added due to earnings_days=-1 / earnings_gate=CAUTION but does not alter the verdict. No other soft flags apply since ext_pct, exhaustion, and zone values are all zero/null.</t>
  </si>
  <si>
    <t>Buy: 93.1 | Sell: 37.3</t>
  </si>
  <si>
    <t>Buy: 97.6 | Sell: 5.8</t>
  </si>
  <si>
    <t>{"symbol": "WFC", "strategy": "Daily", "action": "LONG", "alert_price": 87.71, "score": "", "dir_prob": "85.8", "net_sigma": "", "grade": "", "align": "", "premium": "", "wrong_if": "", "context": "", "subject": "Alert: Rev - Screener v1 (SPY, 12): Any alert() function call", "body": "{\"ticker\":\"WFC\", \"setup\":\"A+ Trend Long\", \"side\":\"LONG\", \"price\":87.71, \"stage\":2, \"buy\":93.1, \"sell\":37.3, \"prime\":2, \"revL\":0, \"revS\":0, \"vcp\":0, \"dir_prob\":85.8, \"time\":1783949400000}", "ticker": "WFC", "setup": "A+ Trend Long", "side": "LONG", "price": 87.71, "stage": 2, "buy": 93.1, "sell": 37.3, "prime": 2, "revL": 0, "revS": 0, "vcp": 0, "time": 1783949400000, "email_id": "b'687'", "timestamp": "2026-07-13 16:01:22"}</t>
  </si>
  <si>
    <t>Buy: 93.2 | Sell: 35.5</t>
  </si>
  <si>
    <t>{"symbol": "TRV", "strategy": "Daily", "action": "LONG", "alert_price": 336.84, "score": "", "dir_prob": "95.1", "net_sigma": "", "grade": "", "align": "", "premium": "", "wrong_if": "", "context": "", "subject": "Alert: Rev - Screener v1 (SPY, 12): Any alert() function call", "body": "{\"ticker\":\"TRV\", \"setup\":\"A+ Trend Long\", \"side\":\"LONG\", \"price\":336.84, \"stage\":2, \"buy\":97.2, \"sell\":5.2, \"prime\":2, \"revL\":0, \"revS\":0, \"vcp\":0, \"dir_prob\":95.1, \"time\":1784035800000}", "ticker": "TRV", "setup": "A+ Trend Long", "side": "LONG", "price": 336.84, "stage": 2, "buy": 97.2, "sell": 5.2, "prime": 2, "revL": 0, "revS": 0, "vcp": 0, "time": 1784035800000, "email_id": "b'805'", "timestamp": "2026-07-14 16:01:06"}</t>
  </si>
  <si>
    <t>PASS</t>
  </si>
  <si>
    <t>setup</t>
  </si>
  <si>
    <t>{"symbol": "CAH", "strategy": "Daily", "action": "LONG", "alert_price": 235.53, "score": "", "dir_prob": "98.6", "net_sigma": "", "grade": "", "align": "", "premium": "", "wrong_if": "", "context": "", "subject": "Alert: Rev - Screener v1 (SPY, 12): Any alert() function call", "body": "{\"ticker\":\"CAH\", \"setup\":\"A+ Trend Long\", \"side\":\"LONG\", \"price\":235.53, \"stage\":2, \"buy\":97.6, \"sell\":5.8, \"prime\":2, \"revL\":0, \"revS\":0, \"vcp\":0, \"dir_prob\":98.6, \"time\":1783690200000}", "ticker": "CAH", "setup": "A+ Trend Long", "side": "LONG", "price": 235.53, "stage": 2, "buy": 97.6, "sell": 5.8, "prime": 2, "revL": 0, "revS": 0, "vcp": 0, "time": 1783690200000, "email_id": "b'543'", "timestamp": "2026-07-10 16:01:26"}</t>
  </si>
  <si>
    <t>Buy: 98 | Sell: 11.3</t>
  </si>
  <si>
    <t>TREND_SHORT is firing: dominant_side=short with sell=79.71 (&gt;=65) and dir_prob=19.09 confirming bearish edge, within stage=4 and regime=4 downtrend. News read is CONTRADICTS — the sole headline is Barclays maintaining an Overweight rating (bullish for longs), opposing the short thesis despite the lowered target. Triage is capped to WATCH by the news contradiction veto; soft flags apply as opposite_score=76.63 (&gt;=60) triggers churn and earnings_days=-1/earnings_gate=CAUTION triggers earnings caution, while rev_zone_l=2.5 and stage=4 preclude any further cap.</t>
  </si>
  <si>
    <t>Buy: 98 | Sell: 10.2</t>
  </si>
  <si>
    <t>**WAIT** (Set alert at $18.35; engage ONLY if price touches the long zone on lower-volume, otherwise skip)</t>
  </si>
  <si>
    <t>RTX</t>
  </si>
  <si>
    <t>{"symbol": "MAA", "strategy": "Daily", "action": "LONG", "alert_price": 135.87, "score": "", "dir_prob": "93.2", "net_sigma": "", "grade": "", "align": "", "premium": "", "wrong_if": "", "context": "", "subject": "Alert: Rev - Screener v1 (SPY, 12): Any alert() function call", "body": "{\"ticker\":\"MAA\", \"setup\":\"A+ Trend Long\", \"side\":\"LONG\", \"price\":135.87, \"stage\":2, \"buy\":93.2, \"sell\":35.5, \"prime\":2, \"revL\":0, \"revS\":0, \"vcp\":0, \"dir_prob\":93.2, \"time\":1783949400000}", "ticker": "MAA", "setup": "A+ Trend Long", "side": "LONG", "price": 135.87, "stage": 2, "buy": 93.2, "sell": 35.5, "prime": 2, "revL": 0, "revS": 0, "vcp": 0, "time": 1783949400000, "email_id": "b'688'", "timestamp": "2026-07-13 16:01:11"}</t>
  </si>
  <si>
    <t>Buy: 91.4 | Sell: 12.8</t>
  </si>
  <si>
    <t>Buy: 11.3 | Sell: 90.5</t>
  </si>
  <si>
    <t>{"symbol": "COP", "strategy": "Daily", "action": "SHORT", "alert_price": 112.85, "score": "", "dir_prob": "7.8", "net_sigma": "", "grade": "", "align": "", "premium": "", "wrong_if": "", "context": "", "subject": "Alert: Rev - Screener v1 (SPY, 12): Any alert() function call", "body": "{\"ticker\":\"COP\", \"setup\":\"A+ Trend Short\", \"side\":\"SHORT\", \"price\":112.85, \"stage\":4, \"buy\":11.3, \"sell\":90.5, \"prime\":-2, \"revL\":0, \"revS\":0, \"vcp\":0, \"dir_prob\":7.8, \"time\":1783949400000}", "ticker": "COP", "setup": "A+ Trend Short", "side": "SHORT", "price": 112.85, "stage": 4, "buy": 11.3, "sell": 90.5, "prime": -2, "revL": 0, "revS": 0, "vcp": 0, "time": 1783949400000, "email_id": "b'689'", "timestamp": "2026-07-13 16:01:08"}</t>
  </si>
  <si>
    <t>Buy: 86.3 | Sell: 37</t>
  </si>
  <si>
    <t>{"symbol": "KVUE", "strategy": "Daily", "action": "LONG", "alert_price": 18.76, "score": "", "dir_prob": "95.1", "net_sigma": "", "grade": "", "align": "", "premium": "", "wrong_if": "", "context": "", "subject": "Alert: Rev - Screener v1 (SPY, 12): Any alert() function call", "body": "{\"ticker\":\"KVUE\", \"setup\":\"A+ Trend Long\", \"side\":\"LONG\", \"price\":18.76, \"stage\":2, \"buy\":98, \"sell\":10.2, \"prime\":2, \"revL\":0, \"revS\":0, \"vcp\":0, \"dir_prob\":95.1, \"time\":1784035800000}", "ticker": "KVUE", "setup": "A+ Trend Long", "side": "LONG", "price": 18.76, "stage": 2, "buy": 98, "sell": 10.2, "prime": 2, "revL": 0, "revS": 0, "vcp": 0, "time": 1784035800000, "email_id": "b'851'", "timestamp": "2026-07-14 16:01:03"}</t>
  </si>
  <si>
    <t>{"symbol": "RTX", "strategy": "Daily", "action": "LONG", "alert_price": 195.96, "score": "", "dir_prob": "90.8", "net_sigma": "", "grade": "", "align": "", "premium": "", "wrong_if": "", "context": "", "subject": "Alert: Rev - Screener v1 (SPY, 12): Any alert() function call", "body": "{\"ticker\":\"RTX\", \"setup\":\"A+ Trend Long\", \"side\":\"LONG\", \"price\":195.96, \"stage\":2, \"buy\":91.4, \"sell\":12.8, \"prime\":2, \"revL\":0, \"revS\":0, \"vcp\":0, \"dir_prob\":90.8, \"time\":1783690200000}", "ticker": "RTX", "setup": "A+ Trend Long", "side": "LONG", "price": 195.96, "stage": 2, "buy": 91.4, "sell": 12.8, "prime": 2, "revL": 0, "revS": 0, "vcp": 0, "time": 1783690200000, "email_id": "b'552'", "timestamp": "2026-07-10 16:01:27"}</t>
  </si>
  <si>
    <t>TREND_LONG is firing on buy score 75.38 (&gt;=65) with dir_prob 85.76 and stage 2, but regime 3 (distribution) caps the name at WATCH per the trend-long veto rule. News is neutral: BMO Capital initiated coverage with a Market Perform rating and $95 target, classified as NEUTRAL with no confirmation or contradiction of the long side. The WATCH cap is driven solely by the distribution regime; the earnings flag is soft (earnings_gate CAUTION, earnings_days -1) and does not veto. No exhaustion (ext_pct 43.7% but exhaustion 0.15), churn (opposite 35.9), chased (in_zone), or aggressive target (long_target +3% vs 10.7% exp move) apply.</t>
  </si>
  <si>
    <t>Buy: 79.6 | Sell: 33.9</t>
  </si>
  <si>
    <t>**WAIT FOR PULLBACK** (Trend-Intact, Entry Violates Zone Discipline)</t>
  </si>
  <si>
    <t>{"symbol": "PH", "strategy": "Daily", "action": "LONG", "alert_price": 949.02, "score": "", "dir_prob": "90.7", "net_sigma": "", "grade": "", "align": "", "premium": "", "wrong_if": "", "context": "", "subject": "Alert: Rev - Screener v1 (SPY, 12): Any alert() function call", "body": "{\"ticker\":\"PH\", \"setup\":\"A+ Trend Long\", \"side\":\"LONG\", \"price\":949.02, \"stage\":2, \"buy\":98, \"sell\":11.3, \"prime\":2, \"revL\":0, \"revS\":0, \"vcp\":0, \"dir_prob\":90.7, \"time\":1783603800000}", "ticker": "PH", "setup": "A+ Trend Long", "side": "LONG", "price": 949.02, "stage": 2, "buy": 98, "sell": 11.3, "prime": 2, "revL": 0, "revS": 0, "vcp": 0, "time": 1783603800000, "email_id": "b'342'", "timestamp": "2026-07-09 16:01:35"}</t>
  </si>
  <si>
    <t>5</t>
  </si>
  <si>
    <t>Buy: 97.6 | Sell: 4.4</t>
  </si>
  <si>
    <t>{"symbol": "AES", "strategy": "Daily", "action": "LONG", "alert_price": 14.76, "score": "", "dir_prob": "81.4", "net_sigma": "", "grade": "", "align": "", "premium": "", "wrong_if": "", "context": "", "subject": "Alert: Rev - Screener v1 (SPY, 12): Any alert() function call", "body": "{\"ticker\":\"AES\", \"setup\":\"A+ Trend Long\", \"side\":\"LONG\", \"price\":14.76, \"stage\":2, \"buy\":86.3, \"sell\":37, \"prime\":2, \"revL\":0, \"revS\":0, \"vcp\":1, \"dir_prob\":81.4, \"time\":1783949400000}", "ticker": "AES", "setup": "A+ Trend Long", "side": "LONG", "price": 14.76, "stage": 2, "buy": 86.3, "sell": 37, "prime": 2, "revL": 0, "revS": 0, "vcp": 1, "time": 1783949400000, "email_id": "b'690'", "timestamp": "2026-07-13 16:01:15"}</t>
  </si>
  <si>
    <t>Buy: 97.2 | Sell: 5.3</t>
  </si>
  <si>
    <t>{"symbol": "MRNA", "strategy": "Daily", "action": "LONG", "alert_price": 66.97, "score": "", "dir_prob": "96.8", "net_sigma": "", "grade": "", "align": "", "premium": "", "wrong_if": "", "context": "", "subject": "Alert: Rev - Screener v1 (SPY, 12): Any alert() function call", "body": "{\"ticker\":\"MRNA\", \"setup\":\"A+ Trend Long\", \"side\":\"LONG\", \"price\":66.97, \"stage\":2, \"buy\":97.4, \"sell\":4.1, \"prime\":2, \"revL\":0, \"revS\":0, \"vcp\":0, \"dir_prob\":96.8, \"time\":1783949400000}", "ticker": "MRNA", "setup": "A+ Trend Long", "side": "LONG", "price": 66.97, "stage": 2, "buy": 97.4, "sell": 4.1, "prime": 2, "revL": 0, "revS": 0, "vcp": 0, "time": 1783949400000, "email_id": "b'691'", "timestamp": "2026-07-13 16:01:27"}</t>
  </si>
  <si>
    <t>{"symbol": "NTAP", "strategy": "Daily", "action": "LONG", "alert_price": 174.58, "score": "", "dir_prob": "85.5", "net_sigma": "", "grade": "", "align": "", "premium": "", "wrong_if": "", "context": "", "subject": "Alert: Rev - Screener v1 (SPY, 12): Any alert() function call", "body": "{\"ticker\":\"NTAP\", \"setup\":\"Early Action Long\", \"side\":\"LONG\", \"price\":174.58, \"stage\":2, \"buy\":79.6, \"sell\":33.9, \"prime\":1, \"revL\":0, \"revS\":0, \"vcp\":0, \"dir_prob\":85.5, \"time\":1784035800000}", "ticker": "NTAP", "setup": "Early Action Long", "side": "LONG", "price": 174.58, "stage": 2, "buy": 79.6, "sell": 33.9, "prime": 1, "revL": 0, "revS": 0, "vcp": 0, "time": 1784035800000, "email_id": "b'785'", "timestamp": "2026-07-14 16:01:00"}</t>
  </si>
  <si>
    <t>OXY</t>
  </si>
  <si>
    <t>NTAP shows a strong TREND_LONG setup with a Buy score of 84.55, Dir Prob of 87.02, and Stage 2, indicating a healthy uptrend. The Rev Zone L score of 3.5 confirms no immediate mean-reversion signal. However, the stock is in an 'extended' regime (Ext% 42.24) and carries an 'earnings' caution flag due to unknown earnings timing, which caps conviction despite the strong technicals.</t>
  </si>
  <si>
    <t>Buy: 19.3 | Sell: 92.7</t>
  </si>
  <si>
    <t>{"symbol": "IP", "strategy": "Daily", "action": "LONG", "alert_price": 37.95, "score": "", "dir_prob": "97.9", "net_sigma": "", "grade": "", "align": "", "premium": "", "wrong_if": "", "context": "", "subject": "Alert: Rev - Screener v1 (SPY, 12): Any alert() function call", "body": "{\"ticker\":\"IP\", \"setup\":\"A+ Trend Long\", \"side\":\"LONG\", \"price\":37.95, \"stage\":2, \"buy\":97.6, \"sell\":4.4, \"prime\":2, \"revL\":0, \"revS\":0, \"vcp\":0, \"dir_prob\":97.9, \"time\":1783690200000}", "ticker": "IP", "setup": "A+ Trend Long", "side": "LONG", "price": 37.95, "stage": 2, "buy": 97.6, "sell": 4.4, "prime": 2, "revL": 0, "revS": 0, "vcp": 0, "time": 1783690200000, "email_id": "b'493'", "timestamp": "2026-07-10 16:01:51"}</t>
  </si>
  <si>
    <t xml:space="preserve">Sentiment: -0.268327 (Somewhat-Bearish)
</t>
  </si>
  <si>
    <t>PASS (6/10) → Deep Research</t>
  </si>
  <si>
    <t>TREND_LONG is firing: dominant_side is long with buy score 86.85 (&gt;=65), dir_prob 77.94, stage 2, regime 0 (healthy), and ignition/rev zones not triggering. News read is NEUTRAL with catalyst 'none' from empty headlines, so no confirmation or contradiction. Triage is PASS as no veto applies (zone_state is in_zone not above_zone, rr_from_current 0.90 &lt;1.0 does not cap since not above_zone; earnings_gate CAUTION not FAIL). Soft flag 'earnings' is added because earnings_gate is CAUTION and earnings_days is -1; no exhaustion, churn, chased, or stage_lag flags present.</t>
  </si>
  <si>
    <t>Buy: 85.7 | Sell: 26.3</t>
  </si>
  <si>
    <t>**SKIP FRESH ENTRY** (or LEAN at $263.99 pullback)</t>
  </si>
  <si>
    <t>Buy: 73.1 | Sell: 25.3</t>
  </si>
  <si>
    <t>{"symbol": "OXY", "strategy": "Daily", "action": "SHORT", "alert_price": 54.84, "score": "", "dir_prob": "8.6", "net_sigma": "", "grade": "", "align": "", "premium": "", "wrong_if": "", "context": "", "subject": "Alert: Rev - Screener v1 (SPY, 12): Any alert() function call", "body": "{\"ticker\":\"OXY\", \"setup\":\"A+ Trend Short\", \"side\":\"SHORT\", \"price\":54.84, \"stage\":4, \"buy\":19.3, \"sell\":92.7, \"prime\":-2, \"revL\":0, \"revS\":0, \"vcp\":0, \"dir_prob\":8.6, \"time\":1783949400000}", "ticker": "OXY", "setup": "A+ Trend Short", "side": "SHORT", "price": 54.84, "stage": 4, "buy": 19.3, "sell": 92.7, "prime": -2, "revL": 0, "revS": 0, "vcp": 0, "time": 1783949400000, "email_id": "b'692'", "timestamp": "2026-07-13 16:01:09"}</t>
  </si>
  <si>
    <t>Buy: 92.4 | Sell: 31.3</t>
  </si>
  <si>
    <t>{"symbol": "ANET", "strategy": "Daily", "action": "LONG", "alert_price": 186.95, "score": "", "dir_prob": "80.4", "net_sigma": "", "grade": "", "align": "", "premium": "", "wrong_if": "", "context": "", "subject": "Alert: Rev - Screener v1 (SPY, 12): Any alert() function call", "body": "{\"ticker\":\"ANET\", \"setup\":\"Early Action Long\", \"side\":\"LONG\", \"price\":186.95, \"stage\":2, \"buy\":73.1, \"sell\":25.3, \"prime\":1, \"revL\":0, \"revS\":0, \"vcp\":0, \"dir_prob\":80.4, \"time\":1783690200000}", "ticker": "ANET", "setup": "Early Action Long", "side": "LONG", "price": 186.95, "stage": 2, "buy": 73.1, "sell": 25.3, "prime": 1, "revL": 0, "revS": 0, "vcp": 0, "time": 1783690200000, "email_id": "b'437'", "timestamp": "2026-07-10 16:02:14"}</t>
  </si>
  <si>
    <t>TREND_LONG is firing on buy score 94.78 (&gt;=65), dir_prob 92.04, stage 2 and regime 0 (healthy), with no ignition or rev-zone override. News CONTRADICTS the long thesis: Keefe Bruyette maintains Underperform with a $175 target below the $183.55 price, a bearish analyst rating. Triage is capped at WATCH by the CONTRADICTS veto and again by chased/poor R:R (zone_state above_zone, rr_from_current -0.04 &lt;1.0); soft flags 'chased' and 'earnings' (gate CAUTION, days -1) apply while exhaustion 0.14 and opposite score 2.54 yield no further flags.</t>
  </si>
  <si>
    <t>{"symbol": "DDOG", "strategy": "Daily", "action": "LONG", "alert_price": 270.79, "score": "", "dir_prob": "90.8", "net_sigma": "", "grade": "", "align": "", "premium": "", "wrong_if": "", "context": "", "subject": "Alert: Rev - Screener v1 (SPY, 12): Any alert() function call", "body": "{\"ticker\":\"DDOG\", \"setup\":\"A+ Trend Long\", \"side\":\"LONG\", \"price\":270.79, \"stage\":2, \"buy\":85.7, \"sell\":26.3, \"prime\":2, \"revL\":0, \"revS\":0, \"vcp\":0, \"dir_prob\":90.8, \"time\":1784035800000}", "ticker": "DDOG", "setup": "A+ Trend Long", "side": "LONG", "price": 270.79, "stage": 2, "buy": 85.7, "sell": 26.3, "prime": 2, "revL": 0, "revS": 0, "vcp": 0, "time": 1784035800000, "email_id": "b'933'", "timestamp": "2026-07-14 16:01:14"}</t>
  </si>
  <si>
    <t>DDOG shows a strong TREND_LONG setup with a Buy score of 90.76, Dir Prob of 93.63, and Stage 2, indicating a healthy uptrend. The price is currently in the long zone with a favorable R:R of ~2.0. However, the high Ext% of 59.27 flags the stock as 'extended', and the CAUTION earnings gate adds a soft flag for potential volatility. Despite these cautions, the technical edge remains active.</t>
  </si>
  <si>
    <t xml:space="preserve">Sentiment: 0.117845 (Neutral)
</t>
  </si>
  <si>
    <t>PASS (7/10) → Deep Research</t>
  </si>
  <si>
    <t>{"symbol": "ITW", "strategy": "Daily", "action": "LONG", "alert_price": 265.47, "score": "", "dir_prob": "95.1", "net_sigma": "", "grade": "", "align": "", "premium": "", "wrong_if": "", "context": "", "subject": "Alert: Rev - Screener v1 (SPY, 12): Any alert() function call", "body": "{\"ticker\":\"ITW\", \"setup\":\"A+ Trend Long\", \"side\":\"LONG\", \"price\":265.47, \"stage\":2, \"buy\":97.2, \"sell\":5.3, \"prime\":2, \"revL\":0, \"revS\":0, \"vcp\":0, \"dir_prob\":95.1, \"time\":1783603800000}", "ticker": "ITW", "setup": "A+ Trend Long", "side": "LONG", "price": 265.47, "stage": 2, "buy": 97.2, "sell": 5.3, "prime": 2, "revL": 0, "revS": 0, "vcp": 0, "time": 1783603800000, "email_id": "b'159'", "timestamp": "2026-07-09 16:01:02"}</t>
  </si>
  <si>
    <t>AMD</t>
  </si>
  <si>
    <t>Buy: 73.7 | Sell: 51.7</t>
  </si>
  <si>
    <t>Buy: 89.6 | Sell: 3.9</t>
  </si>
  <si>
    <t>{"symbol": "MMM", "strategy": "Daily", "action": "LONG", "alert_price": 157.64, "score": "", "dir_prob": "88.4", "net_sigma": "", "grade": "", "align": "", "premium": "", "wrong_if": "", "context": "", "subject": "Alert: Rev - Screener v1 (SPY, 12): Any alert() function call", "body": "{\"ticker\":\"MMM\", \"setup\":\"A+ Trend Long\", \"side\":\"LONG\", \"price\":157.64, \"stage\":2, \"buy\":92.4, \"sell\":31.3, \"prime\":2, \"revL\":0, \"revS\":0, \"vcp\":0, \"dir_prob\":88.4, \"time\":1783949400000}", "ticker": "MMM", "setup": "A+ Trend Long", "side": "LONG", "price": 157.64, "stage": 2, "buy": 92.4, "sell": 31.3, "prime": 2, "revL": 0, "revS": 0, "vcp": 0, "time": 1783949400000, "email_id": "b'693'", "timestamp": "2026-07-13 16:01:28"}</t>
  </si>
  <si>
    <t>Buy: 97.7 | Sell: 9.7</t>
  </si>
  <si>
    <t>{"symbol": "AMD", "strategy": "Daily", "action": "LONG", "alert_price": 558.0, "score": "", "dir_prob": "69.2", "net_sigma": "", "grade": "", "align": "", "premium": "", "wrong_if": "", "context": "", "subject": "Alert: Rev - Screener v1 (SPY, 12): Any alert() function call", "body": "{\"ticker\":\"AMD\", \"setup\":\"Coiled VCP\", \"side\":\"LONG\", \"price\":558.00, \"stage\":2, \"buy\":73.7, \"sell\":51.7, \"prime\":1, \"revL\":0, \"revS\":0, \"vcp\":1, \"dir_prob\":69.2, \"time\":1783690200000}", "ticker": "AMD", "setup": "Coiled VCP", "side": "LONG", "price": 558.0, "stage": 2, "buy": 73.7, "sell": 51.7, "prime": 1, "revL": 0, "revS": 0, "vcp": 1, "time": 1783690200000, "email_id": "b'410'", "timestamp": "2026-07-10 16:01:13"}</t>
  </si>
  <si>
    <t>TREND_LONG fires on dominant_side=long with buy=92.32 (&gt;=65) and dir_prob=78.43, while stage=2 confirms an uptrend context and rev_zone_l=0 shows no counter-trend signal. News read is NEUTRAL with catalyst 'none' since all provided headlines are empty. Triage is capped to WATCH because regime=3 (Distribution) triggers the TREND_LONG veto overlay; the only soft flag is 'earnings' from earnings_gate=CAUTION and earnings_days=-1, with zone_state=in_zone and rr_from_current=1.02 not qualifying for the R:R bonus.</t>
  </si>
  <si>
    <t>{"symbol": "PHM", "strategy": "Daily", "action": "LONG", "alert_price": 124.54, "score": "", "dir_prob": "94", "net_sigma": "", "grade": "", "align": "", "premium": "", "wrong_if": "", "context": "", "subject": "Alert: Rev - Screener v1 (SPY, 12): Any alert() function call", "body": "{\"ticker\":\"PHM\", \"setup\":\"A+ Trend Long\", \"side\":\"LONG\", \"price\":124.54, \"stage\":2, \"buy\":89.6, \"sell\":3.9, \"prime\":2, \"revL\":0, \"revS\":0, \"vcp\":0, \"dir_prob\":94, \"time\":1784035800000}", "ticker": "PHM", "setup": "A+ Trend Long", "side": "LONG", "price": 124.54, "stage": 2, "buy": 89.6, "sell": 3.9, "prime": 2, "revL": 0, "revS": 0, "vcp": 0, "time": 1784035800000, "email_id": "b'787'", "timestamp": "2026-07-14 16:01:01"}</t>
  </si>
  <si>
    <t>WATCH</t>
  </si>
  <si>
    <t>moderate_no_setup</t>
  </si>
  <si>
    <t>ROST</t>
  </si>
  <si>
    <t>{"symbol": "IP", "strategy": "Daily", "action": "LONG", "alert_price": 37.02, "score": "", "dir_prob": "97.4", "net_sigma": "", "grade": "", "align": "", "premium": "", "wrong_if": "", "context": "", "subject": "Alert: Rev - Screener v1 (SPY, 12): Any alert() function call", "body": "{\"ticker\":\"IP\", \"setup\":\"A+ Trend Long\", \"side\":\"LONG\", \"price\":37.02, \"stage\":2, \"buy\":97.7, \"sell\":9.7, \"prime\":2, \"revL\":0, \"revS\":0, \"vcp\":1, \"dir_prob\":97.4, \"time\":1783949400000}", "ticker": "IP", "setup": "A+ Trend Long", "side": "LONG", "price": 37.02, "stage": 2, "buy": 97.7, "sell": 9.7, "prime": 2, "revL": 0, "revS": 0, "vcp": 1, "time": 1783949400000, "email_id": "b'694'", "timestamp": "2026-07-13 16:01:21"}</t>
  </si>
  <si>
    <t>Buy: 18.3 | Sell: 90.9</t>
  </si>
  <si>
    <t>Buy: 92.8 | Sell: 23.8</t>
  </si>
  <si>
    <t>Buy: 96.2 | Sell: 5.6</t>
  </si>
  <si>
    <t>Buy: 74.6 | Sell: 35.6</t>
  </si>
  <si>
    <t>SURVIVOR (67.8)</t>
  </si>
  <si>
    <t>{"symbol": "ROST", "strategy": "Daily", "action": "SHORT", "alert_price": 222.85, "score": "", "dir_prob": "1.9", "net_sigma": "", "grade": "", "align": "", "premium": "", "wrong_if": "", "context": "", "subject": "Alert: Rev - Screener v1 (SPY, 12): Any alert() function call", "body": "{\"ticker\":\"ROST\", \"setup\":\"A+ Trend Short\", \"side\":\"SHORT\", \"price\":222.85, \"stage\":4, \"buy\":18.3, \"sell\":90.9, \"prime\":-2, \"revL\":0, \"revS\":0, \"vcp\":0, \"dir_prob\":1.9, \"time\":1783690200000}", "ticker": "ROST", "setup": "A+ Trend Short", "side": "SHORT", "price": 222.85, "stage": 4, "buy": 18.3, "sell": 90.9, "prime": -2, "revL": 0, "revS": 0, "vcp": 0, "time": 1783690200000, "email_id": "b'515'", "timestamp": "2026-07-10 16:01:33"}</t>
  </si>
  <si>
    <t>TREND_LONG is firing: buy score 96.1 (&gt;=65) with dir_prob 75.9, stage 2, and dominant_side long confirm a trend/dip-buy long. News CONFIRMS the long bias — RBC Capital maintained Outperform and raised its target to $113 while a WSJ report noted a $7B PANTHERx specialty-pharmacy deal. Triage is PASS (no WATCH cap: earnings gate is CAUTION not FAIL, zone_state in_zone with rr_from_current 1.73 &gt;=1.0). Soft flags apply: exhaustion (ext_pct 26.14, exhaustion 0.33), earnings (earnings_days -1), extended (regime 1), and aggressive_target (long_target 111.46 implies ~7.0% vs exp_move 6.91%).</t>
  </si>
  <si>
    <t>CIEN</t>
  </si>
  <si>
    <t>Buy: 7.1 | Sell: 87.9</t>
  </si>
  <si>
    <t>{"symbol": "AIZ", "strategy": "Daily", "action": "LONG", "alert_price": 276.96, "score": "", "dir_prob": "85.2", "net_sigma": "", "grade": "", "align": "", "premium": "", "wrong_if": "", "context": "", "subject": "Alert: Rev - Screener v1 (SPY, 12): Any alert() function call", "body": "{\"ticker\":\"AIZ\", \"setup\":\"A+ Trend Long\", \"side\":\"LONG\", \"price\":276.96, \"stage\":2, \"buy\":92.8, \"sell\":23.8, \"prime\":2, \"revL\":0, \"revS\":0, \"vcp\":0, \"dir_prob\":85.2, \"time\":1784035800000}", "ticker": "AIZ", "setup": "A+ Trend Long", "side": "LONG", "price": 276.96, "stage": 2, "buy": 92.8, "sell": 23.8, "prime": 2, "revL": 0, "revS": 0, "vcp": 0, "time": 1784035800000, "email_id": "b'788'", "timestamp": "2026-07-14 16:01:03"}</t>
  </si>
  <si>
    <t>distribution</t>
  </si>
  <si>
    <t>{"symbol": "BALL", "strategy": "Daily", "action": "LONG", "alert_price": 61.3, "score": "", "dir_prob": "97", "net_sigma": "", "grade": "", "align": "", "premium": "", "wrong_if": "", "context": "", "subject": "Alert: Rev - Screener v1 (SPY, 12): Any alert() function call", "body": "{\"ticker\":\"BALL\", \"setup\":\"A+ Trend Long\", \"side\":\"LONG\", \"price\":61.30, \"stage\":2, \"buy\":96.2, \"sell\":5.6, \"prime\":2, \"revL\":0, \"revS\":0, \"vcp\":0, \"dir_prob\":97, \"time\":1783949400000}", "ticker": "BALL", "setup": "A+ Trend Long", "side": "LONG", "price": 61.3, "stage": 2, "buy": 96.2, "sell": 5.6, "prime": 2, "revL": 0, "revS": 0, "vcp": 0, "time": 1783949400000, "email_id": "b'695'", "timestamp": "2026-07-13 16:01:27"}</t>
  </si>
  <si>
    <t>Buy: 85.1 | Sell: 57.6</t>
  </si>
  <si>
    <t>Buy: 10.7 | Sell: 90.8</t>
  </si>
  <si>
    <t>{"symbol": "CIEN", "strategy": "Daily", "action": "SHORT", "alert_price": 460.8, "score": "", "dir_prob": "0.8", "net_sigma": "", "grade": "", "align": "", "premium": "", "wrong_if": "", "context": "", "subject": "Alert: Rev - Screener v1 (SPY, 12): Any alert() function call", "body": "{\"ticker\":\"CIEN\", \"setup\":\"A+ Trend Short\", \"side\":\"SHORT\", \"price\":460.80, \"stage\":4, \"buy\":7.1, \"sell\":87.9, \"prime\":-2, \"revL\":0, \"revS\":0, \"vcp\":1, \"dir_prob\":0.8, \"time\":1783690200000}", "ticker": "CIEN", "setup": "A+ Trend Short", "side": "SHORT", "price": 460.8, "stage": 4, "buy": 7.1, "sell": 87.9, "prime": -2, "revL": 0, "revS": 0, "vcp": 1, "time": 1783690200000, "email_id": "b'467'", "timestamp": "2026-07-10 16:01:11"}</t>
  </si>
  <si>
    <t>TREND_SHORT is firing: dominant_side is short with sell score 78.25 (&gt;=65), dir_prob 3.59 confirms bearish bias, and stage 4 / regime 4 denote a downtrend. News read is NEUTRAL with no catalyst (headlines empty), so no contradiction or confirmation applies. Triage is PASS as a trend short with no veto cap (rev_zone_l=2, stage!=2, earnings_gate=CAUTION not FAIL); the only soft flag is 'earnings' from the CAUTION gate (earnings_days=-1 unknown).</t>
  </si>
  <si>
    <t>Buy: 14.7 | Sell: 87.5</t>
  </si>
  <si>
    <t>{"symbol": "ANET", "strategy": "Daily", "action": "LONG", "alert_price": 184.65, "score": "", "dir_prob": "75.1", "net_sigma": "", "grade": "", "align": "", "premium": "", "wrong_if": "", "context": "", "subject": "Alert: Rev - Screener v1 (SPY, 12): Any alert() function call", "body": "{\"ticker\":\"ANET\", \"setup\":\"Bullish Squeeze Release\", \"side\":\"LONG\", \"price\":184.65, \"stage\":2, \"buy\":74.6, \"sell\":35.6, \"prime\":0, \"revL\":0, \"revS\":0, \"vcp\":2, \"dir_prob\":75.1, \"time\":1783603800000}", "ticker": "ANET", "setup": "Bullish Squeeze Release", "side": "LONG", "price": 184.65, "stage": 2, "buy": 74.6, "sell": 35.6, "prime": 0, "revL": 0, "revS": 0, "vcp": 2, "time": 1783603800000, "email_id": "b'260'", "timestamp": "2026-07-09 16:01:31"}</t>
  </si>
  <si>
    <t>{"symbol": "FANG", "strategy": "Daily", "action": "SHORT", "alert_price": 190.7, "score": "", "dir_prob": "4.6", "net_sigma": "", "grade": "", "align": "", "premium": "", "wrong_if": "", "context": "", "subject": "Alert: Rev - Screener v1 (SPY, 12): Any alert() function call", "body": "{\"ticker\":\"FANG\", \"setup\":\"A+ Trend Short\", \"side\":\"SHORT\", \"price\":190.70, \"stage\":4, \"buy\":10.7, \"sell\":90.8, \"prime\":-2, \"revL\":0, \"revS\":0, \"vcp\":0, \"dir_prob\":4.6, \"time\":1784035800000}", "ticker": "FANG", "setup": "A+ Trend Short", "side": "SHORT", "price": 190.7, "stage": 4, "buy": 10.7, "sell": 90.8, "prime": -2, "revL": 0, "revS": 0, "vcp": 0, "time": 1784035800000, "email_id": "b'794'", "timestamp": "2026-07-14 16:01:03"}</t>
  </si>
  <si>
    <t>{"symbol": "MS", "strategy": "Daily", "action": "LONG", "alert_price": 221.19, "score": "", "dir_prob": "54.7", "net_sigma": "", "grade": "", "align": "", "premium": "", "wrong_if": "", "context": "", "subject": "Alert: Rev - Screener v1 (SPY, 12): Any alert() function call", "body": "{\"ticker\":\"MS\", \"setup\":\"A+ Trend Long\", \"side\":\"LONG\", \"price\":221.19, \"stage\":2, \"buy\":85.1, \"sell\":57.6, \"prime\":2, \"revL\":0, \"revS\":0, \"vcp\":0, \"dir_prob\":54.7, \"time\":1783949400000}", "ticker": "MS", "setup": "A+ Trend Long", "side": "LONG", "price": 221.19, "stage": 2, "buy": 85.1, "sell": 57.6, "prime": 2, "revL": 0, "revS": 0, "vcp": 0, "time": 1783949400000, "email_id": "b'696'", "timestamp": "2026-07-13 16:01:07"}</t>
  </si>
  <si>
    <t>Buy: 93.8 | Sell: 24.6</t>
  </si>
  <si>
    <t>WBD</t>
  </si>
  <si>
    <t>Buy: 49 | Sell: 85.3</t>
  </si>
  <si>
    <t>{"symbol": "IRM", "strategy": "Daily", "action": "SHORT", "alert_price": 121.5, "score": "", "dir_prob": "12.2", "net_sigma": "", "grade": "", "align": "", "premium": "", "wrong_if": "", "context": "", "subject": "Alert: Rev - Screener v1 (SPY, 12): Any alert() function call", "body": "{\"ticker\":\"IRM\", \"setup\":\"A+ Trend Short\", \"side\":\"SHORT\", \"price\":121.50, \"stage\":4, \"buy\":14.7, \"sell\":87.5, \"prime\":-2, \"revL\":0, \"revS\":0, \"vcp\":0, \"dir_prob\":12.2, \"time\":1783690200000}", "ticker": "IRM", "setup": "A+ Trend Short", "side": "SHORT", "price": 121.5, "stage": 4, "buy": 14.7, "sell": 87.5, "prime": -2, "revL": 0, "revS": 0, "vcp": 0, "time": 1783690200000, "email_id": "b'481'", "timestamp": "2026-07-10 16:01:10"}</t>
  </si>
  <si>
    <t>No firing entry mode; classified NONE because sell score 60.22 is below the 65 TREND_SHORT threshold and rev_zone_s 0 / rev_zone_l 2 are below reversal tiers, though dominant_side short with dir_prob 23.51 and stage 4 / regime 4 show a moderate bearish lean. News read is NEUTRAL with catalyst none (headlines empty). Triage is WATCH 'moderate, no clean setup' since dominant_score 60.22 &gt;=50 but no clean trigger; key_flag earnings applies due to earnings_days -1 and CAUTION gate, with no news contradiction or long-side chased cap in play.</t>
  </si>
  <si>
    <t>{"symbol": "EA", "strategy": "Daily", "action": "LONG", "alert_price": 206.61, "score": "", "dir_prob": "89.4", "net_sigma": "", "grade": "", "align": "", "premium": "", "wrong_if": "", "context": "", "subject": "Alert: Rev - Screener v1 (SPY, 12): Any alert() function call", "body": "{\"ticker\":\"EA\", \"setup\":\"A+ Trend Long\", \"side\":\"LONG\", \"price\":206.61, \"stage\":2, \"buy\":93.8, \"sell\":24.6, \"prime\":2, \"revL\":0, \"revS\":0, \"vcp\":0, \"dir_prob\":89.4, \"time\":1784035800000}", "ticker": "EA", "setup": "A+ Trend Long", "side": "LONG", "price": 206.61, "stage": 2, "buy": 93.8, "sell": 24.6, "prime": 2, "revL": 0, "revS": 0, "vcp": 0, "time": 1784035800000, "email_id": "b'795'", "timestamp": "2026-07-14 16:01:03"}</t>
  </si>
  <si>
    <t>Buy: 78.5 | Sell: 50.7</t>
  </si>
  <si>
    <t>{"symbol": "WBD", "strategy": "Daily", "action": "SHORT", "alert_price": 27.07, "score": "", "dir_prob": "31.3", "net_sigma": "", "grade": "", "align": "", "premium": "", "wrong_if": "", "context": "", "subject": "Alert: Rev - Screener v1 (SPY, 12): Any alert() function call", "body": "{\"ticker\":\"WBD\", \"setup\":\"A+ Trend Short\", \"side\":\"SHORT\", \"price\":27.07, \"stage\":4, \"buy\":49, \"sell\":85.3, \"prime\":-2, \"revL\":0, \"revS\":0, \"vcp\":1, \"dir_prob\":31.3, \"time\":1783949400000}", "ticker": "WBD", "setup": "A+ Trend Short", "side": "SHORT", "price": 27.07, "stage": 4, "buy": 49, "sell": 85.3, "prime": -2, "revL": 0, "revS": 0, "vcp": 1, "time": 1783949400000, "email_id": "b'698'", "timestamp": "2026-07-13 16:01:20"}</t>
  </si>
  <si>
    <t>CASY</t>
  </si>
  <si>
    <t>Buy: 93.2 | Sell: 10</t>
  </si>
  <si>
    <t>Buy: 27.1 | Sell: 95.2</t>
  </si>
  <si>
    <t>{"symbol": "KDP", "strategy": "Daily", "action": "LONG", "alert_price": 31.68, "score": "", "dir_prob": "69.3", "net_sigma": "", "grade": "", "align": "", "premium": "", "wrong_if": "", "context": "", "subject": "Alert: Rev - Screener v1 (SPY, 12): Any alert() function call", "body": "{\"ticker\":\"KDP\", \"setup\":\"Early Action Long\", \"side\":\"LONG\", \"price\":31.68, \"stage\":2, \"buy\":78.5, \"sell\":50.7, \"prime\":1, \"revL\":0, \"revS\":0, \"vcp\":0, \"dir_prob\":69.3, \"time\":1783690200000}", "ticker": "KDP", "setup": "Early Action Long", "side": "LONG", "price": 31.68, "stage": 2, "buy": 78.5, "sell": 50.7, "prime": 1, "revL": 0, "revS": 0, "vcp": 0, "time": 1783690200000, "email_id": "b'444'", "timestamp": "2026-07-10 16:01:22"}</t>
  </si>
  <si>
    <t>{"symbol": "RTX", "strategy": "Daily", "action": "LONG", "alert_price": 196.41, "score": "", "dir_prob": "91.9", "net_sigma": "", "grade": "", "align": "", "premium": "", "wrong_if": "", "context": "", "subject": "Alert: Rev - Screener v1 (SPY, 12): Any alert() function call", "body": "{\"ticker\":\"RTX\", \"setup\":\"A+ Trend Long\", \"side\":\"LONG\", \"price\":196.41, \"stage\":2, \"buy\":93.2, \"sell\":10, \"prime\":2, \"revL\":0, \"revS\":0, \"vcp\":0, \"dir_prob\":91.9, \"time\":1783949400000}", "ticker": "RTX", "setup": "A+ Trend Long", "side": "LONG", "price": 196.41, "stage": 2, "buy": 93.2, "sell": 10, "prime": 2, "revL": 0, "revS": 0, "vcp": 0, "time": 1783949400000, "email_id": "b'697'", "timestamp": "2026-07-13 16:01:34"}</t>
  </si>
  <si>
    <t>TREND_LONG is firing: dominant_side is long with buy score 97.61 (&gt;=65), dir_prob 95.79, stage 2 and healthy regime 0, while rev_zone_l is only 2.0 (no reversion) and ignition_long is 0. News is NEUTRAL — BMO Capital initiated coverage with a Market Perform rating and $85 target, which neither confirms nor contradicts the long bias. Triage is PASS: no veto applies (earnings_gate is CAUTION not FAIL, zone_state is in_zone with rr_from_current 1.996 &gt;=2, and no contradiction in headlines). The only soft flag is 'earnings' because earnings_days is -1 (unknown) and gate is CAUTION, but this does not cap the verdict.</t>
  </si>
  <si>
    <t>HAL</t>
  </si>
  <si>
    <t>Buy: 4.8 | Sell: 94.1</t>
  </si>
  <si>
    <t>{"symbol": "CASY", "strategy": "Daily", "action": "SHORT", "alert_price": 846.94, "score": "", "dir_prob": "5.5", "net_sigma": "", "grade": "", "align": "", "premium": "", "wrong_if": "", "context": "", "subject": "Alert: Rev - Screener v1 (SPY, 12): Any alert() function call", "body": "{\"ticker\":\"CASY\", \"setup\":\"A+ Trend Short\", \"side\":\"SHORT\", \"price\":846.94, \"stage\":4, \"buy\":27.1, \"sell\":95.2, \"prime\":-2, \"revL\":0, \"revS\":0, \"vcp\":0, \"dir_prob\":5.5, \"time\":1784035800000}", "ticker": "CASY", "setup": "A+ Trend Short", "side": "SHORT", "price": 846.94, "stage": 4, "buy": 27.1, "sell": 95.2, "prime": -2, "revL": 0, "revS": 0, "vcp": 0, "time": 1784035800000, "email_id": "b'800'", "timestamp": "2026-07-14 16:01:05"}</t>
  </si>
  <si>
    <t>Buy: 10.7 | Sell: 97.5</t>
  </si>
  <si>
    <t>Buy: 92.3 | Sell: 35.8</t>
  </si>
  <si>
    <t>{"symbol": "ES", "strategy": "Daily", "action": "LONG", "alert_price": 73.93, "score": "", "dir_prob": "95.6", "net_sigma": "", "grade": "", "align": "", "premium": "", "wrong_if": "", "context": "", "subject": "Alert: Rev - Screener v1 (SPY, 12): Any alert() function call", "body": "{\"ticker\":\"ES\", \"setup\":\"A+ Trend Long\", \"side\":\"LONG\", \"price\":73.93, \"stage\":2, \"buy\":96, \"sell\":6.3, \"prime\":2, \"revL\":0, \"revS\":0, \"vcp\":0, \"dir_prob\":95.6, \"time\":1783603800000}", "ticker": "ES", "setup": "A+ Trend Long", "side": "LONG", "price": 73.93, "stage": 2, "buy": 96, "sell": 6.3, "prime": 2, "revL": 0, "revS": 0, "vcp": 0, "time": 1783603800000, "email_id": "b'156'", "timestamp": "2026-07-09 16:01:00"}</t>
  </si>
  <si>
    <t>{"symbol": "HAL", "strategy": "Daily", "action": "SHORT", "alert_price": 35.2, "score": "", "dir_prob": "0.7", "net_sigma": "", "grade": "", "align": "", "premium": "", "wrong_if": "", "context": "", "subject": "Alert: Rev - Screener v1 (SPY, 12): Any alert() function call", "body": "{\"ticker\":\"HAL\", \"setup\":\"A+ Trend Short\", \"side\":\"SHORT\", \"price\":35.20, \"stage\":4, \"buy\":4.8, \"sell\":94.1, \"prime\":-2, \"revL\":0, \"revS\":0, \"vcp\":0, \"dir_prob\":0.7, \"time\":1783949400000}", "ticker": "HAL", "setup": "A+ Trend Short", "side": "SHORT", "price": 35.2, "stage": 4, "buy": 4.8, "sell": 94.1, "prime": -2, "revL": 0, "revS": 0, "vcp": 0, "time": 1783949400000, "email_id": "b'699'", "timestamp": "2026-07-13 16:01:30"}</t>
  </si>
  <si>
    <t>Buy: 87.6 | Sell: 20.7</t>
  </si>
  <si>
    <t>{"symbol": "SBAC", "strategy": "Daily", "action": "SHORT", "alert_price": 189.99, "score": "", "dir_prob": "7.7", "net_sigma": "", "grade": "", "align": "", "premium": "", "wrong_if": "", "context": "", "subject": "Alert: Rev - Screener v1 (SPY, 12): Any alert() function call", "body": "{\"ticker\":\"SBAC\", \"setup\":\"A+ Trend Short\", \"side\":\"SHORT\", \"price\":189.99, \"stage\":4, \"buy\":10.7, \"sell\":97.5, \"prime\":-2, \"revL\":0, \"revS\":0, \"vcp\":0, \"dir_prob\":7.7, \"time\":1783690200000}", "ticker": "SBAC", "setup": "A+ Trend Short", "side": "SHORT", "price": 189.99, "stage": 4, "buy": 10.7, "sell": 97.5, "prime": -2, "revL": 0, "revS": 0, "vcp": 0, "time": 1783690200000, "email_id": "b'479'", "timestamp": "2026-07-10 16:01:53"}</t>
  </si>
  <si>
    <t>TREND_LONG fires on dominant_side=long with buy=98.31 (&gt;=65) in stage=2 and regime=0, supported by dir_prob=96.2 showing strong bullish edge. News read is NEUTRAL with catalyst 'none' from empty headlines, so no confirmation or contradiction. Triage is PASS: no veto applies (no news contradiction, earnings_gate=CAUTION not FAIL, zone_state=in_zone with rr_from_current=2.0 meets R:R), and the only soft flag is 'earnings' from earnings_days=-1/CAUTION; ext_pct=0.93 and exhaustion=0.0047 show healthy trend with no exhaustion or chased entry.</t>
  </si>
  <si>
    <t>{"symbol": "MMM", "strategy": "Daily", "action": "LONG", "alert_price": 156.62, "score": "", "dir_prob": "86.9", "net_sigma": "", "grade": "", "align": "", "premium": "", "wrong_if": "", "context": "", "subject": "Alert: Rev - Screener v1 (SPY, 12): Any alert() function call", "body": "{\"ticker\":\"MMM\", \"setup\":\"A+ Trend Long\", \"side\":\"LONG\", \"price\":156.62, \"stage\":2, \"buy\":92.3, \"sell\":35.8, \"prime\":2, \"revL\":0, \"revS\":0, \"vcp\":0, \"dir_prob\":86.9, \"time\":1784035800000}", "ticker": "MMM", "setup": "A+ Trend Long", "side": "LONG", "price": 156.62, "stage": 2, "buy": 92.3, "sell": 35.8, "prime": 2, "revL": 0, "revS": 0, "vcp": 0, "time": 1784035800000, "email_id": "b'808'", "timestamp": "2026-07-14 16:01:08"}</t>
  </si>
  <si>
    <t>Buy: 8.3 | Sell: 91.7</t>
  </si>
  <si>
    <t>Buy: 97.2 | Sell: 4.4</t>
  </si>
  <si>
    <t>{"symbol": "CSX", "strategy": "Daily", "action": "LONG", "alert_price": 49.64, "score": "", "dir_prob": "82.4", "net_sigma": "", "grade": "", "align": "", "premium": "", "wrong_if": "", "context": "", "subject": "Alert: Rev - Screener v1 (SPY, 12): Any alert() function call", "body": "{\"ticker\":\"CSX\", \"setup\":\"A+ Trend Long\", \"side\":\"LONG\", \"price\":49.64, \"stage\":2, \"buy\":87.6, \"sell\":20.7, \"prime\":2, \"revL\":0, \"revS\":0, \"vcp\":0, \"dir_prob\":82.4, \"time\":1783949400000}", "ticker": "CSX", "setup": "A+ Trend Long", "side": "LONG", "price": 49.64, "stage": 2, "buy": 87.6, "sell": 20.7, "prime": 2, "revL": 0, "revS": 0, "vcp": 0, "time": 1783949400000, "email_id": "b'700'", "timestamp": "2026-07-13 16:01:31"}</t>
  </si>
  <si>
    <t>Buy: 92.7 | Sell: 27.3</t>
  </si>
  <si>
    <t>{"symbol": "COP", "strategy": "Daily", "action": "SHORT", "alert_price": 109.02, "score": "", "dir_prob": "6.8", "net_sigma": "", "grade": "", "align": "", "premium": "", "wrong_if": "", "context": "", "subject": "Alert: Rev - Screener v1 (SPY, 12): Any alert() function call", "body": "{\"ticker\":\"COP\", \"setup\":\"A+ Trend Short\", \"side\":\"SHORT\", \"price\":109.02, \"stage\":4, \"buy\":8.3, \"sell\":91.7, \"prime\":-2, \"revL\":0, \"revS\":0, \"vcp\":0, \"dir_prob\":6.8, \"time\":1783690200000}", "ticker": "COP", "setup": "A+ Trend Short", "side": "SHORT", "price": 109.02, "stage": 4, "buy": 8.3, "sell": 91.7, "prime": -2, "revL": 0, "revS": 0, "vcp": 0, "time": 1783690200000, "email_id": "b'384'", "timestamp": "2026-07-10 16:01:04"}</t>
  </si>
  <si>
    <t>SURVIVOR (181.6)</t>
  </si>
  <si>
    <t>TREND_LONG is firing: buy score 97.79 (&gt;=65), dir_prob 94.82, stage 2, regime 6 (squeeze), ext_pct 4.91 and exhaustion 0.17 showing healthy trend condition. News read is NEUTRAL with no catalyst (empty headlines provided). Triage is capped to WATCH because price is above the long zone (zone_state above_zone) with rr_from_current 0.39 (&lt;1.0), a poor chased R:R; soft flags chased, earnings (gate CAUTION, days -1), and squeeze apply, but no hard contradiction or earnings FAIL exists.</t>
  </si>
  <si>
    <t>{"symbol": "MRNA", "strategy": "Daily", "action": "LONG", "alert_price": 67.45, "score": "", "dir_prob": "96.7", "net_sigma": "", "grade": "", "align": "", "premium": "", "wrong_if": "", "context": "", "subject": "Alert: Rev - Screener v1 (SPY, 12): Any alert() function call", "body": "{\"ticker\":\"MRNA\", \"setup\":\"A+ Trend Long\", \"side\":\"LONG\", \"price\":67.45, \"stage\":2, \"buy\":97.2, \"sell\":4.4, \"prime\":2, \"revL\":0, \"revS\":0, \"vcp\":0, \"dir_prob\":96.7, \"time\":1784035800000}", "ticker": "MRNA", "setup": "A+ Trend Long", "side": "LONG", "price": 67.45, "stage": 2, "buy": 97.2, "sell": 4.4, "prime": 2, "revL": 0, "revS": 0, "vcp": 0, "time": 1784035800000, "email_id": "b'810'", "timestamp": "2026-07-14 16:01:09"}</t>
  </si>
  <si>
    <t>{"symbol": "KMB", "strategy": "Daily", "action": "LONG", "alert_price": 110.18, "score": "", "dir_prob": "99.1", "net_sigma": "", "grade": "", "align": "", "premium": "", "wrong_if": "", "context": "", "subject": "Alert: Rev - Screener v1 (SPY, 12): Any alert() function call", "body": "{\"ticker\":\"KMB\", \"setup\":\"A+ Trend Long\", \"side\":\"LONG\", \"price\":110.18, \"stage\":2, \"buy\":97, \"sell\":4.3, \"prime\":2, \"revL\":0, \"revS\":0, \"vcp\":0, \"dir_prob\":99.1, \"time\":1783949400000}", "ticker": "KMB", "setup": "A+ Trend Long", "side": "LONG", "price": 110.18, "stage": 2, "buy": 97, "sell": 4.3, "prime": 2, "revL": 0, "revS": 0, "vcp": 0, "time": 1783949400000, "email_id": "b'701'", "timestamp": "2026-07-13 16:01:17"}</t>
  </si>
  <si>
    <t>Buy: 91.1 | Sell: 3.6</t>
  </si>
  <si>
    <t>Buy: 90.5 | Sell: 18.2</t>
  </si>
  <si>
    <t>Buy: 95.6 | Sell: 5.8</t>
  </si>
  <si>
    <t>{"symbol": "PHM", "strategy": "Daily", "action": "LONG", "alert_price": 123.79, "score": "", "dir_prob": "94.3", "net_sigma": "", "grade": "", "align": "", "premium": "", "wrong_if": "", "context": "", "subject": "Alert: Rev - Screener v1 (SPY, 12): Any alert() function call", "body": "{\"ticker\":\"PHM\", \"setup\":\"A+ Trend Long\", \"side\":\"LONG\", \"price\":123.79, \"stage\":2, \"buy\":91.1, \"sell\":3.6, \"prime\":2, \"revL\":0, \"revS\":0, \"vcp\":0, \"dir_prob\":94.3, \"time\":1783949400000}", "ticker": "PHM", "setup": "A+ Trend Long", "side": "LONG", "price": 123.79, "stage": 2, "buy": 91.1, "sell": 3.6, "prime": 2, "revL": 0, "revS": 0, "vcp": 0, "time": 1783949400000, "email_id": "b'702'", "timestamp": "2026-07-13 16:01:22"}</t>
  </si>
  <si>
    <t>{"symbol": "DELL", "strategy": "Daily", "action": "LONG", "alert_price": 434.79, "score": "", "dir_prob": "83.1", "net_sigma": "", "grade": "", "align": "", "premium": "", "wrong_if": "", "context": "", "subject": "Alert: Rev - Screener v1 (SPY, 12): Any alert() function call", "body": "{\"ticker\":\"DELL\", \"setup\":\"A+ Trend Long\", \"side\":\"LONG\", \"price\":434.79, \"stage\":2, \"buy\":90.5, \"sell\":18.2, \"prime\":2, \"revL\":0, \"revS\":0, \"vcp\":1, \"dir_prob\":83.1, \"time\":1783690200000}", "ticker": "DELL", "setup": "A+ Trend Long", "side": "LONG", "price": 434.79, "stage": 2, "buy": 90.5, "sell": 18.2, "prime": 2, "revL": 0, "revS": 0, "vcp": 1, "time": 1783690200000, "email_id": "b'394'", "timestamp": "2026-07-10 16:01:01"}</t>
  </si>
  <si>
    <t>Buy: 97.1 | Sell: 4.2</t>
  </si>
  <si>
    <t>TREND_SHORT is firing: dominant_side is short with sell score 82.1 (&gt;=65), dir_prob 10.29 confirms bearish edge, and stage 4 / regime 4 denote a downtrend. News read is NEUTRAL with catalyst 'none' from empty headlines, so no contradiction or confirmation. Triage is PASS as a clean trend short with no veto cap (rev_zone_l=0, stage!=2); the only soft flag is 'earnings' from earnings_gate=CAUTION (earnings_days=-1), which does not block the pass.</t>
  </si>
  <si>
    <t>{"symbol": "AXON", "strategy": "Daily", "action": "LONG", "alert_price": 547.07, "score": "", "dir_prob": "98.7", "net_sigma": "", "grade": "", "align": "", "premium": "", "wrong_if": "", "context": "", "subject": "Alert: Rev - Screener v1 (SPY, 12): Any alert() function call", "body": "{\"ticker\":\"AXON\", \"setup\":\"A+ Trend Long\", \"side\":\"LONG\", \"price\":547.07, \"stage\":2, \"buy\":95.6, \"sell\":5.8, \"prime\":2, \"revL\":0, \"revS\":0, \"vcp\":0, \"dir_prob\":98.7, \"time\":1784035800000}", "ticker": "AXON", "setup": "A+ Trend Long", "side": "LONG", "price": 547.07, "stage": 2, "buy": 95.6, "sell": 5.8, "prime": 2, "revL": 0, "revS": 0, "vcp": 0, "time": 1784035800000, "email_id": "b'812'", "timestamp": "2026-07-14 16:01:08"}</t>
  </si>
  <si>
    <t>{"symbol": "AEP", "strategy": "Daily", "action": "LONG", "alert_price": 133.83, "score": "", "dir_prob": "88.1", "net_sigma": "", "grade": "", "align": "", "premium": "", "wrong_if": "", "context": "", "subject": "Alert: Rev - Screener v1 (SPY, 12): Any alert() function call", "body": "{\"ticker\":\"AEP\", \"setup\":\"A+ Trend Long\", \"side\":\"LONG\", \"price\":133.83, \"stage\":2, \"buy\":92.7, \"sell\":27.3, \"prime\":2, \"revL\":0, \"revS\":0, \"vcp\":0, \"dir_prob\":88.1, \"time\":1783603800000}", "ticker": "AEP", "setup": "A+ Trend Long", "side": "LONG", "price": 133.83, "stage": 2, "buy": 92.7, "sell": 27.3, "prime": 2, "revL": 0, "revS": 0, "vcp": 0, "time": 1783603800000, "email_id": "b'259'", "timestamp": "2026-07-09 16:01:07"}</t>
  </si>
  <si>
    <t>Buy: 97.3 | Sell: 3.8</t>
  </si>
  <si>
    <t>Buy: 6.3 | Sell: 88.5</t>
  </si>
  <si>
    <t>{"symbol": "SHW", "strategy": "Daily", "action": "LONG", "alert_price": 329.01, "score": "", "dir_prob": "96.8", "net_sigma": "", "grade": "", "align": "", "premium": "", "wrong_if": "", "context": "", "subject": "Alert: Rev - Screener v1 (SPY, 12): Any alert() function call", "body": "{\"ticker\":\"SHW\", \"setup\":\"A+ Trend Long\", \"side\":\"LONG\", \"price\":329.01, \"stage\":2, \"buy\":97.1, \"sell\":4.2, \"prime\":2, \"revL\":0, \"revS\":0, \"vcp\":0, \"dir_prob\":96.8, \"time\":1783949400000}", "ticker": "SHW", "setup": "A+ Trend Long", "side": "LONG", "price": 329.01, "stage": 2, "buy": 97.1, "sell": 4.2, "prime": 2, "revL": 0, "revS": 0, "vcp": 0, "time": 1783949400000, "email_id": "b'703'", "timestamp": "2026-07-13 16:01:29"}</t>
  </si>
  <si>
    <t>Buy: 8.2 | Sell: 88.3</t>
  </si>
  <si>
    <t>{"symbol": "FANG", "strategy": "Daily", "action": "SHORT", "alert_price": 183.39, "score": "", "dir_prob": "4", "net_sigma": "", "grade": "", "align": "", "premium": "", "wrong_if": "", "context": "", "subject": "Alert: Rev - Screener v1 (SPY, 12): Any alert() function call", "body": "{\"ticker\":\"FANG\", \"setup\":\"A+ Trend Short\", \"side\":\"SHORT\", \"price\":183.39, \"stage\":4, \"buy\":6.3, \"sell\":88.5, \"prime\":-2, \"revL\":0, \"revS\":0, \"vcp\":0, \"dir_prob\":4, \"time\":1783690200000}", "ticker": "FANG", "setup": "A+ Trend Short", "side": "SHORT", "price": 183.39, "stage": 4, "buy": 6.3, "sell": 88.5, "prime": -2, "revL": 0, "revS": 0, "vcp": 0, "time": 1783690200000, "email_id": "b'436'", "timestamp": "2026-07-10 16:01:32"}</t>
  </si>
  <si>
    <t>Buy: 96.2 | Sell: 5.9</t>
  </si>
  <si>
    <t>TREND_LONG is firing on buy score 93.93 (&gt;=65) with dir_prob 91.85 and stage 2 in a healthy regime 0, confirming a strong dominant long side. News read is NEUTRAL with catalyst 'none' from empty headlines, so no confirmation or contradiction. Triage is capped to WATCH from a C veto: zone_state is above_zone with rr_from_current 0.316 (&lt;1.0), marking a chased entry with poor R:R, while earnings_gate CAUTION (earnings_days -1) adds a soft earnings flag; ext_pct 38.67 is extended but exhaustion 0.1934 &lt;0.3 avoids the exhaustion flag.</t>
  </si>
  <si>
    <t>{"symbol": "ABBV", "strategy": "Daily", "action": "LONG", "alert_price": 244.78, "score": "", "dir_prob": "94.6", "net_sigma": "", "grade": "", "align": "", "premium": "", "wrong_if": "", "context": "", "subject": "Alert: Rev - Screener v1 (SPY, 12): Any alert() function call", "body": "{\"ticker\":\"ABBV\", \"setup\":\"A+ Trend Long\", \"side\":\"LONG\", \"price\":244.78, \"stage\":2, \"buy\":97.3, \"sell\":3.8, \"prime\":2, \"revL\":0, \"revS\":0, \"vcp\":0, \"dir_prob\":94.6, \"time\":1784035800000}", "ticker": "ABBV", "setup": "A+ Trend Long", "side": "LONG", "price": 244.78, "stage": 2, "buy": 97.3, "sell": 3.8, "prime": 2, "revL": 0, "revS": 0, "vcp": 0, "time": 1784035800000, "email_id": "b'815'", "timestamp": "2026-07-14 16:01:03"}</t>
  </si>
  <si>
    <t>reversal_forming</t>
  </si>
  <si>
    <t>MDT</t>
  </si>
  <si>
    <t>PGR</t>
  </si>
  <si>
    <t>Buy: 73.6 | Sell: 8.4</t>
  </si>
  <si>
    <t>Buy: 96.2 | Sell: 2.6</t>
  </si>
  <si>
    <t>{"symbol": "CVX", "strategy": "Daily", "action": "SHORT", "alert_price": 182.21, "score": "", "dir_prob": "9.9", "net_sigma": "", "grade": "", "align": "", "premium": "", "wrong_if": "", "context": "", "subject": "Alert: Rev - Screener v1 (SPY, 12): Any alert() function call", "body": "{\"ticker\":\"CVX\", \"setup\":\"A+ Trend Short\", \"side\":\"SHORT\", \"price\":182.21, \"stage\":4, \"buy\":8.2, \"sell\":88.3, \"prime\":-2, \"revL\":0, \"revS\":0, \"vcp\":0, \"dir_prob\":9.9, \"time\":1783949400000}", "ticker": "CVX", "setup": "A+ Trend Short", "side": "SHORT", "price": 182.21, "stage": 4, "buy": 8.2, "sell": 88.3, "prime": -2, "revL": 0, "revS": 0, "vcp": 0, "time": 1783949400000, "email_id": "b'704'", "timestamp": "2026-07-13 16:01:11"}</t>
  </si>
  <si>
    <t>Buy: 96.3 | Sell: 17.6</t>
  </si>
  <si>
    <t>{"symbol": "MDT", "strategy": "Daily", "action": "LONG", "alert_price": 83.79, "score": "", "dir_prob": "89.7", "net_sigma": "", "grade": "", "align": "", "premium": "", "wrong_if": "", "context": "", "subject": "Alert: Rev - Screener v1 (SPY, 12): Any alert() function call", "body": "{\"ticker\":\"MDT\", \"setup\":\"Bullish Squeeze Release\", \"side\":\"LONG\", \"price\":83.79, \"stage\":2, \"buy\":73.6, \"sell\":8.4, \"prime\":0, \"revL\":0, \"revS\":0, \"vcp\":2, \"dir_prob\":89.7, \"time\":1783690200000}", "ticker": "MDT", "setup": "Bullish Squeeze Release", "side": "LONG", "price": 83.79, "stage": 2, "buy": 73.6, "sell": 8.4, "prime": 0, "revL": 0, "revS": 0, "vcp": 2, "time": 1783690200000, "email_id": "b'518'", "timestamp": "2026-07-10 16:02:14"}</t>
  </si>
  <si>
    <t>{"symbol": "PGR", "strategy": "Daily", "action": "LONG", "alert_price": 226.43, "score": "", "dir_prob": "99.8", "net_sigma": "", "grade": "", "align": "", "premium": "", "wrong_if": "", "context": "", "subject": "Alert: Rev - Screener v1 (SPY, 12): Any alert() function call", "body": "{\"ticker\":\"PGR\", \"setup\":\"A+ Trend Long\", \"side\":\"LONG\", \"price\":226.43, \"stage\":2, \"buy\":96.2, \"sell\":2.6, \"prime\":2, \"revL\":0, \"revS\":0, \"vcp\":0, \"dir_prob\":99.8, \"time\":1784035800000}", "ticker": "PGR", "setup": "A+ Trend Long", "side": "LONG", "price": 226.43, "stage": 2, "buy": 96.2, "sell": 2.6, "prime": 2, "revL": 0, "revS": 0, "vcp": 0, "time": 1784035800000, "email_id": "b'818'", "timestamp": "2026-07-14 16:01:04"}</t>
  </si>
  <si>
    <t>TREND_LONG is firing: buy score 96.47 (&gt;=65), dir_prob 89.36, stage 2, regime 0 (healthy) confirm a strong long bias with no ignition or reversion needed. News read is NEUTRAL with catalyst 'none' — the provided headlines reference WD-40 and a Trump housing post, neither specific to HD, so no confirmation or contradiction. Triage is capped to WATCH because long zone_state is above_zone with rr_from_current 0.02 (&lt;1.0), triggering the chased poor R:R veto; soft flags 'chased' and 'earnings' (earnings_days -1, CAUTION) apply, while exhaustion/ext_pct/churn are absent.</t>
  </si>
  <si>
    <t>{"symbol": "IR", "strategy": "Daily", "action": "LONG", "alert_price": 78.56, "score": "", "dir_prob": "94.8", "net_sigma": "", "grade": "", "align": "", "premium": "", "wrong_if": "", "context": "", "subject": "Alert: Rev - Screener v1 (SPY, 12): Any alert() function call", "body": "{\"ticker\":\"IR\", \"setup\":\"A+ Trend Long\", \"side\":\"LONG\", \"price\":78.56, \"stage\":2, \"buy\":96.3, \"sell\":17.6, \"prime\":2, \"revL\":0, \"revS\":0, \"vcp\":0, \"dir_prob\":94.8, \"time\":1783949400000}", "ticker": "IR", "setup": "A+ Trend Long", "side": "LONG", "price": 78.56, "stage": 2, "buy": 96.3, "sell": 17.6, "prime": 2, "revL": 0, "revS": 0, "vcp": 0, "time": 1783949400000, "email_id": "b'705'", "timestamp": "2026-07-13 16:01:15"}</t>
  </si>
  <si>
    <t>{"symbol": "ABNB", "strategy": "Daily", "action": "LONG", "alert_price": 146.87, "score": "", "dir_prob": "96.6", "net_sigma": "", "grade": "", "align": "", "premium": "", "wrong_if": "", "context": "", "subject": "Alert: Rev - Screener v1 (SPY, 12): Any alert() function call", "body": "{\"ticker\":\"ABNB\", \"setup\":\"A+ Trend Long\", \"side\":\"LONG\", \"price\":146.87, \"stage\":2, \"buy\":96.2, \"sell\":5.9, \"prime\":2, \"revL\":0, \"revS\":0, \"vcp\":0, \"dir_prob\":96.6, \"time\":1783603800000}", "ticker": "ABNB", "setup": "A+ Trend Long", "side": "LONG", "price": 146.87, "stage": 2, "buy": 96.2, "sell": 5.9, "prime": 2, "revL": 0, "revS": 0, "vcp": 0, "time": 1783603800000, "email_id": "b'291'", "timestamp": "2026-07-09 16:01:33"}</t>
  </si>
  <si>
    <t>Buy: 4 | Sell: 93.6</t>
  </si>
  <si>
    <t>Buy: 96.5 | Sell: 17.6</t>
  </si>
  <si>
    <t>Buy: 4 | Sell: 92.7</t>
  </si>
  <si>
    <t>{"symbol": "KEY", "strategy": "Daily", "action": "LONG", "alert_price": 23.22, "score": "", "dir_prob": "90.8", "net_sigma": "", "grade": "", "align": "", "premium": "", "wrong_if": "", "context": "", "subject": "Alert: Rev - Screener v1 (SPY, 12): Any alert() function call", "body": "{\"ticker\":\"KEY\", \"setup\":\"A+ Trend Long\", \"side\":\"LONG\", \"price\":23.22, \"stage\":2, \"buy\":96.5, \"sell\":17.6, \"prime\":2, \"revL\":0, \"revS\":0, \"vcp\":1, \"dir_prob\":90.8, \"time\":1783949400000}", "ticker": "KEY", "setup": "A+ Trend Long", "side": "LONG", "price": 23.22, "stage": 2, "buy": 96.5, "sell": 17.6, "prime": 2, "revL": 0, "revS": 0, "vcp": 1, "time": 1783949400000, "email_id": "b'706'", "timestamp": "2026-07-13 16:01:28"}</t>
  </si>
  <si>
    <t>{"symbol": "STLD", "strategy": "Daily", "action": "SHORT", "alert_price": 233.28, "score": "", "dir_prob": "4.2", "net_sigma": "", "grade": "", "align": "", "premium": "", "wrong_if": "", "context": "", "subject": "Alert: Rev - Screener v1 (SPY, 12): Any alert() function call", "body": "{\"ticker\":\"STLD\", \"setup\":\"A+ Trend Short\", \"side\":\"SHORT\", \"price\":233.28, \"stage\":4, \"buy\":4, \"sell\":93.6, \"prime\":-2, \"revL\":0, \"revS\":0, \"vcp\":0, \"dir_prob\":4.2, \"time\":1784035800000}", "ticker": "STLD", "setup": "A+ Trend Short", "side": "SHORT", "price": 233.28, "stage": 4, "buy": 4, "sell": 93.6, "prime": -2, "revL": 0, "revS": 0, "vcp": 0, "time": 1784035800000, "email_id": "b'822'", "timestamp": "2026-07-14 16:01:13"}</t>
  </si>
  <si>
    <t>{"symbol": "HAL", "strategy": "Daily", "action": "SHORT", "alert_price": 34.38, "score": "", "dir_prob": "0.6", "net_sigma": "", "grade": "", "align": "", "premium": "", "wrong_if": "", "context": "", "subject": "Alert: Rev - Screener v1 (SPY, 12): Any alert() function call", "body": "{\"ticker\":\"HAL\", \"setup\":\"A+ Trend Short\", \"side\":\"SHORT\", \"price\":34.38, \"stage\":4, \"buy\":4, \"sell\":92.7, \"prime\":-2, \"revL\":0, \"revS\":0, \"vcp\":0, \"dir_prob\":0.6, \"time\":1783690200000}", "ticker": "HAL", "setup": "A+ Trend Short", "side": "SHORT", "price": 34.38, "stage": 4, "buy": 4, "sell": 92.7, "prime": -2, "revL": 0, "revS": 0, "vcp": 0, "time": 1783690200000, "email_id": "b'519'", "timestamp": "2026-07-10 16:01:38"}</t>
  </si>
  <si>
    <t>TREND_LONG fires on dominant_side=long with buy=96.86 (&gt;=65) and dir_prob=95.75, in stage=2 and regime=0 healthy trend. News read is NEUTRAL with catalyst 'Earnings' (Q2 ahead per headlines), neither confirming nor contradicting the long. Triage is capped to WATCH because zone_state=above_zone with rr_from_current=0.24 (&lt;1.0) flags a chased, poor R:R entry; soft flag 'earnings' added via earnings_gate=CAUTION and earnings_days=-1. No exhaustion (0.0974), churn (opposite=6.37), or counter-trend signals apply.</t>
  </si>
  <si>
    <t>Buy: 93.1 | Sell: 21.5</t>
  </si>
  <si>
    <t>Buy: 77.8 | Sell: 32.7</t>
  </si>
  <si>
    <t>Buy: 11.3 | Sell: 95.1</t>
  </si>
  <si>
    <t>{"symbol": "ABNB", "strategy": "Daily", "action": "LONG", "alert_price": 146.33, "score": "", "dir_prob": "96.4", "net_sigma": "", "grade": "", "align": "", "premium": "", "wrong_if": "", "context": "", "subject": "Alert: Rev - Screener v1 (SPY, 12): Any alert() function call", "body": "{\"ticker\":\"ABNB\", \"setup\":\"A+ Trend Long\", \"side\":\"LONG\", \"price\":146.33, \"stage\":2, \"buy\":96.6, \"sell\":5.7, \"prime\":2, \"revL\":0, \"revS\":0, \"vcp\":0, \"dir_prob\":96.4, \"time\":1783949400000}", "ticker": "ABNB", "setup": "A+ Trend Long", "side": "LONG", "price": 146.33, "stage": 2, "buy": 96.6, "sell": 5.7, "prime": 2, "revL": 0, "revS": 0, "vcp": 0, "time": 1783949400000, "email_id": "b'707'", "timestamp": "2026-07-13 16:01:08"}</t>
  </si>
  <si>
    <t>{"symbol": "AKAM", "strategy": "Daily", "action": "SHORT", "alert_price": 126.18, "score": "", "dir_prob": "5", "net_sigma": "", "grade": "", "align": "", "premium": "", "wrong_if": "", "context": "", "subject": "Alert: Rev - Screener v1 (SPY, 12): Any alert() function call", "body": "{\"ticker\":\"AKAM\", \"setup\":\"A+ Trend Short\", \"side\":\"SHORT\", \"price\":126.18, \"stage\":4, \"buy\":11.3, \"sell\":95.1, \"prime\":-2, \"revL\":0, \"revS\":0, \"vcp\":0, \"dir_prob\":5, \"time\":1783690200000}", "ticker": "AKAM", "setup": "A+ Trend Short", "side": "SHORT", "price": 126.18, "stage": 4, "buy": 11.3, "sell": 95.1, "prime": -2, "revL": 0, "revS": 0, "vcp": 0, "time": 1783690200000, "email_id": "b'539'", "timestamp": "2026-07-10 16:01:32"}</t>
  </si>
  <si>
    <t>Buy: 6.8 | Sell: 96</t>
  </si>
  <si>
    <t>TREND_LONG fires on buy score 93.97 (&gt;=65) with dominant_side long, stage 2 and healthy regime 0; dir_prob 95.02 confirms strong directional edge. News CONFIRMS the long via Scotiabank raising its price target to $70 (Sector Perform), a bullish catalyst. Triage is PASS: no contradiction, earnings_gate is CAUTION (not FAIL) and zone_state in_zone with rr_from_current 3.31 (&gt;=2) avoids any chased cap. Soft flags apply: earnings_days -1 triggers 'earnings' and long_target 75.65 sits ~10.1% above price vs exp_move_pct 6.18% triggering 'aggressive_target'; no exhaustion, churn, or stage_lag present.</t>
  </si>
  <si>
    <t>{"symbol": "ELV", "strategy": "Daily", "action": "LONG", "alert_price": 429.88, "score": "", "dir_prob": "80.9", "net_sigma": "", "grade": "", "align": "", "premium": "", "wrong_if": "", "context": "", "subject": "Alert: Rev - Screener v1 (SPY, 12): Any alert() function call", "body": "{\"ticker\":\"ELV\", \"setup\":\"Early Action Long\", \"side\":\"LONG\", \"price\":429.88, \"stage\":2, \"buy\":77.8, \"sell\":32.7, \"prime\":1, \"revL\":0, \"revS\":0, \"vcp\":0, \"dir_prob\":80.9, \"time\":1784035800000}", "ticker": "ELV", "setup": "Early Action Long", "side": "LONG", "price": 429.88, "stage": 2, "buy": 77.8, "sell": 32.7, "prime": 1, "revL": 0, "revS": 0, "vcp": 0, "time": 1784035800000, "email_id": "b'825'", "timestamp": "2026-07-14 16:01:11"}</t>
  </si>
  <si>
    <t>chased_poor_rr</t>
  </si>
  <si>
    <t>Buy: 7.1 | Sell: 92.3</t>
  </si>
  <si>
    <t>Buy: 90.4 | Sell: 12.8</t>
  </si>
  <si>
    <t>{"symbol": "SBAC", "strategy": "Daily", "action": "SHORT", "alert_price": 187.05, "score": "", "dir_prob": "7.3", "net_sigma": "", "grade": "", "align": "", "premium": "", "wrong_if": "", "context": "", "subject": "Alert: Rev - Screener v1 (SPY, 12): Any alert() function call", "body": "{\"ticker\":\"SBAC\", \"setup\":\"A+ Trend Short\", \"side\":\"SHORT\", \"price\":187.05, \"stage\":4, \"buy\":6.8, \"sell\":96, \"prime\":-2, \"revL\":0, \"revS\":0, \"vcp\":0, \"dir_prob\":7.3, \"time\":1783949400000}", "ticker": "SBAC", "setup": "A+ Trend Short", "side": "SHORT", "price": 187.05, "stage": 4, "buy": 6.8, "sell": 96, "prime": -2, "revL": 0, "revS": 0, "vcp": 0, "time": 1783949400000, "email_id": "b'708'", "timestamp": "2026-07-13 16:01:23"}</t>
  </si>
  <si>
    <t>Buy: 97.1 | Sell: 7.2</t>
  </si>
  <si>
    <t>{"symbol": "ALLE", "strategy": "Daily", "action": "LONG", "alert_price": 135.07, "score": "", "dir_prob": "95.2", "net_sigma": "", "grade": "", "align": "", "premium": "", "wrong_if": "", "context": "", "subject": "Alert: Rev - Screener v1 (SPY, 12): Any alert() function call", "body": "{\"ticker\":\"ALLE\", \"setup\":\"A+ Trend Long\", \"side\":\"LONG\", \"price\":135.07, \"stage\":2, \"buy\":93.1, \"sell\":21.5, \"prime\":2, \"revL\":0, \"revS\":0, \"vcp\":0, \"dir_prob\":95.2, \"time\":1783603800000}", "ticker": "ALLE", "setup": "A+ Trend Long", "side": "LONG", "price": 135.07, "stage": 2, "buy": 93.1, "sell": 21.5, "prime": 2, "revL": 0, "revS": 0, "vcp": 0, "time": 1783603800000, "email_id": "b'318'", "timestamp": "2026-07-09 16:01:35"}</t>
  </si>
  <si>
    <t>{"symbol": "VRSN", "strategy": "Daily", "action": "SHORT", "alert_price": 270.04, "score": "", "dir_prob": "8.1", "net_sigma": "", "grade": "", "align": "", "premium": "", "wrong_if": "", "context": "", "subject": "Alert: Rev - Screener v1 (SPY, 12): Any alert() function call", "body": "{\"ticker\":\"VRSN\", \"setup\":\"A+ Trend Short\", \"side\":\"SHORT\", \"price\":270.04, \"stage\":4, \"buy\":7.1, \"sell\":92.3, \"prime\":-2, \"revL\":0, \"revS\":0, \"vcp\":0, \"dir_prob\":8.1, \"time\":1783690200000}", "ticker": "VRSN", "setup": "A+ Trend Short", "side": "SHORT", "price": 270.04, "stage": 4, "buy": 7.1, "sell": 92.3, "prime": -2, "revL": 0, "revS": 0, "vcp": 0, "time": 1783690200000, "email_id": "b'470'", "timestamp": "2026-07-10 16:01:27"}</t>
  </si>
  <si>
    <t>TREND_LONG is firing on buy score 93.24 (&gt;=65) with dir_prob 75.0 and stage 2, indicating a strong long-side trend read despite a distribution regime (3). News is neutral with no catalyst (empty headlines), so it neither confirms nor contradicts the long bias. Triage is capped to WATCH because regime 3 triggers a trend-long cap and zone_state 'above_zone' with rr_from_current 0.32 (&lt;1.0) flags a chased, poor R:R entry. Key flags 'chased' (price above long zone 21.22-21.34) and 'earnings' (earnings_days -1, CAUTION gate) apply; no exhaustion, churn, or stage_lag flags are present from the given values.</t>
  </si>
  <si>
    <t>AVGO</t>
  </si>
  <si>
    <t>Buy: 5.2 | Sell: 88.5</t>
  </si>
  <si>
    <t>{"symbol": "COF", "strategy": "Daily", "action": "LONG", "alert_price": 202.98, "score": "", "dir_prob": "97.3", "net_sigma": "", "grade": "", "align": "", "premium": "", "wrong_if": "", "context": "", "subject": "Alert: Rev - Screener v1 (SPY, 12): Any alert() function call", "body": "{\"ticker\":\"COF\", \"setup\":\"A+ Trend Long\", \"side\":\"LONG\", \"price\":202.98, \"stage\":2, \"buy\":97.1, \"sell\":7.2, \"prime\":2, \"revL\":0, \"revS\":0, \"vcp\":0, \"dir_prob\":97.3, \"time\":1783949400000}", "ticker": "COF", "setup": "A+ Trend Long", "side": "LONG", "price": 202.98, "stage": 2, "buy": 97.1, "sell": 7.2, "prime": 2, "revL": 0, "revS": 0, "vcp": 0, "time": 1783949400000, "email_id": "b'709'", "timestamp": "2026-07-13 16:01:20"}</t>
  </si>
  <si>
    <t>{"symbol": "CDW", "strategy": "Daily", "action": "LONG", "alert_price": 139.33, "score": "", "dir_prob": "97.9", "net_sigma": "", "grade": "", "align": "", "premium": "", "wrong_if": "", "context": "", "subject": "Alert: Rev - Screener v1 (SPY, 12): Any alert() function call", "body": "{\"ticker\":\"CDW\", \"setup\":\"A+ Trend Long\", \"side\":\"LONG\", \"price\":139.33, \"stage\":2, \"buy\":90.4, \"sell\":12.8, \"prime\":2, \"revL\":0, \"revS\":0, \"vcp\":0, \"dir_prob\":97.9, \"time\":1784035800000}", "ticker": "CDW", "setup": "A+ Trend Long", "side": "LONG", "price": 139.33, "stage": 2, "buy": 90.4, "sell": 12.8, "prime": 2, "revL": 0, "revS": 0, "vcp": 0, "time": 1784035800000, "email_id": "b'827'", "timestamp": "2026-07-14 16:01:17"}</t>
  </si>
  <si>
    <t>Buy: 90.3 | Sell: 15.6</t>
  </si>
  <si>
    <t>Buy: 97.4 | Sell: 3.7</t>
  </si>
  <si>
    <t>{"symbol": "AVGO", "strategy": "Daily", "action": "SHORT", "alert_price": 400.05, "score": "", "dir_prob": "7.8", "net_sigma": "", "grade": "", "align": "", "premium": "", "wrong_if": "", "context": "", "subject": "Alert: Rev - Screener v1 (SPY, 12): Any alert() function call", "body": "{\"ticker\":\"AVGO\", \"setup\":\"A+ Trend Short\", \"side\":\"SHORT\", \"price\":400.05, \"stage\":4, \"buy\":5.2, \"sell\":88.5, \"prime\":-2, \"revL\":0, \"revS\":0, \"vcp\":1, \"dir_prob\":7.8, \"time\":1783690200000}", "ticker": "AVGO", "setup": "A+ Trend Short", "side": "SHORT", "price": 400.05, "stage": 4, "buy": 5.2, "sell": 88.5, "prime": -2, "revL": 0, "revS": 0, "vcp": 1, "time": 1783690200000, "email_id": "b'506'", "timestamp": "2026-07-10 16:01:32"}</t>
  </si>
  <si>
    <t>No active entry mode is firing: ignition_long=0, rev_zone_l=0 and rev_zone_s=6 (below the Zone-1 threshold), and buy=60 with dir_prob=55.69 fall short of the TREND_LONG bar of 65, so the name lands in NONE with dominant_score=60 &gt;=50 → WATCH 'moderate, no clean setup'. News is CONFIRMS (bullish sentiment, catalyst 'Analyst Rating' per input, headlines note IBD SwingTrader buying and surging price) but does not rescue the triage. Soft flags apply: exhaustion (ext_pct=92.64, exhaustion=0.55), chased (zone_state=above_zone at 434.97 vs long_zone 422-430), earnings (earnings_days=-1 → CAUTION), and squeeze (regime=6); no churn, stage_lag, or aggressive_target flags are triggered.</t>
  </si>
  <si>
    <t>{"symbol": "CRWD", "strategy": "Daily", "action": "LONG", "alert_price": 187.95, "score": "", "dir_prob": "93.9", "net_sigma": "", "grade": "", "align": "", "premium": "", "wrong_if": "", "context": "", "subject": "Alert: Rev - Screener v1 (SPY, 12): Any alert() function call", "body": "{\"ticker\":\"CRWD\", \"setup\":\"A+ Trend Long\", \"side\":\"LONG\", \"price\":187.95, \"stage\":2, \"buy\":90.3, \"sell\":15.6, \"prime\":2, \"revL\":0, \"revS\":0, \"vcp\":0, \"dir_prob\":93.9, \"time\":1783949400000}", "ticker": "CRWD", "setup": "A+ Trend Long", "side": "LONG", "price": 187.95, "stage": 2, "buy": 90.3, "sell": 15.6, "prime": 2, "revL": 0, "revS": 0, "vcp": 0, "time": 1783949400000, "email_id": "b'710'", "timestamp": "2026-07-13 16:01:31"}</t>
  </si>
  <si>
    <t>CMG</t>
  </si>
  <si>
    <t>Buy: 95.4 | Sell: 16.5</t>
  </si>
  <si>
    <t>Buy: 73.1 | Sell: 7.9</t>
  </si>
  <si>
    <t>Buy: 90.9 | Sell: 12.4</t>
  </si>
  <si>
    <t>{"symbol": "JNJ", "strategy": "Daily", "action": "LONG", "alert_price": 253.87, "score": "", "dir_prob": "95.7", "net_sigma": "", "grade": "", "align": "", "premium": "", "wrong_if": "", "context": "", "subject": "Alert: Rev - Screener v1 (SPY, 12): Any alert() function call", "body": "{\"ticker\":\"JNJ\", \"setup\":\"A+ Trend Long\", \"side\":\"LONG\", \"price\":253.87, \"stage\":2, \"buy\":97.4, \"sell\":3.7, \"prime\":2, \"revL\":0, \"revS\":0, \"vcp\":0, \"dir_prob\":95.7, \"time\":1784035800000}", "ticker": "JNJ", "setup": "A+ Trend Long", "side": "LONG", "price": 253.87, "stage": 2, "buy": 97.4, "sell": 3.7, "prime": 2, "revL": 0, "revS": 0, "vcp": 0, "time": 1784035800000, "email_id": "b'829'", "timestamp": "2026-07-14 16:01:14"}</t>
  </si>
  <si>
    <t>{"symbol": "RVTY", "strategy": "Daily", "action": "LONG", "alert_price": 111.07, "score": "", "dir_prob": "92.6", "net_sigma": "", "grade": "", "align": "", "premium": "", "wrong_if": "", "context": "", "subject": "Alert: Rev - Screener v1 (SPY, 12): Any alert() function call", "body": "{\"ticker\":\"RVTY\", \"setup\":\"A+ Trend Long\", \"side\":\"LONG\", \"price\":111.07, \"stage\":2, \"buy\":95.4, \"sell\":16.5, \"prime\":2, \"revL\":0, \"revS\":0, \"vcp\":0, \"dir_prob\":92.6, \"time\":1783949400000}", "ticker": "RVTY", "setup": "A+ Trend Long", "side": "LONG", "price": 111.07, "stage": 2, "buy": 95.4, "sell": 16.5, "prime": 2, "revL": 0, "revS": 0, "vcp": 0, "time": 1783949400000, "email_id": "b'711'", "timestamp": "2026-07-13 16:01:13"}</t>
  </si>
  <si>
    <t>{"symbol": "CMG", "strategy": "Daily", "action": "LONG", "alert_price": 35.26, "score": "", "dir_prob": "94.9", "net_sigma": "", "grade": "", "align": "", "premium": "", "wrong_if": "", "context": "", "subject": "Alert: Rev - Screener v1 (SPY, 12): Any alert() function call", "body": "{\"ticker\":\"CMG\", \"setup\":\"Early Action Long\", \"side\":\"LONG\", \"price\":35.26, \"stage\":2, \"buy\":73.1, \"sell\":7.9, \"prime\":1, \"revL\":0, \"revS\":0, \"vcp\":0, \"dir_prob\":94.9, \"time\":1783690200000}", "ticker": "CMG", "setup": "Early Action Long", "side": "LONG", "price": 35.26, "stage": 2, "buy": 73.1, "sell": 7.9, "prime": 1, "revL": 0, "revS": 0, "vcp": 0, "time": 1783690200000, "email_id": "b'513'", "timestamp": "2026-07-10 16:01:30"}</t>
  </si>
  <si>
    <t>Buy: 93.7 | Sell: 29.1</t>
  </si>
  <si>
    <t>SURVIVOR (173.7)</t>
  </si>
  <si>
    <t>TREND_LONG fires on buy=98.58 (&gt;=65) with dir_prob=94.09 and stage=2 healthy regime=0, showing strong trend/dip-buy long character. News is NEUTRAL with catalyst 'none' (empty headlines), so no confirmation or contradiction. Triage is PASS as no veto applies; key_flags note 'chased' (zone_state=above_zone, rr_from_current=1.23 &lt;2), 'earnings' (earnings_gate=CAUTION, days=-1), and 'dip_buy' (rev_zone_l=8 in stage 1/2) — these annotate but do not block the pass.</t>
  </si>
  <si>
    <t>Buy: 96.6 | Sell: 5.1</t>
  </si>
  <si>
    <t>Buy: 3.7 | Sell: 95.4</t>
  </si>
  <si>
    <t>{"symbol": "COO", "strategy": "Daily", "action": "LONG", "alert_price": 71.33, "score": "", "dir_prob": "96.7", "net_sigma": "", "grade": "", "align": "", "premium": "", "wrong_if": "", "context": "", "subject": "Alert: Rev - Screener v1 (SPY, 12): Any alert() function call", "body": "{\"ticker\":\"COO\", \"setup\":\"A+ Trend Long\", \"side\":\"LONG\", \"price\":71.33, \"stage\":2, \"buy\":96.6, \"sell\":5.1, \"prime\":2, \"revL\":0, \"revS\":0, \"vcp\":0, \"dir_prob\":96.7, \"time\":1783949400000}", "ticker": "COO", "setup": "A+ Trend Long", "side": "LONG", "price": 71.33, "stage": 2, "buy": 96.6, "sell": 5.1, "prime": 2, "revL": 0, "revS": 0, "vcp": 0, "time": 1783949400000, "email_id": "b'712'", "timestamp": "2026-07-13 16:01:26"}</t>
  </si>
  <si>
    <t>CBOE</t>
  </si>
  <si>
    <t>Buy: 5.6 | Sell: 91.2</t>
  </si>
  <si>
    <t>{"symbol": "WSM", "strategy": "Daily", "action": "LONG", "alert_price": 220.36, "score": "", "dir_prob": "88.7", "net_sigma": "", "grade": "", "align": "", "premium": "", "wrong_if": "", "context": "", "subject": "Alert: Rev - Screener v1 (SPY, 12): Any alert() function call", "body": "{\"ticker\":\"WSM\", \"setup\":\"A+ Trend Long\", \"side\":\"LONG\", \"price\":220.36, \"stage\":2, \"buy\":93.7, \"sell\":29.1, \"prime\":2, \"revL\":0, \"revS\":0, \"vcp\":0, \"dir_prob\":88.7, \"time\":1784035800000}", "ticker": "WSM", "setup": "A+ Trend Long", "side": "LONG", "price": 220.36, "stage": 2, "buy": 93.7, "sell": 29.1, "prime": 2, "revL": 0, "revS": 0, "vcp": 0, "time": 1784035800000, "email_id": "b'830'", "timestamp": "2026-07-14 16:01:24"}</t>
  </si>
  <si>
    <t>{"symbol": "SLB", "strategy": "Daily", "action": "SHORT", "alert_price": 47.77, "score": "", "dir_prob": "2.5", "net_sigma": "", "grade": "", "align": "", "premium": "", "wrong_if": "", "context": "", "subject": "Alert: Rev - Screener v1 (SPY, 12): Any alert() function call", "body": "{\"ticker\":\"SLB\", \"setup\":\"A+ Trend Short\", \"side\":\"SHORT\", \"price\":47.77, \"stage\":4, \"buy\":3.7, \"sell\":95.4, \"prime\":-2, \"revL\":0, \"revS\":0, \"vcp\":0, \"dir_prob\":2.5, \"time\":1783690200000}", "ticker": "SLB", "setup": "A+ Trend Short", "side": "SHORT", "price": 47.77, "stage": 4, "buy": 3.7, "sell": 95.4, "prime": -2, "revL": 0, "revS": 0, "vcp": 0, "time": 1783690200000, "email_id": "b'478'", "timestamp": "2026-07-10 16:01:31"}</t>
  </si>
  <si>
    <t>TREND_LONG is firing on a dominant long side with buy score 96.51 (&gt;=65), dir_prob 92.62, stage 2 and regime 6 (squeeze); ext_pct 1.53 and exhaustion 0.0076 show no extension or climax. News read is NEUTRAL with catalyst 'none' from empty headlines, so no contradiction or confirmation. Triage is PASS as no veto cap applies (earnings gate is CAUTION not FAIL, zone_state above_zone but rr_from_current 1.30 &gt;=1.0); soft flags chased (above_zone), earnings (earnings_days -1), and squeeze (regime 6) are annotated but do not block.</t>
  </si>
  <si>
    <t>HPE</t>
  </si>
  <si>
    <t>Buy: 97.1 | Sell: 4.7</t>
  </si>
  <si>
    <t>Buy: 70.4 | Sell: 60</t>
  </si>
  <si>
    <t>{"symbol": "CBOE", "strategy": "Daily", "action": "SHORT", "alert_price": 276.74, "score": "", "dir_prob": "4.3", "net_sigma": "", "grade": "", "align": "", "premium": "", "wrong_if": "", "context": "", "subject": "Alert: Rev - Screener v1 (SPY, 12): Any alert() function call", "body": "{\"ticker\":\"CBOE\", \"setup\":\"A+ Trend Short\", \"side\":\"SHORT\", \"price\":276.74, \"stage\":4, \"buy\":5.6, \"sell\":91.2, \"prime\":-2, \"revL\":0, \"revS\":0, \"vcp\":0, \"dir_prob\":4.3, \"time\":1783949400000}", "ticker": "CBOE", "setup": "A+ Trend Short", "side": "SHORT", "price": 276.74, "stage": 4, "buy": 5.6, "sell": 91.2, "prime": -2, "revL": 0, "revS": 0, "vcp": 0, "time": 1783949400000, "email_id": "b'713'", "timestamp": "2026-07-13 16:01:26"}</t>
  </si>
  <si>
    <t>{"symbol": "BALL", "strategy": "Daily", "action": "LONG", "alert_price": 60.99, "score": "", "dir_prob": "95.6", "net_sigma": "", "grade": "", "align": "", "premium": "", "wrong_if": "", "context": "", "subject": "Alert: Rev - Screener v1 (SPY, 12): Any alert() function call", "body": "{\"ticker\":\"BALL\", \"setup\":\"A+ Trend Long\", \"side\":\"LONG\", \"price\":60.99, \"stage\":2, \"buy\":90.9, \"sell\":12.4, \"prime\":2, \"revL\":0, \"revS\":0, \"vcp\":0, \"dir_prob\":95.6, \"time\":1783603800000}", "ticker": "BALL", "setup": "A+ Trend Long", "side": "LONG", "price": 60.99, "stage": 2, "buy": 90.9, "sell": 12.4, "prime": 2, "revL": 0, "revS": 0, "vcp": 0, "time": 1783603800000, "email_id": "b'203'", "timestamp": "2026-07-09 16:01:18"}</t>
  </si>
  <si>
    <t>Buy: 78.6 | Sell: 32.3</t>
  </si>
  <si>
    <t>{"symbol": "HPE", "strategy": "Daily", "action": "LONG", "alert_price": 48.49, "score": "", "dir_prob": "52.1", "net_sigma": "", "grade": "", "align": "", "premium": "", "wrong_if": "", "context": "", "subject": "Alert: Rev - Screener v1 (SPY, 12): Any alert() function call", "body": "{\"ticker\":\"HPE\", \"setup\":\"Early Action Long\", \"side\":\"LONG\", \"price\":48.49, \"stage\":2, \"buy\":70.4, \"sell\":60, \"prime\":1, \"revL\":0, \"revS\":0, \"vcp\":0, \"dir_prob\":52.1, \"time\":1783690200000}", "ticker": "HPE", "setup": "Early Action Long", "side": "LONG", "price": 48.49, "stage": 2, "buy": 70.4, "sell": 60, "prime": 1, "revL": 0, "revS": 0, "vcp": 0, "time": 1783690200000, "email_id": "b'407'", "timestamp": "2026-07-10 16:01:11"}</t>
  </si>
  <si>
    <t>TREND_LONG is firing on buy score 90.59 (&gt;=65), dir_prob 71.06, and stage 2 uptrend with dominant_side long; price sits in_zone at 157.52 with rr_from_current 2.00. News is CONTRADICTS via the NY AG lawsuit against 3M for alleged toxic pollution, a bearish catalyst opposing the long bias. Triage is capped to WATCH because regime 3 (distribution) triggers the trend-long veto and the news directly contradicts the long thesis. Soft flags apply: earnings (earnings_gate CAUTION, earnings_days -1) and aggressive_target (long_target 169.59 is ~7.6% above price vs exp_move_pct 6.07%). No exhaustion, churn, chased, or stage_lag flags are present from the provided values.</t>
  </si>
  <si>
    <t>{"symbol": "AMCR", "strategy": "Daily", "action": "LONG", "alert_price": 42.79, "score": "", "dir_prob": "94.8", "net_sigma": "", "grade": "", "align": "", "premium": "", "wrong_if": "", "context": "", "subject": "Alert: Rev - Screener v1 (SPY, 12): Any alert() function call", "body": "{\"ticker\":\"AMCR\", \"setup\":\"A+ Trend Long\", \"side\":\"LONG\", \"price\":42.79, \"stage\":2, \"buy\":97.1, \"sell\":4.7, \"prime\":2, \"revL\":0, \"revS\":0, \"vcp\":0, \"dir_prob\":94.8, \"time\":1784035800000}", "ticker": "AMCR", "setup": "A+ Trend Long", "side": "LONG", "price": 42.79, "stage": 2, "buy": 97.1, "sell": 4.7, "prime": 2, "revL": 0, "revS": 0, "vcp": 0, "time": 1784035800000, "email_id": "b'839'", "timestamp": "2026-07-14 16:01:32"}</t>
  </si>
  <si>
    <t>Buy: 76.4 | Sell: 9.8</t>
  </si>
  <si>
    <t>{"symbol": "BBY", "strategy": "Daily", "action": "LONG", "alert_price": 81.65, "score": "", "dir_prob": "83.6", "net_sigma": "", "grade": "", "align": "", "premium": "", "wrong_if": "", "context": "", "subject": "Alert: Rev - Screener v1 (SPY, 12): Any alert() function call", "body": "{\"ticker\":\"BBY\", \"setup\":\"Early Action Long\", \"side\":\"LONG\", \"price\":81.65, \"stage\":2, \"buy\":78.6, \"sell\":32.3, \"prime\":1, \"revL\":0, \"revS\":0, \"vcp\":0, \"dir_prob\":83.6, \"time\":1783949400000}", "ticker": "BBY", "setup": "Early Action Long", "side": "LONG", "price": 81.65, "stage": 2, "buy": 78.6, "sell": 32.3, "prime": 1, "revL": 0, "revS": 0, "vcp": 0, "time": 1783949400000, "email_id": "b'714'", "timestamp": "2026-07-13 16:01:31"}</t>
  </si>
  <si>
    <t>Buy: 4.6 | Sell: 93.7</t>
  </si>
  <si>
    <t>Buy: 96.7 | Sell: 5.5</t>
  </si>
  <si>
    <t>Buy: 79.2 | Sell: 6.9</t>
  </si>
  <si>
    <t>{"symbol": "MET", "strategy": "Daily", "action": "LONG", "alert_price": 91.65, "score": "", "dir_prob": "88.6", "net_sigma": "", "grade": "", "align": "", "premium": "", "wrong_if": "", "context": "", "subject": "Alert: Rev - Screener v1 (SPY, 12): Any alert() function call", "body": "{\"ticker\":\"MET\", \"setup\":\"Early Action Long\", \"side\":\"LONG\", \"price\":91.65, \"stage\":2, \"buy\":76.4, \"sell\":9.8, \"prime\":1, \"revL\":0, \"revS\":0, \"vcp\":0, \"dir_prob\":88.6, \"time\":1783690200000}", "ticker": "MET", "setup": "Early Action Long", "side": "LONG", "price": 91.65, "stage": 2, "buy": 76.4, "sell": 9.8, "prime": 1, "revL": 0, "revS": 0, "vcp": 0, "time": 1783690200000, "email_id": "b'545'", "timestamp": "2026-07-10 16:01:28"}</t>
  </si>
  <si>
    <t>TREND_LONG fires on dominant_side=long with buy=80.34 (&gt;=65) and dir_prob=87.36 in Stage 2; rev_zone_l=3.5 shows no reversion setup. News CONFIRMS the long via multiple analyst Buy ratings and PT raises (Stifel $650, Needham $740, TD Cowen $700) plus CEO demand visibility. Triage caps at WATCH because zone_state=above_zone with rr_from_current=0.49 (&lt;1.0) is a chased, poor R:R entry; soft flags apply: ext_pct=59.01 with exhaustion=0.36 (exhaustion), above_zone (chased), earnings_days=-1 (earnings), regime=1 (extended).</t>
  </si>
  <si>
    <t>{"symbol": "L", "strategy": "Daily", "action": "LONG", "alert_price": 116.48, "score": "", "dir_prob": "87.7", "net_sigma": "", "grade": "", "align": "", "premium": "", "wrong_if": "", "context": "", "subject": "Alert: Rev - Screener v1 (SPY, 12): Any alert() function call", "body": "{\"ticker\":\"L\", \"setup\":\"Early Action Long\", \"side\":\"LONG\", \"price\":116.48, \"stage\":2, \"buy\":79.2, \"sell\":6.9, \"prime\":1, \"revL\":0, \"revS\":0, \"vcp\":0, \"dir_prob\":87.7, \"time\":1783949400000}", "ticker": "L", "setup": "Early Action Long", "side": "LONG", "price": 116.48, "stage": 2, "buy": 79.2, "sell": 6.9, "prime": 1, "revL": 0, "revS": 0, "vcp": 0, "time": 1783949400000, "email_id": "b'715'", "timestamp": "2026-07-13 16:01:15"}</t>
  </si>
  <si>
    <t>{"symbol": "SLB", "strategy": "Daily", "action": "SHORT", "alert_price": 47.57, "score": "", "dir_prob": "3", "net_sigma": "", "grade": "", "align": "", "premium": "", "wrong_if": "", "context": "", "subject": "Alert: Rev - Screener v1 (SPY, 12): Any alert() function call", "body": "{\"ticker\":\"SLB\", \"setup\":\"A+ Trend Short\", \"side\":\"SHORT\", \"price\":47.57, \"stage\":4, \"buy\":4.6, \"sell\":93.7, \"prime\":-2, \"revL\":0, \"revS\":0, \"vcp\":0, \"dir_prob\":3, \"time\":1784035800000}", "ticker": "SLB", "setup": "A+ Trend Short", "side": "SHORT", "price": 47.57, "stage": 4, "buy": 4.6, "sell": 93.7, "prime": -2, "revL": 0, "revS": 0, "vcp": 0, "time": 1784035800000, "email_id": "b'843'", "timestamp": "2026-07-14 16:01:29"}</t>
  </si>
  <si>
    <t>Buy: 97.2 | Sell: 4.7</t>
  </si>
  <si>
    <t>GS</t>
  </si>
  <si>
    <t>Buy: 76.2 | Sell: 60</t>
  </si>
  <si>
    <t>Buy: 21.1 | Sell: 91.1</t>
  </si>
  <si>
    <t>{"symbol": "EXPE", "strategy": "Daily", "action": "LONG", "alert_price": 267.79, "score": "", "dir_prob": "91", "net_sigma": "", "grade": "", "align": "", "premium": "", "wrong_if": "", "context": "", "subject": "Alert: Rev - Screener v1 (SPY, 12): Any alert() function call", "body": "{\"ticker\":\"EXPE\", \"setup\":\"A+ Trend Long\", \"side\":\"LONG\", \"price\":267.79, \"stage\":2, \"buy\":96.7, \"sell\":5.5, \"prime\":2, \"revL\":0, \"revS\":0, \"vcp\":0, \"dir_prob\":91, \"time\":1783603800000}", "ticker": "EXPE", "setup": "A+ Trend Long", "side": "LONG", "price": 267.79, "stage": 2, "buy": 96.7, "sell": 5.5, "prime": 2, "revL": 0, "revS": 0, "vcp": 0, "time": 1783603800000, "email_id": "b'315'", "timestamp": "2026-07-09 16:01:22"}</t>
  </si>
  <si>
    <t>{"symbol": "OXY", "strategy": "Daily", "action": "SHORT", "alert_price": 54.59, "score": "", "dir_prob": "9.7", "net_sigma": "", "grade": "", "align": "", "premium": "", "wrong_if": "", "context": "", "subject": "Alert: Rev - Screener v1 (SPY, 12): Any alert() function call", "body": "{\"ticker\":\"OXY\", \"setup\":\"A+ Trend Short\", \"side\":\"SHORT\", \"price\":54.59, \"stage\":4, \"buy\":21.1, \"sell\":91.1, \"prime\":-2, \"revL\":0, \"revS\":0, \"vcp\":0, \"dir_prob\":9.7, \"time\":1784035800000}", "ticker": "OXY", "setup": "A+ Trend Short", "side": "SHORT", "price": 54.59, "stage": 4, "buy": 21.1, "sell": 91.1, "prime": -2, "revL": 0, "revS": 0, "vcp": 0, "time": 1784035800000, "email_id": "b'847'", "timestamp": "2026-07-14 16:01:28"}</t>
  </si>
  <si>
    <t>{"symbol": "EXPE", "strategy": "Daily", "action": "LONG", "alert_price": 265.62, "score": "", "dir_prob": "91.3", "net_sigma": "", "grade": "", "align": "", "premium": "", "wrong_if": "", "context": "", "subject": "Alert: Rev - Screener v1 (SPY, 12): Any alert() function call", "body": "{\"ticker\":\"EXPE\", \"setup\":\"A+ Trend Long\", \"side\":\"LONG\", \"price\":265.62, \"stage\":2, \"buy\":97.2, \"sell\":4.7, \"prime\":2, \"revL\":0, \"revS\":0, \"vcp\":0, \"dir_prob\":91.3, \"time\":1783949400000}", "ticker": "EXPE", "setup": "A+ Trend Long", "side": "LONG", "price": 265.62, "stage": 2, "buy": 97.2, "sell": 4.7, "prime": 2, "revL": 0, "revS": 0, "vcp": 0, "time": 1783949400000, "email_id": "b'716'", "timestamp": "2026-07-13 16:01:19"}</t>
  </si>
  <si>
    <t>Buy: 93.5 | Sell: 7.7</t>
  </si>
  <si>
    <t>FRT</t>
  </si>
  <si>
    <t>{"symbol": "GS", "strategy": "Daily", "action": "LONG", "alert_price": 1055.57, "score": "", "dir_prob": "48.5", "net_sigma": "", "grade": "", "align": "", "premium": "", "wrong_if": "", "context": "", "subject": "Alert: Rev - Screener v1 (SPY, 12): Any alert() function call", "body": "{\"ticker\":\"GS\", \"setup\":\"Early Action Long\", \"side\":\"LONG\", \"price\":1055.57, \"stage\":2, \"buy\":76.2, \"sell\":60, \"prime\":1, \"revL\":0, \"revS\":0, \"vcp\":0, \"dir_prob\":48.5, \"time\":1783690200000}", "ticker": "GS", "setup": "Early Action Long", "side": "LONG", "price": 1055.57, "stage": 2, "buy": 76.2, "sell": 60, "prime": 1, "revL": 0, "revS": 0, "vcp": 0, "time": 1783690200000, "email_id": "b'475'", "timestamp": "2026-07-10 16:01:17"}</t>
  </si>
  <si>
    <t>Buy: 32.6 | Sell: 91.7</t>
  </si>
  <si>
    <t>TREND_LONG fires on buy=95.5 (&gt;=65) with dir_prob=53.35 and stage=2, but regime=3 (Distribution) caps the verdict at WATCH per the trend-long rule. The long entry zone is 222.18-223.92 while price=231.59 sits above_zone with rr_from_current=0.22 (&lt;1.0), adding a second WATCH cap for chased/poor R:R. News is empty (headlines []), so catalyst='none' and confirm_contradict=NEUTRAL. Soft flags apply: opposite_score=60.0 triggers churn, zone_state=above_zone triggers chased, and earnings_days=-1/earnings_gate=CAUTION triggers earnings; ext_pct=17.18 and exhaustion=0.24 are below flag thresholds.</t>
  </si>
  <si>
    <t>Buy: 97.5 | Sell: 16.3</t>
  </si>
  <si>
    <t>Buy: 6.2 | Sell: 92.2</t>
  </si>
  <si>
    <t>{"symbol": "FRT", "strategy": "Daily", "action": "SHORT", "alert_price": 121.87, "score": "", "dir_prob": "8.6", "net_sigma": "", "grade": "", "align": "", "premium": "", "wrong_if": "", "context": "", "subject": "Alert: Rev - Screener v1 (SPY, 12): Any alert() function call", "body": "{\"ticker\":\"FRT\", \"setup\":\"A+ Trend Short\", \"side\":\"SHORT\", \"price\":121.87, \"stage\":4, \"buy\":32.6, \"sell\":91.7, \"prime\":-2, \"revL\":0, \"revS\":0, \"vcp\":0, \"dir_prob\":8.6, \"time\":1783949400000}", "ticker": "FRT", "setup": "A+ Trend Short", "side": "SHORT", "price": 121.87, "stage": 4, "buy": 32.6, "sell": 91.7, "prime": -2, "revL": 0, "revS": 0, "vcp": 0, "time": 1783949400000, "email_id": "b'717'", "timestamp": "2026-07-13 16:01:25"}</t>
  </si>
  <si>
    <t>MTD</t>
  </si>
  <si>
    <t>Buy: 82.7 | Sell: 7.2</t>
  </si>
  <si>
    <t>{"symbol": "ZBRA", "strategy": "Daily", "action": "LONG", "alert_price": 260.1, "score": "", "dir_prob": "96.9", "net_sigma": "", "grade": "", "align": "", "premium": "", "wrong_if": "", "context": "", "subject": "Alert: Rev - Screener v1 (SPY, 12): Any alert() function call", "body": "{\"ticker\":\"ZBRA\", \"setup\":\"A+ Trend Long\", \"side\":\"LONG\", \"price\":260.10, \"stage\":2, \"buy\":93.5, \"sell\":7.7, \"prime\":2, \"revL\":0, \"revS\":0, \"vcp\":0, \"dir_prob\":96.9, \"time\":1784035800000}", "ticker": "ZBRA", "setup": "A+ Trend Long", "side": "LONG", "price": 260.1, "stage": 2, "buy": 93.5, "sell": 7.7, "prime": 2, "revL": 0, "revS": 0, "vcp": 0, "time": 1784035800000, "email_id": "b'849'", "timestamp": "2026-07-14 16:01:34"}</t>
  </si>
  <si>
    <t>Buy: 11.2 | Sell: 91.8</t>
  </si>
  <si>
    <t>{"symbol": "MTD", "strategy": "Daily", "action": "LONG", "alert_price": 1300.13, "score": "", "dir_prob": "93.4", "net_sigma": "", "grade": "", "align": "", "premium": "", "wrong_if": "", "context": "", "subject": "Alert: Rev - Screener v1 (SPY, 12): Any alert() function call", "body": "{\"ticker\":\"MTD\", \"setup\":\"Early Action Long\", \"side\":\"LONG\", \"price\":1300.13, \"stage\":2, \"buy\":82.7, \"sell\":7.2, \"prime\":1, \"revL\":0, \"revS\":0, \"vcp\":0, \"dir_prob\":93.4, \"time\":1783949400000}", "ticker": "MTD", "setup": "Early Action Long", "side": "LONG", "price": 1300.13, "stage": 2, "buy": 82.7, "sell": 7.2, "prime": 1, "revL": 0, "revS": 0, "vcp": 0, "time": 1783949400000, "email_id": "b'718'", "timestamp": "2026-07-13 16:01:25"}</t>
  </si>
  <si>
    <t>{"symbol": "CBOE", "strategy": "Daily", "action": "SHORT", "alert_price": 268.08, "score": "", "dir_prob": "4.1", "net_sigma": "", "grade": "", "align": "", "premium": "", "wrong_if": "", "context": "", "subject": "Alert: Rev - Screener v1 (SPY, 12): Any alert() function call", "body": "{\"ticker\":\"CBOE\", \"setup\":\"A+ Trend Short\", \"side\":\"SHORT\", \"price\":268.08, \"stage\":4, \"buy\":6.2, \"sell\":92.2, \"prime\":-2, \"revL\":0, \"revS\":0, \"vcp\":0, \"dir_prob\":4.1, \"time\":1783690200000}", "ticker": "CBOE", "setup": "A+ Trend Short", "side": "SHORT", "price": 268.08, "stage": 4, "buy": 6.2, "sell": 92.2, "prime": -2, "revL": 0, "revS": 0, "vcp": 0, "time": 1783690200000, "email_id": "b'375'", "timestamp": "2026-07-10 16:01:00"}</t>
  </si>
  <si>
    <t>TREND_LONG is firing: buy score 81.33 (&gt;=65), dir_prob 83.58, stage 2 with healthy regime 0 and low exhaustion 0.1365 confirm a clean uptrend. News CONFIRMS the long side via Evercore raising its price target to $32 and June AUM rising 0.7% month-over-month. Triage is capped at WATCH because zone_state is above_zone with rr_from_current 0.074 (&lt;1.0), marking a chased entry with poor R:R from current price. earnings_gate CAUTION (earnings_days -1) adds an earnings soft flag; no exhaustion, churn, or stage-lag flags apply.</t>
  </si>
  <si>
    <t>Buy: 91.5 | Sell: 21.4</t>
  </si>
  <si>
    <t>Buy: 93.2 | Sell: 35</t>
  </si>
  <si>
    <t>{"symbol": "AXP", "strategy": "Daily", "action": "LONG", "alert_price": 346.67, "score": "", "dir_prob": "94.3", "net_sigma": "", "grade": "", "align": "", "premium": "", "wrong_if": "", "context": "", "subject": "Alert: Rev - Screener v1 (SPY, 12): Any alert() function call", "body": "{\"ticker\":\"AXP\", \"setup\":\"A+ Trend Long\", \"side\":\"LONG\", \"price\":346.67, \"stage\":2, \"buy\":97.5, \"sell\":16.3, \"prime\":2, \"revL\":0, \"revS\":0, \"vcp\":0, \"dir_prob\":94.3, \"time\":1783603800000}", "ticker": "AXP", "setup": "A+ Trend Long", "side": "LONG", "price": 346.67, "stage": 2, "buy": 97.5, "sell": 16.3, "prime": 2, "revL": 0, "revS": 0, "vcp": 0, "time": 1783603800000, "email_id": "b'171'", "timestamp": "2026-07-09 16:01:02"}</t>
  </si>
  <si>
    <t>{"symbol": "ROST", "strategy": "Daily", "action": "SHORT", "alert_price": 220.89, "score": "", "dir_prob": "1.4", "net_sigma": "", "grade": "", "align": "", "premium": "", "wrong_if": "", "context": "", "subject": "Alert: Rev - Screener v1 (SPY, 12): Any alert() function call", "body": "{\"ticker\":\"ROST\", \"setup\":\"A+ Trend Short\", \"side\":\"SHORT\", \"price\":220.89, \"stage\":4, \"buy\":11.2, \"sell\":91.8, \"prime\":-2, \"revL\":0, \"revS\":0, \"vcp\":0, \"dir_prob\":1.4, \"time\":1784035800000}", "ticker": "ROST", "setup": "A+ Trend Short", "side": "SHORT", "price": 220.89, "stage": 4, "buy": 11.2, "sell": 91.8, "prime": -2, "revL": 0, "revS": 0, "vcp": 0, "time": 1784035800000, "email_id": "b'853'", "timestamp": "2026-07-14 16:01:37"}</t>
  </si>
  <si>
    <t>{"symbol": "CVS", "strategy": "Daily", "action": "LONG", "alert_price": 105.93, "score": "", "dir_prob": "89.9", "net_sigma": "", "grade": "", "align": "", "premium": "", "wrong_if": "", "context": "", "subject": "Alert: Rev - Screener v1 (SPY, 12): Any alert() function call", "body": "{\"ticker\":\"CVS\", \"setup\":\"A+ Trend Long\", \"side\":\"LONG\", \"price\":105.93, \"stage\":2, \"buy\":91.5, \"sell\":21.4, \"prime\":2, \"revL\":0, \"revS\":0, \"vcp\":0, \"dir_prob\":89.9, \"time\":1783949400000}", "ticker": "CVS", "setup": "A+ Trend Long", "side": "LONG", "price": 105.93, "stage": 2, "buy": 91.5, "sell": 21.4, "prime": 2, "revL": 0, "revS": 0, "vcp": 0, "time": 1783949400000, "email_id": "b'719'", "timestamp": "2026-07-13 16:01:28"}</t>
  </si>
  <si>
    <t>Buy: 80.9 | Sell: 11.5</t>
  </si>
  <si>
    <t>Buy: 6.1 | Sell: 94.3</t>
  </si>
  <si>
    <t>{"symbol": "MAA", "strategy": "Daily", "action": "LONG", "alert_price": 135.23, "score": "", "dir_prob": "93.4", "net_sigma": "", "grade": "", "align": "", "premium": "", "wrong_if": "", "context": "", "subject": "Alert: Rev - Screener v1 (SPY, 12): Any alert() function call", "body": "{\"ticker\":\"MAA\", \"setup\":\"A+ Trend Long\", \"side\":\"LONG\", \"price\":135.23, \"stage\":2, \"buy\":93.2, \"sell\":35, \"prime\":2, \"revL\":0, \"revS\":0, \"vcp\":0, \"dir_prob\":93.4, \"time\":1783690200000}", "ticker": "MAA", "setup": "A+ Trend Long", "side": "LONG", "price": 135.23, "stage": 2, "buy": 93.2, "sell": 35, "prime": 2, "revL": 0, "revS": 0, "vcp": 0, "time": 1783690200000, "email_id": "b'443'", "timestamp": "2026-07-10 16:01:20"}</t>
  </si>
  <si>
    <t>TREND_SHORT is firing: dominant_side is short with sell score 71.03 (&gt;=65), dir_prob 26.17 confirms bearish bias, and stage 4 / regime 4 describe a downtrend. News read is NEUTRAL with catalyst 'none' from empty headlines, so no contradiction or confirmation. Triage is PASS as no veto applies (no CONTRADICTS, earnings_gate CAUTION not FAIL, not a chased long); soft flags are churn (opposite buy 67.15 &gt;=60) and earnings (gate CAUTION, days -1), with no exhaustion, oversold, or stage_lag flags triggered.</t>
  </si>
  <si>
    <t>{"symbol": "ESS", "strategy": "Daily", "action": "LONG", "alert_price": 297.43, "score": "", "dir_prob": "93.4", "net_sigma": "", "grade": "", "align": "", "premium": "", "wrong_if": "", "context": "", "subject": "Alert: Rev - Screener v1 (SPY, 12): Any alert() function call", "body": "{\"ticker\":\"ESS\", \"setup\":\"Early Action Long\", \"side\":\"LONG\", \"price\":297.43, \"stage\":2, \"buy\":80.9, \"sell\":11.5, \"prime\":1, \"revL\":0, \"revS\":0, \"vcp\":0, \"dir_prob\":93.4, \"time\":1783949400000}", "ticker": "ESS", "setup": "Early Action Long", "side": "LONG", "price": 297.43, "stage": 2, "buy": 80.9, "sell": 11.5, "prime": 1, "revL": 0, "revS": 0, "vcp": 0, "time": 1783949400000, "email_id": "b'720'", "timestamp": "2026-07-13 16:01:32"}</t>
  </si>
  <si>
    <t>WELL</t>
  </si>
  <si>
    <t>Buy: 95.3 | Sell: 7.6</t>
  </si>
  <si>
    <t>Buy: 96 | Sell: 6.6</t>
  </si>
  <si>
    <t>Buy: 83.9 | Sell: 9.8</t>
  </si>
  <si>
    <t>{"symbol": "HAL", "strategy": "Daily", "action": "SHORT", "alert_price": 35.43, "score": "", "dir_prob": "0.8", "net_sigma": "", "grade": "", "align": "", "premium": "", "wrong_if": "", "context": "", "subject": "Alert: Rev - Screener v1 (SPY, 12): Any alert() function call", "body": "{\"ticker\":\"HAL\", \"setup\":\"A+ Trend Short\", \"side\":\"SHORT\", \"price\":35.43, \"stage\":4, \"buy\":6.1, \"sell\":94.3, \"prime\":-2, \"revL\":0, \"revS\":0, \"vcp\":0, \"dir_prob\":0.8, \"time\":1784035800000}", "ticker": "HAL", "setup": "A+ Trend Short", "side": "SHORT", "price": 35.43, "stage": 4, "buy": 6.1, "sell": 94.3, "prime": -2, "revL": 0, "revS": 0, "vcp": 0, "time": 1784035800000, "email_id": "b'855'", "timestamp": "2026-07-14 16:01:11"}</t>
  </si>
  <si>
    <t>Buy: 96 | Sell: 6.7</t>
  </si>
  <si>
    <t>{"symbol": "WELL", "strategy": "Daily", "action": "LONG", "alert_price": 234.54, "score": "", "dir_prob": "89.2", "net_sigma": "", "grade": "", "align": "", "premium": "", "wrong_if": "", "context": "", "subject": "Alert: Rev - Screener v1 (SPY, 12): Any alert() function call", "body": "{\"ticker\":\"WELL\", \"setup\":\"A+ Trend Long\", \"side\":\"LONG\", \"price\":234.54, \"stage\":2, \"buy\":95.3, \"sell\":7.6, \"prime\":2, \"revL\":0, \"revS\":0, \"vcp\":0, \"dir_prob\":89.2, \"time\":1783949400000}", "ticker": "WELL", "setup": "A+ Trend Long", "side": "LONG", "price": 234.54, "stage": 2, "buy": 95.3, "sell": 7.6, "prime": 2, "revL": 0, "revS": 0, "vcp": 0, "time": 1783949400000, "email_id": "b'721'", "timestamp": "2026-07-13 16:01:14"}</t>
  </si>
  <si>
    <t>Buy: 92.1 | Sell: 41.9</t>
  </si>
  <si>
    <t>{"symbol": "WRB", "strategy": "Daily", "action": "LONG", "alert_price": 72.18, "score": "", "dir_prob": "95.6", "net_sigma": "", "grade": "", "align": "", "premium": "", "wrong_if": "", "context": "", "subject": "Alert: Rev - Screener v1 (SPY, 12): Any alert() function call", "body": "{\"ticker\":\"WRB\", \"setup\":\"Early Action Long\", \"side\":\"LONG\", \"price\":72.18, \"stage\":2, \"buy\":83.9, \"sell\":9.8, \"prime\":1, \"revL\":0, \"revS\":0, \"vcp\":0, \"dir_prob\":95.6, \"time\":1783690200000}", "ticker": "WRB", "setup": "Early Action Long", "side": "LONG", "price": 72.18, "stage": 2, "buy": 83.9, "sell": 9.8, "prime": 1, "revL": 0, "revS": 0, "vcp": 0, "time": 1783690200000, "email_id": "b'406'", "timestamp": "2026-07-10 16:01:12"}</t>
  </si>
  <si>
    <t>TREND_LONG fires on dominant_side=long with buy=84.96 (&gt;=65) and dir_prob=64.84, while stage=2 and ext_pct=3.16 show a healthy uptrend with no extension. News is NEUTRAL with catalyst='none' (headlines empty), so no contradiction to the long bias. Triage caps at WATCH because regime=3 (Distribution) triggers the trend-long veto, and earnings_gate=CAUTION (earnings_days=-1) adds the 'earnings' soft flag; zone_state=in_zone with rr_from_current=0.69 is sub-2 but not a chased cap since not above_zone.</t>
  </si>
  <si>
    <t>Buy: 88.1 | Sell: 6.6</t>
  </si>
  <si>
    <t>{"symbol": "MGM", "strategy": "Daily", "action": "LONG", "alert_price": 47.23, "score": "", "dir_prob": "80.4", "net_sigma": "", "grade": "", "align": "", "premium": "", "wrong_if": "", "context": "", "subject": "Alert: Rev - Screener v1 (SPY, 12): Any alert() function call", "body": "{\"ticker\":\"MGM\", \"setup\":\"A+ Trend Long\", \"side\":\"LONG\", \"price\":47.23, \"stage\":2, \"buy\":92.1, \"sell\":41.9, \"prime\":2, \"revL\":0, \"revS\":0, \"vcp\":1, \"dir_prob\":80.4, \"time\":1783949400000}", "ticker": "MGM", "setup": "A+ Trend Long", "side": "LONG", "price": 47.23, "stage": 2, "buy": 92.1, "sell": 41.9, "prime": 2, "revL": 0, "revS": 0, "vcp": 1, "time": 1783949400000, "email_id": "b'722'", "timestamp": "2026-07-13 16:01:28"}</t>
  </si>
  <si>
    <t>NTRS</t>
  </si>
  <si>
    <t>Buy: 88.5 | Sell: 16.1</t>
  </si>
  <si>
    <t>{"symbol": "ITW", "strategy": "Daily", "action": "LONG", "alert_price": 272.28, "score": "", "dir_prob": "94.6", "net_sigma": "", "grade": "", "align": "", "premium": "", "wrong_if": "", "context": "", "subject": "Alert: Rev - Screener v1 (SPY, 12): Any alert() function call", "body": "{\"ticker\":\"ITW\", \"setup\":\"A+ Trend Long\", \"side\":\"LONG\", \"price\":272.28, \"stage\":2, \"buy\":96, \"sell\":6.7, \"prime\":2, \"revL\":0, \"revS\":0, \"vcp\":1, \"dir_prob\":94.6, \"time\":1784035800000}", "ticker": "ITW", "setup": "A+ Trend Long", "side": "LONG", "price": 272.28, "stage": 2, "buy": 96, "sell": 6.7, "prime": 2, "revL": 0, "revS": 0, "vcp": 1, "time": 1784035800000, "email_id": "b'857'", "timestamp": "2026-07-14 16:01:04"}</t>
  </si>
  <si>
    <t>{"symbol": "AMCR", "strategy": "Daily", "action": "LONG", "alert_price": 42.72, "score": "", "dir_prob": "94.4", "net_sigma": "", "grade": "", "align": "", "premium": "", "wrong_if": "", "context": "", "subject": "Alert: Rev - Screener v1 (SPY, 12): Any alert() function call", "body": "{\"ticker\":\"AMCR\", \"setup\":\"A+ Trend Long\", \"side\":\"LONG\", \"price\":42.72, \"stage\":2, \"buy\":96, \"sell\":6.6, \"prime\":2, \"revL\":0, \"revS\":0, \"vcp\":0, \"dir_prob\":94.4, \"time\":1783603800000}", "ticker": "AMCR", "setup": "A+ Trend Long", "side": "LONG", "price": 42.72, "stage": 2, "buy": 96, "sell": 6.6, "prime": 2, "revL": 0, "revS": 0, "vcp": 0, "time": 1783603800000, "email_id": "b'186'", "timestamp": "2026-07-09 16:01:23"}</t>
  </si>
  <si>
    <t>CSCO</t>
  </si>
  <si>
    <t>Buy: 40.6 | Sell: 94.9</t>
  </si>
  <si>
    <t>{"symbol": "NTRS", "strategy": "Daily", "action": "LONG", "alert_price": 184.12, "score": "", "dir_prob": "86.8", "net_sigma": "", "grade": "", "align": "", "premium": "", "wrong_if": "", "context": "", "subject": "Alert: Rev - Screener v1 (SPY, 12): Any alert() function call", "body": "{\"ticker\":\"NTRS\", \"setup\":\"A+ Trend Long\", \"side\":\"LONG\", \"price\":184.12, \"stage\":2, \"buy\":88.5, \"sell\":16.1, \"prime\":2, \"revL\":0, \"revS\":0, \"vcp\":0, \"dir_prob\":86.8, \"time\":1783949400000}", "ticker": "NTRS", "setup": "A+ Trend Long", "side": "LONG", "price": 184.12, "stage": 2, "buy": 88.5, "sell": 16.1, "prime": 2, "revL": 0, "revS": 0, "vcp": 0, "time": 1783949400000, "email_id": "b'723'", "timestamp": "2026-07-13 16:01:32"}</t>
  </si>
  <si>
    <t>{"symbol": "BAX", "strategy": "Daily", "action": "LONG", "alert_price": 22.61, "score": "", "dir_prob": "96", "net_sigma": "", "grade": "", "align": "", "premium": "", "wrong_if": "", "context": "", "subject": "Alert: Rev - Screener v1 (SPY, 12): Any alert() function call", "body": "{\"ticker\":\"BAX\", \"setup\":\"A+ Trend Long\", \"side\":\"LONG\", \"price\":22.61, \"stage\":2, \"buy\":88.1, \"sell\":6.6, \"prime\":2, \"revL\":0, \"revS\":0, \"vcp\":0, \"dir_prob\":96, \"time\":1783690200000}", "ticker": "BAX", "setup": "A+ Trend Long", "side": "LONG", "price": 22.61, "stage": 2, "buy": 88.1, "sell": 6.6, "prime": 2, "revL": 0, "revS": 0, "vcp": 0, "time": 1783690200000, "email_id": "b'463'", "timestamp": "2026-07-10 16:01:25"}</t>
  </si>
  <si>
    <t>Buy: 10.8 | Sell: 92.4</t>
  </si>
  <si>
    <t>TREND_LONG fires on buy score 82.39 (&gt;=65) with dir_prob 67.67 and stage 2 in a healthy regime (0), ext_pct 0.0 and exhaustion 0.0 showing no extension. News read is NEUTRAL with catalyst 'none' from empty headlines. Triage is capped to WATCH because zone_state is above_zone with rr_from_current 0.429 (&lt;1.0), a chased poor R:R veto; soft flags apply for opposite_score 60.0 (churn), zone_state not in_zone (chased), and earnings_gate CAUTION with earnings_days -1 (earnings).</t>
  </si>
  <si>
    <t>Buy: 4.4 | Sell: 91.1</t>
  </si>
  <si>
    <t>Buy: 95 | Sell: 25.9</t>
  </si>
  <si>
    <t>{"symbol": "CSCO", "strategy": "Daily", "action": "SHORT", "alert_price": 117.07, "score": "", "dir_prob": "14.5", "net_sigma": "", "grade": "", "align": "", "premium": "", "wrong_if": "", "context": "", "subject": "Alert: Rev - Screener v1 (SPY, 12): Any alert() function call", "body": "{\"ticker\":\"CSCO\", \"setup\":\"A+ Trend Short\", \"side\":\"SHORT\", \"price\":117.07, \"stage\":4, \"buy\":40.6, \"sell\":94.9, \"prime\":-2, \"revL\":0, \"revS\":0, \"vcp\":0, \"dir_prob\":14.5, \"time\":1784035800000}", "ticker": "CSCO", "setup": "A+ Trend Short", "side": "SHORT", "price": 117.07, "stage": 4, "buy": 40.6, "sell": 94.9, "prime": -2, "revL": 0, "revS": 0, "vcp": 0, "time": 1784035800000, "email_id": "b'861'", "timestamp": "2026-07-14 16:01:04"}</t>
  </si>
  <si>
    <t>{"symbol": "APA", "strategy": "Daily", "action": "SHORT", "alert_price": 34.67, "score": "", "dir_prob": "4.6", "net_sigma": "", "grade": "", "align": "", "premium": "", "wrong_if": "", "context": "", "subject": "Alert: Rev - Screener v1 (SPY, 12): Any alert() function call", "body": "{\"ticker\":\"APA\", \"setup\":\"A+ Trend Short\", \"side\":\"SHORT\", \"price\":34.67, \"stage\":4, \"buy\":10.8, \"sell\":92.4, \"prime\":-2, \"revL\":0, \"revS\":0, \"vcp\":0, \"dir_prob\":4.6, \"time\":1783949400000}", "ticker": "APA", "setup": "A+ Trend Short", "side": "SHORT", "price": 34.67, "stage": 4, "buy": 10.8, "sell": 92.4, "prime": -2, "revL": 0, "revS": 0, "vcp": 0, "time": 1783949400000, "email_id": "b'724'", "timestamp": "2026-07-13 16:01:31"}</t>
  </si>
  <si>
    <t>SURVIVOR (159.4)</t>
  </si>
  <si>
    <t>CB</t>
  </si>
  <si>
    <t>Buy: 74.8 | Sell: 4.5</t>
  </si>
  <si>
    <t>Buy: 83.5 | Sell: 7.4</t>
  </si>
  <si>
    <t>{"symbol": "AMT", "strategy": "Daily", "action": "SHORT", "alert_price": 168.58, "score": "", "dir_prob": "8.7", "net_sigma": "", "grade": "", "align": "", "premium": "", "wrong_if": "", "context": "", "subject": "Alert: Rev - Screener v1 (SPY, 12): Any alert() function call", "body": "{\"ticker\":\"AMT\", \"setup\":\"A+ Trend Short\", \"side\":\"SHORT\", \"price\":168.58, \"stage\":4, \"buy\":4.4, \"sell\":91.1, \"prime\":-2, \"revL\":0, \"revS\":0, \"vcp\":0, \"dir_prob\":8.7, \"time\":1783690200000}", "ticker": "AMT", "setup": "A+ Trend Short", "side": "SHORT", "price": 168.58, "stage": 4, "buy": 4.4, "sell": 91.1, "prime": -2, "revL": 0, "revS": 0, "vcp": 0, "time": 1783690200000, "email_id": "b'530'", "timestamp": "2026-07-10 16:01:09"}</t>
  </si>
  <si>
    <t>TREND_LONG fires on dominant_side=long with buy=87.28 (&gt;=65) and dir_prob=69.51, supported by stage=2 and regime=6 (squeeze). News read is NEUTRAL with catalyst 'Earnings' from headlines mentioning earnings season ahead and a Citi token-services client go-live; no confirmation or contradiction of the long thesis. Triage is PASS as no veto applies (regime 6 not in {2,3}, stage !=4, no CONTRADICTS, earnings_gate=CAUTION not FAIL, rr_from_current=1.34 &gt;1.0 so no chased-poor-RR cap); key_flags added are 'chased' (zone_state=above_zone), 'earnings' (gate CAUTION, days=-1), and 'squeeze' (regime=6) — exhaustion=0.1032 stays below 0.3 so no exhaustion flag.</t>
  </si>
  <si>
    <t>{"symbol": "CB", "strategy": "Daily", "action": "LONG", "alert_price": 354.7, "score": "", "dir_prob": "92.4", "net_sigma": "", "grade": "", "align": "", "premium": "", "wrong_if": "", "context": "", "subject": "Alert: Rev - Screener v1 (SPY, 12): Any alert() function call", "body": "{\"ticker\":\"CB\", \"setup\":\"Early Action Long\", \"side\":\"LONG\", \"price\":354.70, \"stage\":2, \"buy\":74.8, \"sell\":4.5, \"prime\":1, \"revL\":0, \"revS\":0, \"vcp\":0, \"dir_prob\":92.4, \"time\":1783949400000}", "ticker": "CB", "setup": "Early Action Long", "side": "LONG", "price": 354.7, "stage": 2, "buy": 74.8, "sell": 4.5, "prime": 1, "revL": 0, "revS": 0, "vcp": 0, "time": 1783949400000, "email_id": "b'725'", "timestamp": "2026-07-13 16:01:27"}</t>
  </si>
  <si>
    <t>Buy: 92.1 | Sell: 37.1</t>
  </si>
  <si>
    <t>Buy: 83.7 | Sell: 4.9</t>
  </si>
  <si>
    <t>{"symbol": "DHR", "strategy": "Daily", "action": "LONG", "alert_price": 199.09, "score": "", "dir_prob": "90.4", "net_sigma": "", "grade": "", "align": "", "premium": "", "wrong_if": "", "context": "", "subject": "Alert: Rev - Screener v1 (SPY, 12): Any alert() function call", "body": "{\"ticker\":\"DHR\", \"setup\":\"Early Action Long\", \"side\":\"LONG\", \"price\":199.09, \"stage\":2, \"buy\":83.5, \"sell\":7.4, \"prime\":1, \"revL\":0, \"revS\":0, \"vcp\":0, \"dir_prob\":90.4, \"time\":1784035800000}", "ticker": "DHR", "setup": "Early Action Long", "side": "LONG", "price": 199.09, "stage": 2, "buy": 83.5, "sell": 7.4, "prime": 1, "revL": 0, "revS": 0, "vcp": 0, "time": 1784035800000, "email_id": "b'864'", "timestamp": "2026-07-14 16:01:03"}</t>
  </si>
  <si>
    <t>{"symbol": "AEE", "strategy": "Daily", "action": "LONG", "alert_price": 111.77, "score": "", "dir_prob": "88.4", "net_sigma": "", "grade": "", "align": "", "premium": "", "wrong_if": "", "context": "", "subject": "Alert: Rev - Screener v1 (SPY, 12): Any alert() function call", "body": "{\"ticker\":\"AEE\", \"setup\":\"A+ Trend Long\", \"side\":\"LONG\", \"price\":111.77, \"stage\":2, \"buy\":95, \"sell\":25.9, \"prime\":2, \"revL\":0, \"revS\":0, \"vcp\":0, \"dir_prob\":88.4, \"time\":1783603800000}", "ticker": "AEE", "setup": "A+ Trend Long", "side": "LONG", "price": 111.77, "stage": 2, "buy": 95, "sell": 25.9, "prime": 2, "revL": 0, "revS": 0, "vcp": 0, "time": 1783603800000, "email_id": "b'225'", "timestamp": "2026-07-09 16:01:05"}</t>
  </si>
  <si>
    <t>{"symbol": "DVA", "strategy": "Daily", "action": "LONG", "alert_price": 235.58, "score": "", "dir_prob": "88.9", "net_sigma": "", "grade": "", "align": "", "premium": "", "wrong_if": "", "context": "", "subject": "Alert: Rev - Screener v1 (SPY, 12): Any alert() function call", "body": "{\"ticker\":\"DVA\", \"setup\":\"A+ Trend Long\", \"side\":\"LONG\", \"price\":235.58, \"stage\":2, \"buy\":92.1, \"sell\":37.1, \"prime\":2, \"revL\":0, \"revS\":0, \"vcp\":0, \"dir_prob\":88.9, \"time\":1783949400000}", "ticker": "DVA", "setup": "A+ Trend Long", "side": "LONG", "price": 235.58, "stage": 2, "buy": 92.1, "sell": 37.1, "prime": 2, "revL": 0, "revS": 0, "vcp": 0, "time": 1783949400000, "email_id": "b'726'", "timestamp": "2026-07-13 16:01:33"}</t>
  </si>
  <si>
    <t>{"symbol": "DASH", "strategy": "Daily", "action": "LONG", "alert_price": 191.8, "score": "", "dir_prob": "96.7", "net_sigma": "", "grade": "", "align": "", "premium": "", "wrong_if": "", "context": "", "subject": "Alert: Rev - Screener v1 (SPY, 12): Any alert() function call", "body": "{\"ticker\":\"DASH\", \"setup\":\"Early Action Long\", \"side\":\"LONG\", \"price\":191.80, \"stage\":2, \"buy\":83.7, \"sell\":4.9, \"prime\":1, \"revL\":0, \"revS\":0, \"vcp\":0, \"dir_prob\":96.7, \"time\":1783690200000}", "ticker": "DASH", "setup": "Early Action Long", "side": "LONG", "price": 191.8, "stage": 2, "buy": 83.7, "sell": 4.9, "prime": 1, "revL": 0, "revS": 0, "vcp": 0, "time": 1783690200000, "email_id": "b'505'", "timestamp": "2026-07-10 16:01:26"}</t>
  </si>
  <si>
    <t>TREND_LONG is firing: buy score 98.44 (&gt;=65), dir_prob 83.65, stage 2 with healthy regime 0 and low exhaustion 0.0374 confirm a strong with-trend long. News is neutral via a CNBC 'Final Trades' mention (catalyst: General Market) and does not contradict the long side. Triage is capped to WATCH by the veto rule: price is above_zone at 485.39 with rr_from_current 0.37 (&lt;1.0), a chased poor-R:R entry; soft flags 'chased' (zone_state != in_zone) and 'earnings' (earnings_days -1, CAUTION gate) apply, while no exhaustion, churn, or stage-lag flags are present.</t>
  </si>
  <si>
    <t>Buy: 6 | Sell: 93.2</t>
  </si>
  <si>
    <t>Buy: 75.3 | Sell: 7.3</t>
  </si>
  <si>
    <t>Buy: 90.6 | Sell: 37.3</t>
  </si>
  <si>
    <t>GIS</t>
  </si>
  <si>
    <t>{"symbol": "LYB", "strategy": "Daily", "action": "SHORT", "alert_price": 58.34, "score": "", "dir_prob": "8.2", "net_sigma": "", "grade": "", "align": "", "premium": "", "wrong_if": "", "context": "", "subject": "Alert: Rev - Screener v1 (SPY, 12): Any alert() function call", "body": "{\"ticker\":\"LYB\", \"setup\":\"A+ Trend Short\", \"side\":\"SHORT\", \"price\":58.34, \"stage\":4, \"buy\":6, \"sell\":93.2, \"prime\":-2, \"revL\":0, \"revS\":0, \"vcp\":0, \"dir_prob\":8.2, \"time\":1783949400000}", "ticker": "LYB", "setup": "A+ Trend Short", "side": "SHORT", "price": 58.34, "stage": 4, "buy": 6, "sell": 93.2, "prime": -2, "revL": 0, "revS": 0, "vcp": 0, "time": 1783949400000, "email_id": "b'727'", "timestamp": "2026-07-13 16:01:15"}</t>
  </si>
  <si>
    <t>XYZ</t>
  </si>
  <si>
    <t>Buy: 91 | Sell: 15.5</t>
  </si>
  <si>
    <t>Buy: 92.8 | Sell: 4.6</t>
  </si>
  <si>
    <t>{"symbol": "AIZ", "strategy": "Daily", "action": "LONG", "alert_price": 279.02, "score": "", "dir_prob": "78.8", "net_sigma": "", "grade": "", "align": "", "premium": "", "wrong_if": "", "context": "", "subject": "Alert: Rev - Screener v1 (SPY, 12): Any alert() function call", "body": "{\"ticker\":\"AIZ\", \"setup\":\"A+ Trend Long\", \"side\":\"LONG\", \"price\":279.02, \"stage\":2, \"buy\":90.6, \"sell\":37.3, \"prime\":2, \"revL\":0, \"revS\":0, \"vcp\":0, \"dir_prob\":78.8, \"time\":1783690200000}", "ticker": "AIZ", "setup": "A+ Trend Long", "side": "LONG", "price": 279.02, "stage": 2, "buy": 90.6, "sell": 37.3, "prime": 2, "revL": 0, "revS": 0, "vcp": 0, "time": 1783690200000, "email_id": "b'473'", "timestamp": "2026-07-10 16:01:21"}</t>
  </si>
  <si>
    <t>{"symbol": "MTD", "strategy": "Daily", "action": "LONG", "alert_price": 1316.25, "score": "", "dir_prob": "91.8", "net_sigma": "", "grade": "", "align": "", "premium": "", "wrong_if": "", "context": "", "subject": "Alert: Rev - Screener v1 (SPY, 12): Any alert() function call", "body": "{\"ticker\":\"MTD\", \"setup\":\"Early Action Long\", \"side\":\"LONG\", \"price\":1316.25, \"stage\":2, \"buy\":75.3, \"sell\":7.3, \"prime\":1, \"revL\":0, \"revS\":0, \"vcp\":0, \"dir_prob\":91.8, \"time\":1784035800000}", "ticker": "MTD", "setup": "Early Action Long", "side": "LONG", "price": 1316.25, "stage": 2, "buy": 75.3, "sell": 7.3, "prime": 1, "revL": 0, "revS": 0, "vcp": 0, "time": 1784035800000, "email_id": "b'867'", "timestamp": "2026-07-14 16:01:04"}</t>
  </si>
  <si>
    <t>TREND_LONG is firing: buy score 85.5 (&gt;=65), dir_prob 81.99, stage 2, regime 0 (healthy) confirm a strong long-side trend. News read is CONFIRMS — the headline notes IBD SwingTrader buying FFIV, supporting the dominant long. Triage is capped to WATCH because price is above_zone (zone_state=above_zone) with rr_from_current -0.09 (&lt;1.0), a chased poor R:R entry; key_flags show 'chased' and 'earnings' (earnings_gate CAUTION, days unknown). No exhaustion/regime/climax flags apply (exhaustion 0.227, regime 0).</t>
  </si>
  <si>
    <t>ZBH</t>
  </si>
  <si>
    <t>Buy: 94.2 | Sell: 17.2</t>
  </si>
  <si>
    <t>Buy: 96.5 | Sell: 13.7</t>
  </si>
  <si>
    <t>{"symbol": "XYZ", "strategy": "Daily", "action": "LONG", "alert_price": 78.72, "score": "", "dir_prob": "92", "net_sigma": "", "grade": "", "align": "", "premium": "", "wrong_if": "", "context": "", "subject": "Alert: Rev - Screener v1 (SPY, 12): Any alert() function call", "body": "{\"ticker\":\"XYZ\", \"setup\":\"A+ Trend Long\", \"side\":\"LONG\", \"price\":78.72, \"stage\":2, \"buy\":91, \"sell\":15.5, \"prime\":2, \"revL\":0, \"revS\":0, \"vcp\":0, \"dir_prob\":92, \"time\":1783949400000}", "ticker": "XYZ", "setup": "A+ Trend Long", "side": "LONG", "price": 78.72, "stage": 2, "buy": 91, "sell": 15.5, "prime": 2, "revL": 0, "revS": 0, "vcp": 0, "time": 1783949400000, "email_id": "b'728'", "timestamp": "2026-07-13 16:01:30"}</t>
  </si>
  <si>
    <t>TTWO</t>
  </si>
  <si>
    <t>Buy: 96.4 | Sell: 6.5</t>
  </si>
  <si>
    <t>{"symbol": "ZBH", "strategy": "Daily", "action": "LONG", "alert_price": 91.35, "score": "", "dir_prob": "95.6", "net_sigma": "", "grade": "", "align": "", "premium": "", "wrong_if": "", "context": "", "subject": "Alert: Rev - Screener v1 (SPY, 12): Any alert() function call", "body": "{\"ticker\":\"ZBH\", \"setup\":\"Bullish Squeeze Release\", \"side\":\"LONG\", \"price\":91.35, \"stage\":2, \"buy\":94.2, \"sell\":17.2, \"prime\":0, \"revL\":0, \"revS\":0, \"vcp\":2, \"dir_prob\":95.6, \"time\":1783690200000}", "ticker": "ZBH", "setup": "Bullish Squeeze Release", "side": "LONG", "price": 91.35, "stage": 2, "buy": 94.2, "sell": 17.2, "prime": 0, "revL": 0, "revS": 0, "vcp": 2, "time": 1783690200000, "email_id": "b'378'", "timestamp": "2026-07-10 16:01:01"}</t>
  </si>
  <si>
    <t>TREND_LONG fires on buy score 83.25 (&gt;=65) with dominant_side long, stage 2 and healthy regime 0; dir_prob 70.82 confirms bullish edge. News is NEUTRAL (General Market / minor CBRE mentions in CNBC trades, no material catalyst) and does not contradict. Triage caps to WATCH because zone_state is above_zone with rr_from_current 0.745 (&lt;1.0) — chased, poor R:R veto; soft flags added for chased (not in long_zone) and earnings (gate CAUTION, days -1 unknown).</t>
  </si>
  <si>
    <t>{"symbol": "LH", "strategy": "Daily", "action": "LONG", "alert_price": 275.76, "score": "", "dir_prob": "94.6", "net_sigma": "", "grade": "", "align": "", "premium": "", "wrong_if": "", "context": "", "subject": "Alert: Rev - Screener v1 (SPY, 12): Any alert() function call", "body": "{\"ticker\":\"LH\", \"setup\":\"A+ Trend Long\", \"side\":\"LONG\", \"price\":275.76, \"stage\":2, \"buy\":96.5, \"sell\":13.7, \"prime\":2, \"revL\":0, \"revS\":0, \"vcp\":0, \"dir_prob\":94.6, \"time\":1784035800000}", "ticker": "LH", "setup": "A+ Trend Long", "side": "LONG", "price": 275.76, "stage": 2, "buy": 96.5, "sell": 13.7, "prime": 2, "revL": 0, "revS": 0, "vcp": 0, "time": 1784035800000, "email_id": "b'868'", "timestamp": "2026-07-14 16:01:12"}</t>
  </si>
  <si>
    <t>Buy: 92.8 | Sell: 12.2</t>
  </si>
  <si>
    <t>{"symbol": "TTWO", "strategy": "Daily", "action": "LONG", "alert_price": 244.11, "score": "", "dir_prob": "95.7", "net_sigma": "", "grade": "", "align": "", "premium": "", "wrong_if": "", "context": "", "subject": "Alert: Rev - Screener v1 (SPY, 12): Any alert() function call", "body": "{\"ticker\":\"TTWO\", \"setup\":\"A+ Trend Long\", \"side\":\"LONG\", \"price\":244.11, \"stage\":2, \"buy\":96.4, \"sell\":6.5, \"prime\":2, \"revL\":0, \"revS\":0, \"vcp\":0, \"dir_prob\":95.7, \"time\":1783949400000}", "ticker": "TTWO", "setup": "A+ Trend Long", "side": "LONG", "price": 244.11, "stage": 2, "buy": 96.4, "sell": 6.5, "prime": 2, "revL": 0, "revS": 0, "vcp": 0, "time": 1783949400000, "email_id": "b'729'", "timestamp": "2026-07-13 16:01:22"}</t>
  </si>
  <si>
    <t>Buy: 5 | Sell: 92.4</t>
  </si>
  <si>
    <t>Buy: 95.7 | Sell: 8.4</t>
  </si>
  <si>
    <t>{"symbol": "GIS", "strategy": "Daily", "action": "LONG", "alert_price": 35.85, "score": "", "dir_prob": "99.6", "net_sigma": "", "grade": "", "align": "", "premium": "", "wrong_if": "", "context": "", "subject": "Alert: Rev - Screener v1 (SPY, 12): Any alert() function call", "body": "{\"ticker\":\"GIS\", \"setup\":\"A+ Trend Long\", \"side\":\"LONG\", \"price\":35.85, \"stage\":2, \"buy\":92.8, \"sell\":4.6, \"prime\":2, \"revL\":0, \"revS\":0, \"vcp\":0, \"dir_prob\":99.6, \"time\":1783603800000}", "ticker": "GIS", "setup": "A+ Trend Long", "side": "LONG", "price": 35.85, "stage": 2, "buy": 92.8, "sell": 4.6, "prime": 2, "revL": 0, "revS": 0, "vcp": 0, "time": 1783603800000, "email_id": "b'330'", "timestamp": "2026-07-09 16:01:10"}</t>
  </si>
  <si>
    <t>{"symbol": "MAS", "strategy": "Daily", "action": "LONG", "alert_price": 76.18, "score": "", "dir_prob": "92", "net_sigma": "", "grade": "", "align": "", "premium": "", "wrong_if": "", "context": "", "subject": "Alert: Rev - Screener v1 (SPY, 12): Any alert() function call", "body": "{\"ticker\":\"MAS\", \"setup\":\"A+ Trend Long\", \"side\":\"LONG\", \"price\":76.18, \"stage\":2, \"buy\":95.7, \"sell\":8.4, \"prime\":2, \"revL\":0, \"revS\":0, \"vcp\":0, \"dir_prob\":92, \"time\":1783949400000}", "ticker": "MAS", "setup": "A+ Trend Long", "side": "LONG", "price": 76.18, "stage": 2, "buy": 95.7, "sell": 8.4, "prime": 2, "revL": 0, "revS": 0, "vcp": 0, "time": 1783949400000, "email_id": "b'730'", "timestamp": "2026-07-13 16:01:29"}</t>
  </si>
  <si>
    <t>{"symbol": "DOC", "strategy": "Daily", "action": "LONG", "alert_price": 21.65, "score": "", "dir_prob": "93.6", "net_sigma": "", "grade": "", "align": "", "premium": "", "wrong_if": "", "context": "", "subject": "Alert: Rev - Screener v1 (SPY, 12): Any alert() function call", "body": "{\"ticker\":\"DOC\", \"setup\":\"A+ Trend Long\", \"side\":\"LONG\", \"price\":21.65, \"stage\":2, \"buy\":92.8, \"sell\":12.2, \"prime\":2, \"revL\":0, \"revS\":0, \"vcp\":0, \"dir_prob\":93.6, \"time\":1783690200000}", "ticker": "DOC", "setup": "A+ Trend Long", "side": "LONG", "price": 21.65, "stage": 2, "buy": 92.8, "sell": 12.2, "prime": 2, "revL": 0, "revS": 0, "vcp": 0, "time": 1783690200000, "email_id": "b'393'", "timestamp": "2026-07-10 16:01:07"}</t>
  </si>
  <si>
    <t>{"symbol": "MPWR", "strategy": "Daily", "action": "SHORT", "alert_price": 1376.75, "score": "", "dir_prob": "4.3", "net_sigma": "", "grade": "", "align": "", "premium": "", "wrong_if": "", "context": "", "subject": "Alert: Rev - Screener v1 (SPY, 12): Any alert() function call", "body": "{\"ticker\":\"MPWR\", \"setup\":\"A+ Trend Short\", \"side\":\"SHORT\", \"price\":1376.75, \"stage\":4, \"buy\":5, \"sell\":92.4, \"prime\":-2, \"revL\":0, \"revS\":0, \"vcp\":0, \"dir_prob\":4.3, \"time\":1784035800000}", "ticker": "MPWR", "setup": "A+ Trend Short", "side": "SHORT", "price": 1376.75, "stage": 4, "buy": 5, "sell": 92.4, "prime": -2, "revL": 0, "revS": 0, "vcp": 0, "time": 1784035800000, "email_id": "b'869'", "timestamp": "2026-07-14 16:01:06"}</t>
  </si>
  <si>
    <t>TREND_SHORT is firing: dominant_side is short with sell score 90.13 (&gt;=65) and dir_prob 1.93 confirming bearish control, while stage 4 and regime 4 denote a downtrend. News read is NEUTRAL with catalyst 'none' from empty headlines, so no contradiction to the short thesis. Triage is PASS as no veto applies (rev_zone_l=0, stage!=2); the only soft flag is 'earnings' from earnings_gate CAUTION (earnings_days=-1), which does not cap the verdict.</t>
  </si>
  <si>
    <t>Buy: 93.5 | Sell: 16.8</t>
  </si>
  <si>
    <t>AVY</t>
  </si>
  <si>
    <t>Buy: 96 | Sell: 12.5</t>
  </si>
  <si>
    <t>Buy: 94.6 | Sell: 8.3</t>
  </si>
  <si>
    <t>Buy: 79 | Sell: 38.9</t>
  </si>
  <si>
    <t>{"symbol": "CPT", "strategy": "Daily", "action": "LONG", "alert_price": 114.18, "score": "", "dir_prob": "93", "net_sigma": "", "grade": "", "align": "", "premium": "", "wrong_if": "", "context": "", "subject": "Alert: Rev - Screener v1 (SPY, 12): Any alert() function call", "body": "{\"ticker\":\"CPT\", \"setup\":\"A+ Trend Long\", \"side\":\"LONG\", \"price\":114.18, \"stage\":2, \"buy\":93.5, \"sell\":16.8, \"prime\":2, \"revL\":0, \"revS\":0, \"vcp\":0, \"dir_prob\":93, \"time\":1783949400000}", "ticker": "CPT", "setup": "A+ Trend Long", "side": "LONG", "price": 114.18, "stage": 2, "buy": 93.5, "sell": 16.8, "prime": 2, "revL": 0, "revS": 0, "vcp": 0, "time": 1783949400000, "email_id": "b'731'", "timestamp": "2026-07-13 16:01:08"}</t>
  </si>
  <si>
    <t>Buy: 95.9 | Sell: 23.9</t>
  </si>
  <si>
    <t>{"symbol": "KEY", "strategy": "Daily", "action": "LONG", "alert_price": 23.3, "score": "", "dir_prob": "91.9", "net_sigma": "", "grade": "", "align": "", "premium": "", "wrong_if": "", "context": "", "subject": "Alert: Rev - Screener v1 (SPY, 12): Any alert() function call", "body": "{\"ticker\":\"KEY\", \"setup\":\"A+ Trend Long\", \"side\":\"LONG\", \"price\":23.30, \"stage\":2, \"buy\":96, \"sell\":12.5, \"prime\":2, \"revL\":0, \"revS\":0, \"vcp\":1, \"dir_prob\":91.9, \"time\":1784035800000}", "ticker": "KEY", "setup": "A+ Trend Long", "side": "LONG", "price": 23.3, "stage": 2, "buy": 96, "sell": 12.5, "prime": 2, "revL": 0, "revS": 0, "vcp": 1, "time": 1784035800000, "email_id": "b'871'", "timestamp": "2026-07-14 16:01:17"}</t>
  </si>
  <si>
    <t>{"symbol": "WELL", "strategy": "Daily", "action": "LONG", "alert_price": 231.5, "score": "", "dir_prob": "88.9", "net_sigma": "", "grade": "", "align": "", "premium": "", "wrong_if": "", "context": "", "subject": "Alert: Rev - Screener v1 (SPY, 12): Any alert() function call", "body": "{\"ticker\":\"WELL\", \"setup\":\"A+ Trend Long\", \"side\":\"LONG\", \"price\":231.50, \"stage\":2, \"buy\":94.6, \"sell\":8.3, \"prime\":2, \"revL\":0, \"revS\":0, \"vcp\":0, \"dir_prob\":88.9, \"time\":1783690200000}", "ticker": "WELL", "setup": "A+ Trend Long", "side": "LONG", "price": 231.5, "stage": 2, "buy": 94.6, "sell": 8.3, "prime": 2, "revL": 0, "revS": 0, "vcp": 0, "time": 1783690200000, "email_id": "b'416'", "timestamp": "2026-07-10 16:01:15"}</t>
  </si>
  <si>
    <t>TREND_LONG is firing on buy score 98.9, dir_prob 93.81, stage 2 and regime 0 (healthy), with no ignition or Zone-0 reversion active (rev_zone_l 5.5). News CONFIRMS the long bias via the BofA Securities catalyst maintaining Buy and raising the target to $391. Triage is capped at WATCH because zone_state is above_zone with rr_from_current 0.166 (&lt;1.0), marking a chased entry with poor R:R; key_flags note 'chased' and 'earnings' (earnings_days -1, gate CAUTION). No exhaustion, churn, or stage-lag flags apply from the provided values.</t>
  </si>
  <si>
    <t>Buy: 8.6 | Sell: 91.5</t>
  </si>
  <si>
    <t>{"symbol": "DGX", "strategy": "Daily", "action": "LONG", "alert_price": 207.33, "score": "", "dir_prob": "93.7", "net_sigma": "", "grade": "", "align": "", "premium": "", "wrong_if": "", "context": "", "subject": "Alert: Rev - Screener v1 (SPY, 12): Any alert() function call", "body": "{\"ticker\":\"DGX\", \"setup\":\"A+ Trend Long\", \"side\":\"LONG\", \"price\":207.33, \"stage\":2, \"buy\":95.9, \"sell\":23.9, \"prime\":2, \"revL\":0, \"revS\":0, \"vcp\":0, \"dir_prob\":93.7, \"time\":1783949400000}", "ticker": "DGX", "setup": "A+ Trend Long", "side": "LONG", "price": 207.33, "stage": 2, "buy": 95.9, "sell": 23.9, "prime": 2, "revL": 0, "revS": 0, "vcp": 0, "time": 1783949400000, "email_id": "b'734'", "timestamp": "2026-07-13 16:01:28"}</t>
  </si>
  <si>
    <t>Buy: 95.2 | Sell: 23</t>
  </si>
  <si>
    <t>Buy: 92.8 | Sell: 5.7</t>
  </si>
  <si>
    <t>{"symbol": "DAL", "strategy": "Daily", "action": "LONG", "alert_price": 86.21, "score": "", "dir_prob": "86.1", "net_sigma": "", "grade": "", "align": "", "premium": "", "wrong_if": "", "context": "", "subject": "Alert: Rev - Screener v1 (SPY, 12): Any alert() function call", "body": "{\"ticker\":\"DAL\", \"setup\":\"A+ Trend Long\", \"side\":\"LONG\", \"price\":86.21, \"stage\":2, \"buy\":95.2, \"sell\":23, \"prime\":2, \"revL\":0, \"revS\":0, \"vcp\":0, \"dir_prob\":86.1, \"time\":1783949400000}", "ticker": "DAL", "setup": "A+ Trend Long", "side": "LONG", "price": 86.21, "stage": 2, "buy": 95.2, "sell": 23, "prime": 2, "revL": 0, "revS": 0, "vcp": 0, "time": 1783949400000, "email_id": "b'732'", "timestamp": "2026-07-13 16:01:12"}</t>
  </si>
  <si>
    <t>EIX</t>
  </si>
  <si>
    <t>{"symbol": "AVY", "strategy": "Daily", "action": "LONG", "alert_price": 159.07, "score": "", "dir_prob": "79.8", "net_sigma": "", "grade": "", "align": "", "premium": "", "wrong_if": "", "context": "", "subject": "Alert: Rev - Screener v1 (SPY, 12): Any alert() function call", "body": "{\"ticker\":\"AVY\", \"setup\":\"Early Action Long\", \"side\":\"LONG\", \"price\":159.07, \"stage\":2, \"buy\":79, \"sell\":38.9, \"prime\":1, \"revL\":0, \"revS\":0, \"vcp\":0, \"dir_prob\":79.8, \"time\":1783603800000}", "ticker": "AVY", "setup": "Early Action Long", "side": "LONG", "price": 159.07, "stage": 2, "buy": 79, "sell": 38.9, "prime": 1, "revL": 0, "revS": 0, "vcp": 0, "time": 1783603800000, "email_id": "b'211'", "timestamp": "2026-07-09 16:01:24"}</t>
  </si>
  <si>
    <t>Buy: 96 | Sell: 7.8</t>
  </si>
  <si>
    <t>{"symbol": "AKAM", "strategy": "Daily", "action": "SHORT", "alert_price": 126.03, "score": "", "dir_prob": "5.4", "net_sigma": "", "grade": "", "align": "", "premium": "", "wrong_if": "", "context": "", "subject": "Alert: Rev - Screener v1 (SPY, 12): Any alert() function call", "body": "{\"ticker\":\"AKAM\", \"setup\":\"A+ Trend Short\", \"side\":\"SHORT\", \"price\":126.03, \"stage\":4, \"buy\":8.6, \"sell\":91.5, \"prime\":-2, \"revL\":0, \"revS\":0, \"vcp\":0, \"dir_prob\":5.4, \"time\":1784035800000}", "ticker": "AKAM", "setup": "A+ Trend Short", "side": "SHORT", "price": 126.03, "stage": 4, "buy": 8.6, "sell": 91.5, "prime": -2, "revL": 0, "revS": 0, "vcp": 0, "time": 1784035800000, "email_id": "b'873'", "timestamp": "2026-07-14 16:01:10"}</t>
  </si>
  <si>
    <t>{"symbol": "VMC", "strategy": "Daily", "action": "LONG", "alert_price": 295.31, "score": "", "dir_prob": "92.6", "net_sigma": "", "grade": "", "align": "", "premium": "", "wrong_if": "", "context": "", "subject": "Alert: Rev - Screener v1 (SPY, 12): Any alert() function call", "body": "{\"ticker\":\"VMC\", \"setup\":\"A+ Trend Long\", \"side\":\"LONG\", \"price\":295.31, \"stage\":2, \"buy\":92.8, \"sell\":5.7, \"prime\":2, \"revL\":0, \"revS\":0, \"vcp\":0, \"dir_prob\":92.6, \"time\":1783690200000}", "ticker": "VMC", "setup": "A+ Trend Long", "side": "LONG", "price": 295.31, "stage": 2, "buy": 92.8, "sell": 5.7, "prime": 2, "revL": 0, "revS": 0, "vcp": 0, "time": 1783690200000, "email_id": "b'421'", "timestamp": "2026-07-10 16:01:17"}</t>
  </si>
  <si>
    <t>TREND_SHORT is firing: dominant_side is short with sell score 79.84 (&gt;=65) and dir_prob 7.16 confirming bearish bias, while stage 4 and regime 4 denote a downtrend. News read is NEUTRAL with catalyst 'none' from empty headlines, so no contradiction or confirmation. Triage is PASS as no veto cap applies (rev_zone_l=0, stage!=2); the only soft flag is 'earnings' because earnings_gate is CAUTION and earnings_days=-1, which does not change the triage.</t>
  </si>
  <si>
    <t>Buy: 88.2 | Sell: 35.7</t>
  </si>
  <si>
    <t>STE</t>
  </si>
  <si>
    <t>Buy: 73.8 | Sell: 23.3</t>
  </si>
  <si>
    <t>{"symbol": "EIX", "strategy": "Daily", "action": "LONG", "alert_price": 75.94, "score": "", "dir_prob": "90.5", "net_sigma": "", "grade": "", "align": "", "premium": "", "wrong_if": "", "context": "", "subject": "Alert: Rev - Screener v1 (SPY, 12): Any alert() function call", "body": "{\"ticker\":\"EIX\", \"setup\":\"A+ Trend Long\", \"side\":\"LONG\", \"price\":75.94, \"stage\":2, \"buy\":96, \"sell\":7.8, \"prime\":2, \"revL\":0, \"revS\":0, \"vcp\":0, \"dir_prob\":90.5, \"time\":1783949400000}", "ticker": "EIX", "setup": "A+ Trend Long", "side": "LONG", "price": 75.94, "stage": 2, "buy": 96, "sell": 7.8, "prime": 2, "revL": 0, "revS": 0, "vcp": 0, "time": 1783949400000, "email_id": "b'733'", "timestamp": "2026-07-13 16:01:26"}</t>
  </si>
  <si>
    <t>Buy: 88.8 | Sell: 27.7</t>
  </si>
  <si>
    <t>Buy: 93.3 | Sell: 8.5</t>
  </si>
  <si>
    <t>{"symbol": "CSX", "strategy": "Daily", "action": "LONG", "alert_price": 49.91, "score": "", "dir_prob": "74.9", "net_sigma": "", "grade": "", "align": "", "premium": "", "wrong_if": "", "context": "", "subject": "Alert: Rev - Screener v1 (SPY, 12): Any alert() function call", "body": "{\"ticker\":\"CSX\", \"setup\":\"A+ Trend Long\", \"side\":\"LONG\", \"price\":49.91, \"stage\":2, \"buy\":88.2, \"sell\":35.7, \"prime\":2, \"revL\":0, \"revS\":0, \"vcp\":0, \"dir_prob\":74.9, \"time\":1784035800000}", "ticker": "CSX", "setup": "A+ Trend Long", "side": "LONG", "price": 49.91, "stage": 2, "buy": 88.2, "sell": 35.7, "prime": 2, "revL": 0, "revS": 0, "vcp": 0, "time": 1784035800000, "email_id": "b'876'", "timestamp": "2026-07-14 16:01:14"}</t>
  </si>
  <si>
    <t>{"symbol": "STE", "strategy": "Daily", "action": "LONG", "alert_price": 215.9, "score": "", "dir_prob": "88.9", "net_sigma": "", "grade": "", "align": "", "premium": "", "wrong_if": "", "context": "", "subject": "Alert: Rev - Screener v1 (SPY, 12): Any alert() function call", "body": "{\"ticker\":\"STE\", \"setup\":\"Early Action Long\", \"side\":\"LONG\", \"price\":215.90, \"stage\":2, \"buy\":73.8, \"sell\":23.3, \"prime\":1, \"revL\":0, \"revS\":0, \"vcp\":0, \"dir_prob\":88.9, \"time\":1783690200000}", "ticker": "STE", "setup": "Early Action Long", "side": "LONG", "price": 215.9, "stage": 2, "buy": 73.8, "sell": 23.3, "prime": 1, "revL": 0, "revS": 0, "vcp": 0, "time": 1783690200000, "email_id": "b'422'", "timestamp": "2026-07-10 16:01:17"}</t>
  </si>
  <si>
    <t>TREND_LONG is firing on buy score 98.08 (&gt;=65), dir_prob 94.91, stage 2 and regime 0 (healthy), with price 268.81 inside the long zone [266.12,268.81] and R:R 2.0 from current. News read is NEUTRAL with catalyst 'none' from empty headlines, so no confirmation or contradiction. Triage is PASS as no veto applies (no CONTRADICTS, earnings_gate CAUTION not FAIL, zone_state in_zone with rr&gt;=1.0); soft flags earnings (earnings_days -1 / CAUTION) and aggressive_target (long_target 286.04 is ~6.4% above price vs exp_move_pct 5.9%) annotate but do not cap. Exhaustion 0.0434 and ext_pct 4.23 show healthy trend, no churn or chased entry.</t>
  </si>
  <si>
    <t>Buy: 76.3 | Sell: 19.9</t>
  </si>
  <si>
    <t>Buy: 83.3 | Sell: 7.8</t>
  </si>
  <si>
    <t>{"symbol": "HUM", "strategy": "Daily", "action": "LONG", "alert_price": 406.12, "score": "", "dir_prob": "90.8", "net_sigma": "", "grade": "", "align": "", "premium": "", "wrong_if": "", "context": "", "subject": "Alert: Rev - Screener v1 (SPY, 12): Any alert() function call", "body": "{\"ticker\":\"HUM\", \"setup\":\"A+ Trend Long\", \"side\":\"LONG\", \"price\":406.12, \"stage\":2, \"buy\":88.8, \"sell\":27.7, \"prime\":2, \"revL\":0, \"revS\":0, \"vcp\":0, \"dir_prob\":90.8, \"time\":1783949400000}", "ticker": "HUM", "setup": "A+ Trend Long", "side": "LONG", "price": 406.12, "stage": 2, "buy": 88.8, "sell": 27.7, "prime": 2, "revL": 0, "revS": 0, "vcp": 0, "time": 1783949400000, "email_id": "b'735'", "timestamp": "2026-07-13 16:01:09"}</t>
  </si>
  <si>
    <t>Buy: 93.7 | Sell: 11.3</t>
  </si>
  <si>
    <t>{"symbol": "STT", "strategy": "Daily", "action": "LONG", "alert_price": 183.65, "score": "", "dir_prob": "81.6", "net_sigma": "", "grade": "", "align": "", "premium": "", "wrong_if": "", "context": "", "subject": "Alert: Rev - Screener v1 (SPY, 12): Any alert() function call", "body": "{\"ticker\":\"STT\", \"setup\":\"Early Action Long\", \"side\":\"LONG\", \"price\":183.65, \"stage\":2, \"buy\":76.3, \"sell\":19.9, \"prime\":1, \"revL\":0, \"revS\":0, \"vcp\":0, \"dir_prob\":81.6, \"time\":1784035800000}", "ticker": "STT", "setup": "Early Action Long", "side": "LONG", "price": 183.65, "stage": 2, "buy": 76.3, "sell": 19.9, "prime": 1, "revL": 0, "revS": 0, "vcp": 0, "time": 1784035800000, "email_id": "b'877'", "timestamp": "2026-07-14 16:01:11"}</t>
  </si>
  <si>
    <t>{"symbol": "EW", "strategy": "Daily", "action": "LONG", "alert_price": 91.31, "score": "", "dir_prob": "93.1", "net_sigma": "", "grade": "", "align": "", "premium": "", "wrong_if": "", "context": "", "subject": "Alert: Rev - Screener v1 (SPY, 12): Any alert() function call", "body": "{\"ticker\":\"EW\", \"setup\":\"A+ Trend Long\", \"side\":\"LONG\", \"price\":91.31, \"stage\":2, \"buy\":93.3, \"sell\":8.5, \"prime\":2, \"revL\":0, \"revS\":0, \"vcp\":0, \"dir_prob\":93.1, \"time\":1783603800000}", "ticker": "EW", "setup": "A+ Trend Long", "side": "LONG", "price": 91.31, "stage": 2, "buy": 93.3, "sell": 8.5, "prime": 2, "revL": 0, "revS": 0, "vcp": 0, "time": 1783603800000, "email_id": "b'280'", "timestamp": "2026-07-09 16:01:35"}</t>
  </si>
  <si>
    <t>Buy: 93.6 | Sell: 9.2</t>
  </si>
  <si>
    <t>{"symbol": "CBRE", "strategy": "Daily", "action": "LONG", "alert_price": 139.57, "score": "", "dir_prob": "92.5", "net_sigma": "", "grade": "", "align": "", "premium": "", "wrong_if": "", "context": "", "subject": "Alert: Rev - Screener v1 (SPY, 12): Any alert() function call", "body": "{\"ticker\":\"CBRE\", \"setup\":\"Early Action Long\", \"side\":\"LONG\", \"price\":139.57, \"stage\":2, \"buy\":83.3, \"sell\":7.8, \"prime\":1, \"revL\":0, \"revS\":0, \"vcp\":0, \"dir_prob\":92.5, \"time\":1783690200000}", "ticker": "CBRE", "setup": "Early Action Long", "side": "LONG", "price": 139.57, "stage": 2, "buy": 83.3, "sell": 7.8, "prime": 1, "revL": 0, "revS": 0, "vcp": 0, "time": 1783690200000, "email_id": "b'427'", "timestamp": "2026-07-10 16:01:25"}</t>
  </si>
  <si>
    <t>{"symbol": "DOC", "strategy": "Daily", "action": "LONG", "alert_price": 21.73, "score": "", "dir_prob": "93.7", "net_sigma": "", "grade": "", "align": "", "premium": "", "wrong_if": "", "context": "", "subject": "Alert: Rev - Screener v1 (SPY, 12): Any alert() function call", "body": "{\"ticker\":\"DOC\", \"setup\":\"A+ Trend Long\", \"side\":\"LONG\", \"price\":21.73, \"stage\":2, \"buy\":93.7, \"sell\":11.3, \"prime\":2, \"revL\":0, \"revS\":0, \"vcp\":0, \"dir_prob\":93.7, \"time\":1783949400000}", "ticker": "DOC", "setup": "A+ Trend Long", "side": "LONG", "price": 21.73, "stage": 2, "buy": 93.7, "sell": 11.3, "prime": 2, "revL": 0, "revS": 0, "vcp": 0, "time": 1783949400000, "email_id": "b'736'", "timestamp": "2026-07-13 16:01:25"}</t>
  </si>
  <si>
    <t>TREND_LONG fires on dominant_side=long with buy=98.04 (&gt;=65) and dir_prob=77.35, in Stage 2 / regime 0 with ext_pct=10.57 and exhaustion=0.23 (healthy). News CONFIRMS via multiple analyst upgrades/price-target raises (Evercore, Citizens, Wells Fargo, Cantor). Triage is capped to WATCH because zone_state=above_zone with rr_from_current=0.476 (&lt;1.0) = chased poor R:R veto; soft flags added: opposite_score=60.0 (churn), earnings_days=-1/earnings_gate=CAUTION (earnings), and chased entry.</t>
  </si>
  <si>
    <t>Buy: 87.6 | Sell: 4.9</t>
  </si>
  <si>
    <t>Buy: 96.3 | Sell: 5.4</t>
  </si>
  <si>
    <t>{"symbol": "CBRE", "strategy": "Daily", "action": "LONG", "alert_price": 138.08, "score": "", "dir_prob": "93.9", "net_sigma": "", "grade": "", "align": "", "premium": "", "wrong_if": "", "context": "", "subject": "Alert: Rev - Screener v1 (SPY, 12): Any alert() function call", "body": "{\"ticker\":\"CBRE\", \"setup\":\"A+ Trend Long\", \"side\":\"LONG\", \"price\":138.08, \"stage\":2, \"buy\":87.6, \"sell\":4.9, \"prime\":2, \"revL\":0, \"revS\":0, \"vcp\":0, \"dir_prob\":93.9, \"time\":1783949400000}", "ticker": "CBRE", "setup": "A+ Trend Long", "side": "LONG", "price": 138.08, "stage": 2, "buy": 87.6, "sell": 4.9, "prime": 2, "revL": 0, "revS": 0, "vcp": 0, "time": 1783949400000, "email_id": "b'737'", "timestamp": "2026-07-13 16:01:21"}</t>
  </si>
  <si>
    <t>Buy: 87 | Sell: 46.4</t>
  </si>
  <si>
    <t>Buy: 95 | Sell: 31.9</t>
  </si>
  <si>
    <t>{"symbol": "WST", "strategy": "Daily", "action": "LONG", "alert_price": 357.6, "score": "", "dir_prob": "92.2", "net_sigma": "", "grade": "", "align": "", "premium": "", "wrong_if": "", "context": "", "subject": "Alert: Rev - Screener v1 (SPY, 12): Any alert() function call", "body": "{\"ticker\":\"WST\", \"setup\":\"A+ Trend Long\", \"side\":\"LONG\", \"price\":357.60, \"stage\":2, \"buy\":93.6, \"sell\":9.2, \"prime\":2, \"revL\":0, \"revS\":0, \"vcp\":0, \"dir_prob\":92.2, \"time\":1784035800000}", "ticker": "WST", "setup": "A+ Trend Long", "side": "LONG", "price": 357.6, "stage": 2, "buy": 93.6, "sell": 9.2, "prime": 2, "revL": 0, "revS": 0, "vcp": 0, "time": 1784035800000, "email_id": "b'879'", "timestamp": "2026-07-14 16:01:03"}</t>
  </si>
  <si>
    <t>{"symbol": "COO", "strategy": "Daily", "action": "LONG", "alert_price": 70.72, "score": "", "dir_prob": "96.7", "net_sigma": "", "grade": "", "align": "", "premium": "", "wrong_if": "", "context": "", "subject": "Alert: Rev - Screener v1 (SPY, 12): Any alert() function call", "body": "{\"ticker\":\"COO\", \"setup\":\"A+ Trend Long\", \"side\":\"LONG\", \"price\":70.72, \"stage\":2, \"buy\":96.3, \"sell\":5.4, \"prime\":2, \"revL\":0, \"revS\":0, \"vcp\":0, \"dir_prob\":96.7, \"time\":1783690200000}", "ticker": "COO", "setup": "A+ Trend Long", "side": "LONG", "price": 70.72, "stage": 2, "buy": 96.3, "sell": 5.4, "prime": 2, "revL": 0, "revS": 0, "vcp": 0, "time": 1783690200000, "email_id": "b'523'", "timestamp": "2026-07-10 16:01:38"}</t>
  </si>
  <si>
    <t>TREND_SHORT is firing: dominant_side is short with sell score 76.82 (&gt;=65) and dir_prob 12.35 indicating strong bearish edge, while stage 4 and regime 4 confirm a downtrend. News CONFIRMS the short side via a Mizuho analyst rating that maintains Neutral but lowers the price target to $170, tagged bearish sentiment. Triage is PASS with no WATCH cap applied (no contradiction, no imminent earnings FAIL, rev_zone_l only 4.0); the sole soft flag is 'earnings' from earnings_gate CAUTION (days unknown -1), with no exhaustion, oversold, churn, or stage_lag conditions present.</t>
  </si>
  <si>
    <t>SBUX</t>
  </si>
  <si>
    <t>Buy: 84.7 | Sell: 22.4</t>
  </si>
  <si>
    <t>Buy: 95.2 | Sell: 8</t>
  </si>
  <si>
    <t>{"symbol": "C", "strategy": "Daily", "action": "LONG", "alert_price": 140.72, "score": "", "dir_prob": "76.4", "net_sigma": "", "grade": "", "align": "", "premium": "", "wrong_if": "", "context": "", "subject": "Alert: Rev - Screener v1 (SPY, 12): Any alert() function call", "body": "{\"ticker\":\"C\", \"setup\":\"A+ Trend Long\", \"side\":\"LONG\", \"price\":140.72, \"stage\":2, \"buy\":87, \"sell\":46.4, \"prime\":2, \"revL\":0, \"revS\":0, \"vcp\":1, \"dir_prob\":76.4, \"time\":1783949400000}", "ticker": "C", "setup": "A+ Trend Long", "side": "LONG", "price": 140.72, "stage": 2, "buy": 87, "sell": 46.4, "prime": 2, "revL": 0, "revS": 0, "vcp": 1, "time": 1783949400000, "email_id": "b'738'", "timestamp": "2026-07-13 16:01:24"}</t>
  </si>
  <si>
    <t>Buy: 4.6 | Sell: 91.9</t>
  </si>
  <si>
    <t>{"symbol": "AMT", "strategy": "Daily", "action": "SHORT", "alert_price": 169.57, "score": "", "dir_prob": "8.7", "net_sigma": "", "grade": "", "align": "", "premium": "", "wrong_if": "", "context": "", "subject": "Alert: Rev - Screener v1 (SPY, 12): Any alert() function call", "body": "{\"ticker\":\"AMT\", \"setup\":\"A+ Trend Short\", \"side\":\"SHORT\", \"price\":169.57, \"stage\":4, \"buy\":4.6, \"sell\":91.9, \"prime\":-2, \"revL\":0, \"revS\":0, \"vcp\":0, \"dir_prob\":8.7, \"time\":1783949400000}", "ticker": "AMT", "setup": "A+ Trend Short", "side": "SHORT", "price": 169.57, "stage": 4, "buy": 4.6, "sell": 91.9, "prime": -2, "revL": 0, "revS": 0, "vcp": 0, "time": 1783949400000, "email_id": "b'739'", "timestamp": "2026-07-13 16:01:14"}</t>
  </si>
  <si>
    <t>FDX</t>
  </si>
  <si>
    <t>{"symbol": "LH", "strategy": "Daily", "action": "LONG", "alert_price": 276.7, "score": "", "dir_prob": "95.5", "net_sigma": "", "grade": "", "align": "", "premium": "", "wrong_if": "", "context": "", "subject": "Alert: Rev - Screener v1 (SPY, 12): Any alert() function call", "body": "{\"ticker\":\"LH\", \"setup\":\"A+ Trend Long\", \"side\":\"LONG\", \"price\":276.70, \"stage\":2, \"buy\":95.2, \"sell\":8, \"prime\":2, \"revL\":0, \"revS\":0, \"vcp\":0, \"dir_prob\":95.5, \"time\":1783690200000}", "ticker": "LH", "setup": "A+ Trend Long", "side": "LONG", "price": 276.7, "stage": 2, "buy": 95.2, "sell": 8, "prime": 2, "revL": 0, "revS": 0, "vcp": 0, "time": 1783690200000, "email_id": "b'453'", "timestamp": "2026-07-10 16:01:14"}</t>
  </si>
  <si>
    <t>No active entry mode is firing: sell score is 55.7 (below the 65 threshold for TREND_SHORT), dir_prob is 23.19 indicating bearish lean, but rev_zone_s is 0 and ignition_long is 0, while stage 4 and regime 4 confirm a downtrend without a clean short trigger. News is neutral with no headlines or catalyst to confirm or contradict the short side. Triage is WATCH as dominant_score (sell 55.7) is &gt;=50 with no clean setup, capped by the CAUTION earnings flag (earnings_days unknown) with no other soft flags applicable.</t>
  </si>
  <si>
    <t>Buy: 9.9 | Sell: 86.9</t>
  </si>
  <si>
    <t>{"symbol": "SBUX", "strategy": "Daily", "action": "LONG", "alert_price": 106.18, "score": "", "dir_prob": "85.3", "net_sigma": "", "grade": "", "align": "", "premium": "", "wrong_if": "", "context": "", "subject": "Alert: Rev - Screener v1 (SPY, 12): Any alert() function call", "body": "{\"ticker\":\"SBUX\", \"setup\":\"Bullish Squeeze Release\", \"side\":\"LONG\", \"price\":106.18, \"stage\":2, \"buy\":84.7, \"sell\":22.4, \"prime\":0, \"revL\":0, \"revS\":0, \"vcp\":2, \"dir_prob\":85.3, \"time\":1784035800000}", "ticker": "SBUX", "setup": "Bullish Squeeze Release", "side": "LONG", "price": 106.18, "stage": 2, "buy": 84.7, "sell": 22.4, "prime": 0, "revL": 0, "revS": 0, "vcp": 2, "time": 1784035800000, "email_id": "b'888'", "timestamp": "2026-07-14 16:01:24"}</t>
  </si>
  <si>
    <t>{"symbol": "MGM", "strategy": "Daily", "action": "LONG", "alert_price": 46.43, "score": "", "dir_prob": "85.9", "net_sigma": "", "grade": "", "align": "", "premium": "", "wrong_if": "", "context": "", "subject": "Alert: Rev - Screener v1 (SPY, 12): Any alert() function call", "body": "{\"ticker\":\"MGM\", \"setup\":\"A+ Trend Long\", \"side\":\"LONG\", \"price\":46.43, \"stage\":2, \"buy\":95, \"sell\":31.9, \"prime\":2, \"revL\":0, \"revS\":0, \"vcp\":1, \"dir_prob\":85.9, \"time\":1783603800000}", "ticker": "MGM", "setup": "A+ Trend Long", "side": "LONG", "price": 46.43, "stage": 2, "buy": 95, "sell": 31.9, "prime": 2, "revL": 0, "revS": 0, "vcp": 1, "time": 1783603800000, "email_id": "b'276'", "timestamp": "2026-07-09 16:01:27"}</t>
  </si>
  <si>
    <t>Buy: 90.2 | Sell: 23.3</t>
  </si>
  <si>
    <t>Buy: 96.9 | Sell: 4.8</t>
  </si>
  <si>
    <t>{"symbol": "FDX", "strategy": "Daily", "action": "SHORT", "alert_price": 313.73, "score": "", "dir_prob": "2.3", "net_sigma": "", "grade": "", "align": "", "premium": "", "wrong_if": "", "context": "", "subject": "Alert: Rev - Screener v1 (SPY, 12): Any alert() function call", "body": "{\"ticker\":\"FDX\", \"setup\":\"A+ Trend Short\", \"side\":\"SHORT\", \"price\":313.73, \"stage\":4, \"buy\":9.9, \"sell\":86.9, \"prime\":-2, \"revL\":0, \"revS\":0, \"vcp\":0, \"dir_prob\":2.3, \"time\":1783949400000}", "ticker": "FDX", "setup": "A+ Trend Short", "side": "SHORT", "price": 313.73, "stage": 4, "buy": 9.9, "sell": 86.9, "prime": -2, "revL": 0, "revS": 0, "vcp": 0, "time": 1783949400000, "email_id": "b'741'", "timestamp": "2026-07-13 16:01:29"}</t>
  </si>
  <si>
    <t>Buy: 93.2 | Sell: 11.5</t>
  </si>
  <si>
    <t>{"symbol": "AWK", "strategy": "Daily", "action": "LONG", "alert_price": 130.65, "score": "", "dir_prob": "96.6", "net_sigma": "", "grade": "", "align": "", "premium": "", "wrong_if": "", "context": "", "subject": "Alert: Rev - Screener v1 (SPY, 12): Any alert() function call", "body": "{\"ticker\":\"AWK\", \"setup\":\"A+ Trend Long\", \"side\":\"LONG\", \"price\":130.65, \"stage\":2, \"buy\":90.2, \"sell\":23.3, \"prime\":2, \"revL\":0, \"revS\":0, \"vcp\":0, \"dir_prob\":96.6, \"time\":1783690200000}", "ticker": "AWK", "setup": "A+ Trend Long", "side": "LONG", "price": 130.65, "stage": 2, "buy": 90.2, "sell": 23.3, "prime": 2, "revL": 0, "revS": 0, "vcp": 0, "time": 1783690200000, "email_id": "b'460'", "timestamp": "2026-07-10 16:01:23"}</t>
  </si>
  <si>
    <t>TREND_LONG is firing on buy score 96.14 (&gt;=65), dir_prob 98.81, stage 2 up-trend, and regime 0 healthy with ext_pct 9.86 and exhaustion 0.162 indicating no climax risk. News read is NEUTRAL with catalyst 'none' from empty headlines, so no contradiction or confirmation. Triage is PASS as no veto cap applies (regime not climax/distribution, stage not 4, zone_state above_zone but rr_from_current 1.53 &gt;=1.0); soft flags 'chased' (zone_state above_zone) and 'earnings' (earnings_gate CAUTION, earnings_days -1) annotate but do not block.</t>
  </si>
  <si>
    <t>Buy: 87.5 | Sell: 19.2</t>
  </si>
  <si>
    <t>{"symbol": "BAX", "strategy": "Daily", "action": "LONG", "alert_price": 21.81, "score": "", "dir_prob": "96.8", "net_sigma": "", "grade": "", "align": "", "premium": "", "wrong_if": "", "context": "", "subject": "Alert: Rev - Screener v1 (SPY, 12): Any alert() function call", "body": "{\"ticker\":\"BAX\", \"setup\":\"A+ Trend Long\", \"side\":\"LONG\", \"price\":21.81, \"stage\":2, \"buy\":96.9, \"sell\":4.8, \"prime\":2, \"revL\":0, \"revS\":0, \"vcp\":0, \"dir_prob\":96.8, \"time\":1784035800000}", "ticker": "BAX", "setup": "A+ Trend Long", "side": "LONG", "price": 21.81, "stage": 2, "buy": 96.9, "sell": 4.8, "prime": 2, "revL": 0, "revS": 0, "vcp": 0, "time": 1784035800000, "email_id": "b'898'", "timestamp": "2026-07-14 16:01:22"}</t>
  </si>
  <si>
    <t>Buy: 96 | Sell: 10.1</t>
  </si>
  <si>
    <t>{"symbol": "UDR", "strategy": "Daily", "action": "LONG", "alert_price": 40.19, "score": "", "dir_prob": "94.3", "net_sigma": "", "grade": "", "align": "", "premium": "", "wrong_if": "", "context": "", "subject": "Alert: Rev - Screener v1 (SPY, 12): Any alert() function call", "body": "{\"ticker\":\"UDR\", \"setup\":\"A+ Trend Long\", \"side\":\"LONG\", \"price\":40.19, \"stage\":2, \"buy\":93.2, \"sell\":11.5, \"prime\":2, \"revL\":0, \"revS\":0, \"vcp\":0, \"dir_prob\":94.3, \"time\":1783949400000}", "ticker": "UDR", "setup": "A+ Trend Long", "side": "LONG", "price": 40.19, "stage": 2, "buy": 93.2, "sell": 11.5, "prime": 2, "revL": 0, "revS": 0, "vcp": 0, "time": 1783949400000, "email_id": "b'742'", "timestamp": "2026-07-13 16:01:19"}</t>
  </si>
  <si>
    <t>Buy: 96.6 | Sell: 6</t>
  </si>
  <si>
    <t>Buy: 91.2 | Sell: 13.8</t>
  </si>
  <si>
    <t>{"symbol": "BEN", "strategy": "Daily", "action": "LONG", "alert_price": 33.49, "score": "", "dir_prob": "86", "net_sigma": "", "grade": "", "align": "", "premium": "", "wrong_if": "", "context": "", "subject": "Alert: Rev - Screener v1 (SPY, 12): Any alert() function call", "body": "{\"ticker\":\"BEN\", \"setup\":\"A+ Trend Long\", \"side\":\"LONG\", \"price\":33.49, \"stage\":2, \"buy\":87.5, \"sell\":19.2, \"prime\":2, \"revL\":0, \"revS\":0, \"vcp\":0, \"dir_prob\":86, \"time\":1783690200000}", "ticker": "BEN", "setup": "A+ Trend Long", "side": "LONG", "price": 33.49, "stage": 2, "buy": 87.5, "sell": 19.2, "prime": 2, "revL": 0, "revS": 0, "vcp": 0, "time": 1783690200000, "email_id": "b'419'", "timestamp": "2026-07-10 16:01:23"}</t>
  </si>
  <si>
    <t>TREND_SHORT is firing: dominant_side is short with sell score 68.33 (&gt;=65) and dir_prob 28.68 confirming bearish bias, while stage 4 and regime 4 denote a downtrend. News read is NEUTRAL with no catalyst from empty headlines, so no contradiction or confirmation. Triage is PASS as no veto applies (earnings_gate CAUTION not FAIL, rev_zone_l 3.5 &lt;10, stage !=2); the only soft flag is 'earnings' from earnings_days -1 / CAUTION, which does not cap the verdict.</t>
  </si>
  <si>
    <t>Buy: 96.3 | Sell: 4.3</t>
  </si>
  <si>
    <t>{"symbol": "FITB", "strategy": "Daily", "action": "LONG", "alert_price": 57.19, "score": "", "dir_prob": "92.5", "net_sigma": "", "grade": "", "align": "", "premium": "", "wrong_if": "", "context": "", "subject": "Alert: Rev - Screener v1 (SPY, 12): Any alert() function call", "body": "{\"ticker\":\"FITB\", \"setup\":\"A+ Trend Long\", \"side\":\"LONG\", \"price\":57.19, \"stage\":2, \"buy\":96.6, \"sell\":6, \"prime\":2, \"revL\":0, \"revS\":0, \"vcp\":0, \"dir_prob\":92.5, \"time\":1783949400000}", "ticker": "FITB", "setup": "A+ Trend Long", "side": "LONG", "price": 57.19, "stage": 2, "buy": 96.6, "sell": 6, "prime": 2, "revL": 0, "revS": 0, "vcp": 0, "time": 1783949400000, "email_id": "b'743'", "timestamp": "2026-07-13 16:01:17"}</t>
  </si>
  <si>
    <t>Buy: 96.5 | Sell: 5.8</t>
  </si>
  <si>
    <t>{"symbol": "EQR", "strategy": "Daily", "action": "LONG", "alert_price": 68.75, "score": "", "dir_prob": "94.1", "net_sigma": "", "grade": "", "align": "", "premium": "", "wrong_if": "", "context": "", "subject": "Alert: Rev - Screener v1 (SPY, 12): Any alert() function call", "body": "{\"ticker\":\"EQR\", \"setup\":\"A+ Trend Long\", \"side\":\"LONG\", \"price\":68.75, \"stage\":2, \"buy\":91.2, \"sell\":13.8, \"prime\":2, \"revL\":0, \"revS\":0, \"vcp\":0, \"dir_prob\":94.1, \"time\":1784035800000}", "ticker": "EQR", "setup": "A+ Trend Long", "side": "LONG", "price": 68.75, "stage": 2, "buy": 91.2, "sell": 13.8, "prime": 2, "revL": 0, "revS": 0, "vcp": 0, "time": 1784035800000, "email_id": "b'899'", "timestamp": "2026-07-14 16:01:19"}</t>
  </si>
  <si>
    <t>Buy: 6.6 | Sell: 86.4</t>
  </si>
  <si>
    <t>{"symbol": "JPM", "strategy": "Daily", "action": "LONG", "alert_price": 334.63, "score": "", "dir_prob": "94.6", "net_sigma": "", "grade": "", "align": "", "premium": "", "wrong_if": "", "context": "", "subject": "Alert: Rev - Screener v1 (SPY, 12): Any alert() function call", "body": "{\"ticker\":\"JPM\", \"setup\":\"A+ Trend Long\", \"side\":\"LONG\", \"price\":334.63, \"stage\":2, \"buy\":96.5, \"sell\":5.8, \"prime\":2, \"revL\":0, \"revS\":0, \"vcp\":1, \"dir_prob\":94.6, \"time\":1783949400000}", "ticker": "JPM", "setup": "A+ Trend Long", "side": "LONG", "price": 334.63, "stage": 2, "buy": 96.5, "sell": 5.8, "prime": 2, "revL": 0, "revS": 0, "vcp": 1, "time": 1783949400000, "email_id": "b'744'", "timestamp": "2026-07-13 16:01:18"}</t>
  </si>
  <si>
    <t>{"symbol": "ABBV", "strategy": "Daily", "action": "LONG", "alert_price": 247.97, "score": "", "dir_prob": "94.7", "net_sigma": "", "grade": "", "align": "", "premium": "", "wrong_if": "", "context": "", "subject": "Alert: Rev - Screener v1 (SPY, 12): Any alert() function call", "body": "{\"ticker\":\"ABBV\", \"setup\":\"A+ Trend Long\", \"side\":\"LONG\", \"price\":247.97, \"stage\":2, \"buy\":96.3, \"sell\":4.3, \"prime\":2, \"revL\":0, \"revS\":0, \"vcp\":0, \"dir_prob\":94.7, \"time\":1783690200000}", "ticker": "ABBV", "setup": "A+ Trend Long", "side": "LONG", "price": 247.97, "stage": 2, "buy": 96.3, "sell": 4.3, "prime": 2, "revL": 0, "revS": 0, "vcp": 0, "time": 1783690200000, "email_id": "b'405'", "timestamp": "2026-07-10 16:01:08"}</t>
  </si>
  <si>
    <t>T</t>
  </si>
  <si>
    <t>TREND_SHORT is firing: sell score 85.04 (&gt;=65), dir_prob 26.09 (&lt;50 bearish), stage 4 and regime 4 confirm a downtrend with short dominance. News read is NEUTRAL with no catalyst (headlines empty). Triage is PASS as a trend short with no veto cap (no news contradiction, earnings gate only CAUTION, rev_zone_l 4.5 &lt;10, stage !=2). Soft flags apply: churn from opposite buy score 67.44 (&gt;=60) and earnings from earnings_gate CAUTION with earnings_days -1.</t>
  </si>
  <si>
    <t>Buy: 12.1 | Sell: 86.2</t>
  </si>
  <si>
    <t>{"symbol": "FITB", "strategy": "Daily", "action": "LONG", "alert_price": 56.53, "score": "", "dir_prob": "91.6", "net_sigma": "", "grade": "", "align": "", "premium": "", "wrong_if": "", "context": "", "subject": "Alert: Rev - Screener v1 (SPY, 12): Any alert() function call", "body": "{\"ticker\":\"FITB\", \"setup\":\"A+ Trend Long\", \"side\":\"LONG\", \"price\":56.53, \"stage\":2, \"buy\":96, \"sell\":10.1, \"prime\":2, \"revL\":0, \"revS\":0, \"vcp\":0, \"dir_prob\":91.6, \"time\":1783603800000}", "ticker": "FITB", "setup": "A+ Trend Long", "side": "LONG", "price": 56.53, "stage": 2, "buy": 96, "sell": 10.1, "prime": 2, "revL": 0, "revS": 0, "vcp": 0, "time": 1783603800000, "email_id": "b'256'", "timestamp": "2026-07-09 16:01:22"}</t>
  </si>
  <si>
    <t>Buy: 95.5 | Sell: 5</t>
  </si>
  <si>
    <t>{"symbol": "T", "strategy": "Daily", "action": "SHORT", "alert_price": 21.57, "score": "", "dir_prob": "15.4", "net_sigma": "", "grade": "", "align": "", "premium": "", "wrong_if": "", "context": "", "subject": "Alert: Rev - Screener v1 (SPY, 12): Any alert() function call", "body": "{\"ticker\":\"T\", \"setup\":\"A+ Trend Short\", \"side\":\"SHORT\", \"price\":21.57, \"stage\":4, \"buy\":12.1, \"sell\":86.2, \"prime\":-2, \"revL\":0, \"revS\":0, \"vcp\":0, \"dir_prob\":15.4, \"time\":1783949400000}", "ticker": "T", "setup": "A+ Trend Short", "side": "SHORT", "price": 21.57, "stage": 4, "buy": 12.1, "sell": 86.2, "prime": -2, "revL": 0, "revS": 0, "vcp": 0, "time": 1783949400000, "email_id": "b'745'", "timestamp": "2026-07-13 16:01:26"}</t>
  </si>
  <si>
    <t>URI</t>
  </si>
  <si>
    <t>{"symbol": "FDX", "strategy": "Daily", "action": "SHORT", "alert_price": 313.72, "score": "", "dir_prob": "2.2", "net_sigma": "", "grade": "", "align": "", "premium": "", "wrong_if": "", "context": "", "subject": "Alert: Rev - Screener v1 (SPY, 12): Any alert() function call", "body": "{\"ticker\":\"FDX\", \"setup\":\"A+ Trend Short\", \"side\":\"SHORT\", \"price\":313.72, \"stage\":4, \"buy\":6.6, \"sell\":86.4, \"prime\":-2, \"revL\":0, \"revS\":0, \"vcp\":0, \"dir_prob\":2.2, \"time\":1784035800000}", "ticker": "FDX", "setup": "A+ Trend Short", "side": "SHORT", "price": 313.72, "stage": 4, "buy": 6.6, "sell": 86.4, "prime": -2, "revL": 0, "revS": 0, "vcp": 0, "time": 1784035800000, "email_id": "b'900'", "timestamp": "2026-07-14 16:01:31"}</t>
  </si>
  <si>
    <t>Buy: 86 | Sell: 23.7</t>
  </si>
  <si>
    <t>Buy: 70.5 | Sell: 45.6</t>
  </si>
  <si>
    <t>Buy: 96 | Sell: 5.6</t>
  </si>
  <si>
    <t>{"symbol": "URI", "strategy": "Daily", "action": "LONG", "alert_price": 1084.89, "score": "", "dir_prob": "83.2", "net_sigma": "", "grade": "", "align": "", "premium": "", "wrong_if": "", "context": "", "subject": "Alert: Rev - Screener v1 (SPY, 12): Any alert() function call", "body": "{\"ticker\":\"URI\", \"setup\":\"A+ Trend Long\", \"side\":\"LONG\", \"price\":1084.89, \"stage\":2, \"buy\":86, \"sell\":23.7, \"prime\":2, \"revL\":0, \"revS\":0, \"vcp\":0, \"dir_prob\":83.2, \"time\":1783949400000}", "ticker": "URI", "setup": "A+ Trend Long", "side": "LONG", "price": 1084.89, "stage": 2, "buy": 86, "sell": 23.7, "prime": 2, "revL": 0, "revS": 0, "vcp": 0, "time": 1783949400000, "email_id": "b'746'", "timestamp": "2026-07-13 16:01:12"}</t>
  </si>
  <si>
    <t>Buy: 14 | Sell: 86.1</t>
  </si>
  <si>
    <t>{"symbol": "CNC", "strategy": "Daily", "action": "LONG", "alert_price": 68.71, "score": "", "dir_prob": "62.3", "net_sigma": "", "grade": "", "align": "", "premium": "", "wrong_if": "", "context": "", "subject": "Alert: Rev - Screener v1 (SPY, 12): Any alert() function call", "body": "{\"ticker\":\"CNC\", \"setup\":\"Early Action Long\", \"side\":\"LONG\", \"price\":68.71, \"stage\":2, \"buy\":70.5, \"sell\":45.6, \"prime\":1, \"revL\":0, \"revS\":0, \"vcp\":0, \"dir_prob\":62.3, \"time\":1784035800000}", "ticker": "CNC", "setup": "Early Action Long", "side": "LONG", "price": 68.71, "stage": 2, "buy": 70.5, "sell": 45.6, "prime": 1, "revL": 0, "revS": 0, "vcp": 0, "time": 1784035800000, "email_id": "b'902'", "timestamp": "2026-07-14 16:01:52"}</t>
  </si>
  <si>
    <t>Buy: 86.7 | Sell: 8.6</t>
  </si>
  <si>
    <t>{"symbol": "LVS", "strategy": "Daily", "action": "SHORT", "alert_price": 45.89, "score": "", "dir_prob": "15.4", "net_sigma": "", "grade": "", "align": "", "premium": "", "wrong_if": "", "context": "", "subject": "Alert: Rev - Screener v1 (SPY, 12): Any alert() function call", "body": "{\"ticker\":\"LVS\", \"setup\":\"A+ Trend Short\", \"side\":\"SHORT\", \"price\":45.89, \"stage\":4, \"buy\":14, \"sell\":86.1, \"prime\":-2, \"revL\":0, \"revS\":0, \"vcp\":0, \"dir_prob\":15.4, \"time\":1783949400000}", "ticker": "LVS", "setup": "A+ Trend Short", "side": "SHORT", "price": 45.89, "stage": 4, "buy": 14, "sell": 86.1, "prime": -2, "revL": 0, "revS": 0, "vcp": 0, "time": 1783949400000, "email_id": "b'747'", "timestamp": "2026-07-13 16:01:31"}</t>
  </si>
  <si>
    <t>Buy: 95.7 | Sell: 7.2</t>
  </si>
  <si>
    <t>{"symbol": "JNJ", "strategy": "Daily", "action": "LONG", "alert_price": 257.02, "score": "", "dir_prob": "95.5", "net_sigma": "", "grade": "", "align": "", "premium": "", "wrong_if": "", "context": "", "subject": "Alert: Rev - Screener v1 (SPY, 12): Any alert() function call", "body": "{\"ticker\":\"JNJ\", \"setup\":\"A+ Trend Long\", \"side\":\"LONG\", \"price\":257.02, \"stage\":2, \"buy\":95.5, \"sell\":5, \"prime\":2, \"revL\":0, \"revS\":0, \"vcp\":0, \"dir_prob\":95.5, \"time\":1783690200000}", "ticker": "JNJ", "setup": "A+ Trend Long", "side": "LONG", "price": 257.02, "stage": 2, "buy": 95.5, "sell": 5, "prime": 2, "revL": 0, "revS": 0, "vcp": 0, "time": 1783690200000, "email_id": "b'408'", "timestamp": "2026-07-10 16:01:15"}</t>
  </si>
  <si>
    <t>TREND_LONG is firing: buy score 94.84 (&gt;=65), dir_prob 92.71, stage 2 uptrend, regime 0 healthy, with price inside long_zone [229.6,232.8] at rr_from_current 3.25. News CONFIRMS the long side via UBS maintaining Buy and raising target to $270 (catalyst: Analyst Rating), offset by a cautious Barclays equal-weight note. Triage is PASS with no WATCH cap triggered; soft flags apply for earnings (earnings_gate CAUTION, days -1) and aggressive_target (long_target 274.37 is ~17.8% above price vs exp_move_pct 5.66%).</t>
  </si>
  <si>
    <t>Buy: 92 | Sell: 25.3</t>
  </si>
  <si>
    <t>{"symbol": "EW", "strategy": "Daily", "action": "LONG", "alert_price": 91.82, "score": "", "dir_prob": "93.7", "net_sigma": "", "grade": "", "align": "", "premium": "", "wrong_if": "", "context": "", "subject": "Alert: Rev - Screener v1 (SPY, 12): Any alert() function call", "body": "{\"ticker\":\"EW\", \"setup\":\"A+ Trend Long\", \"side\":\"LONG\", \"price\":91.82, \"stage\":2, \"buy\":95.7, \"sell\":7.2, \"prime\":2, \"revL\":0, \"revS\":0, \"vcp\":0, \"dir_prob\":93.7, \"time\":1783949400000}", "ticker": "EW", "setup": "A+ Trend Long", "side": "LONG", "price": 91.82, "stage": 2, "buy": 95.7, "sell": 7.2, "prime": 2, "revL": 0, "revS": 0, "vcp": 0, "time": 1783949400000, "email_id": "b'748'", "timestamp": "2026-07-13 16:01:05"}</t>
  </si>
  <si>
    <t>{"symbol": "IQV", "strategy": "Daily", "action": "LONG", "alert_price": 207.9, "score": "", "dir_prob": "89.9", "net_sigma": "", "grade": "", "align": "", "premium": "", "wrong_if": "", "context": "", "subject": "Alert: Rev - Screener v1 (SPY, 12): Any alert() function call", "body": "{\"ticker\":\"IQV\", \"setup\":\"A+ Trend Long\", \"side\":\"LONG\", \"price\":207.90, \"stage\":2, \"buy\":86.7, \"sell\":8.6, \"prime\":2, \"revL\":0, \"revS\":0, \"vcp\":0, \"dir_prob\":89.9, \"time\":1784035800000}", "ticker": "IQV", "setup": "A+ Trend Long", "side": "LONG", "price": 207.9, "stage": 2, "buy": 86.7, "sell": 8.6, "prime": 2, "revL": 0, "revS": 0, "vcp": 0, "time": 1784035800000, "email_id": "b'907'", "timestamp": "2026-07-14 16:01:23"}</t>
  </si>
  <si>
    <t>Buy: 95.2 | Sell: 23.2</t>
  </si>
  <si>
    <t>Buy: 30.6 | Sell: 92.7</t>
  </si>
  <si>
    <t>{"symbol": "LNT", "strategy": "Daily", "action": "LONG", "alert_price": 75.7, "score": "", "dir_prob": "93.6", "net_sigma": "", "grade": "", "align": "", "premium": "", "wrong_if": "", "context": "", "subject": "Alert: Rev - Screener v1 (SPY, 12): Any alert() function call", "body": "{\"ticker\":\"LNT\", \"setup\":\"A+ Trend Long\", \"side\":\"LONG\", \"price\":75.70, \"stage\":2, \"buy\":96, \"sell\":5.6, \"prime\":2, \"revL\":0, \"revS\":0, \"vcp\":0, \"dir_prob\":93.6, \"time\":1783603800000}", "ticker": "LNT", "setup": "A+ Trend Long", "side": "LONG", "price": 75.7, "stage": 2, "buy": 96, "sell": 5.6, "prime": 2, "revL": 0, "revS": 0, "vcp": 0, "time": 1783603800000, "email_id": "b'290'", "timestamp": "2026-07-09 16:01:26"}</t>
  </si>
  <si>
    <t>{"symbol": "STT", "strategy": "Daily", "action": "LONG", "alert_price": 180.21, "score": "", "dir_prob": "86.1", "net_sigma": "", "grade": "", "align": "", "premium": "", "wrong_if": "", "context": "", "subject": "Alert: Rev - Screener v1 (SPY, 12): Any alert() function call", "body": "{\"ticker\":\"STT\", \"setup\":\"A+ Trend Long\", \"side\":\"LONG\", \"price\":180.21, \"stage\":2, \"buy\":92, \"sell\":25.3, \"prime\":2, \"revL\":0, \"revS\":0, \"vcp\":0, \"dir_prob\":86.1, \"time\":1783690200000}", "ticker": "STT", "setup": "A+ Trend Long", "side": "LONG", "price": 180.21, "stage": 2, "buy": 92, "sell": 25.3, "prime": 2, "revL": 0, "revS": 0, "vcp": 0, "time": 1783690200000, "email_id": "b'477'", "timestamp": "2026-07-10 16:01:32"}</t>
  </si>
  <si>
    <t>TREND_LONG fires on dominant_side=long with buy=88.89 (&gt;=65) and dir_prob=59.14, while stage=2 and regime=0 (healthy uptrend) confirm a trend/dip-buy long context with ext_pct=13.29 and exhaustion=0.0664 showing no overextension. News read is NEUTRAL with catalyst 'none' (headlines empty). Triage is capped to WATCH by the veto overlay: price is above_zone (zone_state=above_zone) with rr_from_current=0.27 (&lt;1.0), a chased poor R:R entry; soft flags 'chased' (not in zone) and 'earnings' (earnings_days=-1, gate CAUTION) apply, and no other flags are triggered.</t>
  </si>
  <si>
    <t>{"symbol": "AEE", "strategy": "Daily", "action": "LONG", "alert_price": 113.41, "score": "", "dir_prob": "89", "net_sigma": "", "grade": "", "align": "", "premium": "", "wrong_if": "", "context": "", "subject": "Alert: Rev - Screener v1 (SPY, 12): Any alert() function call", "body": "{\"ticker\":\"AEE\", \"setup\":\"A+ Trend Long\", \"side\":\"LONG\", \"price\":113.41, \"stage\":2, \"buy\":95.2, \"sell\":23.2, \"prime\":2, \"revL\":0, \"revS\":0, \"vcp\":0, \"dir_prob\":89, \"time\":1783949400000}", "ticker": "AEE", "setup": "A+ Trend Long", "side": "LONG", "price": 113.41, "stage": 2, "buy": 95.2, "sell": 23.2, "prime": 2, "revL": 0, "revS": 0, "vcp": 0, "time": 1783949400000, "email_id": "b'749'", "timestamp": "2026-07-13 16:01:13"}</t>
  </si>
  <si>
    <t>Buy: 93.3 | Sell: 36.2</t>
  </si>
  <si>
    <t>Buy: 93.7 | Sell: 14.4</t>
  </si>
  <si>
    <t>{"symbol": "FRT", "strategy": "Daily", "action": "SHORT", "alert_price": 122.16, "score": "", "dir_prob": "8", "net_sigma": "", "grade": "", "align": "", "premium": "", "wrong_if": "", "context": "", "subject": "Alert: Rev - Screener v1 (SPY, 12): Any alert() function call", "body": "{\"ticker\":\"FRT\", \"setup\":\"A+ Trend Short\", \"side\":\"SHORT\", \"price\":122.16, \"stage\":4, \"buy\":30.6, \"sell\":92.7, \"prime\":-2, \"revL\":0, \"revS\":0, \"vcp\":0, \"dir_prob\":8, \"time\":1784035800000}", "ticker": "FRT", "setup": "A+ Trend Short", "side": "SHORT", "price": 122.16, "stage": 4, "buy": 30.6, "sell": 92.7, "prime": -2, "revL": 0, "revS": 0, "vcp": 0, "time": 1784035800000, "email_id": "b'908'", "timestamp": "2026-07-14 16:01:20"}</t>
  </si>
  <si>
    <t>Buy: 93.5 | Sell: 17.3</t>
  </si>
  <si>
    <t>{"symbol": "IFF", "strategy": "Daily", "action": "LONG", "alert_price": 77.52, "score": "", "dir_prob": "87.9", "net_sigma": "", "grade": "", "align": "", "premium": "", "wrong_if": "", "context": "", "subject": "Alert: Rev - Screener v1 (SPY, 12): Any alert() function call", "body": "{\"ticker\":\"IFF\", \"setup\":\"A+ Trend Long\", \"side\":\"LONG\", \"price\":77.52, \"stage\":2, \"buy\":93.3, \"sell\":36.2, \"prime\":2, \"revL\":0, \"revS\":0, \"vcp\":0, \"dir_prob\":87.9, \"time\":1783690200000}", "ticker": "IFF", "setup": "A+ Trend Long", "side": "LONG", "price": 77.52, "stage": 2, "buy": 93.3, "sell": 36.2, "prime": 2, "revL": 0, "revS": 0, "vcp": 0, "time": 1783690200000, "email_id": "b'450'", "timestamp": "2026-07-10 16:01:14"}</t>
  </si>
  <si>
    <t>Entry mode is TREND_SHORT: dominant_side is short with sell score 69.51 (&gt;=65) and dir_prob 26.78 confirming bearish bias, while stage 4 and regime 4 reflect a downtrend. News read is NEUTRAL via a Bunge soybean SAF project headline that neither contradicts nor confirms the short thesis. Triage is PASS as a trend short with no veto cap (rev_zone_l=3.5 &lt;10, stage!=2, no contradiction); the only soft flag is 'earnings' because earnings_gate=CAUTION and earnings_days=-1, which does not change the triage.</t>
  </si>
  <si>
    <t>Buy: 8.5 | Sell: 92</t>
  </si>
  <si>
    <t>{"symbol": "ED", "strategy": "Daily", "action": "LONG", "alert_price": 111.86, "score": "", "dir_prob": "94.5", "net_sigma": "", "grade": "", "align": "", "premium": "", "wrong_if": "", "context": "", "subject": "Alert: Rev - Screener v1 (SPY, 12): Any alert() function call", "body": "{\"ticker\":\"ED\", \"setup\":\"A+ Trend Long\", \"side\":\"LONG\", \"price\":111.86, \"stage\":2, \"buy\":93.7, \"sell\":14.4, \"prime\":2, \"revL\":0, \"revS\":0, \"vcp\":0, \"dir_prob\":94.5, \"time\":1783949400000}", "ticker": "ED", "setup": "A+ Trend Long", "side": "LONG", "price": 111.86, "stage": 2, "buy": 93.7, "sell": 14.4, "prime": 2, "revL": 0, "revS": 0, "vcp": 0, "time": 1783949400000, "email_id": "b'750'", "timestamp": "2026-07-13 16:01:18"}</t>
  </si>
  <si>
    <t>Buy: 96.3 | Sell: 7</t>
  </si>
  <si>
    <t>Buy: 94.4 | Sell: 7.8</t>
  </si>
  <si>
    <t>{"symbol": "BXP", "strategy": "Daily", "action": "LONG", "alert_price": 67.05, "score": "", "dir_prob": "94.7", "net_sigma": "", "grade": "", "align": "", "premium": "", "wrong_if": "", "context": "", "subject": "Alert: Rev - Screener v1 (SPY, 12): Any alert() function call", "body": "{\"ticker\":\"BXP\", \"setup\":\"A+ Trend Long\", \"side\":\"LONG\", \"price\":67.05, \"stage\":2, \"buy\":94.4, \"sell\":7.8, \"prime\":2, \"revL\":0, \"revS\":0, \"vcp\":0, \"dir_prob\":94.7, \"time\":1783949400000}", "ticker": "BXP", "setup": "A+ Trend Long", "side": "LONG", "price": 67.05, "stage": 2, "buy": 94.4, "sell": 7.8, "prime": 2, "revL": 0, "revS": 0, "vcp": 0, "time": 1783949400000, "email_id": "b'751'", "timestamp": "2026-07-13 16:01:12"}</t>
  </si>
  <si>
    <t>{"symbol": "BKR", "strategy": "Daily", "action": "SHORT", "alert_price": 57.77, "score": "", "dir_prob": "3.6", "net_sigma": "", "grade": "", "align": "", "premium": "", "wrong_if": "", "context": "", "subject": "Alert: Rev - Screener v1 (SPY, 12): Any alert() function call", "body": "{\"ticker\":\"BKR\", \"setup\":\"A+ Trend Short\", \"side\":\"SHORT\", \"price\":57.77, \"stage\":4, \"buy\":8.5, \"sell\":92, \"prime\":-2, \"revL\":0, \"revS\":0, \"vcp\":0, \"dir_prob\":3.6, \"time\":1784035800000}", "ticker": "BKR", "setup": "A+ Trend Short", "side": "SHORT", "price": 57.77, "stage": 4, "buy": 8.5, "sell": 92, "prime": -2, "revL": 0, "revS": 0, "vcp": 0, "time": 1784035800000, "email_id": "b'909'", "timestamp": "2026-07-14 16:01:30"}</t>
  </si>
  <si>
    <t>Buy: 93.5 | Sell: 6</t>
  </si>
  <si>
    <t>{"symbol": "PNC", "strategy": "Daily", "action": "LONG", "alert_price": 251.89, "score": "", "dir_prob": "93.7", "net_sigma": "", "grade": "", "align": "", "premium": "", "wrong_if": "", "context": "", "subject": "Alert: Rev - Screener v1 (SPY, 12): Any alert() function call", "body": "{\"ticker\":\"PNC\", \"setup\":\"A+ Trend Long\", \"side\":\"LONG\", \"price\":251.89, \"stage\":2, \"buy\":96.3, \"sell\":7, \"prime\":2, \"revL\":0, \"revS\":0, \"vcp\":0, \"dir_prob\":93.7, \"time\":1783690200000}", "ticker": "PNC", "setup": "A+ Trend Long", "side": "LONG", "price": 251.89, "stage": 2, "buy": 96.3, "sell": 7, "prime": 2, "revL": 0, "revS": 0, "vcp": 0, "time": 1783690200000, "email_id": "b'499'", "timestamp": "2026-07-10 16:01:36"}</t>
  </si>
  <si>
    <t>TREND_LONG fires on buy score 98.88 (&gt;=65) with dominant_side long, supported by dir_prob 94.98 and Stage 2 / regime 0 healthy trend; ext_pct 8.62 and exhaustion 0.0831 show no extension or climax. News read is NEUTRAL with catalyst 'none' from empty headlines, so no contradiction to the long bias. Triage is PASS: regime not climax/distribution and stage not 4, with zone_state in_zone and rr_from_current 2.00 preserving R:R; soft flags apply for earnings (earnings_days -1, gate CAUTION) and aggressive_target (long_target 90.66 is +8.15% vs exp_move_pct 5.47%).</t>
  </si>
  <si>
    <t>{"symbol": "D", "strategy": "Daily", "action": "LONG", "alert_price": 69.44, "score": "", "dir_prob": "92.1", "net_sigma": "", "grade": "", "align": "", "premium": "", "wrong_if": "", "context": "", "subject": "Alert: Rev - Screener v1 (SPY, 12): Any alert() function call", "body": "{\"ticker\":\"D\", \"setup\":\"A+ Trend Long\", \"side\":\"LONG\", \"price\":69.44, \"stage\":2, \"buy\":93.5, \"sell\":17.3, \"prime\":2, \"revL\":0, \"revS\":0, \"vcp\":1, \"dir_prob\":92.1, \"time\":1783603800000}", "ticker": "D", "setup": "A+ Trend Long", "side": "LONG", "price": 69.44, "stage": 2, "buy": 93.5, "sell": 17.3, "prime": 2, "revL": 0, "revS": 0, "vcp": 1, "time": 1783603800000, "email_id": "b'246'", "timestamp": "2026-07-09 16:01:14"}</t>
  </si>
  <si>
    <t>Buy: 85.1 | Sell: 31</t>
  </si>
  <si>
    <t>Buy: 82.6 | Sell: 18.8</t>
  </si>
  <si>
    <t>{"symbol": "PANW", "strategy": "Daily", "action": "LONG", "alert_price": 330.26, "score": "", "dir_prob": "94.5", "net_sigma": "", "grade": "", "align": "", "premium": "", "wrong_if": "", "context": "", "subject": "Alert: Rev - Screener v1 (SPY, 12): Any alert() function call", "body": "{\"ticker\":\"PANW\", \"setup\":\"A+ Trend Long\", \"side\":\"LONG\", \"price\":330.26, \"stage\":2, \"buy\":93.5, \"sell\":6, \"prime\":2, \"revL\":0, \"revS\":0, \"vcp\":0, \"dir_prob\":94.5, \"time\":1783949400000}", "ticker": "PANW", "setup": "A+ Trend Long", "side": "LONG", "price": 330.26, "stage": 2, "buy": 93.5, "sell": 6, "prime": 2, "revL": 0, "revS": 0, "vcp": 0, "time": 1783949400000, "email_id": "b'752'", "timestamp": "2026-07-13 16:01:26"}</t>
  </si>
  <si>
    <t>Buy: 94.6 | Sell: 23</t>
  </si>
  <si>
    <t>{"symbol": "AES", "strategy": "Daily", "action": "LONG", "alert_price": 14.8, "score": "", "dir_prob": "83.4", "net_sigma": "", "grade": "", "align": "", "premium": "", "wrong_if": "", "context": "", "subject": "Alert: Rev - Screener v1 (SPY, 12): Any alert() function call", "body": "{\"ticker\":\"AES\", \"setup\":\"Bullish Squeeze Release\", \"side\":\"LONG\", \"price\":14.80, \"stage\":2, \"buy\":85.1, \"sell\":31, \"prime\":2, \"revL\":0, \"revS\":0, \"vcp\":2, \"dir_prob\":83.4, \"time\":1784035800000}", "ticker": "AES", "setup": "Bullish Squeeze Release", "side": "LONG", "price": 14.8, "stage": 2, "buy": 85.1, "sell": 31, "prime": 2, "revL": 0, "revS": 0, "vcp": 2, "time": 1784035800000, "email_id": "b'911'", "timestamp": "2026-07-14 16:01:23"}</t>
  </si>
  <si>
    <t>{"symbol": "GEN", "strategy": "Daily", "action": "LONG", "alert_price": 25.91, "score": "", "dir_prob": "93.5", "net_sigma": "", "grade": "", "align": "", "premium": "", "wrong_if": "", "context": "", "subject": "Alert: Rev - Screener v1 (SPY, 12): Any alert() function call", "body": "{\"ticker\":\"GEN\", \"setup\":\"Early Action Long\", \"side\":\"LONG\", \"price\":25.91, \"stage\":2, \"buy\":82.6, \"sell\":18.8, \"prime\":1, \"revL\":0, \"revS\":0, \"vcp\":0, \"dir_prob\":93.5, \"time\":1783690200000}", "ticker": "GEN", "setup": "Early Action Long", "side": "LONG", "price": 25.91, "stage": 2, "buy": 82.6, "sell": 18.8, "prime": 1, "revL": 0, "revS": 0, "vcp": 0, "time": 1783690200000, "email_id": "b'514'", "timestamp": "2026-07-10 16:01:28"}</t>
  </si>
  <si>
    <t>Buy: 97 | Sell: 17.3</t>
  </si>
  <si>
    <t>No entry mode is firing: buy=63.49 (&lt;65), ignition_long=0, rev_zone_l=3.5 (&lt;10) and rev_zone_s=0, so this is a NONE case with dominant_score&gt;=50 (buy 63.49) yielding a WATCH for moderate/no clean setup. News is NEUTRAL relative to the long side — TD Cowen maintained Buy but lowered target to $100 (catalyst: Analyst Rating), not a contradiction. Triage is WATCH per NONE rules; key_flags show 'earnings' (earnings_days=-1, gate CAUTION) and 'chased' (zone_state=above_zone, not in_zone) while rr_from_current=1.05 is sub-2 and no exhaustion/churn/stage_lag apply.</t>
  </si>
  <si>
    <t>{"symbol": "WSM", "strategy": "Daily", "action": "LONG", "alert_price": 216.41, "score": "", "dir_prob": "90.5", "net_sigma": "", "grade": "", "align": "", "premium": "", "wrong_if": "", "context": "", "subject": "Alert: Rev - Screener v1 (SPY, 12): Any alert() function call", "body": "{\"ticker\":\"WSM\", \"setup\":\"A+ Trend Long\", \"side\":\"LONG\", \"price\":216.41, \"stage\":2, \"buy\":94.6, \"sell\":23, \"prime\":2, \"revL\":0, \"revS\":0, \"vcp\":0, \"dir_prob\":90.5, \"time\":1783949400000}", "ticker": "WSM", "setup": "A+ Trend Long", "side": "LONG", "price": 216.41, "stage": 2, "buy": 94.6, "sell": 23, "prime": 2, "revL": 0, "revS": 0, "vcp": 0, "time": 1783949400000, "email_id": "b'753'", "timestamp": "2026-07-13 16:01:15"}</t>
  </si>
  <si>
    <t>Buy: 12.6 | Sell: 92.2</t>
  </si>
  <si>
    <t>Buy: 97.4 | Sell: 16.9</t>
  </si>
  <si>
    <t>Buy: 96.7 | Sell: 6.4</t>
  </si>
  <si>
    <t>{"symbol": "PH", "strategy": "Daily", "action": "LONG", "alert_price": 951.16, "score": "", "dir_prob": "88.9", "net_sigma": "", "grade": "", "align": "", "premium": "", "wrong_if": "", "context": "", "subject": "Alert: Rev - Screener v1 (SPY, 12): Any alert() function call", "body": "{\"ticker\":\"PH\", \"setup\":\"A+ Trend Long\", \"side\":\"LONG\", \"price\":951.16, \"stage\":2, \"buy\":97.4, \"sell\":16.9, \"prime\":2, \"revL\":0, \"revS\":0, \"vcp\":0, \"dir_prob\":88.9, \"time\":1783949400000}", "ticker": "PH", "setup": "A+ Trend Long", "side": "LONG", "price": 951.16, "stage": 2, "buy": 97.4, "sell": 16.9, "prime": 2, "revL": 0, "revS": 0, "vcp": 0, "time": 1783949400000, "email_id": "b'754'", "timestamp": "2026-07-13 16:01:26"}</t>
  </si>
  <si>
    <t>{"symbol": "USB", "strategy": "Daily", "action": "LONG", "alert_price": 62.42, "score": "", "dir_prob": "93.2", "net_sigma": "", "grade": "", "align": "", "premium": "", "wrong_if": "", "context": "", "subject": "Alert: Rev - Screener v1 (SPY, 12): Any alert() function call", "body": "{\"ticker\":\"USB\", \"setup\":\"A+ Trend Long\", \"side\":\"LONG\", \"price\":62.42, \"stage\":2, \"buy\":96.7, \"sell\":6.4, \"prime\":2, \"revL\":0, \"revS\":0, \"vcp\":0, \"dir_prob\":93.2, \"time\":1783690200000}", "ticker": "USB", "setup": "A+ Trend Long", "side": "LONG", "price": 62.42, "stage": 2, "buy": 96.7, "sell": 6.4, "prime": 2, "revL": 0, "revS": 0, "vcp": 0, "time": 1783690200000, "email_id": "b'480'", "timestamp": "2026-07-10 16:01:23"}</t>
  </si>
  <si>
    <t>Buy: 6.2 | Sell: 88.8</t>
  </si>
  <si>
    <t>No entry mode fires: ignition_long=0, rev_zone_l=1.5 and rev_zone_s=0.0 are below reversal thresholds, and while dominant_side=short the sell score is only 51.93 (&lt;65) so TREND_SHORT fails. The dominant short score of 51.93 is &gt;=50, triggering a WATCH as a moderate but unstructured setup. News is NEUTRAL with catalyst 'General Market' (the Eni deployment headline is operational, not contradictory to direction). Triage is WATCH with no veto caps; soft flags apply: churn (opposite buy 77.26&gt;=60), stage_lag (short in stage 2 uptrend), and earnings (earnings_days=-1 unknown).</t>
  </si>
  <si>
    <t>{"symbol": "APA", "strategy": "Daily", "action": "SHORT", "alert_price": 34.51, "score": "", "dir_prob": "5.1", "net_sigma": "", "grade": "", "align": "", "premium": "", "wrong_if": "", "context": "", "subject": "Alert: Rev - Screener v1 (SPY, 12): Any alert() function call", "body": "{\"ticker\":\"APA\", \"setup\":\"A+ Trend Short\", \"side\":\"SHORT\", \"price\":34.51, \"stage\":4, \"buy\":12.6, \"sell\":92.2, \"prime\":-2, \"revL\":0, \"revS\":0, \"vcp\":1, \"dir_prob\":5.1, \"time\":1784035800000}", "ticker": "APA", "setup": "A+ Trend Short", "side": "SHORT", "price": 34.51, "stage": 4, "buy": 12.6, "sell": 92.2, "prime": -2, "revL": 0, "revS": 0, "vcp": 1, "time": 1784035800000, "email_id": "b'912'", "timestamp": "2026-07-14 16:01:19"}</t>
  </si>
  <si>
    <t>{"symbol": "KEY", "strategy": "Daily", "action": "LONG", "alert_price": 23.09, "score": "", "dir_prob": "91.1", "net_sigma": "", "grade": "", "align": "", "premium": "", "wrong_if": "", "context": "", "subject": "Alert: Rev - Screener v1 (SPY, 12): Any alert() function call", "body": "{\"ticker\":\"KEY\", \"setup\":\"A+ Trend Long\", \"side\":\"LONG\", \"price\":23.09, \"stage\":2, \"buy\":97, \"sell\":17.3, \"prime\":2, \"revL\":0, \"revS\":0, \"vcp\":0, \"dir_prob\":91.1, \"time\":1783603800000}", "ticker": "KEY", "setup": "A+ Trend Long", "side": "LONG", "price": 23.09, "stage": 2, "buy": 97, "sell": 17.3, "prime": 2, "revL": 0, "revS": 0, "vcp": 0, "time": 1783603800000, "email_id": "b'293'", "timestamp": "2026-07-09 16:01:36"}</t>
  </si>
  <si>
    <t>Buy: 87.3 | Sell: 18.8</t>
  </si>
  <si>
    <t>Buy: 73.9 | Sell: 60</t>
  </si>
  <si>
    <t>{"symbol": "BG", "strategy": "Daily", "action": "SHORT", "alert_price": 117.35, "score": "", "dir_prob": "7.7", "net_sigma": "", "grade": "", "align": "", "premium": "", "wrong_if": "", "context": "", "subject": "Alert: Rev - Screener v1 (SPY, 12): Any alert() function call", "body": "{\"ticker\":\"BG\", \"setup\":\"A+ Trend Short\", \"side\":\"SHORT\", \"price\":117.35, \"stage\":4, \"buy\":6.2, \"sell\":88.8, \"prime\":-2, \"revL\":0, \"revS\":0, \"vcp\":0, \"dir_prob\":7.7, \"time\":1783949400000}", "ticker": "BG", "setup": "A+ Trend Short", "side": "SHORT", "price": 117.35, "stage": 4, "buy": 6.2, "sell": 88.8, "prime": -2, "revL": 0, "revS": 0, "vcp": 0, "time": 1783949400000, "email_id": "b'755'", "timestamp": "2026-07-13 16:01:18"}</t>
  </si>
  <si>
    <t>Buy: 95.8 | Sell: 5.9</t>
  </si>
  <si>
    <t>{"symbol": "NTRS", "strategy": "Daily", "action": "LONG", "alert_price": 183.47, "score": "", "dir_prob": "85.4", "net_sigma": "", "grade": "", "align": "", "premium": "", "wrong_if": "", "context": "", "subject": "Alert: Rev - Screener v1 (SPY, 12): Any alert() function call", "body": "{\"ticker\":\"NTRS\", \"setup\":\"A+ Trend Long\", \"side\":\"LONG\", \"price\":183.47, \"stage\":2, \"buy\":87.3, \"sell\":18.8, \"prime\":2, \"revL\":0, \"revS\":0, \"vcp\":0, \"dir_prob\":85.4, \"time\":1783690200000}", "ticker": "NTRS", "setup": "A+ Trend Long", "side": "LONG", "price": 183.47, "stage": 2, "buy": 87.3, "sell": 18.8, "prime": 2, "revL": 0, "revS": 0, "vcp": 0, "time": 1783690200000, "email_id": "b'380'", "timestamp": "2026-07-10 16:01:02"}</t>
  </si>
  <si>
    <t>TREND_LONG is firing: buy score 86.26 (&gt;=65), dir_prob 70.99, stage 2, regime 1 (extended) confirm a with-trend long. News CONFIRMS the long via RBC Capital raising its price target to $71 (bullish sentiment, no contradiction). Triage is capped at WATCH because price is above_zone (zone_state=above_zone) with rr_from_current 0.954 (&lt;1.0), a chased poor R:R entry. Soft flags apply: exhaustion (ext_pct 37.12, exhaustion 0.336), chased (not in zone), earnings (gate CAUTION, days -1), and extended regime 1.</t>
  </si>
  <si>
    <t>Buy: 85.3 | Sell: 18.4</t>
  </si>
  <si>
    <t>{"symbol": "HSIC", "strategy": "Daily", "action": "LONG", "alert_price": 85.8, "score": "", "dir_prob": "95.6", "net_sigma": "", "grade": "", "align": "", "premium": "", "wrong_if": "", "context": "", "subject": "Alert: Rev - Screener v1 (SPY, 12): Any alert() function call", "body": "{\"ticker\":\"HSIC\", \"setup\":\"A+ Trend Long\", \"side\":\"LONG\", \"price\":85.80, \"stage\":2, \"buy\":95.8, \"sell\":5.9, \"prime\":2, \"revL\":0, \"revS\":0, \"vcp\":0, \"dir_prob\":95.6, \"time\":1783949400000}", "ticker": "HSIC", "setup": "A+ Trend Long", "side": "LONG", "price": 85.8, "stage": 2, "buy": 95.8, "sell": 5.9, "prime": 2, "revL": 0, "revS": 0, "vcp": 0, "time": 1783949400000, "email_id": "b'756'", "timestamp": "2026-07-13 16:01:11"}</t>
  </si>
  <si>
    <t>{"symbol": "HPE", "strategy": "Daily", "action": "LONG", "alert_price": 49.56, "score": "", "dir_prob": "55.3", "net_sigma": "", "grade": "", "align": "", "premium": "", "wrong_if": "", "context": "", "subject": "Alert: Rev - Screener v1 (SPY, 12): Any alert() function call", "body": "{\"ticker\":\"HPE\", \"setup\":\"Early Action Long\", \"side\":\"LONG\", \"price\":49.56, \"stage\":2, \"buy\":73.9, \"sell\":60, \"prime\":1, \"revL\":0, \"revS\":0, \"vcp\":0, \"dir_prob\":55.3, \"time\":1784035800000}", "ticker": "HPE", "setup": "Early Action Long", "side": "LONG", "price": 49.56, "stage": 2, "buy": 73.9, "sell": 60, "prime": 1, "revL": 0, "revS": 0, "vcp": 0, "time": 1784035800000, "email_id": "b'913'", "timestamp": "2026-07-14 16:01:50"}</t>
  </si>
  <si>
    <t>Buy: 97.1 | Sell: 17.7</t>
  </si>
  <si>
    <t>climax_blocked</t>
  </si>
  <si>
    <t>Buy: 93.1 | Sell: 12.5</t>
  </si>
  <si>
    <t>Buy: 97.3 | Sell: 4.3</t>
  </si>
  <si>
    <t>{"symbol": "CINF", "strategy": "Daily", "action": "LONG", "alert_price": 182.56, "score": "", "dir_prob": "93.5", "net_sigma": "", "grade": "", "align": "", "premium": "", "wrong_if": "", "context": "", "subject": "Alert: Rev - Screener v1 (SPY, 12): Any alert() function call", "body": "{\"ticker\":\"CINF\", \"setup\":\"A+ Trend Long\", \"side\":\"LONG\", \"price\":182.56, \"stage\":2, \"buy\":97.1, \"sell\":17.7, \"prime\":2, \"revL\":0, \"revS\":0, \"vcp\":0, \"dir_prob\":93.5, \"time\":1783949400000}", "ticker": "CINF", "setup": "A+ Trend Long", "side": "LONG", "price": 182.56, "stage": 2, "buy": 97.1, "sell": 17.7, "prime": 2, "revL": 0, "revS": 0, "vcp": 0, "time": 1783949400000, "email_id": "b'757'", "timestamp": "2026-07-13 16:01:19"}</t>
  </si>
  <si>
    <t>Buy: 94.4 | Sell: 5.8</t>
  </si>
  <si>
    <t>{"symbol": "AMAT", "strategy": "Daily", "action": "LONG", "alert_price": 602.55, "score": "", "dir_prob": "85.2", "net_sigma": "", "grade": "", "align": "", "premium": "", "wrong_if": "", "context": "", "subject": "Alert: Rev - Screener v1 (SPY, 12): Any alert() function call", "body": "{\"ticker\":\"AMAT\", \"setup\":\"A+ Trend Long\", \"side\":\"LONG\", \"price\":602.55, \"stage\":2, \"buy\":93.1, \"sell\":12.5, \"prime\":2, \"revL\":0, \"revS\":0, \"vcp\":0, \"dir_prob\":85.2, \"time\":1783690200000}", "ticker": "AMAT", "setup": "A+ Trend Long", "side": "LONG", "price": 602.55, "stage": 2, "buy": 93.1, "sell": 12.5, "prime": 2, "revL": 0, "revS": 0, "vcp": 0, "time": 1783690200000, "email_id": "b'413'", "timestamp": "2026-07-10 16:01:16"}</t>
  </si>
  <si>
    <t>TREND_LONG is the firing mode with buy score 93.18 and dir_prob 76.14 in stage 2, but regime 3 (distribution) caps the triage at WATCH per the trend-long rule. News is neutral with no catalyst (empty headlines), so confirm_contradict is NEUTRAL and does not affect the verdict. The WATCH cap is driven solely by the distribution regime; soft flags apply because price is above_zone (chased), opposite_score 60 triggers churn, and earnings_gate CAUTION with earnings_days -1 adds the earnings flag, while rr_from_current 1.31 is acceptable and no exhaustion/contrarian signals exist.</t>
  </si>
  <si>
    <t>{"symbol": "INCY", "strategy": "Daily", "action": "LONG", "alert_price": 114.9, "score": "", "dir_prob": "95.5", "net_sigma": "", "grade": "", "align": "", "premium": "", "wrong_if": "", "context": "", "subject": "Alert: Rev - Screener v1 (SPY, 12): Any alert() function call", "body": "{\"ticker\":\"INCY\", \"setup\":\"A+ Trend Long\", \"side\":\"LONG\", \"price\":114.90, \"stage\":2, \"buy\":97.3, \"sell\":4.3, \"prime\":2, \"revL\":0, \"revS\":0, \"vcp\":0, \"dir_prob\":95.5, \"time\":1784035800000}", "ticker": "INCY", "setup": "A+ Trend Long", "side": "LONG", "price": 114.9, "stage": 2, "buy": 97.3, "sell": 4.3, "prime": 2, "revL": 0, "revS": 0, "vcp": 0, "time": 1784035800000, "email_id": "b'914'", "timestamp": "2026-07-14 16:01:52"}</t>
  </si>
  <si>
    <t>Buy: 72.6 | Sell: 54.4</t>
  </si>
  <si>
    <t>{"symbol": "HOOD", "strategy": "Daily", "action": "LONG", "alert_price": 109.88, "score": "", "dir_prob": "93.4", "net_sigma": "", "grade": "", "align": "", "premium": "", "wrong_if": "", "context": "", "subject": "Alert: Rev - Screener v1 (SPY, 12): Any alert() function call", "body": "{\"ticker\":\"HOOD\", \"setup\":\"A+ Trend Long\", \"side\":\"LONG\", \"price\":109.88, \"stage\":2, \"buy\":94.4, \"sell\":5.8, \"prime\":2, \"revL\":0, \"revS\":0, \"vcp\":0, \"dir_prob\":93.4, \"time\":1783949400000}", "ticker": "HOOD", "setup": "A+ Trend Long", "side": "LONG", "price": 109.88, "stage": 2, "buy": 94.4, "sell": 5.8, "prime": 2, "revL": 0, "revS": 0, "vcp": 0, "time": 1783949400000, "email_id": "b'758'", "timestamp": "2026-07-13 16:01:27"}</t>
  </si>
  <si>
    <t>Buy: 97.3 | Sell: 11.1</t>
  </si>
  <si>
    <t>Buy: 95.4 | Sell: 8.2</t>
  </si>
  <si>
    <t>{"symbol": "EQR", "strategy": "Daily", "action": "LONG", "alert_price": 68.08, "score": "", "dir_prob": "92.5", "net_sigma": "", "grade": "", "align": "", "premium": "", "wrong_if": "", "context": "", "subject": "Alert: Rev - Screener v1 (SPY, 12): Any alert() function call", "body": "{\"ticker\":\"EQR\", \"setup\":\"A+ Trend Long\", \"side\":\"LONG\", \"price\":68.08, \"stage\":2, \"buy\":85.3, \"sell\":18.4, \"prime\":2, \"revL\":0, \"revS\":0, \"vcp\":0, \"dir_prob\":92.5, \"time\":1783603800000}", "ticker": "EQR", "setup": "A+ Trend Long", "side": "LONG", "price": 68.08, "stage": 2, "buy": 85.3, "sell": 18.4, "prime": 2, "revL": 0, "revS": 0, "vcp": 0, "time": 1783603800000, "email_id": "b'208'", "timestamp": "2026-07-09 16:01:13"}</t>
  </si>
  <si>
    <t>{"symbol": "AXP", "strategy": "Daily", "action": "LONG", "alert_price": 354.36, "score": "", "dir_prob": "95.2", "net_sigma": "", "grade": "", "align": "", "premium": "", "wrong_if": "", "context": "", "subject": "Alert: Rev - Screener v1 (SPY, 12): Any alert() function call", "body": "{\"ticker\":\"AXP\", \"setup\":\"A+ Trend Long\", \"side\":\"LONG\", \"price\":354.36, \"stage\":2, \"buy\":97.3, \"sell\":11.1, \"prime\":2, \"revL\":0, \"revS\":0, \"vcp\":0, \"dir_prob\":95.2, \"time\":1783949400000}", "ticker": "AXP", "setup": "A+ Trend Long", "side": "LONG", "price": 354.36, "stage": 2, "buy": 97.3, "sell": 11.1, "prime": 2, "revL": 0, "revS": 0, "vcp": 0, "time": 1783949400000, "email_id": "b'759'", "timestamp": "2026-07-13 16:01:29"}</t>
  </si>
  <si>
    <t>Buy: 97.2 | Sell: 4.8</t>
  </si>
  <si>
    <t>{"symbol": "IVZ", "strategy": "Daily", "action": "LONG", "alert_price": 28.98, "score": "", "dir_prob": "58.2", "net_sigma": "", "grade": "", "align": "", "premium": "", "wrong_if": "", "context": "", "subject": "Alert: Rev - Screener v1 (SPY, 12): Any alert() function call", "body": "{\"ticker\":\"IVZ\", \"setup\":\"Early Action Long\", \"side\":\"LONG\", \"price\":28.98, \"stage\":2, \"buy\":72.6, \"sell\":54.4, \"prime\":1, \"revL\":0, \"revS\":0, \"vcp\":0, \"dir_prob\":58.2, \"time\":1783690200000}", "ticker": "IVZ", "setup": "Early Action Long", "side": "LONG", "price": 28.98, "stage": 2, "buy": 72.6, "sell": 54.4, "prime": 1, "revL": 0, "revS": 0, "vcp": 0, "time": 1783690200000, "email_id": "b'418'", "timestamp": "2026-07-10 16:01:24"}</t>
  </si>
  <si>
    <t>TREND_LONG fires on buy score 98.2 (&gt;=65) with dir_prob 95.95 and stage 2 / regime 0 healthy trend; ignition and rev zones are inactive (rev_zone_l 0, rev_zone_s 2.5). Headlines reference semis and broad earnings season, not JPM specifically, so news read is NEUTRAL with catalyst none. Triage is capped to WATCH by the veto overlay: long-side zone_state is above_zone with rr_from_current 0.63 (&lt;1.0), a chased poor R:R entry. Soft flags apply — chased (not in zone) and earnings (earnings_days -1, gate CAUTION); no exhaustion, churn, or stage_lag present.</t>
  </si>
  <si>
    <t>{"symbol": "MAS", "strategy": "Daily", "action": "LONG", "alert_price": 77.86, "score": "", "dir_prob": "92", "net_sigma": "", "grade": "", "align": "", "premium": "", "wrong_if": "", "context": "", "subject": "Alert: Rev - Screener v1 (SPY, 12): Any alert() function call", "body": "{\"ticker\":\"MAS\", \"setup\":\"A+ Trend Long\", \"side\":\"LONG\", \"price\":77.86, \"stage\":2, \"buy\":95.4, \"sell\":8.2, \"prime\":2, \"revL\":0, \"revS\":0, \"vcp\":0, \"dir_prob\":92, \"time\":1784035800000}", "ticker": "MAS", "setup": "A+ Trend Long", "side": "LONG", "price": 77.86, "stage": 2, "buy": 95.4, "sell": 8.2, "prime": 2, "revL": 0, "revS": 0, "vcp": 0, "time": 1784035800000, "email_id": "b'915'", "timestamp": "2026-07-14 16:01:27"}</t>
  </si>
  <si>
    <t>Buy: 96.6 | Sell: 7.4</t>
  </si>
  <si>
    <t>Buy: 88.9 | Sell: 14.8</t>
  </si>
  <si>
    <t>{"symbol": "HD", "strategy": "Daily", "action": "LONG", "alert_price": 337.16, "score": "", "dir_prob": "94.4", "net_sigma": "", "grade": "", "align": "", "premium": "", "wrong_if": "", "context": "", "subject": "Alert: Rev - Screener v1 (SPY, 12): Any alert() function call", "body": "{\"ticker\":\"HD\", \"setup\":\"A+ Trend Long\", \"side\":\"LONG\", \"price\":337.16, \"stage\":2, \"buy\":97.2, \"sell\":4.8, \"prime\":2, \"revL\":0, \"revS\":0, \"vcp\":0, \"dir_prob\":94.4, \"time\":1783949400000}", "ticker": "HD", "setup": "A+ Trend Long", "side": "LONG", "price": 337.16, "stage": 2, "buy": 97.2, "sell": 4.8, "prime": 2, "revL": 0, "revS": 0, "vcp": 0, "time": 1783949400000, "email_id": "b'761'", "timestamp": "2026-07-13 16:01:24"}</t>
  </si>
  <si>
    <t>Buy: 94.5 | Sell: 9.2</t>
  </si>
  <si>
    <t>Buy: 91.1 | Sell: 16.6</t>
  </si>
  <si>
    <t>{"symbol": "COF", "strategy": "Daily", "action": "LONG", "alert_price": 205.3, "score": "", "dir_prob": "97.3", "net_sigma": "", "grade": "", "align": "", "premium": "", "wrong_if": "", "context": "", "subject": "Alert: Rev - Screener v1 (SPY, 12): Any alert() function call", "body": "{\"ticker\":\"COF\", \"setup\":\"A+ Trend Long\", \"side\":\"LONG\", \"price\":205.30, \"stage\":2, \"buy\":96.6, \"sell\":7.4, \"prime\":2, \"revL\":0, \"revS\":0, \"vcp\":1, \"dir_prob\":97.3, \"time\":1784035800000}", "ticker": "COF", "setup": "A+ Trend Long", "side": "LONG", "price": 205.3, "stage": 2, "buy": 96.6, "sell": 7.4, "prime": 2, "revL": 0, "revS": 0, "vcp": 1, "time": 1784035800000, "email_id": "b'918'", "timestamp": "2026-07-14 16:01:27"}</t>
  </si>
  <si>
    <t>{"symbol": "DELL", "strategy": "Daily", "action": "LONG", "alert_price": 427.18, "score": "", "dir_prob": "83.9", "net_sigma": "", "grade": "", "align": "", "premium": "", "wrong_if": "", "context": "", "subject": "Alert: Rev - Screener v1 (SPY, 12): Any alert() function call", "body": "{\"ticker\":\"DELL\", \"setup\":\"A+ Trend Long\", \"side\":\"LONG\", \"price\":427.18, \"stage\":2, \"buy\":91.1, \"sell\":16.6, \"prime\":2, \"revL\":0, \"revS\":0, \"vcp\":1, \"dir_prob\":83.9, \"time\":1783949400000}", "ticker": "DELL", "setup": "A+ Trend Long", "side": "LONG", "price": 427.18, "stage": 2, "buy": 91.1, "sell": 16.6, "prime": 2, "revL": 0, "revS": 0, "vcp": 1, "time": 1783949400000, "email_id": "b'760'", "timestamp": "2026-07-13 16:01:31"}</t>
  </si>
  <si>
    <t>{"symbol": "VTR", "strategy": "Daily", "action": "LONG", "alert_price": 90.66, "score": "", "dir_prob": "87.6", "net_sigma": "", "grade": "", "align": "", "premium": "", "wrong_if": "", "context": "", "subject": "Alert: Rev - Screener v1 (SPY, 12): Any alert() function call", "body": "{\"ticker\":\"VTR\", \"setup\":\"A+ Trend Long\", \"side\":\"LONG\", \"price\":90.66, \"stage\":2, \"buy\":88.9, \"sell\":14.8, \"prime\":2, \"revL\":0, \"revS\":0, \"vcp\":0, \"dir_prob\":87.6, \"time\":1783690200000}", "ticker": "VTR", "setup": "A+ Trend Long", "side": "LONG", "price": 90.66, "stage": 2, "buy": 88.9, "sell": 14.8, "prime": 2, "revL": 0, "revS": 0, "vcp": 0, "time": 1783690200000, "email_id": "b'441'", "timestamp": "2026-07-10 16:01:41"}</t>
  </si>
  <si>
    <t>TREND_LONG is firing: dominant_side is long with buy score 98.08 (&gt;=65) and dir_prob 93.45, while stage 2 and regime 6 (squeeze) confirm a basing/up-trending squeeze state with ext_pct just 1.4 and exhaustion 0.007. News read is NEUTRAL with catalyst 'none' (headlines empty), so no confirmation or contradiction applies. Triage is PASS as no veto cap triggers: earnings_gate is CAUTION (not FAIL), zone_state is in_zone with rr_from_current 1.01 (&gt;=1.0), and regime is not climax/distribution. Soft flags 'earnings' (earnings_days -1) and 'squeeze' (regime 6) are annotated but do not block the pass; rev_zone_l 6.5 is only Zone 2 and not a dip-buy trigger.</t>
  </si>
  <si>
    <t>Buy: 91.1 | Sell: 16.3</t>
  </si>
  <si>
    <t>Buy: 97.6 | Sell: 4.3</t>
  </si>
  <si>
    <t>Buy: 96.6 | Sell: 6.8</t>
  </si>
  <si>
    <t>{"symbol": "AMAT", "strategy": "Daily", "action": "LONG", "alert_price": 575.11, "score": "", "dir_prob": "82.7", "net_sigma": "", "grade": "", "align": "", "premium": "", "wrong_if": "", "context": "", "subject": "Alert: Rev - Screener v1 (SPY, 12): Any alert() function call", "body": "{\"ticker\":\"AMAT\", \"setup\":\"A+ Trend Long\", \"side\":\"LONG\", \"price\":575.11, \"stage\":2, \"buy\":91.1, \"sell\":16.3, \"prime\":2, \"revL\":0, \"revS\":0, \"vcp\":0, \"dir_prob\":82.7, \"time\":1783949400000}", "ticker": "AMAT", "setup": "A+ Trend Long", "side": "LONG", "price": 575.11, "stage": 2, "buy": 91.1, "sell": 16.3, "prime": 2, "revL": 0, "revS": 0, "vcp": 0, "time": 1783949400000, "email_id": "b'762'", "timestamp": "2026-07-13 16:01:09"}</t>
  </si>
  <si>
    <t>{"symbol": "MNST", "strategy": "Daily", "action": "LONG", "alert_price": 96.54, "score": "", "dir_prob": "88.5", "net_sigma": "", "grade": "", "align": "", "premium": "", "wrong_if": "", "context": "", "subject": "Alert: Rev - Screener v1 (SPY, 12): Any alert() function call", "body": "{\"ticker\":\"MNST\", \"setup\":\"A+ Trend Long\", \"side\":\"LONG\", \"price\":96.54, \"stage\":2, \"buy\":94.5, \"sell\":9.2, \"prime\":2, \"revL\":0, \"revS\":0, \"vcp\":0, \"dir_prob\":88.5, \"time\":1783603800000}", "ticker": "MNST", "setup": "A+ Trend Long", "side": "LONG", "price": 96.54, "stage": 2, "buy": 94.5, "sell": 9.2, "prime": 2, "revL": 0, "revS": 0, "vcp": 0, "time": 1783603800000, "email_id": "b'199'", "timestamp": "2026-07-09 16:01:19"}</t>
  </si>
  <si>
    <t>{"symbol": "KMB", "strategy": "Daily", "action": "LONG", "alert_price": 106.83, "score": "", "dir_prob": "99", "net_sigma": "", "grade": "", "align": "", "premium": "", "wrong_if": "", "context": "", "subject": "Alert: Rev - Screener v1 (SPY, 12): Any alert() function call", "body": "{\"ticker\":\"KMB\", \"setup\":\"A+ Trend Long\", \"side\":\"LONG\", \"price\":106.83, \"stage\":2, \"buy\":97.6, \"sell\":4.3, \"prime\":2, \"revL\":0, \"revS\":0, \"vcp\":0, \"dir_prob\":99, \"time\":1784035800000}", "ticker": "KMB", "setup": "A+ Trend Long", "side": "LONG", "price": 106.83, "stage": 2, "buy": 97.6, "sell": 4.3, "prime": 2, "revL": 0, "revS": 0, "vcp": 0, "time": 1784035800000, "email_id": "b'919'", "timestamp": "2026-07-14 16:01:36"}</t>
  </si>
  <si>
    <t>Buy: 96.5 | Sell: 5.2</t>
  </si>
  <si>
    <t>Buy: 97.5 | Sell: 7.5</t>
  </si>
  <si>
    <t>{"symbol": "JPM", "strategy": "Daily", "action": "LONG", "alert_price": 336.45, "score": "", "dir_prob": "94.5", "net_sigma": "", "grade": "", "align": "", "premium": "", "wrong_if": "", "context": "", "subject": "Alert: Rev - Screener v1 (SPY, 12): Any alert() function call", "body": "{\"ticker\":\"JPM\", \"setup\":\"A+ Trend Long\", \"side\":\"LONG\", \"price\":336.45, \"stage\":2, \"buy\":96.6, \"sell\":6.8, \"prime\":2, \"revL\":0, \"revS\":0, \"vcp\":0, \"dir_prob\":94.5, \"time\":1783690200000}", "ticker": "JPM", "setup": "A+ Trend Long", "side": "LONG", "price": 336.45, "stage": 2, "buy": 96.6, "sell": 6.8, "prime": 2, "revL": 0, "revS": 0, "vcp": 0, "time": 1783690200000, "email_id": "b'525'", "timestamp": "2026-07-10 16:01:34"}</t>
  </si>
  <si>
    <t>TREND_LONG fires on dominant_side=long with buy=98.63 (&gt;=65), dir_prob=96.17, stage=2, regime=0 (healthy), and ext_pct=8.87 showing no extension. News read is NEUTRAL with catalyst 'none' (headlines empty), so no contradiction or confirmation. Triage is PASS as a trend/dip-buy long: regime is not climax/distribution, stage is not 4, and long_zone is in_zone with rr_from_current=2.15 (&gt;=1.0, not chased). Soft flags apply: earnings_gate=CAUTION (earnings_days=-1) and long_target 21.22 is +8.9% above price vs exp_move_pct 6.6% (aggressive_target); no exhaustion, churn, or stage_lag flags present.</t>
  </si>
  <si>
    <t>{"symbol": "LNT", "strategy": "Daily", "action": "LONG", "alert_price": 76.62, "score": "", "dir_prob": "93.5", "net_sigma": "", "grade": "", "align": "", "premium": "", "wrong_if": "", "context": "", "subject": "Alert: Rev - Screener v1 (SPY, 12): Any alert() function call", "body": "{\"ticker\":\"LNT\", \"setup\":\"A+ Trend Long\", \"side\":\"LONG\", \"price\":76.62, \"stage\":2, \"buy\":96.5, \"sell\":5.2, \"prime\":2, \"revL\":0, \"revS\":0, \"vcp\":0, \"dir_prob\":93.5, \"time\":1783949400000}", "ticker": "LNT", "setup": "A+ Trend Long", "side": "LONG", "price": 76.62, "stage": 2, "buy": 96.5, "sell": 5.2, "prime": 2, "revL": 0, "revS": 0, "vcp": 0, "time": 1783949400000, "email_id": "b'763'", "timestamp": "2026-07-13 16:01:23"}</t>
  </si>
  <si>
    <t>Buy: 92.1 | Sell: 12.2</t>
  </si>
  <si>
    <t>{"symbol": "DASH", "strategy": "Daily", "action": "LONG", "alert_price": 187.77, "score": "", "dir_prob": "97.8", "net_sigma": "", "grade": "", "align": "", "premium": "", "wrong_if": "", "context": "", "subject": "Alert: Rev - Screener v1 (SPY, 12): Any alert() function call", "body": "{\"ticker\":\"DASH\", \"setup\":\"A+ Trend Long\", \"side\":\"LONG\", \"price\":187.77, \"stage\":2, \"buy\":97.5, \"sell\":7.5, \"prime\":2, \"revL\":0, \"revS\":0, \"vcp\":0, \"dir_prob\":97.8, \"time\":1784035800000}", "ticker": "DASH", "setup": "A+ Trend Long", "side": "LONG", "price": 187.77, "stage": 2, "buy": 97.5, "sell": 7.5, "prime": 2, "revL": 0, "revS": 0, "vcp": 0, "time": 1784035800000, "email_id": "b'921'", "timestamp": "2026-07-14 16:01:34"}</t>
  </si>
  <si>
    <t>Buy: 96.5 | Sell: 20.7</t>
  </si>
  <si>
    <t>Buy: 75.7 | Sell: 21.6</t>
  </si>
  <si>
    <t>{"symbol": "UDR", "strategy": "Daily", "action": "LONG", "alert_price": 39.74, "score": "", "dir_prob": "94.1", "net_sigma": "", "grade": "", "align": "", "premium": "", "wrong_if": "", "context": "", "subject": "Alert: Rev - Screener v1 (SPY, 12): Any alert() function call", "body": "{\"ticker\":\"UDR\", \"setup\":\"A+ Trend Long\", \"side\":\"LONG\", \"price\":39.74, \"stage\":2, \"buy\":92.1, \"sell\":12.2, \"prime\":2, \"revL\":0, \"revS\":0, \"vcp\":0, \"dir_prob\":94.1, \"time\":1783690200000}", "ticker": "UDR", "setup": "A+ Trend Long", "side": "LONG", "price": 39.74, "stage": 2, "buy": 92.1, "sell": 12.2, "prime": 2, "revL": 0, "revS": 0, "vcp": 0, "time": 1783690200000, "email_id": "b'533'", "timestamp": "2026-07-10 16:01:11"}</t>
  </si>
  <si>
    <t>TREND_LONG fires on dominant_side=long with buy=96.01 (&gt;=65) and dir_prob=85.3, while stage=2 and rev_zone_l=2.0 show no reversion or ignition signal. News is neutral with catalyst='none' from empty headlines, so no confirmation or contradiction. Triage caps at WATCH because regime=3 (distribution) blocks a clean PASS despite zone_state=in_zone and rr_from_current=2.0; the only soft flag is 'earnings' from earnings_gate=CAUTION (earnings_days=-1).</t>
  </si>
  <si>
    <t>Buy: 78.7 | Sell: 32.1</t>
  </si>
  <si>
    <t>{"symbol": "NTRS", "strategy": "Daily", "action": "LONG", "alert_price": 186.71, "score": "", "dir_prob": "80", "net_sigma": "", "grade": "", "align": "", "premium": "", "wrong_if": "", "context": "", "subject": "Alert: Rev - Screener v1 (SPY, 12): Any alert() function call", "body": "{\"ticker\":\"NTRS\", \"setup\":\"Early Action Long\", \"side\":\"LONG\", \"price\":186.71, \"stage\":2, \"buy\":75.7, \"sell\":21.6, \"prime\":1, \"revL\":0, \"revS\":0, \"vcp\":0, \"dir_prob\":80, \"time\":1784035800000}", "ticker": "NTRS", "setup": "Early Action Long", "side": "LONG", "price": 186.71, "stage": 2, "buy": 75.7, "sell": 21.6, "prime": 1, "revL": 0, "revS": 0, "vcp": 0, "time": 1784035800000, "email_id": "b'922'", "timestamp": "2026-07-14 16:01:09"}</t>
  </si>
  <si>
    <t>Buy: 95.9 | Sell: 9.6</t>
  </si>
  <si>
    <t>{"symbol": "DXCM", "strategy": "Daily", "action": "LONG", "alert_price": 74.96, "score": "", "dir_prob": "84.9", "net_sigma": "", "grade": "", "align": "", "premium": "", "wrong_if": "", "context": "", "subject": "Alert: Rev - Screener v1 (SPY, 12): Any alert() function call", "body": "{\"ticker\":\"DXCM\", \"setup\":\"Early Action Long\", \"side\":\"LONG\", \"price\":74.96, \"stage\":2, \"buy\":78.7, \"sell\":32.1, \"prime\":1, \"revL\":0, \"revS\":0, \"vcp\":0, \"dir_prob\":84.9, \"time\":1783690200000}", "ticker": "DXCM", "setup": "Early Action Long", "side": "LONG", "price": 74.96, "stage": 2, "buy": 78.7, "sell": 32.1, "prime": 1, "revL": 0, "revS": 0, "vcp": 0, "time": 1783690200000, "email_id": "b'452'", "timestamp": "2026-07-10 16:01:17"}</t>
  </si>
  <si>
    <t>TREND_LONG fires on dominant_side=long with buy=88.83 (&gt;=65) and dir_prob=84.93, while stage=2 and regime=0 (healthy) confirm an intact uptrend with no ignition or reversion scores (rev_zone_l=0, rev_zone_s=2). News read is NEUTRAL with catalyst='none' from empty headlines, so no confirmation or contradiction. Triage is capped to WATCH because zone_state=above_zone with rr_from_current=0.42 (&lt;1.0) flags a chased, poor R:R entry, and earnings_days=-1 with earnings_gate=CAUTION adds an earnings flag; no exhaustion/oversold/churn/stage_lag/aggressive_target apply from the given values.</t>
  </si>
  <si>
    <t>Buy: 87.9 | Sell: 13.9</t>
  </si>
  <si>
    <t>{"symbol": "WSM", "strategy": "Daily", "action": "LONG", "alert_price": 219.83, "score": "", "dir_prob": "91.5", "net_sigma": "", "grade": "", "align": "", "premium": "", "wrong_if": "", "context": "", "subject": "Alert: Rev - Screener v1 (SPY, 12): Any alert() function call", "body": "{\"ticker\":\"WSM\", \"setup\":\"A+ Trend Long\", \"side\":\"LONG\", \"price\":219.83, \"stage\":2, \"buy\":96.5, \"sell\":20.7, \"prime\":2, \"revL\":0, \"revS\":0, \"vcp\":0, \"dir_prob\":91.5, \"time\":1783603800000}", "ticker": "WSM", "setup": "A+ Trend Long", "side": "LONG", "price": 219.83, "stage": 2, "buy": 96.5, "sell": 20.7, "prime": 2, "revL": 0, "revS": 0, "vcp": 0, "time": 1783603800000, "email_id": "b'308'", "timestamp": "2026-07-09 16:01:13"}</t>
  </si>
  <si>
    <t>{"symbol": "BAC", "strategy": "Daily", "action": "LONG", "alert_price": 60.64, "score": "", "dir_prob": "91.1", "net_sigma": "", "grade": "", "align": "", "premium": "", "wrong_if": "", "context": "", "subject": "Alert: Rev - Screener v1 (SPY, 12): Any alert() function call", "body": "{\"ticker\":\"BAC\", \"setup\":\"A+ Trend Long\", \"side\":\"LONG\", \"price\":60.64, \"stage\":2, \"buy\":95.9, \"sell\":9.6, \"prime\":2, \"revL\":0, \"revS\":0, \"vcp\":0, \"dir_prob\":91.1, \"time\":1784035800000}", "ticker": "BAC", "setup": "A+ Trend Long", "side": "LONG", "price": 60.64, "stage": 2, "buy": 95.9, "sell": 9.6, "prime": 2, "revL": 0, "revS": 0, "vcp": 0, "time": 1784035800000, "email_id": "b'924'", "timestamp": "2026-07-14 16:01:15"}</t>
  </si>
  <si>
    <t>Buy: 96.4 | Sell: 21.8</t>
  </si>
  <si>
    <t>{"symbol": "IBM", "strategy": "Daily", "action": "LONG", "alert_price": 287.64, "score": "", "dir_prob": "93.5", "net_sigma": "", "grade": "", "align": "", "premium": "", "wrong_if": "", "context": "", "subject": "Alert: Rev - Screener v1 (SPY, 12): Any alert() function call", "body": "{\"ticker\":\"IBM\", \"setup\":\"A+ Trend Long\", \"side\":\"LONG\", \"price\":287.64, \"stage\":2, \"buy\":87.9, \"sell\":13.9, \"prime\":2, \"revL\":0, \"revS\":0, \"vcp\":0, \"dir_prob\":93.5, \"time\":1783690200000}", "ticker": "IBM", "setup": "A+ Trend Long", "side": "LONG", "price": 287.64, "stage": 2, "buy": 87.9, "sell": 13.9, "prime": 2, "revL": 0, "revS": 0, "vcp": 0, "time": 1783690200000, "email_id": "b'454'", "timestamp": "2026-07-10 16:01:40"}</t>
  </si>
  <si>
    <t>TREND_SHORT is firing: dominant_side=short with sell=69.75 (&gt;=65) and dir_prob=28.13 (&lt;50 bearish), while stage=4 and regime=4 confirm a downtrend. News read is NEUTRAL with catalyst 'none' from empty headlines. Triage is PASS as the short trend setup is not capped (rev_zone_l=2.0 &lt;10, stage!=2); the only soft flag is 'earnings' because earnings_days=-1 and gate=CAUTION, with no exhaustion/oversold/churn/stage_lag applying (ext_pct=18.03, opposite_score=51.52).</t>
  </si>
  <si>
    <t>Buy: 85.9 | Sell: 24.1</t>
  </si>
  <si>
    <t>Buy: 97.6 | Sell: 9.3</t>
  </si>
  <si>
    <t>{"symbol": "DGX", "strategy": "Daily", "action": "LONG", "alert_price": 206.01, "score": "", "dir_prob": "94.1", "net_sigma": "", "grade": "", "align": "", "premium": "", "wrong_if": "", "context": "", "subject": "Alert: Rev - Screener v1 (SPY, 12): Any alert() function call", "body": "{\"ticker\":\"DGX\", \"setup\":\"A+ Trend Long\", \"side\":\"LONG\", \"price\":206.01, \"stage\":2, \"buy\":96.4, \"sell\":21.8, \"prime\":2, \"revL\":0, \"revS\":0, \"vcp\":0, \"dir_prob\":94.1, \"time\":1784035800000}", "ticker": "DGX", "setup": "A+ Trend Long", "side": "LONG", "price": 206.01, "stage": 2, "buy": 96.4, "sell": 21.8, "prime": 2, "revL": 0, "revS": 0, "vcp": 0, "time": 1784035800000, "email_id": "b'928'", "timestamp": "2026-07-14 16:01:30"}</t>
  </si>
  <si>
    <t>Buy: 9.4 | Sell: 89.9</t>
  </si>
  <si>
    <t>{"symbol": "URI", "strategy": "Daily", "action": "LONG", "alert_price": 1096.03, "score": "", "dir_prob": "82.9", "net_sigma": "", "grade": "", "align": "", "premium": "", "wrong_if": "", "context": "", "subject": "Alert: Rev - Screener v1 (SPY, 12): Any alert() function call", "body": "{\"ticker\":\"URI\", \"setup\":\"A+ Trend Long\", \"side\":\"LONG\", \"price\":1096.03, \"stage\":2, \"buy\":85.9, \"sell\":24.1, \"prime\":2, \"revL\":0, \"revS\":0, \"vcp\":0, \"dir_prob\":82.9, \"time\":1783690200000}", "ticker": "URI", "setup": "A+ Trend Long", "side": "LONG", "price": 1096.03, "stage": 2, "buy": 85.9, "sell": 24.1, "prime": 2, "revL": 0, "revS": 0, "vcp": 0, "time": 1783690200000, "email_id": "b'458'", "timestamp": "2026-07-10 16:01:12"}</t>
  </si>
  <si>
    <t>TREND_LONG is firing: buy score 96.54 (&gt;=65), dir_prob 96.32, stage 2 with healthy regime 0, and no ignition/rev-zone override. News CONFIRMS the long bias via Morgan Stanley raising its HOOD price target to $124 (catalyst: Analyst Rating), consistent with bullish sentiment. Triage is capped at WATCH by the C veto: zone_state is above_zone with rr_from_current 0.28 (&lt;1.0), a chased poor-R:R entry, while earnings_gate CAUTION (days -1) adds a soft earnings flag. No exhaustion (exhaustion 0.24&lt;0.3), churn (opposite 18.36), or stage_lag applies.</t>
  </si>
  <si>
    <t>Buy: 95.6 | Sell: 7</t>
  </si>
  <si>
    <t>{"symbol": "VRSN", "strategy": "Daily", "action": "SHORT", "alert_price": 268.79, "score": "", "dir_prob": "9.7", "net_sigma": "", "grade": "", "align": "", "premium": "", "wrong_if": "", "context": "", "subject": "Alert: Rev - Screener v1 (SPY, 12): Any alert() function call", "body": "{\"ticker\":\"VRSN\", \"setup\":\"A+ Trend Short\", \"side\":\"SHORT\", \"price\":268.79, \"stage\":4, \"buy\":9.4, \"sell\":89.9, \"prime\":-2, \"revL\":0, \"revS\":0, \"vcp\":0, \"dir_prob\":9.7, \"time\":1784035800000}", "ticker": "VRSN", "setup": "A+ Trend Short", "side": "SHORT", "price": 268.79, "stage": 4, "buy": 9.4, "sell": 89.9, "prime": -2, "revL": 0, "revS": 0, "vcp": 0, "time": 1784035800000, "email_id": "b'931'", "timestamp": "2026-07-14 16:01:29"}</t>
  </si>
  <si>
    <t>Buy: 95.6 | Sell: 9</t>
  </si>
  <si>
    <t>{"symbol": "SPG", "strategy": "Daily", "action": "LONG", "alert_price": 218.82, "score": "", "dir_prob": "88.8", "net_sigma": "", "grade": "", "align": "", "premium": "", "wrong_if": "", "context": "", "subject": "Alert: Rev - Screener v1 (SPY, 12): Any alert() function call", "body": "{\"ticker\":\"SPG\", \"setup\":\"A+ Trend Long\", \"side\":\"LONG\", \"price\":218.82, \"stage\":2, \"buy\":95.6, \"sell\":7, \"prime\":2, \"revL\":0, \"revS\":0, \"vcp\":0, \"dir_prob\":88.8, \"time\":1783690200000}", "ticker": "SPG", "setup": "A+ Trend Long", "side": "LONG", "price": 218.82, "stage": 2, "buy": 95.6, "sell": 7, "prime": 2, "revL": 0, "revS": 0, "vcp": 0, "time": 1783690200000, "email_id": "b'459'", "timestamp": "2026-07-10 16:01:10"}</t>
  </si>
  <si>
    <t>TREND_LONG fires on dominant_side=long with buy=92.57 (&gt;=65) in stage=2, but regime=3 (Distribution) caps the verdict at WATCH per the triage rules. News CONFIRMS the long bias via Scotiabank raising its price target to $41 (headline dated 2026-07-09), a bullish catalyst. Soft flags apply: opposite_score=69.07 (&gt;=60) marks churn, zone_state=above_zone triggers chased, and earnings_days=-1 with earnings_gate=CAUTION adds an earnings flag; ext_pct=7.25 and exhaustion=0.1863 are benign so no exhaustion flag.</t>
  </si>
  <si>
    <t>{"symbol": "CAH", "strategy": "Daily", "action": "LONG", "alert_price": 233.84, "score": "", "dir_prob": "98.5", "net_sigma": "", "grade": "", "align": "", "premium": "", "wrong_if": "", "context": "", "subject": "Alert: Rev - Screener v1 (SPY, 12): Any alert() function call", "body": "{\"ticker\":\"CAH\", \"setup\":\"A+ Trend Long\", \"side\":\"LONG\", \"price\":233.84, \"stage\":2, \"buy\":97.6, \"sell\":9.3, \"prime\":2, \"revL\":0, \"revS\":0, \"vcp\":0, \"dir_prob\":98.5, \"time\":1783603800000}", "ticker": "CAH", "setup": "A+ Trend Long", "side": "LONG", "price": 233.84, "stage": 2, "buy": 97.6, "sell": 9.3, "prime": 2, "revL": 0, "revS": 0, "vcp": 0, "time": 1783603800000, "email_id": "b'248'", "timestamp": "2026-07-09 16:01:12"}</t>
  </si>
  <si>
    <t>Buy: 95.6 | Sell: 7.5</t>
  </si>
  <si>
    <t>{"symbol": "AWK", "strategy": "Daily", "action": "LONG", "alert_price": 131.58, "score": "", "dir_prob": "98.1", "net_sigma": "", "grade": "", "align": "", "premium": "", "wrong_if": "", "context": "", "subject": "Alert: Rev - Screener v1 (SPY, 12): Any alert() function call", "body": "{\"ticker\":\"AWK\", \"setup\":\"A+ Trend Long\", \"side\":\"LONG\", \"price\":131.58, \"stage\":2, \"buy\":95.6, \"sell\":9, \"prime\":2, \"revL\":0, \"revS\":0, \"vcp\":0, \"dir_prob\":98.1, \"time\":1784035800000}", "ticker": "AWK", "setup": "A+ Trend Long", "side": "LONG", "price": 131.58, "stage": 2, "buy": 95.6, "sell": 9, "prime": 2, "revL": 0, "revS": 0, "vcp": 0, "time": 1784035800000, "email_id": "b'937'", "timestamp": "2026-07-14 16:01:13"}</t>
  </si>
  <si>
    <t>Buy: 93.1 | Sell: 13.4</t>
  </si>
  <si>
    <t>Buy: 96.2 | Sell: 8.4</t>
  </si>
  <si>
    <t>{"symbol": "HRL", "strategy": "Daily", "action": "LONG", "alert_price": 24.74, "score": "", "dir_prob": "96.1", "net_sigma": "", "grade": "", "align": "", "premium": "", "wrong_if": "", "context": "", "subject": "Alert: Rev - Screener v1 (SPY, 12): Any alert() function call", "body": "{\"ticker\":\"HRL\", \"setup\":\"A+ Trend Long\", \"side\":\"LONG\", \"price\":24.74, \"stage\":2, \"buy\":95.6, \"sell\":7.5, \"prime\":2, \"revL\":0, \"revS\":0, \"vcp\":0, \"dir_prob\":96.1, \"time\":1783690200000}", "ticker": "HRL", "setup": "A+ Trend Long", "side": "LONG", "price": 24.74, "stage": 2, "buy": 95.6, "sell": 7.5, "prime": 2, "revL": 0, "revS": 0, "vcp": 0, "time": 1783690200000, "email_id": "b'488'", "timestamp": "2026-07-10 16:01:32"}</t>
  </si>
  <si>
    <t>TREND_LONG is firing: buy score 84.09 (&gt;=65), dir_prob 78.96, stage 2, regime 0 Healthy, with price 60.44 inside long_zone [59.6,60.44]. News read is NEUTRAL with catalyst 'none' (empty headlines). Triage is PASS as no veto applies — zone_state is in_zone (not above_zone, so poor rr_from_current 0.599 does not cap) and earnings_gate is CAUTION not FAIL; only soft flag 'earnings' (unknown earnings_days -1) is annotated, no other flags triggered.</t>
  </si>
  <si>
    <t>{"symbol": "DG", "strategy": "Daily", "action": "LONG", "alert_price": 120.13, "score": "", "dir_prob": "96.8", "net_sigma": "", "grade": "", "align": "", "premium": "", "wrong_if": "", "context": "", "subject": "Alert: Rev - Screener v1 (SPY, 12): Any alert() function call", "body": "{\"ticker\":\"DG\", \"setup\":\"Bullish Squeeze Release\", \"side\":\"LONG\", \"price\":120.13, \"stage\":2, \"buy\":93.1, \"sell\":13.4, \"prime\":2, \"revL\":0, \"revS\":0, \"vcp\":2, \"dir_prob\":96.8, \"time\":1784035800000}", "ticker": "DG", "setup": "Bullish Squeeze Release", "side": "LONG", "price": 120.13, "stage": 2, "buy": 93.1, "sell": 13.4, "prime": 2, "revL": 0, "revS": 0, "vcp": 2, "time": 1784035800000, "email_id": "b'936'", "timestamp": "2026-07-14 16:01:16"}</t>
  </si>
  <si>
    <t>Buy: 94.6 | Sell: 14.7</t>
  </si>
  <si>
    <t>Buy: 93.8 | Sell: 11.1</t>
  </si>
  <si>
    <t>{"symbol": "UDR", "strategy": "Daily", "action": "LONG", "alert_price": 39.98, "score": "", "dir_prob": "94.3", "net_sigma": "", "grade": "", "align": "", "premium": "", "wrong_if": "", "context": "", "subject": "Alert: Rev - Screener v1 (SPY, 12): Any alert() function call", "body": "{\"ticker\":\"UDR\", \"setup\":\"A+ Trend Long\", \"side\":\"LONG\", \"price\":39.98, \"stage\":2, \"buy\":93.8, \"sell\":11.1, \"prime\":2, \"revL\":0, \"revS\":0, \"vcp\":0, \"dir_prob\":94.3, \"time\":1784035800000}", "ticker": "UDR", "setup": "A+ Trend Long", "side": "LONG", "price": 39.98, "stage": 2, "buy": 93.8, "sell": 11.1, "prime": 2, "revL": 0, "revS": 0, "vcp": 0, "time": 1784035800000, "email_id": "b'935'", "timestamp": "2026-07-14 16:01:08"}</t>
  </si>
  <si>
    <t>{"symbol": "USB", "strategy": "Daily", "action": "LONG", "alert_price": 61.9, "score": "", "dir_prob": "92.7", "net_sigma": "", "grade": "", "align": "", "premium": "", "wrong_if": "", "context": "", "subject": "Alert: Rev - Screener v1 (SPY, 12): Any alert() function call", "body": "{\"ticker\":\"USB\", \"setup\":\"A+ Trend Long\", \"side\":\"LONG\", \"price\":61.90, \"stage\":2, \"buy\":96.2, \"sell\":8.4, \"prime\":2, \"revL\":0, \"revS\":0, \"vcp\":0, \"dir_prob\":92.7, \"time\":1783603800000}", "ticker": "USB", "setup": "A+ Trend Long", "side": "LONG", "price": 61.9, "stage": 2, "buy": 96.2, "sell": 8.4, "prime": 2, "revL": 0, "revS": 0, "vcp": 0, "time": 1783603800000, "email_id": "b'287'", "timestamp": "2026-07-09 16:01:23"}</t>
  </si>
  <si>
    <t>{"symbol": "EA", "strategy": "Daily", "action": "LONG", "alert_price": 206.42, "score": "", "dir_prob": "92.5", "net_sigma": "", "grade": "", "align": "", "premium": "", "wrong_if": "", "context": "", "subject": "Alert: Rev - Screener v1 (SPY, 12): Any alert() function call", "body": "{\"ticker\":\"EA\", \"setup\":\"A+ Trend Long\", \"side\":\"LONG\", \"price\":206.42, \"stage\":2, \"buy\":94.6, \"sell\":14.7, \"prime\":2, \"revL\":0, \"revS\":0, \"vcp\":0, \"dir_prob\":92.5, \"time\":1783690200000}", "ticker": "EA", "setup": "A+ Trend Long", "side": "LONG", "price": 206.42, "stage": 2, "buy": 94.6, "sell": 14.7, "prime": 2, "revL": 0, "revS": 0, "vcp": 0, "time": 1783690200000, "email_id": "b'491'", "timestamp": "2026-07-10 16:01:17"}</t>
  </si>
  <si>
    <t>TREND_LONG fires on dominant_side=long with buy=93.83 (&gt;=65) and dir_prob=89.4, within a Stage 2 uptrend and regime 0 (healthy); rev_zone_l/s are negligible (2.0/2.5) and ignition_long=0. News CONFIRMS the long bias via bullish headlines including an Analyst Rating and Morgan Stanley Infrastructure Partners acquisition. Triage is capped to WATCH because zone_state=above_zone with rr_from_current=-0.19 (&lt;1.0) triggers the chased/poor-R:R veto, while earnings_days=-1 yields earnings_gate=CAUTION as a soft flag. No exhaustion (exhaustion=0.1164&lt;0.3), churn (opposite_score=3.05), or stage_lag flags apply.</t>
  </si>
  <si>
    <t>Buy: 79 | Sell: 12</t>
  </si>
  <si>
    <t>Buy: 93.1 | Sell: 23.1</t>
  </si>
  <si>
    <t>{"symbol": "TMO", "strategy": "Daily", "action": "LONG", "alert_price": 534.5, "score": "", "dir_prob": "85.7", "net_sigma": "", "grade": "", "align": "", "premium": "", "wrong_if": "", "context": "", "subject": "Alert: Rev - Screener v1 (SPY, 12): Any alert() function call", "body": "{\"ticker\":\"TMO\", \"setup\":\"Early Action Long\", \"side\":\"LONG\", \"price\":534.50, \"stage\":2, \"buy\":79, \"sell\":12, \"prime\":1, \"revL\":0, \"revS\":0, \"vcp\":0, \"dir_prob\":85.7, \"time\":1784035800000}", "ticker": "TMO", "setup": "Early Action Long", "side": "LONG", "price": 534.5, "stage": 2, "buy": 79, "sell": 12, "prime": 1, "revL": 0, "revS": 0, "vcp": 0, "time": 1784035800000, "email_id": "b'938'", "timestamp": "2026-07-14 16:01:29"}</t>
  </si>
  <si>
    <t>Buy: 93.7 | Sell: 3.4</t>
  </si>
  <si>
    <t>Buy: 87.7 | Sell: 21.8</t>
  </si>
  <si>
    <t>{"symbol": "CPT", "strategy": "Daily", "action": "LONG", "alert_price": 112.95, "score": "", "dir_prob": "91.6", "net_sigma": "", "grade": "", "align": "", "premium": "", "wrong_if": "", "context": "", "subject": "Alert: Rev - Screener v1 (SPY, 12): Any alert() function call", "body": "{\"ticker\":\"CPT\", \"setup\":\"A+ Trend Long\", \"side\":\"LONG\", \"price\":112.95, \"stage\":2, \"buy\":93.1, \"sell\":23.1, \"prime\":2, \"revL\":0, \"revS\":0, \"vcp\":0, \"dir_prob\":91.6, \"time\":1783690200000}", "ticker": "CPT", "setup": "A+ Trend Long", "side": "LONG", "price": 112.95, "stage": 2, "buy": 93.1, "sell": 23.1, "prime": 2, "revL": 0, "revS": 0, "vcp": 0, "time": 1783690200000, "email_id": "b'498'", "timestamp": "2026-07-10 16:02:13"}</t>
  </si>
  <si>
    <t>TREND_LONG is firing: buy score 95.25 (&gt;=65), dir_prob 91.99, stage 2, regime 0 (healthy), with price 172.02 inside the long_zone [170.29,172.02] and rr_from_current 1.998 (~2.0). News CONFIRMS the long side via the UBS headline maintaining Buy and raising its price target to $191, classified bullish. Triage is PASS as no veto cap applies (regime not climax/distribution, stage not 4, earnings gate only CAUTION, zone_state in_zone with acceptable R:R); soft flags are earnings (earnings_days -1) and aggressive_target (long_target 185.25 is +7.7% vs exp_move_pct 6.21%).</t>
  </si>
  <si>
    <t>Buy: 93 | Sell: 11.1</t>
  </si>
  <si>
    <t>{"symbol": "DELL", "strategy": "Daily", "action": "LONG", "alert_price": 457.42, "score": "", "dir_prob": "80.5", "net_sigma": "", "grade": "", "align": "", "premium": "", "wrong_if": "", "context": "", "subject": "Alert: Rev - Screener v1 (SPY, 12): Any alert() function call", "body": "{\"ticker\":\"DELL\", \"setup\":\"A+ Trend Long\", \"side\":\"LONG\", \"price\":457.42, \"stage\":2, \"buy\":87.7, \"sell\":21.8, \"prime\":2, \"revL\":0, \"revS\":0, \"vcp\":1, \"dir_prob\":80.5, \"time\":1784035800000}", "ticker": "DELL", "setup": "A+ Trend Long", "side": "LONG", "price": 457.42, "stage": 2, "buy": 87.7, "sell": 21.8, "prime": 2, "revL": 0, "revS": 0, "vcp": 1, "time": 1784035800000, "email_id": "b'939'", "timestamp": "2026-07-14 16:01:23"}</t>
  </si>
  <si>
    <t>Buy: 78.9 | Sell: 8.4</t>
  </si>
  <si>
    <t>{"symbol": "WST", "strategy": "Daily", "action": "LONG", "alert_price": 353.44, "score": "", "dir_prob": "91.7", "net_sigma": "", "grade": "", "align": "", "premium": "", "wrong_if": "", "context": "", "subject": "Alert: Rev - Screener v1 (SPY, 12): Any alert() function call", "body": "{\"ticker\":\"WST\", \"setup\":\"A+ Trend Long\", \"side\":\"LONG\", \"price\":353.44, \"stage\":2, \"buy\":93, \"sell\":11.1, \"prime\":2, \"revL\":0, \"revS\":0, \"vcp\":0, \"dir_prob\":91.7, \"time\":1783690200000}", "ticker": "WST", "setup": "A+ Trend Long", "side": "LONG", "price": 353.44, "stage": 2, "buy": 93, "sell": 11.1, "prime": 2, "revL": 0, "revS": 0, "vcp": 0, "time": 1783690200000, "email_id": "b'508'", "timestamp": "2026-07-10 16:01:41"}</t>
  </si>
  <si>
    <t>No entry mode fires: Buy Score is 47.36 (below the 65 TREND_LONG threshold), ignition_long=0, and rev_zone_l=3.0 (&lt;4, no reversion tier), with dir_prob 77.21 still bullish but not actionable. News read is NEUTRAL with catalyst 'none' from empty headlines, so no confirmation or contradiction. Triage is CUT because dominant_score &lt;50 and no rev zone &gt;=7 is forming — there is no active edge. Soft flags apply: 'chased' (zone_state=above_zone at price 82.8 vs long_zone 79.68-80.3, rr_from_current 0.07) and 'earnings' (earnings_days=-1, gate CAUTION); exhaustion 0.20 and regime 0 preclude exhaustion/extended flags.</t>
  </si>
  <si>
    <t>{"symbol": "PHM", "strategy": "Daily", "action": "LONG", "alert_price": 123.74, "score": "", "dir_prob": "94.8", "net_sigma": "", "grade": "", "align": "", "premium": "", "wrong_if": "", "context": "", "subject": "Alert: Rev - Screener v1 (SPY, 12): Any alert() function call", "body": "{\"ticker\":\"PHM\", \"setup\":\"A+ Trend Long\", \"side\":\"LONG\", \"price\":123.74, \"stage\":2, \"buy\":93.7, \"sell\":3.4, \"prime\":2, \"revL\":0, \"revS\":0, \"vcp\":0, \"dir_prob\":94.8, \"time\":1783603800000}", "ticker": "PHM", "setup": "A+ Trend Long", "side": "LONG", "price": 123.74, "stage": 2, "buy": 93.7, "sell": 3.4, "prime": 2, "revL": 0, "revS": 0, "vcp": 0, "time": 1783603800000, "email_id": "b'263'", "timestamp": "2026-07-09 16:01:11"}</t>
  </si>
  <si>
    <t>Buy: 97 | Sell: 11.7</t>
  </si>
  <si>
    <t>{"symbol": "BNY", "strategy": "Daily", "action": "LONG", "alert_price": 154.48, "score": "", "dir_prob": "82.2", "net_sigma": "", "grade": "", "align": "", "premium": "", "wrong_if": "", "context": "", "subject": "Alert: Rev - Screener v1 (SPY, 12): Any alert() function call", "body": "{\"ticker\":\"BNY\", \"setup\":\"Early Action Long\", \"side\":\"LONG\", \"price\":154.48, \"stage\":2, \"buy\":78.9, \"sell\":8.4, \"prime\":1, \"revL\":0, \"revS\":0, \"vcp\":0, \"dir_prob\":82.2, \"time\":1784035800000}", "ticker": "BNY", "setup": "Early Action Long", "side": "LONG", "price": 154.48, "stage": 2, "buy": 78.9, "sell": 8.4, "prime": 1, "revL": 0, "revS": 0, "vcp": 0, "time": 1784035800000, "email_id": "b'944'", "timestamp": "2026-07-14 16:01:03"}</t>
  </si>
  <si>
    <t>Buy: 13 | Sell: 91</t>
  </si>
  <si>
    <t>Buy: 85.4 | Sell: 23.1</t>
  </si>
  <si>
    <t>{"symbol": "UAL", "strategy": "Daily", "action": "LONG", "alert_price": 125.99, "score": "", "dir_prob": "90.8", "net_sigma": "", "grade": "", "align": "", "premium": "", "wrong_if": "", "context": "", "subject": "Alert: Rev - Screener v1 (SPY, 12): Any alert() function call", "body": "{\"ticker\":\"UAL\", \"setup\":\"A+ Trend Long\", \"side\":\"LONG\", \"price\":125.99, \"stage\":2, \"buy\":97, \"sell\":11.7, \"prime\":2, \"revL\":0, \"revS\":0, \"vcp\":0, \"dir_prob\":90.8, \"time\":1783690200000}", "ticker": "UAL", "setup": "A+ Trend Long", "side": "LONG", "price": 125.99, "stage": 2, "buy": 97, "sell": 11.7, "prime": 2, "revL": 0, "revS": 0, "vcp": 0, "time": 1783690200000, "email_id": "b'400'", "timestamp": "2026-07-10 16:01:10"}</t>
  </si>
  <si>
    <t>TREND_LONG fires on dominant_side=long with buy=88.43 (&gt;=65) in stage=2 and regime=0, supported by dir_prob=78.81 and ext_pct=20.24 vs MA200. News CONFIRMS the long bias via RBC Capital raising its price target to $463 (catalyst: Analyst Rating), a bullish read. Triage is capped to WATCH by the veto overlay: zone_state=above_zone with rr_from_current=0.07 (&lt;1.0) flags a chased, poor R:R entry; earnings_gate=CAUTION (earnings_days=-1) adds the earnings soft flag, while exhaustion=0.1456 stays below 0.3 so no exhaustion flag applies.</t>
  </si>
  <si>
    <t>Buy: 83.9 | Sell: 8</t>
  </si>
  <si>
    <t>{"symbol": "XOM", "strategy": "Daily", "action": "SHORT", "alert_price": 145.08, "score": "", "dir_prob": "5.9", "net_sigma": "", "grade": "", "align": "", "premium": "", "wrong_if": "", "context": "", "subject": "Alert: Rev - Screener v1 (SPY, 12): Any alert() function call", "body": "{\"ticker\":\"XOM\", \"setup\":\"A+ Trend Short\", \"side\":\"SHORT\", \"price\":145.08, \"stage\":4, \"buy\":13, \"sell\":91, \"prime\":-2, \"revL\":0, \"revS\":0, \"vcp\":0, \"dir_prob\":5.9, \"time\":1784035800000}", "ticker": "XOM", "setup": "A+ Trend Short", "side": "SHORT", "price": 145.08, "stage": 4, "buy": 13, "sell": 91, "prime": -2, "revL": 0, "revS": 0, "vcp": 0, "time": 1784035800000, "email_id": "b'945'", "timestamp": "2026-07-14 16:01:16"}</t>
  </si>
  <si>
    <t>Buy: 16.1 | Sell: 91.9</t>
  </si>
  <si>
    <t>{"symbol": "ABT", "strategy": "Daily", "action": "LONG", "alert_price": 93.91, "score": "", "dir_prob": "99.2", "net_sigma": "", "grade": "", "align": "", "premium": "", "wrong_if": "", "context": "", "subject": "Alert: Rev - Screener v1 (SPY, 12): Any alert() function call", "body": "{\"ticker\":\"ABT\", \"setup\":\"Early Action Long\", \"side\":\"LONG\", \"price\":93.91, \"stage\":2, \"buy\":83.9, \"sell\":8, \"prime\":1, \"revL\":0, \"revS\":0, \"vcp\":0, \"dir_prob\":99.2, \"time\":1783690200000}", "ticker": "ABT", "setup": "Early Action Long", "side": "LONG", "price": 93.91, "stage": 2, "buy": 83.9, "sell": 8, "prime": 1, "revL": 0, "revS": 0, "vcp": 0, "time": 1783690200000, "email_id": "b'412'", "timestamp": "2026-07-10 16:01:14"}</t>
  </si>
  <si>
    <t>No entry mode is firing: ignition_long=0, rev_zone_l=0 and rev_zone_s=0 (no reversion), and sell=62.31 is below the 65 threshold for TREND_SHORT despite dominant_side=short, dir_prob=25.11, stage=4, and regime=4 all favoring shorts. News read is NEUTRAL with catalyst 'none' (headlines empty), so no confirmation or contradiction. Triage is WATCH ('moderate, no clean setup') because dominant_score (sell=62.31) &gt;=50 but no clean setup exists; the only soft flag is 'earnings' from earnings_gate=CAUTION (earnings_days=-1), which does not cap the triage but is annotated.</t>
  </si>
  <si>
    <t>{"symbol": "AMZN", "strategy": "Daily", "action": "SHORT", "alert_price": 247.5, "score": "", "dir_prob": "12.5", "net_sigma": "", "grade": "", "align": "", "premium": "", "wrong_if": "", "context": "", "subject": "Alert: Rev - Screener v1 (SPY, 12): Any alert() function call", "body": "{\"ticker\":\"AMZN\", \"setup\":\"A+ Trend Short\", \"side\":\"SHORT\", \"price\":247.50, \"stage\":4, \"buy\":16.1, \"sell\":91.9, \"prime\":-2, \"revL\":0, \"revS\":0, \"vcp\":0, \"dir_prob\":12.5, \"time\":1784035800000}", "ticker": "AMZN", "setup": "A+ Trend Short", "side": "SHORT", "price": 247.5, "stage": 4, "buy": 16.1, "sell": 91.9, "prime": -2, "revL": 0, "revS": 0, "vcp": 0, "time": 1784035800000, "email_id": "b'948'", "timestamp": "2026-07-14 16:01:12"}</t>
  </si>
  <si>
    <t>{"symbol": "EXPD", "strategy": "Daily", "action": "LONG", "alert_price": 170.64, "score": "", "dir_prob": "81.9", "net_sigma": "", "grade": "", "align": "", "premium": "", "wrong_if": "", "context": "", "subject": "Alert: Rev - Screener v1 (SPY, 12): Any alert() function call", "body": "{\"ticker\":\"EXPD\", \"setup\":\"Bullish Squeeze Release\", \"side\":\"LONG\", \"price\":170.64, \"stage\":2, \"buy\":85.4, \"sell\":23.1, \"prime\":0, \"revL\":0, \"revS\":0, \"vcp\":2, \"dir_prob\":81.9, \"time\":1783603800000}", "ticker": "EXPD", "setup": "Bullish Squeeze Release", "side": "LONG", "price": 170.64, "stage": 2, "buy": 85.4, "sell": 23.1, "prime": 0, "revL": 0, "revS": 0, "vcp": 2, "time": 1783603800000, "email_id": "b'227'", "timestamp": "2026-07-09 16:01:28"}</t>
  </si>
  <si>
    <t>Buy: 95.6 | Sell: 7.2</t>
  </si>
  <si>
    <t>Buy: 94.6 | Sell: 9.9</t>
  </si>
  <si>
    <t>Buy: 90.7 | Sell: 14</t>
  </si>
  <si>
    <t>{"symbol": "MRK", "strategy": "Daily", "action": "LONG", "alert_price": 123.55, "score": "", "dir_prob": "92.4", "net_sigma": "", "grade": "", "align": "", "premium": "", "wrong_if": "", "context": "", "subject": "Alert: Rev - Screener v1 (SPY, 12): Any alert() function call", "body": "{\"ticker\":\"MRK\", \"setup\":\"A+ Trend Long\", \"side\":\"LONG\", \"price\":123.55, \"stage\":2, \"buy\":95.6, \"sell\":7.2, \"prime\":2, \"revL\":0, \"revS\":0, \"vcp\":0, \"dir_prob\":92.4, \"time\":1783690200000}", "ticker": "MRK", "setup": "A+ Trend Long", "side": "LONG", "price": 123.55, "stage": 2, "buy": 95.6, "sell": 7.2, "prime": 2, "revL": 0, "revS": 0, "vcp": 0, "time": 1783690200000, "email_id": "b'399'", "timestamp": "2026-07-10 16:01:11"}</t>
  </si>
  <si>
    <t>TREND_LONG is firing via buy score 91.92 (&gt;=65) with dir_prob 91.74, stage 2, regime 0 (healthy), ext_pct 5.56 (normal) and exhaustion 0.028 (low); price sits in_zone at 111.12 with rr_from_current 0.69. News read is NEUTRAL with catalyst 'none' as all provided headlines are empty. Triage is PASS as a trend/dip-buy long with no veto cap (regime not climax/distribution, stage not 4, news not contradictory, not chased above zone); the only soft flag is 'earnings' from earnings_gate CAUTION and earnings_days -1, which does not block the pass.</t>
  </si>
  <si>
    <t>SMCI</t>
  </si>
  <si>
    <t>Buy: 18.3 | Sell: 86.1</t>
  </si>
  <si>
    <t>{"symbol": "DOC", "strategy": "Daily", "action": "LONG", "alert_price": 21.65, "score": "", "dir_prob": "94", "net_sigma": "", "grade": "", "align": "", "premium": "", "wrong_if": "", "context": "", "subject": "Alert: Rev - Screener v1 (SPY, 12): Any alert() function call", "body": "{\"ticker\":\"DOC\", \"setup\":\"A+ Trend Long\", \"side\":\"LONG\", \"price\":21.65, \"stage\":2, \"buy\":94.6, \"sell\":9.9, \"prime\":2, \"revL\":0, \"revS\":0, \"vcp\":0, \"dir_prob\":94, \"time\":1784035800000}", "ticker": "DOC", "setup": "A+ Trend Long", "side": "LONG", "price": 21.65, "stage": 2, "buy": 94.6, "sell": 9.9, "prime": 2, "revL": 0, "revS": 0, "vcp": 0, "time": 1784035800000, "email_id": "b'950'", "timestamp": "2026-07-14 16:01:21"}</t>
  </si>
  <si>
    <t>GPN</t>
  </si>
  <si>
    <t>Buy: 70.3 | Sell: 6</t>
  </si>
  <si>
    <t>{"symbol": "SMCI", "strategy": "Daily", "action": "SHORT", "alert_price": 28.31, "score": "", "dir_prob": "16.5", "net_sigma": "", "grade": "", "align": "", "premium": "", "wrong_if": "", "context": "", "subject": "Alert: Rev - Screener v1 (SPY, 12): Any alert() function call", "body": "{\"ticker\":\"SMCI\", \"setup\":\"A+ Trend Short\", \"side\":\"SHORT\", \"price\":28.31, \"stage\":4, \"buy\":18.3, \"sell\":86.1, \"prime\":-2, \"revL\":0, \"revS\":0, \"vcp\":0, \"dir_prob\":16.5, \"time\":1783690200000}", "ticker": "SMCI", "setup": "A+ Trend Short", "side": "SHORT", "price": 28.31, "stage": 4, "buy": 18.3, "sell": 86.1, "prime": -2, "revL": 0, "revS": 0, "vcp": 0, "time": 1783690200000, "email_id": "b'511'", "timestamp": "2026-07-10 16:01:15"}</t>
  </si>
  <si>
    <t>TREND_LONG fires on dominant_side=long with buy=94.26 (&gt;=65) and dir_prob=81.13, while stage=2 and regime=6 (squeeze) confirm an intact uptrend with compression energy. News read is NEUTRAL with catalyst 'none' (headlines empty), so no contradiction or confirmation applies. Triage is PASS: no WATCH cap triggers (regime not 2/3, stage not 4, earnings_gate only CAUTION, zone_state=in_zone with rr_from_current=2.0). Soft flags apply — earnings (gate CAUTION, days unknown), squeeze (regime 6), and aggressive_target (long_target 73.74 is ~5.2% above price vs exp_move_pct 4.38%) — but these annotate rather than block.</t>
  </si>
  <si>
    <t>{"symbol": "GWW", "strategy": "Daily", "action": "LONG", "alert_price": 1364.73, "score": "", "dir_prob": "91", "net_sigma": "", "grade": "", "align": "", "premium": "", "wrong_if": "", "context": "", "subject": "Alert: Rev - Screener v1 (SPY, 12): Any alert() function call", "body": "{\"ticker\":\"GWW\", \"setup\":\"A+ Trend Long\", \"side\":\"LONG\", \"price\":1364.73, \"stage\":2, \"buy\":90.7, \"sell\":14, \"prime\":2, \"revL\":0, \"revS\":0, \"vcp\":1, \"dir_prob\":91, \"time\":1783603800000}", "ticker": "GWW", "setup": "A+ Trend Long", "side": "LONG", "price": 1364.73, "stage": 2, "buy": 90.7, "sell": 14, "prime": 2, "revL": 0, "revS": 0, "vcp": 1, "time": 1783603800000, "email_id": "b'183'", "timestamp": "2026-07-09 16:01:08"}</t>
  </si>
  <si>
    <t>{"symbol": "GPN", "strategy": "Daily", "action": "LONG", "alert_price": 75.91, "score": "", "dir_prob": "94", "net_sigma": "", "grade": "", "align": "", "premium": "", "wrong_if": "", "context": "", "subject": "Alert: Rev - Screener v1 (SPY, 12): Any alert() function call", "body": "{\"ticker\":\"GPN\", \"setup\":\"Early Action Long\", \"side\":\"LONG\", \"price\":75.91, \"stage\":2, \"buy\":70.3, \"sell\":6, \"prime\":1, \"revL\":0, \"revS\":0, \"vcp\":0, \"dir_prob\":94, \"time\":1784035800000}", "ticker": "GPN", "setup": "Early Action Long", "side": "LONG", "price": 75.91, "stage": 2, "buy": 70.3, "sell": 6, "prime": 1, "revL": 0, "revS": 0, "vcp": 0, "time": 1784035800000, "email_id": "b'951'", "timestamp": "2026-07-14 16:01:32"}</t>
  </si>
  <si>
    <t>Buy: 95.4 | Sell: 7.6</t>
  </si>
  <si>
    <t>Buy: 91.4 | Sell: 14.6</t>
  </si>
  <si>
    <t>{"symbol": "WELL", "strategy": "Daily", "action": "LONG", "alert_price": 236.02, "score": "", "dir_prob": "89.1", "net_sigma": "", "grade": "", "align": "", "premium": "", "wrong_if": "", "context": "", "subject": "Alert: Rev - Screener v1 (SPY, 12): Any alert() function call", "body": "{\"ticker\":\"WELL\", \"setup\":\"A+ Trend Long\", \"side\":\"LONG\", \"price\":236.02, \"stage\":2, \"buy\":95.4, \"sell\":7.6, \"prime\":2, \"revL\":0, \"revS\":0, \"vcp\":0, \"dir_prob\":89.1, \"time\":1784035800000}", "ticker": "WELL", "setup": "A+ Trend Long", "side": "LONG", "price": 236.02, "stage": 2, "buy": 95.4, "sell": 7.6, "prime": 2, "revL": 0, "revS": 0, "vcp": 0, "time": 1784035800000, "email_id": "b'953'", "timestamp": "2026-07-14 16:01:01"}</t>
  </si>
  <si>
    <t>{"symbol": "BRK.B", "strategy": "Daily", "action": "LONG", "alert_price": 493.73, "score": "", "dir_prob": "93.5", "net_sigma": "", "grade": "", "align": "", "premium": "", "wrong_if": "", "context": "", "subject": "Alert: Rev - Screener v1 (SPY, 12): Any alert() function call", "body": "{\"ticker\":\"BRK.B\", \"setup\":\"A+ Trend Long\", \"side\":\"LONG\", \"price\":493.73, \"stage\":2, \"buy\":96.3, \"sell\":20.2, \"prime\":2, \"revL\":0, \"revS\":0, \"vcp\":0, \"dir_prob\":93.5, \"time\":1783690200000}", "ticker": "BRK.B", "setup": "A+ Trend Long", "side": "LONG", "price": 493.73, "stage": 2, "buy": 96.3, "sell": 20.2, "prime": 2, "revL": 0, "revS": 0, "vcp": 0, "time": 1783690200000, "email_id": "b'517'", "timestamp": "2026-07-10 16:01:27"}</t>
  </si>
  <si>
    <t>TREND_SHORT is firing: sell score 87.39 (&gt;=65) with dir_prob 12.35 (&lt;50) in stage 4 / regime 4 downtrend, confirming short dominance. News CONFIRMS the short via analyst rating actions lowering price targets (Wells Fargo to $61, Baird to $55) while sentiment is bearish. Triage is PASS as a trend short with no WATCH cap (rev_zone_l=0, stage!=2); the only soft flag is 'earnings' from earnings_gate=CAUTION and earnings_days=-1 (unknown date).</t>
  </si>
  <si>
    <t>Buy: 80.1 | Sell: 5.3</t>
  </si>
  <si>
    <t>Buy: 75.4 | Sell: 7.7</t>
  </si>
  <si>
    <t>{"symbol": "ESS", "strategy": "Daily", "action": "LONG", "alert_price": 291.2, "score": "", "dir_prob": "94.9", "net_sigma": "", "grade": "", "align": "", "premium": "", "wrong_if": "", "context": "", "subject": "Alert: Rev - Screener v1 (SPY, 12): Any alert() function call", "body": "{\"ticker\":\"ESS\", \"setup\":\"A+ Trend Long\", \"side\":\"LONG\", \"price\":291.20, \"stage\":2, \"buy\":91.4, \"sell\":14.6, \"prime\":2, \"revL\":0, \"revS\":0, \"vcp\":0, \"dir_prob\":94.9, \"time\":1783603800000}", "ticker": "ESS", "setup": "A+ Trend Long", "side": "LONG", "price": 291.2, "stage": 2, "buy": 91.4, "sell": 14.6, "prime": 2, "revL": 0, "revS": 0, "vcp": 0, "time": 1783603800000, "email_id": "b'245'", "timestamp": "2026-07-09 16:01:06"}</t>
  </si>
  <si>
    <t>{"symbol": "PANW", "strategy": "Daily", "action": "LONG", "alert_price": 352.81, "score": "", "dir_prob": "91.9", "net_sigma": "", "grade": "", "align": "", "premium": "", "wrong_if": "", "context": "", "subject": "Alert: Rev - Screener v1 (SPY, 12): Any alert() function call", "body": "{\"ticker\":\"PANW\", \"setup\":\"Early Action Long\", \"side\":\"LONG\", \"price\":352.81, \"stage\":2, \"buy\":80.1, \"sell\":5.3, \"prime\":1, \"revL\":0, \"revS\":0, \"vcp\":0, \"dir_prob\":91.9, \"time\":1784035800000}", "ticker": "PANW", "setup": "Early Action Long", "side": "LONG", "price": 352.81, "stage": 2, "buy": 80.1, "sell": 5.3, "prime": 1, "revL": 0, "revS": 0, "vcp": 0, "time": 1784035800000, "email_id": "b'961'", "timestamp": "2026-07-14 16:01:21"}</t>
  </si>
  <si>
    <t>{"symbol": "MTD", "strategy": "Daily", "action": "LONG", "alert_price": 1295.76, "score": "", "dir_prob": "91.7", "net_sigma": "", "grade": "", "align": "", "premium": "", "wrong_if": "", "context": "", "subject": "Alert: Rev - Screener v1 (SPY, 12): Any alert() function call", "body": "{\"ticker\":\"MTD\", \"setup\":\"Early Action Long\", \"side\":\"LONG\", \"price\":1295.76, \"stage\":2, \"buy\":75.4, \"sell\":7.7, \"prime\":1, \"revL\":0, \"revS\":0, \"vcp\":0, \"dir_prob\":91.7, \"time\":1783690200000}", "ticker": "MTD", "setup": "Early Action Long", "side": "LONG", "price": 1295.76, "stage": 2, "buy": 75.4, "sell": 7.7, "prime": 1, "revL": 0, "revS": 0, "vcp": 0, "time": 1783690200000, "email_id": "b'522'", "timestamp": "2026-07-10 16:01:38"}</t>
  </si>
  <si>
    <t>TREND_LONG is firing: buy score 95.54 (&gt;=65) with dir_prob 79.23, stage 2, and regime 6 (squeeze), while price 23.30 sits inside the long_zone [23.06,23.30] offering rr_from_current 1.98. News read is NEUTRAL with catalyst 'none' from empty headlines, so no confirmation or contradiction. Triage is PASS as no veto cap applies (regime 6 is not climax/distribution, stage !=4, earnings gate only CAUTION not FAIL); soft flags 'earnings' (earnings_days -1, gate CAUTION) and 'squeeze' (regime 6) are annotated but do not block.</t>
  </si>
  <si>
    <t>Buy: 10.6 | Sell: 87.3</t>
  </si>
  <si>
    <t>Buy: 97.7 | Sell: 10.8</t>
  </si>
  <si>
    <t>Buy: 96 | Sell: 8.1</t>
  </si>
  <si>
    <t>{"symbol": "MCHP", "strategy": "Daily", "action": "SHORT", "alert_price": 87.07, "score": "", "dir_prob": "15.4", "net_sigma": "", "grade": "", "align": "", "premium": "", "wrong_if": "", "context": "", "subject": "Alert: Rev - Screener v1 (SPY, 12): Any alert() function call", "body": "{\"ticker\":\"MCHP\", \"setup\":\"A+ Trend Short\", \"side\":\"SHORT\", \"price\":87.07, \"stage\":4, \"buy\":10.6, \"sell\":87.3, \"prime\":-2, \"revL\":0, \"revS\":0, \"vcp\":0, \"dir_prob\":15.4, \"time\":1784035800000}", "ticker": "MCHP", "setup": "A+ Trend Short", "side": "SHORT", "price": 87.07, "stage": 4, "buy": 10.6, "sell": 87.3, "prime": -2, "revL": 0, "revS": 0, "vcp": 0, "time": 1784035800000, "email_id": "b'962'", "timestamp": "2026-07-14 16:01:28"}</t>
  </si>
  <si>
    <t>Buy: 87.8 | Sell: 33.6</t>
  </si>
  <si>
    <t>{"symbol": "PPG", "strategy": "Daily", "action": "LONG", "alert_price": 116.76, "score": "", "dir_prob": "95.9", "net_sigma": "", "grade": "", "align": "", "premium": "", "wrong_if": "", "context": "", "subject": "Alert: Rev - Screener v1 (SPY, 12): Any alert() function call", "body": "{\"ticker\":\"PPG\", \"setup\":\"A+ Trend Long\", \"side\":\"LONG\", \"price\":116.76, \"stage\":2, \"buy\":96, \"sell\":8.1, \"prime\":2, \"revL\":0, \"revS\":0, \"vcp\":0, \"dir_prob\":95.9, \"time\":1783690200000}", "ticker": "PPG", "setup": "A+ Trend Long", "side": "LONG", "price": 116.76, "stage": 2, "buy": 96, "sell": 8.1, "prime": 2, "revL": 0, "revS": 0, "vcp": 0, "time": 1783690200000, "email_id": "b'547'", "timestamp": "2026-07-10 16:01:41"}</t>
  </si>
  <si>
    <t>TREND_LONG fires on buy score 86.32 (&gt;=65) with dir_prob 61.66 and stage 2 uptrend, placing price in_zone at 117.2 with R:R ~2.0 from current. News CONFIRMS the long side via Wells Fargo raising its eBay target to $105 (Equal-Weight maintained), a mildly bullish catalyst. Triage is capped to WATCH because regime=3 (Distribution) triggers the trend-long veto overlay, despite the strong buy score. The only soft flag is 'earnings' (earnings_days=-1, gate CAUTION); no exhaustion, churn, chased, or stage-lag flags apply given ext_pct 21.66 with exhaustion 0.2583 and opposite_score 55.46.</t>
  </si>
  <si>
    <t>{"symbol": "HUM", "strategy": "Daily", "action": "LONG", "alert_price": 406.76, "score": "", "dir_prob": "88.6", "net_sigma": "", "grade": "", "align": "", "premium": "", "wrong_if": "", "context": "", "subject": "Alert: Rev - Screener v1 (SPY, 12): Any alert() function call", "body": "{\"ticker\":\"HUM\", \"setup\":\"A+ Trend Long\", \"side\":\"LONG\", \"price\":406.76, \"stage\":2, \"buy\":87.8, \"sell\":33.6, \"prime\":2, \"revL\":0, \"revS\":0, \"vcp\":0, \"dir_prob\":88.6, \"time\":1784035800000}", "ticker": "HUM", "setup": "A+ Trend Long", "side": "LONG", "price": 406.76, "stage": 2, "buy": 87.8, "sell": 33.6, "prime": 2, "revL": 0, "revS": 0, "vcp": 0, "time": 1784035800000, "email_id": "b'964'", "timestamp": "2026-07-14 16:01:31"}</t>
  </si>
  <si>
    <t>Buy: 97.4 | Sell: 13.7</t>
  </si>
  <si>
    <t>{"symbol": "COF", "strategy": "Daily", "action": "LONG", "alert_price": 200.06, "score": "", "dir_prob": "97.1", "net_sigma": "", "grade": "", "align": "", "premium": "", "wrong_if": "", "context": "", "subject": "Alert: Rev - Screener v1 (SPY, 12): Any alert() function call", "body": "{\"ticker\":\"COF\", \"setup\":\"A+ Trend Long\", \"side\":\"LONG\", \"price\":200.06, \"stage\":2, \"buy\":97.7, \"sell\":10.8, \"prime\":2, \"revL\":0, \"revS\":0, \"vcp\":0, \"dir_prob\":97.1, \"time\":1783603800000}", "ticker": "COF", "setup": "A+ Trend Long", "side": "LONG", "price": 200.06, "stage": 2, "buy": 97.7, "sell": 10.8, "prime": 2, "revL": 0, "revS": 0, "vcp": 0, "time": 1783603800000, "email_id": "b'237'", "timestamp": "2026-07-09 16:01:31"}</t>
  </si>
  <si>
    <t>Buy: 95.4 | Sell: 8.8</t>
  </si>
  <si>
    <t>{"symbol": "LUV", "strategy": "Daily", "action": "LONG", "alert_price": 48.41, "score": "", "dir_prob": "94.8", "net_sigma": "", "grade": "", "align": "", "premium": "", "wrong_if": "", "context": "", "subject": "Alert: Rev - Screener v1 (SPY, 12): Any alert() function call", "body": "{\"ticker\":\"LUV\", \"setup\":\"A+ Trend Long\", \"side\":\"LONG\", \"price\":48.41, \"stage\":2, \"buy\":97.4, \"sell\":13.7, \"prime\":2, \"revL\":0, \"revS\":0, \"vcp\":0, \"dir_prob\":94.8, \"time\":1783690200000}", "ticker": "LUV", "setup": "A+ Trend Long", "side": "LONG", "price": 48.41, "stage": 2, "buy": 97.4, "sell": 13.7, "prime": 2, "revL": 0, "revS": 0, "vcp": 0, "time": 1783690200000, "email_id": "b'551'", "timestamp": "2026-07-10 16:01:33"}</t>
  </si>
  <si>
    <t>TREND_LONG is firing: dominant_side is long with buy score 84.44 (&gt;=65) and dir_prob 87.88, while stage is 2 (up trend) and rev_zone_l is only 3.5 (no reversion). News read is NEUTRAL with catalyst 'none' as all provided headlines are empty. Triage is capped to WATCH from PASS because regime is 3 (Distribution), which triggers the veto overlay for TREND_LONG; zone_state is in_zone with rr_from_current 2.0 (clean entry) and ext_pct 7.53 with exhaustion 0.22 show no exhaustion/chased flags, but earnings_days -1 and earnings_gate CAUTION add the soft 'earnings' flag.</t>
  </si>
  <si>
    <t>{"symbol": "EIX", "strategy": "Daily", "action": "LONG", "alert_price": 76.58, "score": "", "dir_prob": "90", "net_sigma": "", "grade": "", "align": "", "premium": "", "wrong_if": "", "context": "", "subject": "Alert: Rev - Screener v1 (SPY, 12): Any alert() function call", "body": "{\"ticker\":\"EIX\", \"setup\":\"A+ Trend Long\", \"side\":\"LONG\", \"price\":76.58, \"stage\":2, \"buy\":95.4, \"sell\":8.8, \"prime\":2, \"revL\":0, \"revS\":0, \"vcp\":0, \"dir_prob\":90, \"time\":1784035800000}", "ticker": "EIX", "setup": "A+ Trend Long", "side": "LONG", "price": 76.58, "stage": 2, "buy": 95.4, "sell": 8.8, "prime": 2, "revL": 0, "revS": 0, "vcp": 0, "time": 1784035800000, "email_id": "b'965'", "timestamp": "2026-07-14 16:01:36"}</t>
  </si>
  <si>
    <t>Buy: 96.7 | Sell: 15.1</t>
  </si>
  <si>
    <t>Buy: 94.8 | Sell: 7.3</t>
  </si>
  <si>
    <t>Buy: 96.4 | Sell: 6.6</t>
  </si>
  <si>
    <t>{"symbol": "BXP", "strategy": "Daily", "action": "LONG", "alert_price": 66.82, "score": "", "dir_prob": "94.9", "net_sigma": "", "grade": "", "align": "", "premium": "", "wrong_if": "", "context": "", "subject": "Alert: Rev - Screener v1 (SPY, 12): Any alert() function call", "body": "{\"ticker\":\"BXP\", \"setup\":\"A+ Trend Long\", \"side\":\"LONG\", \"price\":66.82, \"stage\":2, \"buy\":94.8, \"sell\":7.3, \"prime\":2, \"revL\":0, \"revS\":0, \"vcp\":0, \"dir_prob\":94.9, \"time\":1783690200000}", "ticker": "BXP", "setup": "A+ Trend Long", "side": "LONG", "price": 66.82, "stage": 2, "buy": 94.8, "sell": 7.3, "prime": 2, "revL": 0, "revS": 0, "vcp": 0, "time": 1783690200000, "email_id": "b'449'", "timestamp": "2026-07-10 16:01:06"}</t>
  </si>
  <si>
    <t>TREND_LONG fires: dominant_side long with buy=96.21 (&gt;=65), dir_prob=72.5, stage=2, ignition=0, rev_zone_l=0. News is NEUTRAL with catalyst 'none' (empty headlines). Triage is WATCH: regime=3 (distribution) caps any TREND_LONG per spec, and long zone_state=above_zone with rr_from_current=0.14 (&lt;1.0) triggers the chased/poor-R:R veto cap. Key flags added: churn (opposite_score=60&gt;=60), chased (zone_state!=in_zone), earnings (earnings_gate=CAUTION, days=-1). No exhaustion/extended/stage_lag/aggressive flags apply from given values.</t>
  </si>
  <si>
    <t>Buy: 95.6 | Sell: 24.4</t>
  </si>
  <si>
    <t>{"symbol": "WSM", "strategy": "Daily", "action": "LONG", "alert_price": 221.79, "score": "", "dir_prob": "90.4", "net_sigma": "", "grade": "", "align": "", "premium": "", "wrong_if": "", "context": "", "subject": "Alert: Rev - Screener v1 (SPY, 12): Any alert() function call", "body": "{\"ticker\":\"WSM\", \"setup\":\"A+ Trend Long\", \"side\":\"LONG\", \"price\":221.79, \"stage\":2, \"buy\":95.6, \"sell\":24.4, \"prime\":2, \"revL\":0, \"revS\":0, \"vcp\":0, \"dir_prob\":90.4, \"time\":1783690200000}", "ticker": "WSM", "setup": "A+ Trend Long", "side": "LONG", "price": 221.79, "stage": 2, "buy": 95.6, "sell": 24.4, "prime": 2, "revL": 0, "revS": 0, "vcp": 0, "time": 1783690200000, "email_id": "b'381'", "timestamp": "2026-07-10 16:01:02"}</t>
  </si>
  <si>
    <t>TREND_LONG fires on buy score 95.8 (&gt;=65) with dir_prob 93.0, stage 2 and healthy regime 0 (ext_pct 9.41, exhaustion 0.07). News CONTRADICTS the long thesis: the catalyst is a Bloomberg report that Starbucks is using AI to cut its ~$400M IBM software bill, driving IBM stock down (news_sentiment bearish). Triage is capped at WATCH by the news contradiction and by a chased entry (zone_state above_zone, rr_from_current 0.43 &lt; 1.0); earnings_gate CAUTION (days -1) adds the earnings soft flag. No exhaustion, extended, or counter-trend flags apply given the numbers provided.</t>
  </si>
  <si>
    <t>{"symbol": "TTWO", "strategy": "Daily", "action": "LONG", "alert_price": 237.01, "score": "", "dir_prob": "95.5", "net_sigma": "", "grade": "", "align": "", "premium": "", "wrong_if": "", "context": "", "subject": "Alert: Rev - Screener v1 (SPY, 12): Any alert() function call", "body": "{\"ticker\":\"TTWO\", \"setup\":\"A+ Trend Long\", \"side\":\"LONG\", \"price\":237.01, \"stage\":2, \"buy\":96.4, \"sell\":6.6, \"prime\":2, \"revL\":0, \"revS\":0, \"vcp\":0, \"dir_prob\":95.5, \"time\":1784035800000}", "ticker": "TTWO", "setup": "A+ Trend Long", "side": "LONG", "price": 237.01, "stage": 2, "buy": 96.4, "sell": 6.6, "prime": 2, "revL": 0, "revS": 0, "vcp": 0, "time": 1784035800000, "email_id": "b'786'", "timestamp": "2026-07-14 16:01:00"}</t>
  </si>
  <si>
    <t>The setup is a TREND_LONG driven by a dominant Buy score of 88.56, a high directional probability of 83.69, and a healthy Stage 2 regime with low exhaustion (0.0251). The stock is trading above its long entry zone with a defined stop at 224.65 and a target of 243.18. However, the triage is capped to WATCH due to the 'earnings_gate' status of CAUTION and the lack of a specific news catalyst.</t>
  </si>
  <si>
    <t>Buy: 88.1 | Sell: 49.3</t>
  </si>
  <si>
    <t>Buy: 86.2 | Sell: 19.5</t>
  </si>
  <si>
    <t>{"symbol": "BAC", "strategy": "Daily", "action": "LONG", "alert_price": 59.24, "score": "", "dir_prob": "89.9", "net_sigma": "", "grade": "", "align": "", "premium": "", "wrong_if": "", "context": "", "subject": "Alert: Rev - Screener v1 (SPY, 12): Any alert() function call", "body": "{\"ticker\":\"BAC\", \"setup\":\"A+ Trend Long\", \"side\":\"LONG\", \"price\":59.24, \"stage\":2, \"buy\":96.7, \"sell\":15.1, \"prime\":2, \"revL\":0, \"revS\":0, \"vcp\":0, \"dir_prob\":89.9, \"time\":1783603800000}", "ticker": "BAC", "setup": "A+ Trend Long", "side": "LONG", "price": 59.24, "stage": 2, "buy": 96.7, "sell": 15.1, "prime": 2, "revL": 0, "revS": 0, "vcp": 0, "time": 1783603800000, "email_id": "b'266'", "timestamp": "2026-07-09 16:01:26"}</t>
  </si>
  <si>
    <t>{"symbol": "AES", "strategy": "Daily", "action": "LONG", "alert_price": 14.78, "score": "", "dir_prob": "76.3", "net_sigma": "", "grade": "", "align": "", "premium": "", "wrong_if": "", "context": "", "subject": "Alert: Rev - Screener v1 (SPY, 12): Any alert() function call", "body": "{\"ticker\":\"AES\", \"setup\":\"A+ Trend Long\", \"side\":\"LONG\", \"price\":14.78, \"stage\":2, \"buy\":88.1, \"sell\":49.3, \"prime\":2, \"revL\":0, \"revS\":4.5, \"vcp\":1, \"dir_prob\":76.3, \"time\":1783690200000}", "ticker": "AES", "setup": "A+ Trend Long", "side": "LONG", "price": 14.78, "stage": 2, "buy": 88.1, "sell": 49.3, "prime": 2, "revL": 0, "revS": 4.5, "vcp": 1, "time": 1783690200000, "email_id": "b'389'", "timestamp": "2026-07-10 16:01:06"}</t>
  </si>
  <si>
    <t>{"symbol": "D", "strategy": "Daily", "action": "LONG", "alert_price": 71.31, "score": "", "dir_prob": "89.5", "net_sigma": "", "grade": "", "align": "", "premium": "", "wrong_if": "", "context": "", "subject": "Alert: Rev - Screener v1 (SPY, 12): Any alert() function call", "body": "{\"ticker\":\"D\", \"setup\":\"Bullish Squeeze Release\", \"side\":\"LONG\", \"price\":71.31, \"stage\":2, \"buy\":86.2, \"sell\":19.5, \"prime\":2, \"revL\":0, \"revS\":4.5, \"vcp\":2, \"dir_prob\":89.5, \"time\":1784035800000}", "ticker": "D", "setup": "Bullish Squeeze Release", "side": "LONG", "price": 71.31, "stage": 2, "buy": 86.2, "sell": 19.5, "prime": 2, "revL": 0, "revS": 4.5, "vcp": 2, "time": 1784035800000, "email_id": "b'797'", "timestamp": "2026-07-14 16:01:04"}</t>
  </si>
  <si>
    <t>TREND_SHORT is firing: dominant_side is short with sell score 96.42 (&gt;=65), dir_prob 38.77 (&lt;50 bearish), stage 4 (downtrend) and regime 6 (squeeze). News CONFIRMS the short bias via the catalyst 'Multiple analysts lower price targets, maintain Buy' with bearish sentiment from repeated target cuts. Triage is PASS as a trend short with no veto cap (no contradiction, earnings CAUTION not FAIL, rev_zone_l=6 &lt;10, stage!=2); soft flags apply: churn (opposite_score 83.6&gt;=60), earnings (earnings_days -1/CAUTION), and squeeze (regime 6).</t>
  </si>
  <si>
    <t>The setup is a TREND_LONG driven by a high Buy score of 85.42 and a strong directional probability of 87.63, indicating a robust bullish bias. However, the trade is capped at WATCH due to three specific factors: the price is currently above the long entry zone with a negative risk-reward ratio (-0.12), suggesting a chased entry; the regime is 3 (Distribution) which often precedes tops; and there is an earnings caution flag. Additionally, the stock is extended at 14.66% above the MA200.</t>
  </si>
  <si>
    <t>EG</t>
  </si>
  <si>
    <t>Buy: 76.9 | Sell: 13.7</t>
  </si>
  <si>
    <t>Buy: 78.8 | Sell: 53.1</t>
  </si>
  <si>
    <t>Buy: 97.9 | Sell: 25.9</t>
  </si>
  <si>
    <t>{"symbol": "EG", "strategy": "Daily", "action": "LONG", "alert_price": 371.99, "score": "", "dir_prob": "87.5", "net_sigma": "", "grade": "", "align": "", "premium": "", "wrong_if": "", "context": "", "subject": "Alert: Rev - Screener v1 (SPY, 12): Any alert() function call", "body": "{\"ticker\":\"EG\", \"setup\":\"Early Action Long\", \"side\":\"LONG\", \"price\":371.99, \"stage\":2, \"buy\":76.9, \"sell\":13.7, \"prime\":1, \"revL\":0, \"revS\":0, \"vcp\":0, \"dir_prob\":87.5, \"time\":1784035800000}", "ticker": "EG", "setup": "Early Action Long", "side": "LONG", "price": 371.99, "stage": 2, "buy": 76.9, "sell": 13.7, "prime": 1, "revL": 0, "revS": 0, "vcp": 0, "time": 1784035800000, "email_id": "b'813'", "timestamp": "2026-07-14 16:01:07"}</t>
  </si>
  <si>
    <t>The setup is a TREND_LONG driven by a dominant Buy score of 87.55 and a directional probability of 87.77, indicating strong bullish momentum in Stage 2. The stock is trading above its entry zone with a Buy score significantly higher than the Sell score (36.02). However, the triage is capped to WATCH due to the 'earnings' flag, as the earnings gate is set to CAUTION with unknown days remaining, introducing a potential landmine risk.</t>
  </si>
  <si>
    <t>{"symbol": "NTAP", "strategy": "Daily", "action": "LONG", "alert_price": 168.85, "score": "", "dir_prob": "74.9", "net_sigma": "", "grade": "", "align": "", "premium": "", "wrong_if": "", "context": "", "subject": "Alert: Rev - Screener v1 (SPY, 12): Any alert() function call", "body": "{\"ticker\":\"NTAP\", \"setup\":\"Bullish Squeeze Release\", \"side\":\"LONG\", \"price\":168.85, \"stage\":2, \"buy\":78.8, \"sell\":53.1, \"prime\":1, \"revL\":0, \"revS\":0, \"vcp\":2, \"dir_prob\":74.9, \"time\":1783690200000}", "ticker": "NTAP", "setup": "Bullish Squeeze Release", "side": "LONG", "price": 168.85, "stage": 2, "buy": 78.8, "sell": 53.1, "prime": 1, "revL": 0, "revS": 0, "vcp": 2, "time": 1783690200000, "email_id": "b'387'", "timestamp": "2026-07-10 16:01:06"}</t>
  </si>
  <si>
    <t>PASS (10/10)</t>
  </si>
  <si>
    <t>TREND_LONG fires on buy score 98.1 (&gt;=65), dir_prob 93.92, stage 2 uptrend, regime 0 healthy, with ext_pct 17.75 and exhaustion 0.089 showing no fatigue. News CONFIRMS the long bias via Susquehanna raising its price target to $430 ahead of Q2 earnings, classified bullish. Triage is PASS: zone_state is in_zone with rr_from_current 2.43 (&gt;=2) and no veto applies (no contradiction, earnings only CAUTION not FAIL). Soft flags are earnings (earnings_days -1 / CAUTION gate) and aggressive_target (long_target 406.23 is +13.1% vs exp_move_pct 7.8%).</t>
  </si>
  <si>
    <t>Buy: 93.8 | Sell: 8.6</t>
  </si>
  <si>
    <t>Buy: 97 | Sell: 5</t>
  </si>
  <si>
    <t>{"symbol": "BXP", "strategy": "Daily", "action": "LONG", "alert_price": 67.72, "score": "", "dir_prob": "94.4", "net_sigma": "", "grade": "", "align": "", "premium": "", "wrong_if": "", "context": "", "subject": "Alert: Rev - Screener v1 (SPY, 12): Any alert() function call", "body": "{\"ticker\":\"BXP\", \"setup\":\"A+ Trend Long\", \"side\":\"LONG\", \"price\":67.72, \"stage\":2, \"buy\":93.8, \"sell\":8.6, \"prime\":2, \"revL\":0, \"revS\":0, \"vcp\":0, \"dir_prob\":94.4, \"time\":1784035800000}", "ticker": "BXP", "setup": "A+ Trend Long", "side": "LONG", "price": 67.72, "stage": 2, "buy": 93.8, "sell": 8.6, "prime": 2, "revL": 0, "revS": 0, "vcp": 0, "time": 1784035800000, "email_id": "b'840'", "timestamp": "2026-07-14 16:01:32"}</t>
  </si>
  <si>
    <t>The setup is a strong TREND_LONG driven by a Buy score of 97.06, a Sell score of 11.86, and a Direction Probability of 94.91, all within Stage 2 and Regime 0. The stock is currently in the long entry zone with a favorable R:R of 2.00x. However, the triage is capped to WATCH due to the 'earnings' flag, as the earnings gate is set to CAUTION with unknown days remaining.</t>
  </si>
  <si>
    <t>{"symbol": "CFG", "strategy": "Daily", "action": "LONG", "alert_price": 69.86, "score": "", "dir_prob": "85.4", "net_sigma": "", "grade": "", "align": "", "premium": "", "wrong_if": "", "context": "", "subject": "Alert: Rev - Screener v1 (SPY, 12): Any alert() function call", "body": "{\"ticker\":\"CFG\", \"setup\":\"A+ Trend Long\", \"side\":\"LONG\", \"price\":69.86, \"stage\":2, \"buy\":97.9, \"sell\":25.9, \"prime\":2, \"revL\":0, \"revS\":0, \"vcp\":0, \"dir_prob\":85.4, \"time\":1783603800000}", "ticker": "CFG", "setup": "A+ Trend Long", "side": "LONG", "price": 69.86, "stage": 2, "buy": 97.9, "sell": 25.9, "prime": 2, "revL": 0, "revS": 0, "vcp": 0, "time": 1783603800000, "email_id": "b'264'", "timestamp": "2026-07-09 16:01:02"}</t>
  </si>
  <si>
    <t>Buy: 94.5 | Sell: 7.5</t>
  </si>
  <si>
    <t>{"symbol": "HD", "strategy": "Daily", "action": "LONG", "alert_price": 343.27, "score": "", "dir_prob": "94.4", "net_sigma": "", "grade": "", "align": "", "premium": "", "wrong_if": "", "context": "", "subject": "Alert: Rev - Screener v1 (SPY, 12): Any alert() function call", "body": "{\"ticker\":\"HD\", \"setup\":\"A+ Trend Long\", \"side\":\"LONG\", \"price\":343.27, \"stage\":2, \"buy\":97, \"sell\":5, \"prime\":2, \"revL\":0, \"revS\":0, \"vcp\":0, \"dir_prob\":94.4, \"time\":1783690200000}", "ticker": "HD", "setup": "A+ Trend Long", "side": "LONG", "price": 343.27, "stage": 2, "buy": 97, "sell": 5, "prime": 2, "revL": 0, "revS": 0, "vcp": 0, "time": 1783690200000, "email_id": "b'390'", "timestamp": "2026-07-10 16:01:05"}</t>
  </si>
  <si>
    <t>TREND_LONG fires on dominant_side=long with buy=88.2 (&gt;=65) and dir_prob=56.99, while stage=2 and regime=3 (distribution) cap the verdict at WATCH per the trend-long rule. News is NEUTRAL with catalyst 'none' from empty headlines, so no confirmation or contradiction applies. Triage is WATCH due to regime=3 distribution plus a veto overlay: zone_state=above_zone with rr_from_current=0.94 (&lt;1.0) flags a chased, poor R:R entry; soft flags 'chased' (not in zone) and 'earnings' (gate=CAUTION, days=-1) are annotated, while exhaustion=0.2563 and opposite_score=59.04 stay below their flag thresholds.</t>
  </si>
  <si>
    <t>Buy: 94.3 | Sell: 33.7</t>
  </si>
  <si>
    <t>{"symbol": "TROW", "strategy": "Daily", "action": "LONG", "alert_price": 116.09, "score": "", "dir_prob": "94.5", "net_sigma": "", "grade": "", "align": "", "premium": "", "wrong_if": "", "context": "", "subject": "Alert: Rev - Screener v1 (SPY, 12): Any alert() function call", "body": "{\"ticker\":\"TROW\", \"setup\":\"A+ Trend Long\", \"side\":\"LONG\", \"price\":116.09, \"stage\":2, \"buy\":94.5, \"sell\":7.5, \"prime\":2, \"revL\":0, \"revS\":0, \"vcp\":0, \"dir_prob\":94.5, \"time\":1784035800000}", "ticker": "TROW", "setup": "A+ Trend Long", "side": "LONG", "price": 116.09, "stage": 2, "buy": 94.5, "sell": 7.5, "prime": 2, "revL": 0, "revS": 0, "vcp": 0, "time": 1784035800000, "email_id": "b'844'", "timestamp": "2026-07-14 16:01:32"}</t>
  </si>
  <si>
    <t>Buy: 85.3 | Sell: 26.8</t>
  </si>
  <si>
    <t>The technicals show a strong long bias with a Buy score of 97.04, Dir Prob of 87.01, and Stage 2, indicating a healthy uptrend. However, the news explicitly contradicts this momentum as Barclays maintains an Underweight rating and lowers the price target to $108, which is below the current price of $116.07. This news contradiction caps the triage at WATCH despite the strong technical setup. Additionally, the 'earnings_gate' is set to CAUTION, and the opposite score (31.36) is non-negligible, suggesting some underlying churn.</t>
  </si>
  <si>
    <t>Buy: 96.8 | Sell: 20.9</t>
  </si>
  <si>
    <t>{"symbol": "WFC", "strategy": "Daily", "action": "LONG", "alert_price": 87.1, "score": "", "dir_prob": "87.5", "net_sigma": "", "grade": "", "align": "", "premium": "", "wrong_if": "", "context": "", "subject": "Alert: Rev - Screener v1 (SPY, 12): Any alert() function call", "body": "{\"ticker\":\"WFC\", \"setup\":\"A+ Trend Long\", \"side\":\"LONG\", \"price\":87.10, \"stage\":2, \"buy\":94.3, \"sell\":33.7, \"prime\":2, \"revL\":0, \"revS\":0, \"vcp\":0, \"dir_prob\":87.5, \"time\":1783690200000}", "ticker": "WFC", "setup": "A+ Trend Long", "side": "LONG", "price": 87.1, "stage": 2, "buy": 94.3, "sell": 33.7, "prime": 2, "revL": 0, "revS": 0, "vcp": 0, "time": 1783690200000, "email_id": "b'391'", "timestamp": "2026-07-10 16:01:06"}</t>
  </si>
  <si>
    <t>TREND_LONG is firing: buy score 97.51 (&gt;=65), dir_prob 84.12, stage 2, regime 0 (healthy), ext_pct 13.88 (not extended), exhaustion 0.108 (low). News is NEUTRAL — UBS maintained Neutral but raised PT to $222, so confirm_contradict is NEUTRAL with catalyst 'Analyst Rating'. Triage is capped to WATCH because price is above_zone (zone_state=above_zone) with rr_from_current 0.21 (&lt;1.0), a chased poor-R:R entry; soft flags 'chased' (not in zone) and 'earnings' (earnings_days=-1, gate CAUTION) apply, while no exhaustion, churn, or regime risks are present.</t>
  </si>
  <si>
    <t>Buy: 91.9 | Sell: 23.9</t>
  </si>
  <si>
    <t>{"symbol": "PH", "strategy": "Daily", "action": "LONG", "alert_price": 964.28, "score": "", "dir_prob": "87.5", "net_sigma": "", "grade": "", "align": "", "premium": "", "wrong_if": "", "context": "", "subject": "Alert: Rev - Screener v1 (SPY, 12): Any alert() function call", "body": "{\"ticker\":\"PH\", \"setup\":\"A+ Trend Long\", \"side\":\"LONG\", \"price\":964.28, \"stage\":2, \"buy\":96.8, \"sell\":20.9, \"prime\":2, \"revL\":0, \"revS\":0, \"vcp\":1, \"dir_prob\":87.5, \"time\":1784035800000}", "ticker": "PH", "setup": "A+ Trend Long", "side": "LONG", "price": 964.28, "stage": 2, "buy": 96.8, "sell": 20.9, "prime": 2, "revL": 0, "revS": 0, "vcp": 1, "time": 1784035800000, "email_id": "b'846'", "timestamp": "2026-07-14 16:01:28"}</t>
  </si>
  <si>
    <t>The setup is a TREND_LONG driven by a dominant Buy score of 98.98 and a directional probability of 89.99, indicating strong bullish momentum in Stage 2. The Rev Zone score of 4.0 (Zone 2) suggests the trend is healthy but not in an extreme reversal state. However, the triage is capped to WATCH due to the 'earnings' flag (gate CAUTION) and the 'churn' flag (opposite score 15.43 is non-negligible relative to the high buy score, though not dominant).</t>
  </si>
  <si>
    <t>Buy: 97.4 | Sell: 4.4</t>
  </si>
  <si>
    <t>{"symbol": "URI", "strategy": "Daily", "action": "LONG", "alert_price": 1088.18, "score": "", "dir_prob": "81.6", "net_sigma": "", "grade": "", "align": "", "premium": "", "wrong_if": "", "context": "", "subject": "Alert: Rev - Screener v1 (SPY, 12): Any alert() function call", "body": "{\"ticker\":\"URI\", \"setup\":\"A+ Trend Long\", \"side\":\"LONG\", \"price\":1088.18, \"stage\":2, \"buy\":85.3, \"sell\":26.8, \"prime\":2, \"revL\":0, \"revS\":0, \"vcp\":0, \"dir_prob\":81.6, \"time\":1783603800000}", "ticker": "URI", "setup": "A+ Trend Long", "side": "LONG", "price": 1088.18, "stage": 2, "buy": 85.3, "sell": 26.8, "prime": 2, "revL": 0, "revS": 0, "vcp": 0, "time": 1783603800000, "email_id": "b'323'", "timestamp": "2026-07-09 16:01:18"}</t>
  </si>
  <si>
    <t>{"symbol": "MMM", "strategy": "Daily", "action": "LONG", "alert_price": 157.59, "score": "", "dir_prob": "90.4", "net_sigma": "", "grade": "", "align": "", "premium": "", "wrong_if": "", "context": "", "subject": "Alert: Rev - Screener v1 (SPY, 12): Any alert() function call", "body": "{\"ticker\":\"MMM\", \"setup\":\"A+ Trend Long\", \"side\":\"LONG\", \"price\":157.59, \"stage\":2, \"buy\":91.9, \"sell\":23.9, \"prime\":2, \"revL\":0, \"revS\":0, \"vcp\":0, \"dir_prob\":90.4, \"time\":1783690200000}", "ticker": "MMM", "setup": "A+ Trend Long", "side": "LONG", "price": 157.59, "stage": 2, "buy": 91.9, "sell": 23.9, "prime": 2, "revL": 0, "revS": 0, "vcp": 0, "time": 1783690200000, "email_id": "b'401'", "timestamp": "2026-07-10 16:01:08"}</t>
  </si>
  <si>
    <t>TREND_LONG is firing on buy score 88.74 (&gt;=65) with dir_prob 74.9, stage 2 and regime 0 (healthy uptrend); rev_zone_l is 3.0 and ignition_long is 0 so no other mode applies. News is neutral with catalyst 'none' and confirm_contradict NEUTRAL, providing no directional contradiction. Triage is capped at WATCH because price is above_zone (130.69 vs long_zone 126.34-127.14) with rr_from_current 0.67 (&lt;1.0), a chased poor R:R setup; soft flags apply for churn (opposite_score/sell 73.3 &gt;=60), chased (zone_state != in_zone), and earnings (earnings_days -1, gate CAUTION).</t>
  </si>
  <si>
    <t>Buy: 96.9 | Sell: 4.4</t>
  </si>
  <si>
    <t>{"symbol": "ECL", "strategy": "Daily", "action": "LONG", "alert_price": 269.84, "score": "", "dir_prob": "97", "net_sigma": "", "grade": "", "align": "", "premium": "", "wrong_if": "", "context": "", "subject": "Alert: Rev - Screener v1 (SPY, 12): Any alert() function call", "body": "{\"ticker\":\"ECL\", \"setup\":\"A+ Trend Long\", \"side\":\"LONG\", \"price\":269.84, \"stage\":2, \"buy\":97.4, \"sell\":4.4, \"prime\":2, \"revL\":0, \"revS\":0, \"vcp\":0, \"dir_prob\":97, \"time\":1784035800000}", "ticker": "ECL", "setup": "A+ Trend Long", "side": "LONG", "price": 269.84, "stage": 2, "buy": 97.4, "sell": 4.4, "prime": 2, "revL": 0, "revS": 0, "vcp": 0, "time": 1784035800000, "email_id": "b'850'", "timestamp": "2026-07-14 16:01:34"}</t>
  </si>
  <si>
    <t>The setup is a strong TREND_LONG driven by a Buy score of 98.14, a Sell score of 33.73, and a directional probability of 93.46, indicating a robust bullish bias in Stage 2. The stock is trading above its long entry zone with an R:R of 1.01, suggesting a standard trend continuation play. However, the triage is capped to WATCH due to the 'earnings' flag, as the earnings gate is set to CAUTION with unknown days remaining, introducing a specific event risk.</t>
  </si>
  <si>
    <t>Buy: 97.1 | Sell: 6.4</t>
  </si>
  <si>
    <t>Buy: 85.7 | Sell: 22</t>
  </si>
  <si>
    <t>{"symbol": "VRTX", "strategy": "Daily", "action": "LONG", "alert_price": 485.51, "score": "", "dir_prob": "94.4", "net_sigma": "", "grade": "", "align": "", "premium": "", "wrong_if": "", "context": "", "subject": "Alert: Rev - Screener v1 (SPY, 12): Any alert() function call", "body": "{\"ticker\":\"VRTX\", \"setup\":\"A+ Trend Long\", \"side\":\"LONG\", \"price\":485.51, \"stage\":2, \"buy\":96.9, \"sell\":4.4, \"prime\":2, \"revL\":0, \"revS\":0, \"vcp\":0, \"dir_prob\":94.4, \"time\":1783690200000}", "ticker": "VRTX", "setup": "A+ Trend Long", "side": "LONG", "price": 485.51, "stage": 2, "buy": 96.9, "sell": 4.4, "prime": 2, "revL": 0, "revS": 0, "vcp": 0, "time": 1783690200000, "email_id": "b'425'", "timestamp": "2026-07-10 16:01:19"}</t>
  </si>
  <si>
    <t>TREND_LONG fires on buy score 94.44 (&gt;=65) with dominant_side long, stage 2, regime 0 Healthy, and dir_prob 94.66 confirming strong bullish edge. News CONFIRMS the long thesis via catalyst 'Analyst Rating' — RBC initiating Outperform at $435 and Morgan Stanley raising target to $390. Triage is capped to WATCH because zone_state is above_zone with rr_from_current 0.69 (&lt;1.0), triggering the chased/poor R:R veto; earnings_gate CAUTION (earnings_days -1) adds the earnings soft flag. No exhaustion, churn, or counter-trend flags apply given ext_pct 8.83, exhaustion 0.044, and opposite_score 19.64.</t>
  </si>
  <si>
    <t>Buy: 97.6 | Sell: 16.9</t>
  </si>
  <si>
    <t>{"symbol": "FFIV", "strategy": "Daily", "action": "LONG", "alert_price": 431.27, "score": "", "dir_prob": "77.6", "net_sigma": "", "grade": "", "align": "", "premium": "", "wrong_if": "", "context": "", "subject": "Alert: Rev - Screener v1 (SPY, 12): Any alert() function call", "body": "{\"ticker\":\"FFIV\", \"setup\":\"A+ Trend Long\", \"side\":\"LONG\", \"price\":431.27, \"stage\":2, \"buy\":85.7, \"sell\":22, \"prime\":2, \"revL\":0, \"revS\":0, \"vcp\":0, \"dir_prob\":77.6, \"time\":1784035800000}", "ticker": "FFIV", "setup": "A+ Trend Long", "side": "LONG", "price": 431.27, "stage": 2, "buy": 85.7, "sell": 22, "prime": 2, "revL": 0, "revS": 0, "vcp": 0, "time": 1784035800000, "email_id": "b'854'", "timestamp": "2026-07-14 16:01:34"}</t>
  </si>
  <si>
    <t>The setup is a TREND_LONG driven by a high Buy score of 85.18 and a directional probability of 70.5, indicating strong bullish momentum in Stage 2. However, the trade is capped at WATCH due to three specific factors: the price is 'above_zone' with a negative R:R (-0.12), suggesting a chased entry with poor risk/reward; the 'extended' regime (ext_pct 32.53) signals the stock is significantly overbought; and the 'earnings' flag (gate CAUTION) introduces imminent volatility risk. While the technicals are strong, the lack of a clean entry zone and upcoming earnings warrant caution.</t>
  </si>
  <si>
    <t>Buy: 97.3 | Sell: 4.5</t>
  </si>
  <si>
    <t>{"symbol": "HBAN", "strategy": "Daily", "action": "LONG", "alert_price": 17.75, "score": "", "dir_prob": "95", "net_sigma": "", "grade": "", "align": "", "premium": "", "wrong_if": "", "context": "", "subject": "Alert: Rev - Screener v1 (SPY, 12): Any alert() function call", "body": "{\"ticker\":\"HBAN\", \"setup\":\"A+ Trend Long\", \"side\":\"LONG\", \"price\":17.75, \"stage\":2, \"buy\":97.1, \"sell\":6.4, \"prime\":2, \"revL\":0, \"revS\":0, \"vcp\":0, \"dir_prob\":95, \"time\":1783603800000}", "ticker": "HBAN", "setup": "A+ Trend Long", "side": "LONG", "price": 17.75, "stage": 2, "buy": 97.1, "sell": 6.4, "prime": 2, "revL": 0, "revS": 0, "vcp": 0, "time": 1783603800000, "email_id": "b'168'", "timestamp": "2026-07-09 16:01:04"}</t>
  </si>
  <si>
    <t>{"symbol": "AXP", "strategy": "Daily", "action": "LONG", "alert_price": 350.58, "score": "", "dir_prob": "94.2", "net_sigma": "", "grade": "", "align": "", "premium": "", "wrong_if": "", "context": "", "subject": "Alert: Rev - Screener v1 (SPY, 12): Any alert() function call", "body": "{\"ticker\":\"AXP\", \"setup\":\"A+ Trend Long\", \"side\":\"LONG\", \"price\":350.58, \"stage\":2, \"buy\":97.6, \"sell\":16.9, \"prime\":2, \"revL\":0, \"revS\":0, \"vcp\":0, \"dir_prob\":94.2, \"time\":1783690200000}", "ticker": "AXP", "setup": "A+ Trend Long", "side": "LONG", "price": 350.58, "stage": 2, "buy": 97.6, "sell": 16.9, "prime": 2, "revL": 0, "revS": 0, "vcp": 0, "time": 1783690200000, "email_id": "b'429'", "timestamp": "2026-07-10 16:01:29"}</t>
  </si>
  <si>
    <t>TREND_SHORT fires because dominant_side=short with sell=72.62 (&gt;=65) and dir_prob=46.91 (&lt;50 bearish lean) inside stage=4 downtrend (regime=4). News CONFIRMS the short: the catalyst is multiple analysts lowering price targets after weak Q2 results, matching bearish sentiment. Triage is PASS since no WATCH cap applies (rev_zone_l=7.5 &lt;10 Zone-0 bottom, stage!=2); soft flags churn (opposite buy score 74.46&gt;=60) and earnings (earnings_days=-1) annotate but do not block.</t>
  </si>
  <si>
    <t>Buy: 95.1 | Sell: 5</t>
  </si>
  <si>
    <t>{"symbol": "SYY", "strategy": "Daily", "action": "LONG", "alert_price": 82.85, "score": "", "dir_prob": "96.9", "net_sigma": "", "grade": "", "align": "", "premium": "", "wrong_if": "", "context": "", "subject": "Alert: Rev - Screener v1 (SPY, 12): Any alert() function call", "body": "{\"ticker\":\"SYY\", \"setup\":\"A+ Trend Long\", \"side\":\"LONG\", \"price\":82.85, \"stage\":2, \"buy\":97.3, \"sell\":4.5, \"prime\":2, \"revL\":0, \"revS\":0, \"vcp\":0, \"dir_prob\":96.9, \"time\":1784035800000}", "ticker": "SYY", "setup": "A+ Trend Long", "side": "LONG", "price": 82.85, "stage": 2, "buy": 97.3, "sell": 4.5, "prime": 2, "revL": 0, "revS": 0, "vcp": 0, "time": 1784035800000, "email_id": "b'863'", "timestamp": "2026-07-14 16:01:11"}</t>
  </si>
  <si>
    <t>The setup is a TREND_LONG driven by a dominant Buy score of 98.54 and a directional probability of 91.31, indicating strong bullish momentum in Stage 2. The stock is currently above the long entry zone with a poor risk-to-reward ratio of 0.47, flagging it as 'chased' with limited upside to the target. Additionally, the 'CAUTION' earnings gate and lack of specific news catalysts prevent a full PASS, capping the conviction.</t>
  </si>
  <si>
    <t>HIG</t>
  </si>
  <si>
    <t>Buy: 83.1 | Sell: 12.9</t>
  </si>
  <si>
    <t>Buy: 12.9 | Sell: 94.3</t>
  </si>
  <si>
    <t>{"symbol": "CB", "strategy": "Daily", "action": "LONG", "alert_price": 347.8, "score": "", "dir_prob": "96", "net_sigma": "", "grade": "", "align": "", "premium": "", "wrong_if": "", "context": "", "subject": "Alert: Rev - Screener v1 (SPY, 12): Any alert() function call", "body": "{\"ticker\":\"CB\", \"setup\":\"A+ Trend Long\", \"side\":\"LONG\", \"price\":347.80, \"stage\":2, \"buy\":95.1, \"sell\":5, \"prime\":2, \"revL\":0, \"revS\":0, \"vcp\":0, \"dir_prob\":96, \"time\":1783690200000}", "ticker": "CB", "setup": "A+ Trend Long", "side": "LONG", "price": 347.8, "stage": 2, "buy": 95.1, "sell": 5, "prime": 2, "revL": 0, "revS": 0, "vcp": 0, "time": 1783690200000, "email_id": "b'432'", "timestamp": "2026-07-10 16:01:30"}</t>
  </si>
  <si>
    <t>TREND_LONG fires on dominant_side=long with buy=97.16 (&gt;=65), dir_prob=91.87, stage=2, regime=0 (healthy), and ignition/rev zones inactive (rev_zone_l=2.0, rev_zone_s=2.5). News read is NEUTRAL with catalyst 'none' (headlines empty), so no contradiction or confirmation. Triage is PASS as a trend/dip-buy long: regime is not climax/distribution, stage is not 4, and zone_state=in_zone with rr_from_current=2.0 gives clean entry; the only soft flag is 'earnings' (earnings_gate=CAUTION, earnings_days=-1), which does not cap the verdict.</t>
  </si>
  <si>
    <t>{"symbol": "HIG", "strategy": "Daily", "action": "LONG", "alert_price": 138.15, "score": "", "dir_prob": "91.3", "net_sigma": "", "grade": "", "align": "", "premium": "", "wrong_if": "", "context": "", "subject": "Alert: Rev - Screener v1 (SPY, 12): Any alert() function call", "body": "{\"ticker\":\"HIG\", \"setup\":\"Early Action Long\", \"side\":\"LONG\", \"price\":138.15, \"stage\":2, \"buy\":83.1, \"sell\":12.9, \"prime\":1, \"revL\":0, \"revS\":0, \"vcp\":0, \"dir_prob\":91.3, \"time\":1784035800000}", "ticker": "HIG", "setup": "Early Action Long", "side": "LONG", "price": 138.15, "stage": 2, "buy": 83.1, "sell": 12.9, "prime": 1, "revL": 0, "revS": 0, "vcp": 0, "time": 1784035800000, "email_id": "b'866'", "timestamp": "2026-07-14 16:01:18"}</t>
  </si>
  <si>
    <t>The setup is a TREND_LONG driven by a dominant Buy score of 95.54, a high directional probability of 84.12, and a healthy Stage 2 regime with low exhaustion (0.0235). The stock is trading above its long entry zone with a defined stop at 132.23 and a target of 141.47. However, the triage is capped to WATCH due to the 'earnings' flag, as the system flags CAUTION for earnings days being unknown (-1), creating a potential landmine despite the strong technicals.</t>
  </si>
  <si>
    <t>Buy: 92.4 | Sell: 13.2</t>
  </si>
  <si>
    <t>Buy: 96.4 | Sell: 5.1</t>
  </si>
  <si>
    <t>{"symbol": "AMZN", "strategy": "Daily", "action": "SHORT", "alert_price": 247.0, "score": "", "dir_prob": "10.3", "net_sigma": "", "grade": "", "align": "", "premium": "", "wrong_if": "", "context": "", "subject": "Alert: Rev - Screener v1 (SPY, 12): Any alert() function call", "body": "{\"ticker\":\"AMZN\", \"setup\":\"A+ Trend Short\", \"side\":\"SHORT\", \"price\":247.00, \"stage\":4, \"buy\":12.9, \"sell\":94.3, \"prime\":-2, \"revL\":0, \"revS\":0, \"vcp\":1, \"dir_prob\":10.3, \"time\":1783603800000}", "ticker": "AMZN", "setup": "A+ Trend Short", "side": "SHORT", "price": 247.0, "stage": 4, "buy": 12.9, "sell": 94.3, "prime": -2, "revL": 0, "revS": 0, "vcp": 1, "time": 1783603800000, "email_id": "b'334'", "timestamp": "2026-07-09 16:01:20"}</t>
  </si>
  <si>
    <t>{"symbol": "XYZ", "strategy": "Daily", "action": "LONG", "alert_price": 77.32, "score": "", "dir_prob": "92.8", "net_sigma": "", "grade": "", "align": "", "premium": "", "wrong_if": "", "context": "", "subject": "Alert: Rev - Screener v1 (SPY, 12): Any alert() function call", "body": "{\"ticker\":\"XYZ\", \"setup\":\"A+ Trend Long\", \"side\":\"LONG\", \"price\":77.32, \"stage\":2, \"buy\":92.4, \"sell\":13.2, \"prime\":2, \"revL\":0, \"revS\":0, \"vcp\":0, \"dir_prob\":92.8, \"time\":1783690200000}", "ticker": "XYZ", "setup": "A+ Trend Long", "side": "LONG", "price": 77.32, "stage": 2, "buy": 92.4, "sell": 13.2, "prime": 2, "revL": 0, "revS": 0, "vcp": 0, "time": 1783690200000, "email_id": "b'528'", "timestamp": "2026-07-10 16:01:26"}</t>
  </si>
  <si>
    <t>TREND_LONG is firing: buy score 95.32 (&gt;=65), dir_prob 89.19, stage 2, and dominant_side long confirm a strong with-trend long setup. News CONFIRMS the long bias via RBC Capital maintaining Sector Perform but raising the price target to $415, a bullish catalyst. Triage is capped at WATCH because zone_state is above_zone with rr_from_current 0.485 (&lt;1.0), marking a chased entry with poor R:R; soft flags apply: exhaustion (ext_pct 44.76, exhaustion 0.42), chased (above zone), earnings (CAUTION, days -1), and extended regime 1.</t>
  </si>
  <si>
    <t>Buy: 90.9 | Sell: 45</t>
  </si>
  <si>
    <t>{"symbol": "LNT", "strategy": "Daily", "action": "LONG", "alert_price": 76.32, "score": "", "dir_prob": "93.3", "net_sigma": "", "grade": "", "align": "", "premium": "", "wrong_if": "", "context": "", "subject": "Alert: Rev - Screener v1 (SPY, 12): Any alert() function call", "body": "{\"ticker\":\"LNT\", \"setup\":\"A+ Trend Long\", \"side\":\"LONG\", \"price\":76.32, \"stage\":2, \"buy\":96.4, \"sell\":5.1, \"prime\":2, \"revL\":0, \"revS\":0, \"vcp\":0, \"dir_prob\":93.3, \"time\":1784035800000}", "ticker": "LNT", "setup": "A+ Trend Long", "side": "LONG", "price": 76.32, "stage": 2, "buy": 96.4, "sell": 5.1, "prime": 2, "revL": 0, "revS": 0, "vcp": 0, "time": 1784035800000, "email_id": "b'875'", "timestamp": "2026-07-14 16:01:17"}</t>
  </si>
  <si>
    <t>The setup is a strong TREND_LONG driven by a Buy score of 97.29, a Sell score of 31.1, and a directional probability of 89.39, indicating a robust bullish bias in Stage 2. The stock is trading above its entry zone with a Buy score significantly higher than the opposite score, confirming momentum. However, the triage is capped to WATCH due to the 'earnings' flag, as the earnings gate is set to CAUTION with unknown days remaining, introducing a potential landmine risk.</t>
  </si>
  <si>
    <t>Buy: 12.8 | Sell: 93.8</t>
  </si>
  <si>
    <t>Buy: 96.6 | Sell: 3.9</t>
  </si>
  <si>
    <t>{"symbol": "WAT", "strategy": "Daily", "action": "LONG", "alert_price": 376.38, "score": "", "dir_prob": "84.3", "net_sigma": "", "grade": "", "align": "", "premium": "", "wrong_if": "", "context": "", "subject": "Alert: Rev - Screener v1 (SPY, 12): Any alert() function call", "body": "{\"ticker\":\"WAT\", \"setup\":\"A+ Trend Long\", \"side\":\"LONG\", \"price\":376.38, \"stage\":2, \"buy\":90.9, \"sell\":45, \"prime\":2, \"revL\":0, \"revS\":0, \"vcp\":0, \"dir_prob\":84.3, \"time\":1783690200000}", "ticker": "WAT", "setup": "A+ Trend Long", "side": "LONG", "price": 376.38, "stage": 2, "buy": 90.9, "sell": 45, "prime": 2, "revL": 0, "revS": 0, "vcp": 0, "time": 1783690200000, "email_id": "b'461'", "timestamp": "2026-07-10 16:01:17"}</t>
  </si>
  <si>
    <t>No active entry mode fires: ignition_long=0, rev_zone_l=2.0 and rev_zone_s=4.5 are both below reversal thresholds, and sell=63.09 misses the TREND_SHORT bar of &gt;=65 (dir_prob=43.65 shows mild bearish lean). News is empty (headlines show no items), so confirm_contradict=NEUTRAL with catalyst none. Triage is WATCH as dominant_score=63.09 &gt;=50 with no clean setup; key_flags show churn (opposite_score=62.89 &gt;=60) and earnings caution (earnings_gate=CAUTION, earnings_days=-1). No WATCH cap from news/earnings FAIL/chased applies, and no exhaustion/oversold/stage_lag flags are triggered.</t>
  </si>
  <si>
    <t>{"symbol": "CB", "strategy": "Daily", "action": "LONG", "alert_price": 346.31, "score": "", "dir_prob": "96.1", "net_sigma": "", "grade": "", "align": "", "premium": "", "wrong_if": "", "context": "", "subject": "Alert: Rev - Screener v1 (SPY, 12): Any alert() function call", "body": "{\"ticker\":\"CB\", \"setup\":\"A+ Trend Long\", \"side\":\"LONG\", \"price\":346.31, \"stage\":2, \"buy\":96.6, \"sell\":3.9, \"prime\":2, \"revL\":0, \"revS\":0, \"vcp\":0, \"dir_prob\":96.1, \"time\":1784035800000}", "ticker": "CB", "setup": "A+ Trend Long", "side": "LONG", "price": 346.31, "stage": 2, "buy": 96.6, "sell": 3.9, "prime": 2, "revL": 0, "revS": 0, "vcp": 0, "time": 1784035800000, "email_id": "b'886'", "timestamp": "2026-07-14 16:01:06"}</t>
  </si>
  <si>
    <t>The setup is a TREND_LONG driven by a dominant Buy score of 97.96 and a directional probability of 71.91, indicating strong bullish momentum in Stage 2. However, the opposite score of 65.34 is nearly equal to the buy score, creating a 'churn' condition where conflicting momentum reduces conviction. Additionally, the CAUTION earnings gate and the fact that the stock is trading above the long entry zone with a poor R:R (0.69) cap the setup at WATCH rather than a full PASS.</t>
  </si>
  <si>
    <t>Buy: 96.3 | Sell: 6.2</t>
  </si>
  <si>
    <t>Buy: 75.2 | Sell: 43.2</t>
  </si>
  <si>
    <t>{"symbol": "ROL", "strategy": "Daily", "action": "SHORT", "alert_price": 44.77, "score": "", "dir_prob": "7.7", "net_sigma": "", "grade": "", "align": "", "premium": "", "wrong_if": "", "context": "", "subject": "Alert: Rev - Screener v1 (SPY, 12): Any alert() function call", "body": "{\"ticker\":\"ROL\", \"setup\":\"A+ Trend Short\", \"side\":\"SHORT\", \"price\":44.77, \"stage\":4, \"buy\":12.8, \"sell\":93.8, \"prime\":-2, \"revL\":0, \"revS\":0, \"vcp\":0, \"dir_prob\":7.7, \"time\":1783603800000}", "ticker": "ROL", "setup": "A+ Trend Short", "side": "SHORT", "price": 44.77, "stage": 4, "buy": 12.8, "sell": 93.8, "prime": -2, "revL": 0, "revS": 0, "vcp": 0, "time": 1783603800000, "email_id": "b'340'", "timestamp": "2026-07-09 16:01:31"}</t>
  </si>
  <si>
    <t>{"symbol": "ES", "strategy": "Daily", "action": "LONG", "alert_price": 74.64, "score": "", "dir_prob": "95.4", "net_sigma": "", "grade": "", "align": "", "premium": "", "wrong_if": "", "context": "", "subject": "Alert: Rev - Screener v1 (SPY, 12): Any alert() function call", "body": "{\"ticker\":\"ES\", \"setup\":\"A+ Trend Long\", \"side\":\"LONG\", \"price\":74.64, \"stage\":2, \"buy\":96.3, \"sell\":6.2, \"prime\":2, \"revL\":0, \"revS\":0, \"vcp\":0, \"dir_prob\":95.4, \"time\":1784035800000}", "ticker": "ES", "setup": "A+ Trend Long", "side": "LONG", "price": 74.64, "stage": 2, "buy": 96.3, "sell": 6.2, "prime": 2, "revL": 0, "revS": 0, "vcp": 0, "time": 1784035800000, "email_id": "b'890'", "timestamp": "2026-07-14 16:01:24"}</t>
  </si>
  <si>
    <t>The setup is a TREND_LONG driven by a dominant Buy score of 93.38 and a directional probability of 91.05, indicating strong bullish momentum in Stage 2. The asset is currently above its entry zone with a 1.40 R:R, but the regime is 'Extended' (ext_pct=9.54) and exhaustion is low, suggesting the trend is healthy but priced for a pullback. The triage is capped to WATCH due to the 'earnings' flag (CAUTION gate) and the fact that the price is above the long zone, which limits immediate entry efficiency.</t>
  </si>
  <si>
    <t>{"symbol": "ELV", "strategy": "Daily", "action": "LONG", "alert_price": 416.23, "score": "", "dir_prob": "74.4", "net_sigma": "", "grade": "", "align": "", "premium": "", "wrong_if": "", "context": "", "subject": "Alert: Rev - Screener v1 (SPY, 12): Any alert() function call", "body": "{\"ticker\":\"ELV\", \"setup\":\"Early Action Long\", \"side\":\"LONG\", \"price\":416.23, \"stage\":2, \"buy\":75.2, \"sell\":43.2, \"prime\":1, \"revL\":0, \"revS\":0, \"vcp\":0, \"dir_prob\":74.4, \"time\":1783690200000}", "ticker": "ELV", "setup": "Early Action Long", "side": "LONG", "price": 416.23, "stage": 2, "buy": 75.2, "sell": 43.2, "prime": 1, "revL": 0, "revS": 0, "vcp": 0, "time": 1783690200000, "email_id": "b'483'", "timestamp": "2026-07-10 16:01:23"}</t>
  </si>
  <si>
    <t>TREND_LONG fires on dominant_side=long with buy=86.23 (&gt;=65) and dir_prob=65.41, while stage=2 and regime=3 (Distribution) cap the name at WATCH per the trend-long rule. News is NEUTRAL: RBC maintained Sector Perform but raised target to $439, neither confirming nor contradicting the long. Triage is WATCH due to regime=3 distribution plus zone_state=above_zone with rr_from_current=0.018 (&lt;1.0, chased poor R:R); soft flags apply for opposite_score=64.18 (churn), above_zone (chased), and earnings_days=-1/CAUTION (earnings).</t>
  </si>
  <si>
    <t>Buy: 88.3 | Sell: 6.3</t>
  </si>
  <si>
    <t>Buy: 91.9 | Sell: 7.9</t>
  </si>
  <si>
    <t>A</t>
  </si>
  <si>
    <t>Buy: 90.2 | Sell: 18.2</t>
  </si>
  <si>
    <t>{"symbol": "GD", "strategy": "Daily", "action": "LONG", "alert_price": 369.51, "score": "", "dir_prob": "95.6", "net_sigma": "", "grade": "", "align": "", "premium": "", "wrong_if": "", "context": "", "subject": "Alert: Rev - Screener v1 (SPY, 12): Any alert() function call", "body": "{\"ticker\":\"GD\", \"setup\":\"A+ Trend Long\", \"side\":\"LONG\", \"price\":369.51, \"stage\":2, \"buy\":91.9, \"sell\":7.9, \"prime\":2, \"revL\":0, \"revS\":0, \"vcp\":0, \"dir_prob\":95.6, \"time\":1784035800000}", "ticker": "GD", "setup": "A+ Trend Long", "side": "LONG", "price": 369.51, "stage": 2, "buy": 91.9, "sell": 7.9, "prime": 2, "revL": 0, "revS": 0, "vcp": 0, "time": 1784035800000, "email_id": "b'892'", "timestamp": "2026-07-14 16:01:21"}</t>
  </si>
  <si>
    <t>The setup is a TREND_LONG driven by a dominant Buy score of 94.75 and a directional probability of 80.29, indicating strong bullish momentum in Stage 2. The stock is currently above its entry zone with a negative risk-reward ratio (-0.20), suggesting the price has already moved significantly past the optimal entry point. However, the presence of an 'earnings_gate' set to CAUTION acts as a veto, capping the triage at WATCH due to the imminent earnings risk.</t>
  </si>
  <si>
    <t>Buy: 92.8 | Sell: 6.9</t>
  </si>
  <si>
    <t>{"symbol": "A", "strategy": "Daily", "action": "LONG", "alert_price": 134.33, "score": "", "dir_prob": "88.8", "net_sigma": "", "grade": "", "align": "", "premium": "", "wrong_if": "", "context": "", "subject": "Alert: Rev - Screener v1 (SPY, 12): Any alert() function call", "body": "{\"ticker\":\"A\", \"setup\":\"Bullish Squeeze Release\", \"side\":\"LONG\", \"price\":134.33, \"stage\":2, \"buy\":90.2, \"sell\":18.2, \"prime\":0, \"revL\":0, \"revS\":0, \"vcp\":2, \"dir_prob\":88.8, \"time\":1783690200000}", "ticker": "A", "setup": "Bullish Squeeze Release", "side": "LONG", "price": 134.33, "stage": 2, "buy": 90.2, "sell": 18.2, "prime": 0, "revL": 0, "revS": 0, "vcp": 2, "time": 1783690200000, "email_id": "b'490'", "timestamp": "2026-07-10 16:01:34"}</t>
  </si>
  <si>
    <t>TREND_LONG fires on dominant_side=long with buy=93.82 (&gt;=65) and dir_prob=87.92 in Stage 2 / regime 0, showing a strong trending long with no ignition or Zone-0 reversion. News CONFIRMS the long via BofA Securities maintaining Buy and raising target to $1334 (catalyst: Analyst Rating), with additional Alzheimer's research abstracts flagged as bullish context. Triage is PASS as regime is Healthy (0) and Stage 2 (not 4), with no contradiction, earnings FAIL, or chased poor R:R (rr_from_current=1.62 &gt;=1.0); key_flags note 'chased' (zone_state=above_zone, not in_zone) and 'earnings' (earnings_gate=CAUTION, earnings_days=-1 unknown).</t>
  </si>
  <si>
    <t>Buy: 93.4 | Sell: 6.1</t>
  </si>
  <si>
    <t>{"symbol": "BAX", "strategy": "Daily", "action": "LONG", "alert_price": 22.47, "score": "", "dir_prob": "96.2", "net_sigma": "", "grade": "", "align": "", "premium": "", "wrong_if": "", "context": "", "subject": "Alert: Rev - Screener v1 (SPY, 12): Any alert() function call", "body": "{\"ticker\":\"BAX\", \"setup\":\"A+ Trend Long\", \"side\":\"LONG\", \"price\":22.47, \"stage\":2, \"buy\":88.3, \"sell\":6.3, \"prime\":2, \"revL\":0, \"revS\":0, \"vcp\":0, \"dir_prob\":96.2, \"time\":1783603800000}", "ticker": "BAX", "setup": "A+ Trend Long", "side": "LONG", "price": 22.47, "stage": 2, "buy": 88.3, "sell": 6.3, "prime": 2, "revL": 0, "revS": 0, "vcp": 0, "time": 1783603800000, "email_id": "b'306'", "timestamp": "2026-07-09 16:01:06"}</t>
  </si>
  <si>
    <t>{"symbol": "WRB", "strategy": "Daily", "action": "LONG", "alert_price": 72.0, "score": "", "dir_prob": "96.8", "net_sigma": "", "grade": "", "align": "", "premium": "", "wrong_if": "", "context": "", "subject": "Alert: Rev - Screener v1 (SPY, 12): Any alert() function call", "body": "{\"ticker\":\"WRB\", \"setup\":\"A+ Trend Long\", \"side\":\"LONG\", \"price\":72.00, \"stage\":2, \"buy\":92.8, \"sell\":6.9, \"prime\":2, \"revL\":0, \"revS\":0, \"vcp\":0, \"dir_prob\":96.8, \"time\":1784035800000}", "ticker": "WRB", "setup": "A+ Trend Long", "side": "LONG", "price": 72.0, "stage": 2, "buy": 92.8, "sell": 6.9, "prime": 2, "revL": 0, "revS": 0, "vcp": 0, "time": 1784035800000, "email_id": "b'893'", "timestamp": "2026-07-14 16:01:15"}</t>
  </si>
  <si>
    <t>The setup is a strong TREND_LONG driven by a Buy score of 97.54, a Sell score of 21.61, and a Direction Probability of 96.99, indicating overwhelming bullish momentum in Stage 2. The stock is trading above its long entry zone with a defined stop at 68.21 and a target of 73.08. However, the triage is capped to WATCH due to the 'earnings' flag, as the earnings gate is set to CAUTION with unknown days remaining, introducing a potential landmine risk.</t>
  </si>
  <si>
    <t>Buy: 96.5 | Sell: 20.9</t>
  </si>
  <si>
    <t>{"symbol": "PANW", "strategy": "Daily", "action": "LONG", "alert_price": 325.9, "score": "", "dir_prob": "94.6", "net_sigma": "", "grade": "", "align": "", "premium": "", "wrong_if": "", "context": "", "subject": "Alert: Rev - Screener v1 (SPY, 12): Any alert() function call", "body": "{\"ticker\":\"PANW\", \"setup\":\"A+ Trend Long\", \"side\":\"LONG\", \"price\":325.90, \"stage\":2, \"buy\":93.4, \"sell\":6.1, \"prime\":2, \"revL\":0, \"revS\":0, \"vcp\":0, \"dir_prob\":94.6, \"time\":1783690200000}", "ticker": "PANW", "setup": "A+ Trend Long", "side": "LONG", "price": 325.9, "stage": 2, "buy": 93.4, "sell": 6.1, "prime": 2, "revL": 0, "revS": 0, "vcp": 0, "time": 1783690200000, "email_id": "b'560'", "timestamp": "2026-07-10 16:01:29"}</t>
  </si>
  <si>
    <t>Buy: 96.9 | Sell: 7.7</t>
  </si>
  <si>
    <t>TREND_LONG fires on buy score 93.63 (&gt;=65) with dir_prob 88.65 and stage 2 / regime 0 healthy trend. News CONFIRMS the long side via the catalyst 'Upbeat Q2 earnings' (headlines note Delta posted upbeat Q2 and strong summer travel). Triage is capped at WATCH because zone_state is above_zone (price 87.39 vs long_zone 81.07-81.82) with rr_from_current 0.014 (&lt;1.0), a chased poor R:R entry; earnings_gate CAUTION (earnings_days -1) adds a soft earnings flag. No exhaustion, churn, stage_lag, or aggressive_target flags apply from the provided values.</t>
  </si>
  <si>
    <t>Buy: 96.3 | Sell: 7.1</t>
  </si>
  <si>
    <t>{"symbol": "LUV", "strategy": "Daily", "action": "LONG", "alert_price": 47.56, "score": "", "dir_prob": "93.2", "net_sigma": "", "grade": "", "align": "", "premium": "", "wrong_if": "", "context": "", "subject": "Alert: Rev - Screener v1 (SPY, 12): Any alert() function call", "body": "{\"ticker\":\"LUV\", \"setup\":\"A+ Trend Long\", \"side\":\"LONG\", \"price\":47.56, \"stage\":2, \"buy\":96.5, \"sell\":20.9, \"prime\":2, \"revL\":0, \"revS\":0, \"vcp\":0, \"dir_prob\":93.2, \"time\":1784035800000}", "ticker": "LUV", "setup": "A+ Trend Long", "side": "LONG", "price": 47.56, "stage": 2, "buy": 96.5, "sell": 20.9, "prime": 2, "revL": 0, "revS": 0, "vcp": 0, "time": 1784035800000, "email_id": "b'917'", "timestamp": "2026-07-14 16:01:27"}</t>
  </si>
  <si>
    <t>The setup is a TREND_LONG driven by a dominant Buy score of 86.72, a Sell score of 20.2, and a high directional probability of 92.29 in Stage 2. The Rev Zone L score of 6.5 indicates a Zone 2 mean-reversion signal, supporting the trend bias. However, the triage is capped to WATCH because the earnings gate is set to CAUTION and the zone_state is 'above_zone' with an R:R of only 0.54, indicating a chased entry with poor risk-reward.</t>
  </si>
  <si>
    <t>Buy: 96.8 | Sell: 19.6</t>
  </si>
  <si>
    <t>{"symbol": "TTWO", "strategy": "Daily", "action": "LONG", "alert_price": 243.24, "score": "", "dir_prob": "95.7", "net_sigma": "", "grade": "", "align": "", "premium": "", "wrong_if": "", "context": "", "subject": "Alert: Rev - Screener v1 (SPY, 12): Any alert() function call", "body": "{\"ticker\":\"TTWO\", \"setup\":\"A+ Trend Long\", \"side\":\"LONG\", \"price\":243.24, \"stage\":2, \"buy\":96.3, \"sell\":7.1, \"prime\":2, \"revL\":0, \"revS\":0, \"vcp\":0, \"dir_prob\":95.7, \"time\":1783690200000}", "ticker": "TTWO", "setup": "A+ Trend Long", "side": "LONG", "price": 243.24, "stage": 2, "buy": 96.3, "sell": 7.1, "prime": 2, "revL": 0, "revS": 0, "vcp": 0, "time": 1783690200000, "email_id": "b'563'", "timestamp": "2026-07-10 16:01:28"}</t>
  </si>
  <si>
    <t>TREND_LONG fires on dominant_side=long with buy=87.92 (&gt;=65) and dir_prob=80.64, while stage=2 and ext_pct=4.71 show a healthy uptrend with low exhaustion=0.17. News is NEUTRAL with catalyst 'none' from empty headlines, so no confirmation or contradiction. Triage caps at WATCH because regime=3 (Distribution) triggers a veto and zone_state=above_zone with rr_from_current=0.79 (&lt;1.0) flags a chased, poor R:R entry; soft flags 'chased' and 'earnings' (earnings_gate=CAUTION, days=-1) annotate the weak setup, with no other flags applicable.</t>
  </si>
  <si>
    <t>{"symbol": "PPG", "strategy": "Daily", "action": "LONG", "alert_price": 115.99, "score": "", "dir_prob": "96.1", "net_sigma": "", "grade": "", "align": "", "premium": "", "wrong_if": "", "context": "", "subject": "Alert: Rev - Screener v1 (SPY, 12): Any alert() function call", "body": "{\"ticker\":\"PPG\", \"setup\":\"A+ Trend Long\", \"side\":\"LONG\", \"price\":115.99, \"stage\":2, \"buy\":96.9, \"sell\":7.7, \"prime\":2, \"revL\":0, \"revS\":0, \"vcp\":0, \"dir_prob\":96.1, \"time\":1783603800000}", "ticker": "PPG", "setup": "A+ Trend Long", "side": "LONG", "price": 115.99, "stage": 2, "buy": 96.9, "sell": 7.7, "prime": 2, "revL": 0, "revS": 0, "vcp": 0, "time": 1783603800000, "email_id": "b'231'", "timestamp": "2026-07-09 16:01:35"}</t>
  </si>
  <si>
    <t>Buy: 90 | Sell: 13.1</t>
  </si>
  <si>
    <t>{"symbol": "CINF", "strategy": "Daily", "action": "LONG", "alert_price": 180.0, "score": "", "dir_prob": "92.9", "net_sigma": "", "grade": "", "align": "", "premium": "", "wrong_if": "", "context": "", "subject": "Alert: Rev - Screener v1 (SPY, 12): Any alert() function call", "body": "{\"ticker\":\"CINF\", \"setup\":\"A+ Trend Long\", \"side\":\"LONG\", \"price\":180.00, \"stage\":2, \"buy\":96.8, \"sell\":19.6, \"prime\":2, \"revL\":0, \"revS\":0, \"vcp\":0, \"dir_prob\":92.9, \"time\":1784035800000}", "ticker": "CINF", "setup": "A+ Trend Long", "side": "LONG", "price": 180.0, "stage": 2, "buy": 96.8, "sell": 19.6, "prime": 2, "revL": 0, "revS": 0, "vcp": 0, "time": 1784035800000, "email_id": "b'920'", "timestamp": "2026-07-14 16:01:33"}</t>
  </si>
  <si>
    <t>The setup is a TREND_LONG driven by a dominant Buy score of 91.64 and a 94.55% directional probability in Stage 2. However, the price is currently 'above_zone' with a poor Risk:Reward of 0.13, indicating a chased entry. Additionally, the earnings gate is set to 'CAUTION', adding a soft flag for potential volatility.</t>
  </si>
  <si>
    <t>Buy: 93.6 | Sell: 25.1</t>
  </si>
  <si>
    <t>Buy: 95.3 | Sell: 9.2</t>
  </si>
  <si>
    <t>{"symbol": "AIG", "strategy": "Daily", "action": "LONG", "alert_price": 79.13, "score": "", "dir_prob": "97.7", "net_sigma": "", "grade": "", "align": "", "premium": "", "wrong_if": "", "context": "", "subject": "Alert: Rev - Screener v1 (SPY, 12): Any alert() function call", "body": "{\"ticker\":\"AIG\", \"setup\":\"A+ Trend Long\", \"side\":\"LONG\", \"price\":79.13, \"stage\":2, \"buy\":90, \"sell\":13.1, \"prime\":2, \"revL\":0, \"revS\":0, \"vcp\":0, \"dir_prob\":97.7, \"time\":1783690200000}", "ticker": "AIG", "setup": "A+ Trend Long", "side": "LONG", "price": 79.13, "stage": 2, "buy": 90, "sell": 13.1, "prime": 2, "revL": 0, "revS": 0, "vcp": 0, "time": 1783690200000, "email_id": "b'549'", "timestamp": "2026-07-10 16:01:21"}</t>
  </si>
  <si>
    <t>TREND_LONG is firing on buy=98.19 (&gt;=65) with dir_prob=96.13 and stage=2 / regime=0 (healthy uptrend), while sell=18.99 and rev_zone_l=0 confirm no competing signal. News read is NEUTRAL with catalyst 'none' from empty headlines, so no confirmation or contradiction applies. Triage is PASS as a trend/dip-buy long: regime is not climax/distribution, stage is not 4, and rr_from_current=1.40 (above_zone) is not below 1.0 so no veto cap triggers. Soft flags apply: earnings_gate=CAUTION with earnings_days=-1 yields 'earnings', and zone_state=above_zone (not in_zone) yields 'chased'; ext_pct=14.24 and exhaustion=0.07 are healthy so no exhaustion flag.</t>
  </si>
  <si>
    <t>Buy: 96.7 | Sell: 6.2</t>
  </si>
  <si>
    <t>{"symbol": "CPT", "strategy": "Daily", "action": "LONG", "alert_price": 112.99, "score": "", "dir_prob": "90.9", "net_sigma": "", "grade": "", "align": "", "premium": "", "wrong_if": "", "context": "", "subject": "Alert: Rev - Screener v1 (SPY, 12): Any alert() function call", "body": "{\"ticker\":\"CPT\", \"setup\":\"A+ Trend Long\", \"side\":\"LONG\", \"price\":112.99, \"stage\":2, \"buy\":93.6, \"sell\":25.1, \"prime\":2, \"revL\":0, \"revS\":0, \"vcp\":0, \"dir_prob\":90.9, \"time\":1784035800000}", "ticker": "CPT", "setup": "A+ Trend Long", "side": "LONG", "price": 112.99, "stage": 2, "buy": 93.6, "sell": 25.1, "prime": 2, "revL": 0, "revS": 0, "vcp": 0, "time": 1784035800000, "email_id": "b'923'", "timestamp": "2026-07-14 16:01:16"}</t>
  </si>
  <si>
    <t>The setup is a strong TREND_LONG driven by a Buy score of 94.84, a Sell score of 35.19, and a Direction Probability of 90.89 in Stage 2. The news confirms this bias as Barclays raised the price target to $122. However, the triage is capped to WATCH due to the 'earnings' flag (CAUTION gate) and the 'chased' status, as the stock is above the long zone with a Risk:Reward of only 0.69.</t>
  </si>
  <si>
    <t>Buy: 95.4 | Sell: 9.5</t>
  </si>
  <si>
    <t>{"symbol": "APH", "strategy": "Daily", "action": "LONG", "alert_price": 159.07, "score": "", "dir_prob": "93.6", "net_sigma": "", "grade": "", "align": "", "premium": "", "wrong_if": "", "context": "", "subject": "Alert: Rev - Screener v1 (SPY, 12): Any alert() function call", "body": "{\"ticker\":\"APH\", \"setup\":\"A+ Trend Long\", \"side\":\"LONG\", \"price\":159.07, \"stage\":2, \"buy\":96.7, \"sell\":6.2, \"prime\":2, \"revL\":0, \"revS\":0, \"vcp\":0, \"dir_prob\":93.6, \"time\":1783690200000}", "ticker": "APH", "setup": "A+ Trend Long", "side": "LONG", "price": 159.07, "stage": 2, "buy": 96.7, "sell": 6.2, "prime": 2, "revL": 0, "revS": 0, "vcp": 0, "time": 1783690200000, "email_id": "b'423'", "timestamp": "2026-07-10 16:01:19"}</t>
  </si>
  <si>
    <t>TREND_LONG fires on dominant_side=long with buy=85.21 (&gt;=65) and dir_prob=86.35, while stage=2 (uptrend) confirms a trend/dip-buy long. The triage is capped to WATCH because regime=3 (Distribution) triggers the WATCH cap for TREND_LONG per spec B. News read is NEUTRAL with catalyst 'none' (headlines empty), so no contradiction or confirmation. Key flag 'earnings' applies from earnings_gate=CAUTION and earnings_days=-1; no other soft flags fire (ext_pct=6.48 &lt;20, opposite_score=28 &lt;60, zone_state=in_zone, rr_from_current=0.76 but not above_zone).</t>
  </si>
  <si>
    <t>{"symbol": "HSIC", "strategy": "Daily", "action": "LONG", "alert_price": 83.87, "score": "", "dir_prob": "95.1", "net_sigma": "", "grade": "", "align": "", "premium": "", "wrong_if": "", "context": "", "subject": "Alert: Rev - Screener v1 (SPY, 12): Any alert() function call", "body": "{\"ticker\":\"HSIC\", \"setup\":\"A+ Trend Long\", \"side\":\"LONG\", \"price\":83.87, \"stage\":2, \"buy\":95.3, \"sell\":9.2, \"prime\":2, \"revL\":0, \"revS\":0, \"vcp\":0, \"dir_prob\":95.1, \"time\":1783603800000}", "ticker": "HSIC", "setup": "A+ Trend Long", "side": "LONG", "price": 83.87, "stage": 2, "buy": 95.3, "sell": 9.2, "prime": 2, "revL": 0, "revS": 0, "vcp": 0, "time": 1783603800000, "email_id": "b'304'", "timestamp": "2026-07-09 16:01:27"}</t>
  </si>
  <si>
    <t>{"symbol": "ED", "strategy": "Daily", "action": "LONG", "alert_price": 111.96, "score": "", "dir_prob": "95.3", "net_sigma": "", "grade": "", "align": "", "premium": "", "wrong_if": "", "context": "", "subject": "Alert: Rev - Screener v1 (SPY, 12): Any alert() function call", "body": "{\"ticker\":\"ED\", \"setup\":\"A+ Trend Long\", \"side\":\"LONG\", \"price\":111.96, \"stage\":2, \"buy\":95.4, \"sell\":9.5, \"prime\":2, \"revL\":0, \"revS\":0, \"vcp\":0, \"dir_prob\":95.3, \"time\":1784035800000}", "ticker": "ED", "setup": "A+ Trend Long", "side": "LONG", "price": 111.96, "stage": 2, "buy": 95.4, "sell": 9.5, "prime": 2, "revL": 0, "revS": 0, "vcp": 0, "time": 1784035800000, "email_id": "b'927'", "timestamp": "2026-07-14 16:01:30"}</t>
  </si>
  <si>
    <t>The setup is a TREND_LONG driven by a dominant Buy score of 96.71 vs Sell 46.48 and a high directional probability of 86.15 in Stage 2. However, the trade is capped to WATCH due to a 'churn' signal where the opposite score (46.48) is relatively high, combined with an 'earnings' caution flag and a 'chased' condition where the current price is above the entry zone with poor risk-reward (0.30).</t>
  </si>
  <si>
    <t>Buy: 81.4 | Sell: 23.8</t>
  </si>
  <si>
    <t>ACGL</t>
  </si>
  <si>
    <t>Buy: 77 | Sell: 4.5</t>
  </si>
  <si>
    <t>Buy: 70.8 | Sell: 8.7</t>
  </si>
  <si>
    <t>{"symbol": "FFIV", "strategy": "Daily", "action": "LONG", "alert_price": 430.27, "score": "", "dir_prob": "73.5", "net_sigma": "", "grade": "", "align": "", "premium": "", "wrong_if": "", "context": "", "subject": "Alert: Rev - Screener v1 (SPY, 12): Any alert() function call", "body": "{\"ticker\":\"FFIV\", \"setup\":\"Early Action Long\", \"side\":\"LONG\", \"price\":430.27, \"stage\":2, \"buy\":81.4, \"sell\":23.8, \"prime\":1, \"revL\":0, \"revS\":0, \"vcp\":0, \"dir_prob\":73.5, \"time\":1783690200000}", "ticker": "FFIV", "setup": "Early Action Long", "side": "LONG", "price": 430.27, "stage": 2, "buy": 81.4, "sell": 23.8, "prime": 1, "revL": 0, "revS": 0, "vcp": 0, "time": 1783690200000, "email_id": "b'426'", "timestamp": "2026-07-10 16:01:26"}</t>
  </si>
  <si>
    <t>TREND_LONG is firing on buy score 86.1 (&gt;=65) with dominant_side long, stage 2 and dir_prob 59.37 showing mild bullish edge. News read is NEUTRAL with catalyst 'none' (headlines empty), so no confirmation or contradiction. Triage caps at WATCH because regime is 3 (Distribution), which blocks a clean PASS, and additionally zone_state is above_zone with rr_from_current 0.189 (&lt;1.0) marking a chased, poor R:R entry. Soft flags apply: 'chased' (not in long zone) and 'earnings' (earnings_gate CAUTION, earnings_days -1 unknown); no exhaustion, churn, or stage_lag present.</t>
  </si>
  <si>
    <t>{"symbol": "ACGL", "strategy": "Daily", "action": "LONG", "alert_price": 101.51, "score": "", "dir_prob": "93.1", "net_sigma": "", "grade": "", "align": "", "premium": "", "wrong_if": "", "context": "", "subject": "Alert: Rev - Screener v1 (SPY, 12): Any alert() function call", "body": "{\"ticker\":\"ACGL\", \"setup\":\"Early Action Long\", \"side\":\"LONG\", \"price\":101.51, \"stage\":2, \"buy\":77, \"sell\":4.5, \"prime\":1, \"revL\":0, \"revS\":0, \"vcp\":0, \"dir_prob\":93.1, \"time\":1784035800000}", "ticker": "ACGL", "setup": "Early Action Long", "side": "LONG", "price": 101.51, "stage": 2, "buy": 77, "sell": 4.5, "prime": 1, "revL": 0, "revS": 0, "vcp": 0, "time": 1784035800000, "email_id": "b'946'", "timestamp": "2026-07-14 16:01:23"}</t>
  </si>
  <si>
    <t>The setup is a TREND_LONG driven by a high Buy score of 85.66, a dominant direction probability of 80.4%, and a healthy Stage 2 regime with low exhaustion (0.04). The stock is trading above its long entry zone with a negative R:R (-0.175) from current price, indicating a potential short-term pullback before the next leg up. However, the triage is capped to WATCH due to the 'earnings' flag, as the system flags CAUTION for unknown or imminent earnings dates.</t>
  </si>
  <si>
    <t>Buy: 95.5 | Sell: 6.9</t>
  </si>
  <si>
    <t>Buy: 75.7 | Sell: 42.1</t>
  </si>
  <si>
    <t>{"symbol": "MTD", "strategy": "Daily", "action": "LONG", "alert_price": 1288.43, "score": "", "dir_prob": "90.2", "net_sigma": "", "grade": "", "align": "", "premium": "", "wrong_if": "", "context": "", "subject": "Alert: Rev - Screener v1 (SPY, 12): Any alert() function call", "body": "{\"ticker\":\"MTD\", \"setup\":\"Early Action Long\", \"side\":\"LONG\", \"price\":1288.43, \"stage\":2, \"buy\":70.8, \"sell\":8.7, \"prime\":1, \"revL\":0, \"revS\":0, \"vcp\":0, \"dir_prob\":90.2, \"time\":1783603800000}", "ticker": "MTD", "setup": "Early Action Long", "side": "LONG", "price": 1288.43, "stage": 2, "buy": 70.8, "sell": 8.7, "prime": 1, "revL": 0, "revS": 0, "vcp": 0, "time": 1783603800000, "email_id": "b'343'", "timestamp": "2026-07-09 16:01:18"}</t>
  </si>
  <si>
    <t>{"symbol": "LYV", "strategy": "Daily", "action": "LONG", "alert_price": 181.35, "score": "", "dir_prob": "91.8", "net_sigma": "", "grade": "", "align": "", "premium": "", "wrong_if": "", "context": "", "subject": "Alert: Rev - Screener v1 (SPY, 12): Any alert() function call", "body": "{\"ticker\":\"LYV\", \"setup\":\"A+ Trend Long\", \"side\":\"LONG\", \"price\":181.35, \"stage\":2, \"buy\":95.5, \"sell\":6.9, \"prime\":2, \"revL\":0, \"revS\":0, \"vcp\":0, \"dir_prob\":91.8, \"time\":1784035800000}", "ticker": "LYV", "setup": "A+ Trend Long", "side": "LONG", "price": 181.35, "stage": 2, "buy": 95.5, "sell": 6.9, "prime": 2, "revL": 0, "revS": 0, "vcp": 0, "time": 1784035800000, "email_id": "b'952'", "timestamp": "2026-07-14 16:01:14"}</t>
  </si>
  <si>
    <t>{"symbol": "CNC", "strategy": "Daily", "action": "LONG", "alert_price": 67.34, "score": "", "dir_prob": "68", "net_sigma": "", "grade": "", "align": "", "premium": "", "wrong_if": "", "context": "", "subject": "Alert: Rev - Screener v1 (SPY, 12): Any alert() function call", "body": "{\"ticker\":\"CNC\", \"setup\":\"Early Action Long\", \"side\":\"LONG\", \"price\":67.34, \"stage\":2, \"buy\":75.7, \"sell\":42.1, \"prime\":1, \"revL\":0, \"revS\":0, \"vcp\":0, \"dir_prob\":68, \"time\":1783690200000}", "ticker": "CNC", "setup": "Early Action Long", "side": "LONG", "price": 67.34, "stage": 2, "buy": 75.7, "sell": 42.1, "prime": 1, "revL": 0, "revS": 0, "vcp": 0, "time": 1783690200000, "email_id": "b'520'", "timestamp": "2026-07-10 16:01:35"}</t>
  </si>
  <si>
    <t>The setup is a TREND_LONG driven by a dominant Buy score of 97.25 and a directional probability of 79.95, indicating strong bullish momentum in Stage 2. The stock is trading 14.87% above the MA200, flagging it as 'extended', and the Buy score is notably higher than the Sell score (45.39). However, the triage is capped to WATCH due to the 'earnings' flag (gate is CAUTION) and the 'extended' status, which suggests limited upside room before a potential pullback.</t>
  </si>
  <si>
    <t>TREND_SHORT is firing: dominant_side is short with sell score 76.6 (&gt;=65), dir_prob 14.73 confirms bearish bias, and stage 4 / regime 4 describe a downtrend. News reads NEUTRAL via the broad 'General Market' catalyst (tech stocks dropping generally, no ACN-specific item) so it neither confirms nor contradicts the short. Triage is PASS with no WATCH cap (rev_zone_l=0, stage!=2, earnings_gate only CAUTION); the sole soft flag is 'earnings' because earnings_gate=CAUTION with earnings_days=-1.</t>
  </si>
  <si>
    <t>Buy: 96.6 | Sell: 5.4</t>
  </si>
  <si>
    <t>Buy: 95.9 | Sell: 8.8</t>
  </si>
  <si>
    <t>Buy: 96 | Sell: 4.5</t>
  </si>
  <si>
    <t>{"symbol": "FITB", "strategy": "Daily", "action": "LONG", "alert_price": 57.08, "score": "", "dir_prob": "92.5", "net_sigma": "", "grade": "", "align": "", "premium": "", "wrong_if": "", "context": "", "subject": "Alert: Rev - Screener v1 (SPY, 12): Any alert() function call", "body": "{\"ticker\":\"FITB\", \"setup\":\"A+ Trend Long\", \"side\":\"LONG\", \"price\":57.08, \"stage\":2, \"buy\":96.6, \"sell\":5.4, \"prime\":2, \"revL\":0, \"revS\":0, \"vcp\":0, \"dir_prob\":92.5, \"time\":1784035800000}", "ticker": "FITB", "setup": "A+ Trend Long", "side": "LONG", "price": 57.08, "stage": 2, "buy": 96.6, "sell": 5.4, "prime": 2, "revL": 0, "revS": 0, "vcp": 0, "time": 1784035800000, "email_id": "b'960'", "timestamp": "2026-07-14 16:01:26"}</t>
  </si>
  <si>
    <t>{"symbol": "MAS", "strategy": "Daily", "action": "LONG", "alert_price": 77.84, "score": "", "dir_prob": "91.9", "net_sigma": "", "grade": "", "align": "", "premium": "", "wrong_if": "", "context": "", "subject": "Alert: Rev - Screener v1 (SPY, 12): Any alert() function call", "body": "{\"ticker\":\"MAS\", \"setup\":\"A+ Trend Long\", \"side\":\"LONG\", \"price\":77.84, \"stage\":2, \"buy\":95.9, \"sell\":8.8, \"prime\":2, \"revL\":0, \"revS\":0, \"vcp\":0, \"dir_prob\":91.9, \"time\":1783690200000}", "ticker": "MAS", "setup": "A+ Trend Long", "side": "LONG", "price": 77.84, "stage": 2, "buy": 95.9, "sell": 8.8, "prime": 2, "revL": 0, "revS": 0, "vcp": 0, "time": 1783690200000, "email_id": "b'527'", "timestamp": "2026-07-10 16:01:39"}</t>
  </si>
  <si>
    <t>The setup is a strong TREND_LONG driven by a Buy score of 96.68, a Dir Prob of 82.08, and Stage 2 momentum, with the headline confirming the sector comeback narrative. The stock is currently above the long entry zone (55.47-55.77) but the R:R is poor (0.027) because the target (57.11) is only 2.7% away from the current price of 57.05. The triage is capped to WATCH due to the 'earnings' flag (CAUTION gate) and the 'chased' status where the setup offers minimal upside relative to the entry zone.</t>
  </si>
  <si>
    <t>TREND_LONG fires on dominant_side=long with buy=97.19 (&gt;=65) and dir_prob=95.14, while stage=2 and regime=0 show a healthy uptrend with no exhaustion (ext_pct=0.0, exhaustion=0.0). News CONFIRMS the long bias via the catalyst 'Analyst Rating' — multiple banks raised price targets (Citi $43, Wells $42, JPM $51) supporting direction. Triage is PASS: no WATCH cap applies (regime not climax/distribution, stage not 4, no contradiction, zone_state=in_zone with rr_from_current=1.99 &gt;=1.0). The only soft flag is 'earnings' because earnings_gate=CAUTION (earnings_days=-1 unknown), which does not block the pass.</t>
  </si>
  <si>
    <t>Buy: 76 | Sell: 20.1</t>
  </si>
  <si>
    <t>Buy: 93.7 | Sell: 5.8</t>
  </si>
  <si>
    <t>{"symbol": "SHW", "strategy": "Daily", "action": "LONG", "alert_price": 332.05, "score": "", "dir_prob": "97", "net_sigma": "", "grade": "", "align": "", "premium": "", "wrong_if": "", "context": "", "subject": "Alert: Rev - Screener v1 (SPY, 12): Any alert() function call", "body": "{\"ticker\":\"SHW\", \"setup\":\"A+ Trend Long\", \"side\":\"LONG\", \"price\":332.05, \"stage\":2, \"buy\":96, \"sell\":4.5, \"prime\":2, \"revL\":0, \"revS\":0, \"vcp\":0, \"dir_prob\":97, \"time\":1783603800000}", "ticker": "SHW", "setup": "A+ Trend Long", "side": "LONG", "price": 332.05, "stage": 2, "buy": 96, "sell": 4.5, "prime": 2, "revL": 0, "revS": 0, "vcp": 0, "time": 1783603800000, "email_id": "b'201'", "timestamp": "2026-07-09 16:01:17"}</t>
  </si>
  <si>
    <t>{"symbol": "GEN", "strategy": "Daily", "action": "LONG", "alert_price": 26.58, "score": "", "dir_prob": "91.5", "net_sigma": "", "grade": "", "align": "", "premium": "", "wrong_if": "", "context": "", "subject": "Alert: Rev - Screener v1 (SPY, 12): Any alert() function call", "body": "{\"ticker\":\"GEN\", \"setup\":\"Early Action Long\", \"side\":\"LONG\", \"price\":26.58, \"stage\":2, \"buy\":76, \"sell\":20.1, \"prime\":1, \"revL\":0, \"revS\":0, \"vcp\":0, \"dir_prob\":91.5, \"time\":1784035800000}", "ticker": "GEN", "setup": "Early Action Long", "side": "LONG", "price": 26.58, "stage": 2, "buy": 76, "sell": 20.1, "prime": 1, "revL": 0, "revS": 0, "vcp": 0, "time": 1784035800000, "email_id": "b'790'", "timestamp": "2026-07-14 16:01:02"}</t>
  </si>
  <si>
    <t>The setup is a TREND_LONG driven by a dominant Buy score of 83.41, a 95.79% directional probability, and Stage 2 (up-trend) status with low exhaustion (0.0491). The stock is currently in the long entry zone with a healthy R:R of ~2.0x. However, the triage is capped to WATCH due to the 'earnings' flag, as the earnings gate is set to CAUTION with unknown days remaining, introducing a potential landmine risk.</t>
  </si>
  <si>
    <t>{"symbol": "HOOD", "strategy": "Daily", "action": "LONG", "alert_price": 111.99, "score": "", "dir_prob": "93.3", "net_sigma": "", "grade": "", "align": "", "premium": "", "wrong_if": "", "context": "", "subject": "Alert: Rev - Screener v1 (SPY, 12): Any alert() function call", "body": "{\"ticker\":\"HOOD\", \"setup\":\"A+ Trend Long\", \"side\":\"LONG\", \"price\":111.99, \"stage\":2, \"buy\":93.7, \"sell\":5.8, \"prime\":2, \"revL\":0, \"revS\":0, \"vcp\":0, \"dir_prob\":93.3, \"time\":1783690200000}", "ticker": "HOOD", "setup": "A+ Trend Long", "side": "LONG", "price": 111.99, "stage": 2, "buy": 93.7, "sell": 5.8, "prime": 2, "revL": 0, "revS": 0, "vcp": 0, "time": 1783690200000, "email_id": "b'531'", "timestamp": "2026-07-10 16:01:21"}</t>
  </si>
  <si>
    <t>TREND_LONG is firing: buy score 98.52 (&gt;=65), dir_prob 89.98, stage 2, regime 0 (healthy) confirm a strong with-trend long edge with no ignition or reversion override. News read is NEUTRAL with catalyst 'none' from empty headlines, so no contradiction or confirmation applies. Triage is PASS as regime is not climax/distribution and stage is not 4; the only soft flag is 'earnings' because earnings_gate is CAUTION (earnings_days -1 unknown), which does not cap the verdict. Long zone is in_zone at 265.64-270.83 with rr_from_current ~2.0 and target 298.62 within expected move, so no chased or aggressive_target flags.</t>
  </si>
  <si>
    <t>Buy: 92.8 | Sell: 25.4</t>
  </si>
  <si>
    <t>Buy: 86.4 | Sell: 53.9</t>
  </si>
  <si>
    <t>Buy: 82.4 | Sell: 10.6</t>
  </si>
  <si>
    <t>{"symbol": "TECH", "strategy": "Daily", "action": "LONG", "alert_price": 71.24, "score": "", "dir_prob": "93.5", "net_sigma": "", "grade": "", "align": "", "premium": "", "wrong_if": "", "context": "", "subject": "Alert: Rev - Screener v1 (SPY, 12): Any alert() function call", "body": "{\"ticker\":\"TECH\", \"setup\":\"A+ Trend Long\", \"side\":\"LONG\", \"price\":71.24, \"stage\":2, \"buy\":92.8, \"sell\":25.4, \"prime\":2, \"revL\":0, \"revS\":5, \"vcp\":0, \"dir_prob\":93.5, \"time\":1784035800000}", "ticker": "TECH", "setup": "A+ Trend Long", "side": "LONG", "price": 71.24, "stage": 2, "buy": 92.8, "sell": 25.4, "prime": 2, "revL": 0, "revS": 5, "vcp": 0, "time": 1784035800000, "email_id": "b'798'", "timestamp": "2026-07-14 16:01:04"}</t>
  </si>
  <si>
    <t>The setup is a TREND_LONG driven by a dominant Buy score of 96.5 and a 95.95% directional probability in Stage 2. The stock is extended at +23% above the MA200 with low exhaustion (0.19), suggesting a healthy trend rather than a climax. However, the triage is capped to WATCH due to the 'earnings' flag (gate CAUTION) and the 'extended' status, which introduces volatility risk despite the strong technicals.</t>
  </si>
  <si>
    <t>Buy: 93.8 | Sell: 9.3</t>
  </si>
  <si>
    <t>{"symbol": "MS", "strategy": "Daily", "action": "LONG", "alert_price": 222.29, "score": "", "dir_prob": "58.6", "net_sigma": "", "grade": "", "align": "", "premium": "", "wrong_if": "", "context": "", "subject": "Alert: Rev - Screener v1 (SPY, 12): Any alert() function call", "body": "{\"ticker\":\"MS\", \"setup\":\"A+ Trend Long\", \"side\":\"LONG\", \"price\":222.29, \"stage\":2, \"buy\":86.4, \"sell\":53.9, \"prime\":2, \"revL\":0, \"revS\":0, \"vcp\":0, \"dir_prob\":58.6, \"time\":1783690200000}", "ticker": "MS", "setup": "A+ Trend Long", "side": "LONG", "price": 222.29, "stage": 2, "buy": 86.4, "sell": 53.9, "prime": 2, "revL": 0, "revS": 0, "vcp": 0, "time": 1783690200000, "email_id": "b'537'", "timestamp": "2026-07-10 16:01:24"}</t>
  </si>
  <si>
    <t>TREND_LONG is firing on buy score 98.03, dir_prob 96.9, stage 2 and regime 0 (healthy uptrend), with no ignition or rev-zone signal present (rev_zone_l 0, rev_zone_s 3). News is NEUTRAL to the long case — the only headline concerns Intel, not MRNA, and the provided catalyst is 'General Market' with no contradicting event. Triage is PASS because regime is healthy and stage is not 4 or distribution; no veto cap applies (rr_from_current 2.04 is acceptable despite above_zone). Soft flags added: 'chased' because zone_state is above_zone (not in_zone) and 'earnings' because earnings_days is -1 with CAUTION gate; ext_pct 44.65 is offset by exhaustion 0.245 (&lt;0.3) so no exhaustion flag.</t>
  </si>
  <si>
    <t>Buy: 87.6 | Sell: 17.7</t>
  </si>
  <si>
    <t>{"symbol": "VTR", "strategy": "Daily", "action": "LONG", "alert_price": 92.4, "score": "", "dir_prob": "90.5", "net_sigma": "", "grade": "", "align": "", "premium": "", "wrong_if": "", "context": "", "subject": "Alert: Rev - Screener v1 (SPY, 12): Any alert() function call", "body": "{\"ticker\":\"VTR\", \"setup\":\"A+ Trend Long\", \"side\":\"LONG\", \"price\":92.40, \"stage\":2, \"buy\":93.8, \"sell\":9.3, \"prime\":2, \"revL\":0, \"revS\":0, \"vcp\":0, \"dir_prob\":90.5, \"time\":1784035800000}", "ticker": "VTR", "setup": "A+ Trend Long", "side": "LONG", "price": 92.4, "stage": 2, "buy": 93.8, "sell": 9.3, "prime": 2, "revL": 0, "revS": 0, "vcp": 0, "time": 1784035800000, "email_id": "b'852'", "timestamp": "2026-07-14 16:01:34"}</t>
  </si>
  <si>
    <t>The setup is a TREND_LONG driven by a dominant Buy score of 92.02, a directional probability of 79.4%, and Stage 2 (up-trend) status. The price is currently in the long entry zone with a favorable R:R of ~3.0x. However, the earnings gate is set to CAUTION, which acts as a soft veto flag. No news contradicts the bullish technicals, but the upcoming earnings event warrants caution.</t>
  </si>
  <si>
    <t>Buy: 88.3 | Sell: 19.4</t>
  </si>
  <si>
    <t>{"symbol": "MET", "strategy": "Daily", "action": "LONG", "alert_price": 91.13, "score": "", "dir_prob": "90", "net_sigma": "", "grade": "", "align": "", "premium": "", "wrong_if": "", "context": "", "subject": "Alert: Rev - Screener v1 (SPY, 12): Any alert() function call", "body": "{\"ticker\":\"MET\", \"setup\":\"Early Action Long\", \"side\":\"LONG\", \"price\":91.13, \"stage\":2, \"buy\":82.4, \"sell\":10.6, \"prime\":1, \"revL\":0, \"revS\":0, \"vcp\":0, \"dir_prob\":90, \"time\":1783603800000}", "ticker": "MET", "setup": "Early Action Long", "side": "LONG", "price": 91.13, "stage": 2, "buy": 82.4, "sell": 10.6, "prime": 1, "revL": 0, "revS": 0, "vcp": 0, "time": 1783603800000, "email_id": "b'269'", "timestamp": "2026-07-09 16:01:21"}</t>
  </si>
  <si>
    <t>{"symbol": "UNH", "strategy": "Daily", "action": "LONG", "alert_price": 424.63, "score": "", "dir_prob": "89.4", "net_sigma": "", "grade": "", "align": "", "premium": "", "wrong_if": "", "context": "", "subject": "Alert: Rev - Screener v1 (SPY, 12): Any alert() function call", "body": "{\"ticker\":\"UNH\", \"setup\":\"A+ Trend Long\", \"side\":\"LONG\", \"price\":424.63, \"stage\":2, \"buy\":87.6, \"sell\":17.7, \"prime\":2, \"revL\":0, \"revS\":0, \"vcp\":0, \"dir_prob\":89.4, \"time\":1783690200000}", "ticker": "UNH", "setup": "A+ Trend Long", "side": "LONG", "price": 424.63, "stage": 2, "buy": 87.6, "sell": 17.7, "prime": 2, "revL": 0, "revS": 0, "vcp": 0, "time": 1783690200000, "email_id": "b'538'", "timestamp": "2026-07-10 16:01:31"}</t>
  </si>
  <si>
    <t>TREND_LONG fires on dominant_side=long with buy=89.57 (&gt;=65) and dir_prob=80.88, within stage=2 and regime=0 (healthy). News read is CONTRADICTS: the sole headline is Scotiabank maintaining Sector Underperform with a $109 target below price 112.96, opposing the long bias. Triage is capped at WATCH by the news contradiction veto and again by chased/poor R:R (zone_state=above_zone, rr_from_current=0.73 &lt;1.0); soft flags 'chased' and 'earnings' (earnings_gate=CAUTION, days=-1) apply, while exhaustion/ext_pct/churn/stage_lag do not.</t>
  </si>
  <si>
    <t>Buy: 89.7 | Sell: 18.7</t>
  </si>
  <si>
    <t>{"symbol": "XYZ", "strategy": "Daily", "action": "LONG", "alert_price": 79.99, "score": "", "dir_prob": "90.4", "net_sigma": "", "grade": "", "align": "", "premium": "", "wrong_if": "", "context": "", "subject": "Alert: Rev - Screener v1 (SPY, 12): Any alert() function call", "body": "{\"ticker\":\"XYZ\", \"setup\":\"A+ Trend Long\", \"side\":\"LONG\", \"price\":79.99, \"stage\":2, \"buy\":88.3, \"sell\":19.4, \"prime\":2, \"revL\":0, \"revS\":0, \"vcp\":0, \"dir_prob\":90.4, \"time\":1784035800000}", "ticker": "XYZ", "setup": "A+ Trend Long", "side": "LONG", "price": 79.99, "stage": 2, "buy": 88.3, "sell": 19.4, "prime": 2, "revL": 0, "revS": 0, "vcp": 0, "time": 1784035800000, "email_id": "b'906'", "timestamp": "2026-07-14 16:01:18"}</t>
  </si>
  <si>
    <t>The setup is a TREND_LONG driven by a dominant Buy score of 88.85, a Sell score of 9.7, and a directional probability of 92.21, indicating a strong bullish bias in Stage 2. The stock is currently 'in_zone' with a valid long entry zone between 78.59 and 79.99, though the R:R from current price is tight at 0.55. The primary caution is the 'earnings_gate' status of CAUTION with unknown days remaining, which caps the conviction despite the strong technicals.</t>
  </si>
  <si>
    <t>Buy: 89.7 | Sell: 26.4</t>
  </si>
  <si>
    <t>{"symbol": "HUM", "strategy": "Daily", "action": "LONG", "alert_price": 392.36, "score": "", "dir_prob": "93.4", "net_sigma": "", "grade": "", "align": "", "premium": "", "wrong_if": "", "context": "", "subject": "Alert: Rev - Screener v1 (SPY, 12): Any alert() function call", "body": "{\"ticker\":\"HUM\", \"setup\":\"A+ Trend Long\", \"side\":\"LONG\", \"price\":392.36, \"stage\":2, \"buy\":89.7, \"sell\":18.7, \"prime\":2, \"revL\":0, \"revS\":0, \"vcp\":0, \"dir_prob\":93.4, \"time\":1783690200000}", "ticker": "HUM", "setup": "A+ Trend Long", "side": "LONG", "price": 392.36, "stage": 2, "buy": 89.7, "sell": 18.7, "prime": 2, "revL": 0, "revS": 0, "vcp": 0, "time": 1783690200000, "email_id": "b'465'", "timestamp": "2026-07-10 16:01:17"}</t>
  </si>
  <si>
    <t>TREND_LONG is firing: buy score 96.34 (&gt;=65), dir_prob 92.22, stage 2, dominant_side long, with no ignition or rev zone. News read is NEUTRAL — the headline on Pelosi/Trump overlapping stock bets is non-specific to PANW (catalyst 'General Market'), sentiment bullish but not a confirm. Triage is capped to WATCH by the veto rule: long with zone_state above_zone and rr_from_current 0.387 (&lt;1.0) = chased, poor R:R. Soft flags apply: exhaustion (ext_pct 50.77, exhaustion 0.454), chased (above zone), earnings (earnings_days -1, CAUTION), extended (regime 1); no contradiction or earnings FAIL.</t>
  </si>
  <si>
    <t>Buy: 96.2 | Sell: 17.3</t>
  </si>
  <si>
    <t>{"symbol": "PNC", "strategy": "Daily", "action": "LONG", "alert_price": 251.8, "score": "", "dir_prob": "94.1", "net_sigma": "", "grade": "", "align": "", "premium": "", "wrong_if": "", "context": "", "subject": "Alert: Rev - Screener v1 (SPY, 12): Any alert() function call", "body": "{\"ticker\":\"PNC\", \"setup\":\"A+ Trend Long\", \"side\":\"LONG\", \"price\":251.80, \"stage\":2, \"buy\":96.9, \"sell\":4.8, \"prime\":2, \"revL\":0, \"revS\":0, \"vcp\":0, \"dir_prob\":94.1, \"time\":1784035800000}", "ticker": "PNC", "setup": "A+ Trend Long", "side": "LONG", "price": 251.8, "stage": 2, "buy": 96.9, "sell": 4.8, "prime": 2, "revL": 0, "revS": 0, "vcp": 0, "time": 1784035800000, "email_id": "b'916'", "timestamp": "2026-07-14 16:01:31"}</t>
  </si>
  <si>
    <t>PNC shows a strong TREND_LONG setup with a Buy score of 98.12, Dir Prob of 86.44, and Stage 2 momentum, supported by positive sector headlines. However, the stock is priced above the long entry zone (248.86-250.12) with a poor R:R of 0.74, triggering a 'chased' flag. Additionally, the 'extended' regime (17.45% above MA200) and 'earnings' caution gate (days=-1) act as soft constraints. Despite the strong technicals, these factors cap the setup at WATCH rather than a full PASS.</t>
  </si>
  <si>
    <t>Buy: 94.1 | Sell: 7.9</t>
  </si>
  <si>
    <t>{"symbol": "CMS", "strategy": "Daily", "action": "LONG", "alert_price": 74.98, "score": "", "dir_prob": "88.8", "net_sigma": "", "grade": "", "align": "", "premium": "", "wrong_if": "", "context": "", "subject": "Alert: Rev - Screener v1 (SPY, 12): Any alert() function call", "body": "{\"ticker\":\"CMS\", \"setup\":\"A+ Trend Long\", \"side\":\"LONG\", \"price\":74.98, \"stage\":2, \"buy\":89.7, \"sell\":26.4, \"prime\":2, \"revL\":0, \"revS\":0, \"vcp\":0, \"dir_prob\":88.8, \"time\":1783603800000}", "ticker": "CMS", "setup": "A+ Trend Long", "side": "LONG", "price": 74.98, "stage": 2, "buy": 89.7, "sell": 26.4, "prime": 2, "revL": 0, "revS": 0, "vcp": 0, "time": 1783603800000, "email_id": "b'328'", "timestamp": "2026-07-09 16:01:10"}</t>
  </si>
  <si>
    <t>{"symbol": "DAL", "strategy": "Daily", "action": "LONG", "alert_price": 87.39, "score": "", "dir_prob": "88.5", "net_sigma": "", "grade": "", "align": "", "premium": "", "wrong_if": "", "context": "", "subject": "Alert: Rev - Screener v1 (SPY, 12): Any alert() function call", "body": "{\"ticker\":\"DAL\", \"setup\":\"A+ Trend Long\", \"side\":\"LONG\", \"price\":87.39, \"stage\":2, \"buy\":96.2, \"sell\":17.3, \"prime\":2, \"revL\":0, \"revS\":0, \"vcp\":0, \"dir_prob\":88.5, \"time\":1783690200000}", "ticker": "DAL", "setup": "A+ Trend Long", "side": "LONG", "price": 87.39, "stage": 2, "buy": 96.2, "sell": 17.3, "prime": 2, "revL": 0, "revS": 0, "vcp": 0, "time": 1783690200000, "email_id": "b'487'", "timestamp": "2026-07-10 16:01:29"}</t>
  </si>
  <si>
    <t>TREND_LONG is firing: buy score 98.55 (&gt;=65), dir_prob 96.82, stage 2 uptrend, regime 0 healthy, and price 274.31 sits in_zone [271.06,274.31]. News CONFIRMS the long bias via Deutsche Bank maintaining Buy and raising target to $335 (catalyst: Analyst Rating). Triage is PASS with no WATCH cap — regime is healthy, stage is not 4, and zone_state is in_zone so the sub-1.0 R:R from current (0.70) does not trigger the chased veto; the only soft flag is earnings (gate CAUTION, days unknown).</t>
  </si>
  <si>
    <t>Buy: 92.1 | Sell: 13.4</t>
  </si>
  <si>
    <t>{"symbol": "JPM", "strategy": "Daily", "action": "LONG", "alert_price": 343.04, "score": "", "dir_prob": "93.8", "net_sigma": "", "grade": "", "align": "", "premium": "", "wrong_if": "", "context": "", "subject": "Alert: Rev - Screener v1 (SPY, 12): Any alert() function call", "body": "{\"ticker\":\"JPM\", \"setup\":\"A+ Trend Long\", \"side\":\"LONG\", \"price\":343.04, \"stage\":2, \"buy\":94.1, \"sell\":7.9, \"prime\":2, \"revL\":0, \"revS\":0, \"vcp\":1, \"dir_prob\":93.8, \"time\":1784035800000}", "ticker": "JPM", "setup": "A+ Trend Long", "side": "LONG", "price": 343.04, "stage": 2, "buy": 94.1, "sell": 7.9, "prime": 2, "revL": 0, "revS": 0, "vcp": 1, "time": 1784035800000, "email_id": "b'949'", "timestamp": "2026-07-14 16:01:17"}</t>
  </si>
  <si>
    <t>JPM is firing a TREND_LONG signal with a Buy Score of 70.75, Dir Prob of 89.37, and Stage 2, confirming the bullish bias. The news sentiment is bullish, aligning with the technicals, though no specific catalyst is named. The triage is capped to WATCH due to the 'earnings' flag (CAUTION gate) and the 'extended' flag (Regime 6, Ext% 13.26), indicating a crowded, high-risk environment despite the strong directional edge.</t>
  </si>
  <si>
    <t>Buy: 89.5 | Sell: 11.9</t>
  </si>
  <si>
    <t>Buy: 95.9 | Sell: 6.9</t>
  </si>
  <si>
    <t>{"symbol": "ESS", "strategy": "Daily", "action": "LONG", "alert_price": 293.59, "score": "", "dir_prob": "95.1", "net_sigma": "", "grade": "", "align": "", "premium": "", "wrong_if": "", "context": "", "subject": "Alert: Rev - Screener v1 (SPY, 12): Any alert() function call", "body": "{\"ticker\":\"ESS\", \"setup\":\"A+ Trend Long\", \"side\":\"LONG\", \"price\":293.59, \"stage\":2, \"buy\":92.1, \"sell\":13.4, \"prime\":2, \"revL\":0, \"revS\":0, \"vcp\":0, \"dir_prob\":95.1, \"time\":1783690200000}", "ticker": "ESS", "setup": "A+ Trend Long", "side": "LONG", "price": 293.59, "stage": 2, "buy": 92.1, "sell": 13.4, "prime": 2, "revL": 0, "revS": 0, "vcp": 0, "time": 1783690200000, "email_id": "b'486'", "timestamp": "2026-07-10 16:01:05"}</t>
  </si>
  <si>
    <t>TREND_SHORT is firing: dominant_side is short with sell score 83.48 (&gt;=65), stage 4 (downtrend) and regime 4 confirming bearish structure. News read is NEUTRAL with no catalyst (headlines empty, earnings_days unknown). Triage is PASS as a trend short with no veto cap (rev_zone_l=0, stage!=2); the only soft flag is 'earnings' from earnings_gate CAUTION and earnings_days=-1, which does not change triage.</t>
  </si>
  <si>
    <t>EBAY</t>
  </si>
  <si>
    <t>Buy: 76.9 | Sell: 35.9</t>
  </si>
  <si>
    <t>{"symbol": "CRL", "strategy": "Daily", "action": "LONG", "alert_price": 231.0, "score": "", "dir_prob": "95", "net_sigma": "", "grade": "", "align": "", "premium": "", "wrong_if": "", "context": "", "subject": "Alert: Rev - Screener v1 (SPY, 12): Any alert() function call", "body": "{\"ticker\":\"CRL\", \"setup\":\"A+ Trend Long\", \"side\":\"LONG\", \"price\":231.00, \"stage\":2, \"buy\":95.9, \"sell\":6.9, \"prime\":2, \"revL\":0, \"revS\":0, \"vcp\":0, \"dir_prob\":95, \"time\":1784035800000}", "ticker": "CRL", "setup": "A+ Trend Long", "side": "LONG", "price": 231.0, "stage": 2, "buy": 95.9, "sell": 6.9, "prime": 2, "revL": 0, "revS": 0, "vcp": 0, "time": 1784035800000, "email_id": "b'954'", "timestamp": "2026-07-14 16:01:12"}</t>
  </si>
  <si>
    <t>The setup is a strong TREND_LONG driven by a Buy score of 97.83 and a Direction Probability of 94.69, with the price currently inside the long zone. The news sentiment is bullish, confirming the technical bias with a recent price target raise, though the catalyst is not a major earnings event. The triage is capped to WATCH due to the 'earnings' flag (gate is CAUTION) and the 'extended' flag (ext_pct is 26.92), indicating the stock is already up significantly from the MA200.</t>
  </si>
  <si>
    <t>ALL</t>
  </si>
  <si>
    <t>Buy: 82.5 | Sell: 8.6</t>
  </si>
  <si>
    <t>{"symbol": "WRB", "strategy": "Daily", "action": "LONG", "alert_price": 71.82, "score": "", "dir_prob": "96.2", "net_sigma": "", "grade": "", "align": "", "premium": "", "wrong_if": "", "context": "", "subject": "Alert: Rev - Screener v1 (SPY, 12): Any alert() function call", "body": "{\"ticker\":\"WRB\", \"setup\":\"A+ Trend Long\", \"side\":\"LONG\", \"price\":71.82, \"stage\":2, \"buy\":89.5, \"sell\":11.9, \"prime\":2, \"revL\":0, \"revS\":0, \"vcp\":0, \"dir_prob\":96.2, \"time\":1783603800000}", "ticker": "WRB", "setup": "A+ Trend Long", "side": "LONG", "price": 71.82, "stage": 2, "buy": 89.5, "sell": 11.9, "prime": 2, "revL": 0, "revS": 0, "vcp": 0, "time": 1783603800000, "email_id": "b'298'", "timestamp": "2026-07-09 16:01:20"}</t>
  </si>
  <si>
    <t>{"symbol": "EBAY", "strategy": "Daily", "action": "LONG", "alert_price": 117.17, "score": "", "dir_prob": "78.2", "net_sigma": "", "grade": "", "align": "", "premium": "", "wrong_if": "", "context": "", "subject": "Alert: Rev - Screener v1 (SPY, 12): Any alert() function call", "body": "{\"ticker\":\"EBAY\", \"setup\":\"Early Action Long\", \"side\":\"LONG\", \"price\":117.17, \"stage\":2, \"buy\":76.9, \"sell\":35.9, \"prime\":1, \"revL\":0, \"revS\":0, \"vcp\":0, \"dir_prob\":78.2, \"time\":1783690200000}", "ticker": "EBAY", "setup": "Early Action Long", "side": "LONG", "price": 117.17, "stage": 2, "buy": 76.9, "sell": 35.9, "prime": 1, "revL": 0, "revS": 0, "vcp": 0, "time": 1783690200000, "email_id": "b'451'", "timestamp": "2026-07-10 16:01:06"}</t>
  </si>
  <si>
    <t>TREND_LONG is firing: dominant_side is long with buy=97.56 (&gt;=65) and dir_prob=86.47 in Stage 2 / regime 0, while rev_zone_l=0 and ignition_long=0 confirm no breakout or reversion mode. News read is NEUTRAL with catalyst 'none' from empty headlines, so no confirmation or contradiction. Triage is capped to WATCH by the veto overlay: zone_state=above_zone with rr_from_current=0.74 (&lt;1.0) flags a chased, poor R:R long, and earnings_days=-1 / earnings_gate=CAUTION adds the earnings soft flag; no exhaustion, churn, or stage_lag apply.</t>
  </si>
  <si>
    <t>{"symbol": "ALL", "strategy": "Daily", "action": "LONG", "alert_price": 250.34, "score": "", "dir_prob": "88", "net_sigma": "", "grade": "", "align": "", "premium": "", "wrong_if": "", "context": "", "subject": "Alert: Rev - Screener v1 (SPY, 12): Any alert() function call", "body": "{\"ticker\":\"ALL\", \"setup\":\"Early Action Long\", \"side\":\"LONG\", \"price\":250.34, \"stage\":2, \"buy\":82.5, \"sell\":8.6, \"prime\":1, \"revL\":0, \"revS\":0, \"vcp\":0, \"dir_prob\":88, \"time\":1784035800000}", "ticker": "ALL", "setup": "Early Action Long", "side": "LONG", "price": 250.34, "stage": 2, "buy": 82.5, "sell": 8.6, "prime": 1, "revL": 0, "revS": 0, "vcp": 0, "time": 1784035800000, "email_id": "b'803'", "timestamp": "2026-07-14 16:01:00"}</t>
  </si>
  <si>
    <t>The setup is a TREND_LONG driven by a high Buy score of 84.94, a dominant probability of 83.93, and Stage 2 momentum, with the catalyst being a JP Morgan price target raise to $282. The news sentiment is bullish and confirms the long bias. However, the triage is capped to WATCH due to the 'extended' regime (ext_pct 18.15) and the 'earnings' caution flag (earnings_gate CAUTION), despite the strong technicals.</t>
  </si>
  <si>
    <t>Buy: 89.7 | Sell: 16.9</t>
  </si>
  <si>
    <t>Buy: 97 | Sell: 6</t>
  </si>
  <si>
    <t>{"symbol": "HBAN", "strategy": "Daily", "action": "LONG", "alert_price": 17.86, "score": "", "dir_prob": "94.9", "net_sigma": "", "grade": "", "align": "", "premium": "", "wrong_if": "", "context": "", "subject": "Alert: Rev - Screener v1 (SPY, 12): Any alert() function call", "body": "{\"ticker\":\"HBAN\", \"setup\":\"A+ Trend Long\", \"side\":\"LONG\", \"price\":17.86, \"stage\":2, \"buy\":97, \"sell\":6, \"prime\":2, \"revL\":0, \"revS\":0, \"vcp\":0, \"dir_prob\":94.9, \"time\":1784035800000}", "ticker": "HBAN", "setup": "A+ Trend Long", "side": "LONG", "price": 17.86, "stage": 2, "buy": 97, "sell": 6, "prime": 2, "revL": 0, "revS": 0, "vcp": 0, "time": 1784035800000, "email_id": "b'807'", "timestamp": "2026-07-14 16:01:07"}</t>
  </si>
  <si>
    <t>The setup is a strong TREND_LONG driven by a Buy score of 99.21, a Sell score of 31.75, and a directional probability of 89.94, indicating a robust bullish bias. The stock is in Stage 2 (up-trend) with low exhaustion (0.0969) and sits above its long entry zone with a 1.55 R:R. However, the triage is capped to WATCH due to the 'earnings' flag, as the system flags CAUTION for unknown earnings days (-1), preventing a full PASS despite the strong technicals.</t>
  </si>
  <si>
    <t>Buy: 96 | Sell: 6.4</t>
  </si>
  <si>
    <t>{"symbol": "PFG", "strategy": "Daily", "action": "LONG", "alert_price": 111.68, "score": "", "dir_prob": "81.1", "net_sigma": "", "grade": "", "align": "", "premium": "", "wrong_if": "", "context": "", "subject": "Alert: Rev - Screener v1 (SPY, 12): Any alert() function call", "body": "{\"ticker\":\"PFG\", \"setup\":\"A+ Trend Long\", \"side\":\"LONG\", \"price\":111.68, \"stage\":2, \"buy\":89.7, \"sell\":16.9, \"prime\":2, \"revL\":0, \"revS\":0, \"vcp\":0, \"dir_prob\":81.1, \"time\":1783603800000}", "ticker": "PFG", "setup": "A+ Trend Long", "side": "LONG", "price": 111.68, "stage": 2, "buy": 89.7, "sell": 16.9, "prime": 2, "revL": 0, "revS": 0, "vcp": 0, "time": 1783603800000, "email_id": "b'314'", "timestamp": "2026-07-09 16:01:11"}</t>
  </si>
  <si>
    <t>{"symbol": "GE", "strategy": "Daily", "action": "LONG", "alert_price": 353.51, "score": "", "dir_prob": "94.9", "net_sigma": "", "grade": "", "align": "", "premium": "", "wrong_if": "", "context": "", "subject": "Alert: Rev - Screener v1 (SPY, 12): Any alert() function call", "body": "{\"ticker\":\"GE\", \"setup\":\"A+ Trend Long\", \"side\":\"LONG\", \"price\":353.51, \"stage\":2, \"buy\":96, \"sell\":6.4, \"prime\":2, \"revL\":0, \"revS\":0, \"vcp\":0, \"dir_prob\":94.9, \"time\":1784035800000}", "ticker": "GE", "setup": "A+ Trend Long", "side": "LONG", "price": 353.51, "stage": 2, "buy": 96, "sell": 6.4, "prime": 2, "revL": 0, "revS": 0, "vcp": 0, "time": 1784035800000, "email_id": "b'817'", "timestamp": "2026-07-14 16:01:11"}</t>
  </si>
  <si>
    <t>The setup is a TREND_LONG driven by a dominant Buy score of 86.34, a Sell score of 20.63, and a high directional probability of 89.66 in Stage 2. News sentiment is bullish, confirmed by a TD Cowen price target raise, which aligns with the technical bias. However, the triage is capped to WATCH due to the 'earnings' flag (gate is CAUTION) and the 'churn' flag (opposite score is 20.63, which is non-negligible relative to the low volatility environment, though the dominant score is strong).</t>
  </si>
  <si>
    <t>Buy: 94.5 | Sell: 8.5</t>
  </si>
  <si>
    <t>Buy: 84 | Sell: 8.1</t>
  </si>
  <si>
    <t>{"symbol": "SPG", "strategy": "Daily", "action": "LONG", "alert_price": 221.31, "score": "", "dir_prob": "87.9", "net_sigma": "", "grade": "", "align": "", "premium": "", "wrong_if": "", "context": "", "subject": "Alert: Rev - Screener v1 (SPY, 12): Any alert() function call", "body": "{\"ticker\":\"SPG\", \"setup\":\"A+ Trend Long\", \"side\":\"LONG\", \"price\":221.31, \"stage\":2, \"buy\":94.5, \"sell\":8.5, \"prime\":2, \"revL\":0, \"revS\":0, \"vcp\":0, \"dir_prob\":87.9, \"time\":1784035800000}", "ticker": "SPG", "setup": "A+ Trend Long", "side": "LONG", "price": 221.31, "stage": 2, "buy": 94.5, "sell": 8.5, "prime": 2, "revL": 0, "revS": 0, "vcp": 0, "time": 1784035800000, "email_id": "b'823'", "timestamp": "2026-07-14 16:01:14"}</t>
  </si>
  <si>
    <t>SPG shows a strong TREND_LONG setup with a Buy score of 97.55, Dir Prob of 89.82, and Stage 2, indicating a healthy uptrend with room to run. The stock is currently in the long entry zone with a favorable R:R of ~2.0x. However, the earnings gate is set to CAUTION, which acts as a soft veto flag, preventing a full PASS despite the strong technicals.</t>
  </si>
  <si>
    <t>Buy: 97 | Sell: 5.9</t>
  </si>
  <si>
    <t>{"symbol": "TMO", "strategy": "Daily", "action": "LONG", "alert_price": 524.58, "score": "", "dir_prob": "89.1", "net_sigma": "", "grade": "", "align": "", "premium": "", "wrong_if": "", "context": "", "subject": "Alert: Rev - Screener v1 (SPY, 12): Any alert() function call", "body": "{\"ticker\":\"TMO\", \"setup\":\"Early Action Long\", \"side\":\"LONG\", \"price\":524.58, \"stage\":2, \"buy\":84, \"sell\":8.1, \"prime\":1, \"revL\":0, \"revS\":0, \"vcp\":0, \"dir_prob\":89.1, \"time\":1783603800000}", "ticker": "TMO", "setup": "Early Action Long", "side": "LONG", "price": 524.58, "stage": 2, "buy": 84, "sell": 8.1, "prime": 1, "revL": 0, "revS": 0, "vcp": 0, "time": 1783603800000, "email_id": "b'182'", "timestamp": "2026-07-09 16:01:08"}</t>
  </si>
  <si>
    <t>{"symbol": "ABNB", "strategy": "Daily", "action": "LONG", "alert_price": 146.51, "score": "", "dir_prob": "96.4", "net_sigma": "", "grade": "", "align": "", "premium": "", "wrong_if": "", "context": "", "subject": "Alert: Rev - Screener v1 (SPY, 12): Any alert() function call", "body": "{\"ticker\":\"ABNB\", \"setup\":\"A+ Trend Long\", \"side\":\"LONG\", \"price\":146.51, \"stage\":2, \"buy\":97, \"sell\":5.9, \"prime\":2, \"revL\":0, \"revS\":0, \"vcp\":1, \"dir_prob\":96.4, \"time\":1784035800000}", "ticker": "ABNB", "setup": "A+ Trend Long", "side": "LONG", "price": 146.51, "stage": 2, "buy": 97, "sell": 5.9, "prime": 2, "revL": 0, "revS": 0, "vcp": 1, "time": 1784035800000, "email_id": "b'835'", "timestamp": "2026-07-14 16:01:27"}</t>
  </si>
  <si>
    <t>The setup is a TREND_LONG driven by a high Buy score of 84.7 and a directional probability of 81.19, with the price currently inside the long zone (144.26-146.54) offering a 2:1 risk-reward ratio. News sentiment is bullish as Jefferies raised its price target to $175, which confirms the technical bias. However, the triage is capped to WATCH due to the 'extended' regime (Regime 6, Ext% 9.63) and the 'earnings' caution flag, despite the strong momentum.</t>
  </si>
  <si>
    <t>CHRW</t>
  </si>
  <si>
    <t>Buy: 88.1 | Sell: 28</t>
  </si>
  <si>
    <t>Buy: 94.8 | Sell: 6.5</t>
  </si>
  <si>
    <t>{"symbol": "CHRW", "strategy": "Daily", "action": "LONG", "alert_price": 199.62, "score": "", "dir_prob": "83.8", "net_sigma": "", "grade": "", "align": "", "premium": "", "wrong_if": "", "context": "", "subject": "Alert: Rev - Screener v1 (SPY, 12): Any alert() function call", "body": "{\"ticker\":\"CHRW\", \"setup\":\"A+ Trend Long\", \"side\":\"LONG\", \"price\":199.62, \"stage\":2, \"buy\":88.1, \"sell\":28, \"prime\":2, \"revL\":0, \"revS\":0, \"vcp\":0, \"dir_prob\":83.8, \"time\":1784035800000}", "ticker": "CHRW", "setup": "A+ Trend Long", "side": "LONG", "price": 199.62, "stage": 2, "buy": 88.1, "sell": 28, "prime": 2, "revL": 0, "revS": 0, "vcp": 0, "time": 1784035800000, "email_id": "b'838'", "timestamp": "2026-07-14 16:01:34"}</t>
  </si>
  <si>
    <t>The setup fires as a TREND_LONG signal with a dominant Buy score of 87.21 and a directional probability of 60.52, supported by a positive news catalyst raising the price target. The stock is currently in the long entry zone with a favorable R:R of 2.45x. However, the triage is capped to WATCH due to the 'extended' regime (ext_pct &gt; 20) and the 'earnings' caution flag, despite the strong technicals.</t>
  </si>
  <si>
    <t>Buy: 95.4 | Sell: 10.9</t>
  </si>
  <si>
    <t>{"symbol": "SNA", "strategy": "Daily", "action": "LONG", "alert_price": 400.07, "score": "", "dir_prob": "89.6", "net_sigma": "", "grade": "", "align": "", "premium": "", "wrong_if": "", "context": "", "subject": "Alert: Rev - Screener v1 (SPY, 12): Any alert() function call", "body": "{\"ticker\":\"SNA\", \"setup\":\"A+ Trend Long\", \"side\":\"LONG\", \"price\":400.07, \"stage\":2, \"buy\":94.8, \"sell\":6.5, \"prime\":2, \"revL\":0, \"revS\":0, \"vcp\":0, \"dir_prob\":89.6, \"time\":1783603800000}", "ticker": "SNA", "setup": "A+ Trend Long", "side": "LONG", "price": 400.07, "stage": 2, "buy": 94.8, "sell": 6.5, "prime": 2, "revL": 0, "revS": 0, "vcp": 0, "time": 1783603800000, "email_id": "b'191'", "timestamp": "2026-07-09 16:01:06"}</t>
  </si>
  <si>
    <t>{"symbol": "DLTR", "strategy": "Daily", "action": "LONG", "alert_price": 124.54, "score": "", "dir_prob": "95.8", "net_sigma": "", "grade": "", "align": "", "premium": "", "wrong_if": "", "context": "", "subject": "Alert: Rev - Screener v1 (SPY, 12): Any alert() function call", "body": "{\"ticker\":\"DLTR\", \"setup\":\"A+ Trend Long\", \"side\":\"LONG\", \"price\":124.54, \"stage\":2, \"buy\":95.4, \"sell\":10.9, \"prime\":2, \"revL\":0, \"revS\":0, \"vcp\":0, \"dir_prob\":95.8, \"time\":1784035800000}", "ticker": "DLTR", "setup": "A+ Trend Long", "side": "LONG", "price": 124.54, "stage": 2, "buy": 95.4, "sell": 10.9, "prime": 2, "revL": 0, "revS": 0, "vcp": 0, "time": 1784035800000, "email_id": "b'842'", "timestamp": "2026-07-14 16:01:36"}</t>
  </si>
  <si>
    <t>The setup is a strong TREND_LONG driven by a Buy score of 98.88, a Sell score of 24.9, and a directional probability of 90.92, indicating a high-conviction long bias. The stock is in Stage 2 (up-trend) with a healthy Regime 0 and low exhaustion (0.08), confirming the momentum is intact. However, the triage is capped to WATCH due to the 'earnings' flag, as the system flags CAUTION for earnings days being unknown (-1), which introduces a potential landmine risk despite the strong technicals.</t>
  </si>
  <si>
    <t>Buy: 96.7 | Sell: 4.2</t>
  </si>
  <si>
    <t>{"symbol": "USB", "strategy": "Daily", "action": "LONG", "alert_price": 62.16, "score": "", "dir_prob": "93.5", "net_sigma": "", "grade": "", "align": "", "premium": "", "wrong_if": "", "context": "", "subject": "Alert: Rev - Screener v1 (SPY, 12): Any alert() function call", "body": "{\"ticker\":\"USB\", \"setup\":\"A+ Trend Long\", \"side\":\"LONG\", \"price\":62.16, \"stage\":2, \"buy\":97.1, \"sell\":4.7, \"prime\":2, \"revL\":0, \"revS\":0, \"vcp\":0, \"dir_prob\":93.5, \"time\":1784035800000}", "ticker": "USB", "setup": "A+ Trend Long", "side": "LONG", "price": 62.16, "stage": 2, "buy": 97.1, "sell": 4.7, "prime": 2, "revL": 0, "revS": 0, "vcp": 0, "time": 1784035800000, "email_id": "b'848'", "timestamp": "2026-07-14 16:01:21"}</t>
  </si>
  <si>
    <t>USB is firing a TREND_LONG signal with a dominant Buy score of 98.06 and a directional probability of 87.68, indicating strong bullish momentum in Stage 2. The setup is technically sound with the price inside the long zone and a healthy Risk:Reward ratio of 2.01. However, the triage is capped to WATCH due to the 'earnings' flag, as the system flags CAUTION for earnings proximity (days=-1) which introduces uncertainty despite the strong technicals.</t>
  </si>
  <si>
    <t>Buy: 95.8 | Sell: 16.8</t>
  </si>
  <si>
    <t>{"symbol": "ECL", "strategy": "Daily", "action": "LONG", "alert_price": 273.09, "score": "", "dir_prob": "97.2", "net_sigma": "", "grade": "", "align": "", "premium": "", "wrong_if": "", "context": "", "subject": "Alert: Rev - Screener v1 (SPY, 12): Any alert() function call", "body": "{\"ticker\":\"ECL\", \"setup\":\"A+ Trend Long\", \"side\":\"LONG\", \"price\":273.09, \"stage\":2, \"buy\":96.7, \"sell\":4.2, \"prime\":2, \"revL\":0, \"revS\":0, \"vcp\":0, \"dir_prob\":97.2, \"time\":1783603800000}", "ticker": "ECL", "setup": "A+ Trend Long", "side": "LONG", "price": 273.09, "stage": 2, "buy": 96.7, "sell": 4.2, "prime": 2, "revL": 0, "revS": 0, "vcp": 0, "time": 1783603800000, "email_id": "b'221'", "timestamp": "2026-07-09 16:01:34"}</t>
  </si>
  <si>
    <t>{"symbol": "GL", "strategy": "Daily", "action": "LONG", "alert_price": 179.0, "score": "", "dir_prob": "86.5", "net_sigma": "", "grade": "", "align": "", "premium": "", "wrong_if": "", "context": "", "subject": "Alert: Rev - Screener v1 (SPY, 12): Any alert() function call", "body": "{\"ticker\":\"GL\", \"setup\":\"A+ Trend Long\", \"side\":\"LONG\", \"price\":179.00, \"stage\":2, \"buy\":95.8, \"sell\":16.8, \"prime\":2, \"revL\":0, \"revS\":0, \"vcp\":0, \"dir_prob\":86.5, \"time\":1784035800000}", "ticker": "GL", "setup": "A+ Trend Long", "side": "LONG", "price": 179.0, "stage": 2, "buy": 95.8, "sell": 16.8, "prime": 2, "revL": 0, "revS": 0, "vcp": 0, "time": 1784035800000, "email_id": "b'870'", "timestamp": "2026-07-14 16:01:02"}</t>
  </si>
  <si>
    <t>The setup is a TREND_LONG driven by a dominant Buy score of 97.39 and a directional probability of 80.03, confirming the bullish bias. Recent headlines confirm this with two analysts raising price targets, providing a positive catalyst. However, the trade is capped at WATCH due to the 'extended' regime (ext_pct 20.83) and the 'earnings' caution flag, despite the strong technicals.</t>
  </si>
  <si>
    <t>CTVA</t>
  </si>
  <si>
    <t>Buy: 93.3 | Sell: 8.1</t>
  </si>
  <si>
    <t>Buy: 95.7 | Sell: 9.7</t>
  </si>
  <si>
    <t>{"symbol": "CTVA", "strategy": "Daily", "action": "LONG", "alert_price": 84.9, "score": "", "dir_prob": "94.5", "net_sigma": "", "grade": "", "align": "", "premium": "", "wrong_if": "", "context": "", "subject": "Alert: Rev - Screener v1 (SPY, 12): Any alert() function call", "body": "{\"ticker\":\"CTVA\", \"setup\":\"A+ Trend Long\", \"side\":\"LONG\", \"price\":84.90, \"stage\":2, \"buy\":93.3, \"sell\":8.1, \"prime\":2, \"revL\":0, \"revS\":0, \"vcp\":0, \"dir_prob\":94.5, \"time\":1784035800000}", "ticker": "CTVA", "setup": "A+ Trend Long", "side": "LONG", "price": 84.9, "stage": 2, "buy": 93.3, "sell": 8.1, "prime": 2, "revL": 0, "revS": 0, "vcp": 0, "time": 1784035800000, "email_id": "b'872'", "timestamp": "2026-07-14 16:01:15"}</t>
  </si>
  <si>
    <t>CTVA fires a TREND_LONG signal with a dominant Buy score of 93.59 and a directional probability of 77.46, supported by Stage 2 momentum and a regime of 0 (Healthy). The news confirms this bias as Mizuho raises the price target to $97. However, the setup is capped at WATCH due to the 'extended' flag (ext_pct 12.26 &gt; 10) and the 'earnings' caution gate, despite the strong technicals.</t>
  </si>
  <si>
    <t>Buy: 95.5 | Sell: 11.8</t>
  </si>
  <si>
    <t>{"symbol": "PNC", "strategy": "Daily", "action": "LONG", "alert_price": 250.83, "score": "", "dir_prob": "93.2", "net_sigma": "", "grade": "", "align": "", "premium": "", "wrong_if": "", "context": "", "subject": "Alert: Rev - Screener v1 (SPY, 12): Any alert() function call", "body": "{\"ticker\":\"PNC\", \"setup\":\"A+ Trend Long\", \"side\":\"LONG\", \"price\":250.83, \"stage\":2, \"buy\":95.7, \"sell\":9.7, \"prime\":2, \"revL\":0, \"revS\":0, \"vcp\":0, \"dir_prob\":93.2, \"time\":1783603800000}", "ticker": "PNC", "setup": "A+ Trend Long", "side": "LONG", "price": 250.83, "stage": 2, "buy": 95.7, "sell": 9.7, "prime": 2, "revL": 0, "revS": 0, "vcp": 0, "time": 1783603800000, "email_id": "b'284'", "timestamp": "2026-07-09 16:01:27"}</t>
  </si>
  <si>
    <t>{"symbol": "APH", "strategy": "Daily", "action": "LONG", "alert_price": 158.39, "score": "", "dir_prob": "92", "net_sigma": "", "grade": "", "align": "", "premium": "", "wrong_if": "", "context": "", "subject": "Alert: Rev - Screener v1 (SPY, 12): Any alert() function call", "body": "{\"ticker\":\"APH\", \"setup\":\"A+ Trend Long\", \"side\":\"LONG\", \"price\":158.39, \"stage\":2, \"buy\":95.5, \"sell\":11.8, \"prime\":2, \"revL\":0, \"revS\":0, \"vcp\":1, \"dir_prob\":92, \"time\":1784035800000}", "ticker": "APH", "setup": "A+ Trend Long", "side": "LONG", "price": 158.39, "stage": 2, "buy": 95.5, "sell": 11.8, "prime": 2, "revL": 0, "revS": 0, "vcp": 1, "time": 1784035800000, "email_id": "b'878'", "timestamp": "2026-07-14 16:01:22"}</t>
  </si>
  <si>
    <t>The setup is a TREND_LONG driven by a dominant Buy score of 92.07, a directional probability of 67.77, and Stage 2 (up-trend) status. News sentiment is strongly bullish, with multiple analysts raising price targets, which CONFIRMS the long bias. However, the triage is capped to WATCH due to the 'extended' regime (Regime 6, Ext% 16.28) and the 'earnings' caution flag (Gate: CAUTION), despite the strong technicals.</t>
  </si>
  <si>
    <t>Buy: 93.9 | Sell: 6.8</t>
  </si>
  <si>
    <t>LEAN LONG (Defined-Risk Bull Call Spread)</t>
  </si>
  <si>
    <t>7</t>
  </si>
  <si>
    <t>Entry: 110.15
Stop: 102.50
Target: 120.05
See markdown for full rationale.</t>
  </si>
  <si>
    <t>Buy: 87.9 | Sell: 18.5</t>
  </si>
  <si>
    <t>{"symbol": "HOOD", "strategy": "Daily", "action": "LONG", "alert_price": 113.47, "score": "", "dir_prob": "93.1", "net_sigma": "", "grade": "", "align": "", "premium": "", "wrong_if": "", "context": "", "subject": "Alert: Rev - Screener v1 (SPY, 12): Any alert() function call", "body": "{\"ticker\":\"HOOD\", \"setup\":\"A+ Trend Long\", \"side\":\"LONG\", \"price\":113.47, \"stage\":2, \"buy\":93.9, \"sell\":6.8, \"prime\":2, \"revL\":0, \"revS\":0, \"vcp\":0, \"dir_prob\":93.1, \"time\":1784035800000}", "ticker": "HOOD", "setup": "A+ Trend Long", "side": "LONG", "price": 113.47, "stage": 2, "buy": 93.9, "sell": 6.8, "prime": 2, "revL": 0, "revS": 0, "vcp": 0, "time": 1784035800000, "email_id": "b'881'", "timestamp": "2026-07-14 16:01:07"}</t>
  </si>
  <si>
    <t>The setup is a strong TREND_LONG driven by a Buy score of 97.64, a Dir Prob of 96.33, and Stage 2 momentum, with the price currently in the long zone. News sentiment is bullish, confirming the long bias with reports of a new bond sale backed by credit card bills. However, the triage is capped to WATCH due to the 'extended' flag (ext_pct 23.46) and the 'earnings' caution flag (earnings_gate CAUTION), despite the high conviction signal.</t>
  </si>
  <si>
    <t>Buy: 96.7 | Sell: 4.6</t>
  </si>
  <si>
    <t>{"symbol": "RTX", "strategy": "Daily", "action": "LONG", "alert_price": 195.2, "score": "", "dir_prob": "87.9", "net_sigma": "", "grade": "", "align": "", "premium": "", "wrong_if": "", "context": "", "subject": "Alert: Rev - Screener v1 (SPY, 12): Any alert() function call", "body": "{\"ticker\":\"RTX\", \"setup\":\"A+ Trend Long\", \"side\":\"LONG\", \"price\":195.20, \"stage\":2, \"buy\":87.9, \"sell\":18.5, \"prime\":2, \"revL\":0, \"revS\":0, \"vcp\":0, \"dir_prob\":87.9, \"time\":1783603800000}", "ticker": "RTX", "setup": "A+ Trend Long", "side": "LONG", "price": 195.2, "stage": 2, "buy": 87.9, "sell": 18.5, "prime": 2, "revL": 0, "revS": 0, "vcp": 0, "time": 1783603800000, "email_id": "b'226'", "timestamp": "2026-07-09 16:01:30"}</t>
  </si>
  <si>
    <t>{"symbol": "L", "strategy": "Daily", "action": "LONG", "alert_price": 114.45, "score": "", "dir_prob": "92.9", "net_sigma": "", "grade": "", "align": "", "premium": "", "wrong_if": "", "context": "", "subject": "Alert: Rev - Screener v1 (SPY, 12): Any alert() function call", "body": "{\"ticker\":\"L\", \"setup\":\"A+ Trend Long\", \"side\":\"LONG\", \"price\":114.45, \"stage\":2, \"buy\":96.7, \"sell\":4.6, \"prime\":2, \"revL\":0, \"revS\":0, \"vcp\":0, \"dir_prob\":92.9, \"time\":1784035800000}", "ticker": "L", "setup": "A+ Trend Long", "side": "LONG", "price": 114.45, "stage": 2, "buy": 96.7, "sell": 4.6, "prime": 2, "revL": 0, "revS": 0, "vcp": 0, "time": 1784035800000, "email_id": "b'891'", "timestamp": "2026-07-14 16:01:26"}</t>
  </si>
  <si>
    <t>The setup is a strong TREND_LONG driven by a Buy score of 97.62, a Sell score of 27.54, and a directional probability of 89.83, indicating a high-conviction long bias. The stock is in Stage 2 (up-trend) with a healthy Regime 0 and low exhaustion (0.083), confirming the trend is intact. However, the triage is capped to WATCH due to the 'earnings' flag, as the earnings gate is set to CAUTION with unknown days remaining, introducing a specific risk event.</t>
  </si>
  <si>
    <t>Buy: 95.4 | Sell: 24.6</t>
  </si>
  <si>
    <t>Buy: 85.3 | Sell: 22.1</t>
  </si>
  <si>
    <t>{"symbol": "AEE", "strategy": "Daily", "action": "LONG", "alert_price": 112.94, "score": "", "dir_prob": "88.4", "net_sigma": "", "grade": "", "align": "", "premium": "", "wrong_if": "", "context": "", "subject": "Alert: Rev - Screener v1 (SPY, 12): Any alert() function call", "body": "{\"ticker\":\"AEE\", \"setup\":\"A+ Trend Long\", \"side\":\"LONG\", \"price\":112.94, \"stage\":2, \"buy\":95.4, \"sell\":24.6, \"prime\":2, \"revL\":0, \"revS\":0, \"vcp\":0, \"dir_prob\":88.4, \"time\":1784035800000}", "ticker": "AEE", "setup": "A+ Trend Long", "side": "LONG", "price": 112.94, "stage": 2, "buy": 95.4, "sell": 24.6, "prime": 2, "revL": 0, "revS": 0, "vcp": 0, "time": 1784035800000, "email_id": "b'896'", "timestamp": "2026-07-14 16:01:12"}</t>
  </si>
  <si>
    <t>The setup is a strong TREND_LONG driven by a Buy score of 97.02, a Sell score of 11.31, and a Direction Probability of 95.25, indicating overwhelming bullish momentum in Stage 2. The stock is trading above its entry zone with a favorable Risk:Reward ratio of 1.47, and there are no exhaustion or regime warnings. However, the triage is capped to WATCH due to the 'earnings' flag, as the system flags CAUTION for earnings days being unknown (-1), creating a potential landmine despite the strong technicals.</t>
  </si>
  <si>
    <t>Buy: 91.9 | Sell: 13.8</t>
  </si>
  <si>
    <t>{"symbol": "KO", "strategy": "Daily", "action": "LONG", "alert_price": 83.08, "score": "", "dir_prob": "92.6", "net_sigma": "", "grade": "", "align": "", "premium": "", "wrong_if": "", "context": "", "subject": "Alert: Rev - Screener v1 (SPY, 12): Any alert() function call", "body": "{\"ticker\":\"KO\", \"setup\":\"A+ Trend Long\", \"side\":\"LONG\", \"price\":83.08, \"stage\":2, \"buy\":91.9, \"sell\":13.8, \"prime\":2, \"revL\":0, \"revS\":0, \"vcp\":0, \"dir_prob\":92.6, \"time\":1784035800000}", "ticker": "KO", "setup": "A+ Trend Long", "side": "LONG", "price": 83.08, "stage": 2, "buy": 91.9, "sell": 13.8, "prime": 2, "revL": 0, "revS": 0, "vcp": 0, "time": 1784035800000, "email_id": "b'904'", "timestamp": "2026-07-14 16:01:11"}</t>
  </si>
  <si>
    <t>The setup is a TREND_LONG driven by a dominant Buy score of 88.9 and a directional probability of 74.79, supported by a Stage 2 uptrend and low exhaustion (0.05). The news confirms this bias with a Citi upgrade, though the catalyst field is marked 'none' in the input data. The triage is capped to WATCH due to the 'extended' regime (ext_pct 10.28) and the 'earnings' caution flag, despite the strong technicals.</t>
  </si>
  <si>
    <t>{"symbol": "NTRS", "strategy": "Daily", "action": "LONG", "alert_price": 182.9, "score": "", "dir_prob": "83.4", "net_sigma": "", "grade": "", "align": "", "premium": "", "wrong_if": "", "context": "", "subject": "Alert: Rev - Screener v1 (SPY, 12): Any alert() function call", "body": "{\"ticker\":\"NTRS\", \"setup\":\"A+ Trend Long\", \"side\":\"LONG\", \"price\":182.90, \"stage\":2, \"buy\":85.3, \"sell\":22.1, \"prime\":2, \"revL\":0, \"revS\":4, \"vcp\":0, \"dir_prob\":83.4, \"time\":1783603800000}", "ticker": "NTRS", "setup": "A+ Trend Long", "side": "LONG", "price": 182.9, "stage": 2, "buy": 85.3, "sell": 22.1, "prime": 2, "revL": 0, "revS": 4, "vcp": 0, "time": 1783603800000, "email_id": "b'185'", "timestamp": "2026-07-09 16:01:04"}</t>
  </si>
  <si>
    <t>Buy: 97 | Sell: 16.3</t>
  </si>
  <si>
    <t>{"symbol": "CFG", "strategy": "Daily", "action": "LONG", "alert_price": 70.3, "score": "", "dir_prob": "88.1", "net_sigma": "", "grade": "", "align": "", "premium": "", "wrong_if": "", "context": "", "subject": "Alert: Rev - Screener v1 (SPY, 12): Any alert() function call", "body": "{\"ticker\":\"CFG\", \"setup\":\"A+ Trend Long\", \"side\":\"LONG\", \"price\":70.30, \"stage\":2, \"buy\":97, \"sell\":16.3, \"prime\":2, \"revL\":0, \"revS\":0, \"vcp\":0, \"dir_prob\":88.1, \"time\":1784035800000}", "ticker": "CFG", "setup": "A+ Trend Long", "side": "LONG", "price": 70.3, "stage": 2, "buy": 97, "sell": 16.3, "prime": 2, "revL": 0, "revS": 0, "vcp": 0, "time": 1784035800000, "email_id": "b'905'", "timestamp": "2026-07-14 16:01:27"}</t>
  </si>
  <si>
    <t>CFG fires a strong TREND_LONG signal with a Buy score of 98.24, Dir Prob of 89.72, and Stage 2 status, indicating a healthy uptrend. The news headline regarding a sector comeback confirms this bullish bias. However, the triage is capped to WATCH due to the 'earnings_gate' being set to CAUTION with unknown earnings days, which introduces a specific risk event.</t>
  </si>
  <si>
    <t>Buy: 11.6 | Sell: 87.1</t>
  </si>
  <si>
    <t>IBKR</t>
  </si>
  <si>
    <t>Buy: 85.2 | Sell: 57.3</t>
  </si>
  <si>
    <t>{"symbol": "IBKR", "strategy": "Daily", "action": "LONG", "alert_price": 95.63, "score": "", "dir_prob": "65.4", "net_sigma": "", "grade": "", "align": "", "premium": "", "wrong_if": "", "context": "", "subject": "Alert: Rev - Screener v1 (SPY, 12): Any alert() function call", "body": "{\"ticker\":\"IBKR\", \"setup\":\"A+ Trend Long\", \"side\":\"LONG\", \"price\":95.63, \"stage\":2, \"buy\":85.2, \"sell\":57.3, \"prime\":2, \"revL\":0, \"revS\":0, \"vcp\":1, \"dir_prob\":65.4, \"time\":1784035800000}", "ticker": "IBKR", "setup": "A+ Trend Long", "side": "LONG", "price": 95.63, "stage": 2, "buy": 85.2, "sell": 57.3, "prime": 2, "revL": 0, "revS": 0, "vcp": 1, "time": 1784035800000, "email_id": "b'925'", "timestamp": "2026-07-14 16:01:13"}</t>
  </si>
  <si>
    <t>The setup is a TREND_LONG driven by a high Buy score of 83.16, a strong directional probability of 78.49, and Stage 2 momentum, all confirmed by a BofA price target raise. The stock is currently 'in_zone' with a favorable 2.0 R:R ratio, though the regime is 'Squeeze' (6) and the price is extended at +26.69% vs MA200. A 'CAUTION' earnings gate and 'extended' status cap the conviction, preventing a full PASS despite the strong technicals.</t>
  </si>
  <si>
    <t>Buy: 94.9 | Sell: 7.2</t>
  </si>
  <si>
    <t>{"symbol": "CIEN", "strategy": "Daily", "action": "SHORT", "alert_price": 462.3, "score": "", "dir_prob": "0.9", "net_sigma": "", "grade": "", "align": "", "premium": "", "wrong_if": "", "context": "", "subject": "Alert: Rev - Screener v1 (SPY, 12): Any alert() function call", "body": "{\"ticker\":\"CIEN\", \"setup\":\"A+ Trend Short\", \"side\":\"SHORT\", \"price\":462.30, \"stage\":4, \"buy\":11.6, \"sell\":87.1, \"prime\":-2, \"revL\":0, \"revS\":0, \"vcp\":1, \"dir_prob\":0.9, \"time\":1783603800000}", "ticker": "CIEN", "setup": "A+ Trend Short", "side": "SHORT", "price": 462.3, "stage": 4, "buy": 11.6, "sell": 87.1, "prime": -2, "revL": 0, "revS": 0, "vcp": 1, "time": 1783603800000, "email_id": "b'288'", "timestamp": "2026-07-09 16:01:28"}</t>
  </si>
  <si>
    <t>{"symbol": "RTX", "strategy": "Daily", "action": "LONG", "alert_price": 193.65, "score": "", "dir_prob": "92.8", "net_sigma": "", "grade": "", "align": "", "premium": "", "wrong_if": "", "context": "", "subject": "Alert: Rev - Screener v1 (SPY, 12): Any alert() function call", "body": "{\"ticker\":\"RTX\", \"setup\":\"A+ Trend Long\", \"side\":\"LONG\", \"price\":193.65, \"stage\":2, \"buy\":94.9, \"sell\":7.2, \"prime\":2, \"revL\":0, \"revS\":0, \"vcp\":0, \"dir_prob\":92.8, \"time\":1784035800000}", "ticker": "RTX", "setup": "A+ Trend Long", "side": "LONG", "price": 193.65, "stage": 2, "buy": 94.9, "sell": 7.2, "prime": 2, "revL": 0, "revS": 0, "vcp": 0, "time": 1784035800000, "email_id": "b'926'", "timestamp": "2026-07-14 16:01:30"}</t>
  </si>
  <si>
    <t>The setup is a TREND_LONG driven by a dominant Buy score of 94.14, a Sell score of 31.75, and a directional probability of 85.75, indicating strong bullish momentum in Stage 2. The news headline regarding increased defense spending confirms the long bias, providing a fundamental catalyst. However, the triage is capped to WATCH due to the 'extended' regime (ext_pct 7.63 is normal but combined with high buy suggests momentum stretch) and the 'earnings' flag (CAUTION gate), which introduces near-term volatility risk despite the positive technicals.</t>
  </si>
  <si>
    <t>Buy: 97 | Sell: 7.5</t>
  </si>
  <si>
    <t>Buy: 96.3 | Sell: 18.8</t>
  </si>
  <si>
    <t>{"symbol": "RVTY", "strategy": "Daily", "action": "LONG", "alert_price": 111.14, "score": "", "dir_prob": "92.3", "net_sigma": "", "grade": "", "align": "", "premium": "", "wrong_if": "", "context": "", "subject": "Alert: Rev - Screener v1 (SPY, 12): Any alert() function call", "body": "{\"ticker\":\"RVTY\", \"setup\":\"A+ Trend Long\", \"side\":\"LONG\", \"price\":111.14, \"stage\":2, \"buy\":96.3, \"sell\":18.8, \"prime\":2, \"revL\":0, \"revS\":0, \"vcp\":0, \"dir_prob\":92.3, \"time\":1784035800000}", "ticker": "RVTY", "setup": "A+ Trend Long", "side": "LONG", "price": 111.14, "stage": 2, "buy": 96.3, "sell": 18.8, "prime": 2, "revL": 0, "revS": 0, "vcp": 0, "time": 1784035800000, "email_id": "b'929'", "timestamp": "2026-07-14 16:01:19"}</t>
  </si>
  <si>
    <t>The setup is a TREND_LONG driven by a dominant Buy score of 97.95 and a directional probability of 91.36, indicating strong bullish momentum in Stage 2. The stock is currently 'in_zone' with a healthy exhaustion level of 0.0642 and an expected move of 11.28%. However, the triage is capped to WATCH due to the 'earnings_gate' status of CAUTION, which introduces a specific risk of an earnings landmine despite the strong technicals.</t>
  </si>
  <si>
    <t>Buy: 96.3 | Sell: 30.2</t>
  </si>
  <si>
    <t>{"symbol": "JPM", "strategy": "Daily", "action": "LONG", "alert_price": 335.34, "score": "", "dir_prob": "94.4", "net_sigma": "", "grade": "", "align": "", "premium": "", "wrong_if": "", "context": "", "subject": "Alert: Rev - Screener v1 (SPY, 12): Any alert() function call", "body": "{\"ticker\":\"JPM\", \"setup\":\"A+ Trend Long\", \"side\":\"LONG\", \"price\":335.34, \"stage\":2, \"buy\":97, \"sell\":7.5, \"prime\":2, \"revL\":0, \"revS\":0, \"vcp\":0, \"dir_prob\":94.4, \"time\":1783603800000}", "ticker": "JPM", "setup": "A+ Trend Long", "side": "LONG", "price": 335.34, "stage": 2, "buy": 97, "sell": 7.5, "prime": 2, "revL": 0, "revS": 0, "vcp": 0, "time": 1783603800000, "email_id": "b'214'", "timestamp": "2026-07-09 16:01:19"}</t>
  </si>
  <si>
    <t>{"symbol": "WFC", "strategy": "Daily", "action": "LONG", "alert_price": 85.4, "score": "", "dir_prob": "89.3", "net_sigma": "", "grade": "", "align": "", "premium": "", "wrong_if": "", "context": "", "subject": "Alert: Rev - Screener v1 (SPY, 12): Any alert() function call", "body": "{\"ticker\":\"WFC\", \"setup\":\"A+ Trend Long\", \"side\":\"LONG\", \"price\":85.40, \"stage\":2, \"buy\":96.3, \"sell\":30.2, \"prime\":2, \"revL\":0, \"revS\":0, \"vcp\":0, \"dir_prob\":89.3, \"time\":1784035800000}", "ticker": "WFC", "setup": "A+ Trend Long", "side": "LONG", "price": 85.4, "stage": 2, "buy": 96.3, "sell": 30.2, "prime": 2, "revL": 0, "revS": 0, "vcp": 0, "time": 1784035800000, "email_id": "b'934'", "timestamp": "2026-07-14 16:01:12"}</t>
  </si>
  <si>
    <t>The setup is a strong TREND_LONG driven by a Buy score of 98.25, a Sell score of 28.38, and a directional probability of 89.75, occurring in Stage 2 with a healthy Regime 0. The news confirms this bias with a Q2 EPS and sales beat, though the earnings gate is set to CAUTION. The stock is currently in the long zone with a 2.0 R:R, but the CAUTION earnings gate caps the conviction at a WATCH rather than a full PASS.</t>
  </si>
  <si>
    <t>Buy: 77.9 | Sell: 45.2</t>
  </si>
  <si>
    <t>Buy: 7.9 | Sell: 92.2</t>
  </si>
  <si>
    <t>{"symbol": "IVZ", "strategy": "Daily", "action": "LONG", "alert_price": 28.74, "score": "", "dir_prob": "68.7", "net_sigma": "", "grade": "", "align": "", "premium": "", "wrong_if": "", "context": "", "subject": "Alert: Rev - Screener v1 (SPY, 12): Any alert() function call", "body": "{\"ticker\":\"IVZ\", \"setup\":\"Early Action Long\", \"side\":\"LONG\", \"price\":28.74, \"stage\":2, \"buy\":77.9, \"sell\":45.2, \"prime\":1, \"revL\":0, \"revS\":0, \"vcp\":0, \"dir_prob\":68.7, \"time\":1784035800000}", "ticker": "IVZ", "setup": "Early Action Long", "side": "LONG", "price": 28.74, "stage": 2, "buy": 77.9, "sell": 45.2, "prime": 1, "revL": 0, "revS": 0, "vcp": 0, "time": 1784035800000, "email_id": "b'941'", "timestamp": "2026-07-14 16:01:29"}</t>
  </si>
  <si>
    <t>The setup is a strong TREND_LONG driven by a Buy score of 85.57, a Dir Prob of 89.23, and Stage 2 momentum, with the price currently in the long zone offering a 2.25 R:R. The news confirms the bullish bias as Barclays raised the price target to $31, aligning with the technicals. However, the triage is capped to WATCH due to the 'earnings' flag (CAUTION gate) and the fact that the price is at the upper bound of the long zone, suggesting a potential chased entry.</t>
  </si>
  <si>
    <t>Buy: 88.4 | Sell: 5.4</t>
  </si>
  <si>
    <t>{"symbol": "PFE", "strategy": "Daily", "action": "SHORT", "alert_price": 24.25, "score": "", "dir_prob": "6", "net_sigma": "", "grade": "", "align": "", "premium": "", "wrong_if": "", "context": "", "subject": "Alert: Rev - Screener v1 (SPY, 12): Any alert() function call", "body": "{\"ticker\":\"PFE\", \"setup\":\"A+ Trend Short\", \"side\":\"SHORT\", \"price\":24.25, \"stage\":4, \"buy\":7.9, \"sell\":92.2, \"prime\":-2, \"revL\":0, \"revS\":0, \"vcp\":0, \"dir_prob\":6, \"time\":1783603800000}", "ticker": "PFE", "setup": "A+ Trend Short", "side": "SHORT", "price": 24.25, "stage": 4, "buy": 7.9, "sell": 92.2, "prime": -2, "revL": 0, "revS": 0, "vcp": 0, "time": 1783603800000, "email_id": "b'184'", "timestamp": "2026-07-09 16:01:10"}</t>
  </si>
  <si>
    <t>{"symbol": "PRU", "strategy": "Daily", "action": "LONG", "alert_price": 114.81, "score": "", "dir_prob": "92.6", "net_sigma": "", "grade": "", "align": "", "premium": "", "wrong_if": "", "context": "", "subject": "Alert: Rev - Screener v1 (SPY, 12): Any alert() function call", "body": "{\"ticker\":\"PRU\", \"setup\":\"A+ Trend Long\", \"side\":\"LONG\", \"price\":114.81, \"stage\":2, \"buy\":88.4, \"sell\":5.4, \"prime\":2, \"revL\":0, \"revS\":0, \"vcp\":0, \"dir_prob\":92.6, \"time\":1784035800000}", "ticker": "PRU", "setup": "A+ Trend Long", "side": "LONG", "price": 114.81, "stage": 2, "buy": 88.4, "sell": 5.4, "prime": 2, "revL": 0, "revS": 0, "vcp": 0, "time": 1784035800000, "email_id": "b'942'", "timestamp": "2026-07-14 16:01:11"}</t>
  </si>
  <si>
    <t>The setup is a TREND_LONG driven by a dominant Buy score of 87.9 and a high directional probability of 89.55, indicating strong bullish momentum. News sentiment is bullish as analysts raised price targets, which confirms the technical bias. However, the triage is capped to WATCH due to the 'extended' regime (ext_pct=11.68) and the 'earnings' caution flag (earnings_gate=CAUTION), despite the strong trend signal.</t>
  </si>
  <si>
    <t>Buy: 96.1 | Sell: 24.6</t>
  </si>
  <si>
    <t>Buy: 28.6 | Sell: 92.2</t>
  </si>
  <si>
    <t>{"symbol": "BRK.B", "strategy": "Daily", "action": "LONG", "alert_price": 491.17, "score": "", "dir_prob": "92.2", "net_sigma": "", "grade": "", "align": "", "premium": "", "wrong_if": "", "context": "", "subject": "Alert: Rev - Screener v1 (SPY, 12): Any alert() function call", "body": "{\"ticker\":\"BRK.B\", \"setup\":\"A+ Trend Long\", \"side\":\"LONG\", \"price\":491.17, \"stage\":2, \"buy\":96.1, \"sell\":24.6, \"prime\":2, \"revL\":0, \"revS\":0, \"vcp\":0, \"dir_prob\":92.2, \"time\":1784035800000}", "ticker": "BRK.B", "setup": "A+ Trend Long", "side": "LONG", "price": 491.17, "stage": 2, "buy": 96.1, "sell": 24.6, "prime": 2, "revL": 0, "revS": 0, "vcp": 0, "time": 1784035800000, "email_id": "b'943'", "timestamp": "2026-07-14 16:01:16"}</t>
  </si>
  <si>
    <t>The setup is a TREND_LONG driven by a dominant Buy score of 96.94, a Dir Prob of 87.13, and Stage 2 (up-trend) with low exhaustion (0.0037). The stock is trading above the long entry zone with an R:R of ~0.92, indicating a slightly chased entry. A WATCH cap is applied due to the 'extended' regime (ext_pct 0.74) and the 'earnings' caution flag, despite the strong technical momentum.</t>
  </si>
  <si>
    <t>Buy: 81.6 | Sell: 10.6</t>
  </si>
  <si>
    <t>{"symbol": "PEP", "strategy": "Daily", "action": "SHORT", "alert_price": 137.83, "score": "", "dir_prob": "21.4", "net_sigma": "", "grade": "", "align": "", "premium": "", "wrong_if": "", "context": "", "subject": "Alert: Rev - Screener v1 (SPY, 12): Any alert() function call", "body": "{\"ticker\":\"PEP\", \"setup\":\"A+ Trend Short\", \"side\":\"SHORT\", \"price\":137.83, \"stage\":4, \"buy\":28.6, \"sell\":92.2, \"prime\":-2, \"revL\":0, \"revS\":0, \"vcp\":1, \"dir_prob\":21.4, \"time\":1783603800000}", "ticker": "PEP", "setup": "A+ Trend Short", "side": "SHORT", "price": 137.83, "stage": 4, "buy": 28.6, "sell": 92.2, "prime": -2, "revL": 0, "revS": 0, "vcp": 1, "time": 1783603800000, "email_id": "b'193'", "timestamp": "2026-07-09 16:01:14"}</t>
  </si>
  <si>
    <t>{"symbol": "ESS", "strategy": "Daily", "action": "LONG", "alert_price": 298.21, "score": "", "dir_prob": "93.7", "net_sigma": "", "grade": "", "align": "", "premium": "", "wrong_if": "", "context": "", "subject": "Alert: Rev - Screener v1 (SPY, 12): Any alert() function call", "body": "{\"ticker\":\"ESS\", \"setup\":\"Early Action Long\", \"side\":\"LONG\", \"price\":298.21, \"stage\":2, \"buy\":81.6, \"sell\":10.6, \"prime\":1, \"revL\":0, \"revS\":0, \"vcp\":0, \"dir_prob\":93.7, \"time\":1784035800000}", "ticker": "ESS", "setup": "Early Action Long", "side": "LONG", "price": 298.21, "stage": 2, "buy": 81.6, "sell": 10.6, "prime": 1, "revL": 0, "revS": 0, "vcp": 0, "time": 1784035800000, "email_id": "b'956'", "timestamp": "2026-07-14 16:01:24"}</t>
  </si>
  <si>
    <t>The setup is a TREND_LONG driven by a high Buy score of 83.35, a dominant direction probability of 86.54, and Stage 2 (up-trend) with low exhaustion (0.0662). The news confirms the bullish bias as Barclays raised the price target to $296, aligning with the technicals. However, the triage is capped to WATCH due to the 'extended' flag (ext_pct 13.24 is moderate but combined with the regime context) and the 'earnings' caution flag (earnings_gate is CAUTION), despite the strong directional edge.</t>
  </si>
  <si>
    <t>Buy: 89.9 | Sell: 18.8</t>
  </si>
  <si>
    <t>Buy: 7.8 | Sell: 92.9</t>
  </si>
  <si>
    <t>{"symbol": "CVS", "strategy": "Daily", "action": "LONG", "alert_price": 106.19, "score": "", "dir_prob": "90", "net_sigma": "", "grade": "", "align": "", "premium": "", "wrong_if": "", "context": "", "subject": "Alert: Rev - Screener v1 (SPY, 12): Any alert() function call", "body": "{\"ticker\":\"CVS\", \"setup\":\"A+ Trend Long\", \"side\":\"LONG\", \"price\":106.19, \"stage\":2, \"buy\":89.9, \"sell\":18.8, \"prime\":2, \"revL\":0, \"revS\":0, \"vcp\":0, \"dir_prob\":90, \"time\":1784035800000}", "ticker": "CVS", "setup": "A+ Trend Long", "side": "LONG", "price": 106.19, "stage": 2, "buy": 89.9, "sell": 18.8, "prime": 2, "revL": 0, "revS": 0, "vcp": 0, "time": 1784035800000, "email_id": "b'959'", "timestamp": "2026-07-14 16:01:30"}</t>
  </si>
  <si>
    <t>The setup is a TREND_LONG driven by a dominant Buy score of 96.63, a Dir Prob of 87.45, and an Ignition flag, confirming the bullish bias. News sentiment is strongly bullish, confirming the technicals with an FTC settlement and multiple analyst price target raises. However, the triage is capped to WATCH due to the 'extended' regime (Regime 1, Ext% 27.88), the 'earnings' caution flag, and conflicting momentum (opposite score 25.06 is non-trivial relative to the low rev_zone_l of 2.0).</t>
  </si>
  <si>
    <t>Buy: 97.1 | Sell: 4.5</t>
  </si>
  <si>
    <t>{"symbol": "AVGO", "strategy": "Daily", "action": "SHORT", "alert_price": 401.26, "score": "", "dir_prob": "7.3", "net_sigma": "", "grade": "", "align": "", "premium": "", "wrong_if": "", "context": "", "subject": "Alert: Rev - Screener v1 (SPY, 12): Any alert() function call", "body": "{\"ticker\":\"AVGO\", \"setup\":\"A+ Trend Short\", \"side\":\"SHORT\", \"price\":401.26, \"stage\":4, \"buy\":7.8, \"sell\":92.9, \"prime\":-2, \"revL\":0, \"revS\":0, \"vcp\":1, \"dir_prob\":7.3, \"time\":1783603800000}", "ticker": "AVGO", "setup": "A+ Trend Short", "side": "SHORT", "price": 401.26, "stage": 4, "buy": 7.8, "sell": 92.9, "prime": -2, "revL": 0, "revS": 0, "vcp": 1, "time": 1783603800000, "email_id": "b'205'", "timestamp": "2026-07-09 16:01:14"}</t>
  </si>
  <si>
    <t>{"symbol": "BALL", "strategy": "Daily", "action": "LONG", "alert_price": 60.45, "score": "", "dir_prob": "97.1", "net_sigma": "", "grade": "", "align": "", "premium": "", "wrong_if": "", "context": "", "subject": "Alert: Rev - Screener v1 (SPY, 12): Any alert() function call", "body": "{\"ticker\":\"BALL\", \"setup\":\"A+ Trend Long\", \"side\":\"LONG\", \"price\":60.45, \"stage\":2, \"buy\":97.1, \"sell\":4.5, \"prime\":2, \"revL\":0, \"revS\":0, \"vcp\":0, \"dir_prob\":97.1, \"time\":1784035800000}", "ticker": "BALL", "setup": "A+ Trend Long", "side": "LONG", "price": 60.45, "stage": 2, "buy": 97.1, "sell": 4.5, "prime": 2, "revL": 0, "revS": 0, "vcp": 0, "time": 1784035800000, "email_id": "b'963'", "timestamp": "2026-07-14 16:01:52"}</t>
  </si>
  <si>
    <t>The setup is a strong TREND_LONG driven by a Buy score of 98.81, a Dir Prob of 89.35, and Stage 2 momentum, with no active Rev Zone signals. The news confirms the bullish bias as BofA raises the price target to $73. However, the triage is capped to WATCH due to the 'extended' regime (ext_pct 5.45 is normal but combined with high buy/sell divergence often flags caution in this specific logic, though strictly ext_pct&lt;20 is normal, the high buy/sell spread and 'extended' flag in the provided list suggests a specific internal heuristic or the user's flag list implies caution on high scores) and the 'earnings' caution gate (earnings_gate: CAUTION). The R:R is slightly sub-optimal (0.95) as price is above the long zone.</t>
  </si>
  <si>
    <t>Buy: 94.5 | Sell: 31.7</t>
  </si>
  <si>
    <t>{"symbol": "VRTX", "strategy": "Daily", "action": "LONG", "alert_price": 476.3, "score": "", "dir_prob": "94", "net_sigma": "", "grade": "", "align": "", "premium": "", "wrong_if": "", "context": "", "subject": "Alert: Rev - Screener v1 (SPY, 12): Any alert() function call", "body": "{\"ticker\":\"VRTX\", \"setup\":\"A+ Trend Long\", \"side\":\"LONG\", \"price\":476.30, \"stage\":2, \"buy\":97, \"sell\":5, \"prime\":2, \"revL\":0, \"revS\":0, \"vcp\":0, \"dir_prob\":94, \"time\":1784035800000}", "ticker": "VRTX", "setup": "A+ Trend Long", "side": "LONG", "price": 476.3, "stage": 2, "buy": 97, "sell": 5, "prime": 2, "revL": 0, "revS": 0, "vcp": 0, "time": 1784035800000, "email_id": "b'832'", "timestamp": "2026-07-14 16:01:20"}</t>
  </si>
  <si>
    <t>The setup is a strong TREND_LONG driven by a Buy score of 92.53, a Dir Prob of 90.67, and Stage 2 momentum, with Rev Zone L at 5.5 (Zone 2). News sentiment is bullish, confirming the long bias with two analyst upgrades raising price targets. The triage is capped to WATCH due to the 'extended' regime (ext_pct 5.35 is normal but combined with high scores suggests momentum stretch) and the 'earnings' caution flag (earnings_gate CAUTION), despite the high conviction.</t>
  </si>
  <si>
    <t>Buy: 90 | Sell: 17.4</t>
  </si>
  <si>
    <t>{"symbol": "ANET", "strategy": "Daily", "action": "LONG", "alert_price": 182.56, "score": "", "dir_prob": "90.7", "net_sigma": "", "grade": "", "align": "", "premium": "", "wrong_if": "", "context": "", "subject": "Alert: Rev - Screener v1 (SPY, 12): Any alert() function call", "body": "{\"ticker\":\"ANET\", \"setup\":\"A+ Trend Long\", \"side\":\"LONG\", \"price\":182.56, \"stage\":2, \"buy\":90, \"sell\":17.4, \"prime\":2, \"revL\":0, \"revS\":0, \"vcp\":0, \"dir_prob\":90.7, \"time\":1784035800000}", "ticker": "ANET", "setup": "A+ Trend Long", "side": "LONG", "price": 182.56, "stage": 2, "buy": 90, "sell": 17.4, "prime": 2, "revL": 0, "revS": 0, "vcp": 0, "time": 1784035800000, "email_id": "b'859'", "timestamp": "2026-07-14 16:01:16"}</t>
  </si>
  <si>
    <t>{"symbol": "WFC", "strategy": "Daily", "action": "LONG", "alert_price": 86.91, "score": "", "dir_prob": "88.2", "net_sigma": "", "grade": "", "align": "", "premium": "", "wrong_if": "", "context": "", "subject": "Alert: Rev - Screener v1 (SPY, 12): Any alert() function call", "body": "{\"ticker\":\"WFC\", \"setup\":\"A+ Trend Long\", \"side\":\"LONG\", \"price\":86.91, \"stage\":2, \"buy\":94.5, \"sell\":31.7, \"prime\":2, \"revL\":0, \"revS\":0, \"vcp\":0, \"dir_prob\":88.2, \"time\":1783603800000}", "ticker": "WFC", "setup": "A+ Trend Long", "side": "LONG", "price": 86.91, "stage": 2, "buy": 94.5, "sell": 31.7, "prime": 2, "revL": 0, "revS": 0, "vcp": 0, "time": 1783603800000, "email_id": "b'206'", "timestamp": "2026-07-09 16:01:20"}</t>
  </si>
  <si>
    <t>The setup is a strong TREND_LONG driven by a Buy score of 98.44, a Sell score of 16.33, and a Direction Probability of 91.64, with Stage 2 confirming an uptrend. The news confirms this bias as TD Cowen raises the price target to $210, despite a headline about a data center moratorium. The triage is capped to WATCH due to the 'extended' regime (Ext% 26.35) and the 'earnings' caution flag, though the technical edge remains robust.</t>
  </si>
  <si>
    <t>Buy: 95.7 | Sell: 15.1</t>
  </si>
  <si>
    <t>Buy: 96.1 | Sell: 8.1</t>
  </si>
  <si>
    <t>{"symbol": "CMS", "strategy": "Daily", "action": "LONG", "alert_price": 75.09, "score": "", "dir_prob": "92.6", "net_sigma": "", "grade": "", "align": "", "premium": "", "wrong_if": "", "context": "", "subject": "Alert: Rev - Screener v1 (SPY, 12): Any alert() function call", "body": "{\"ticker\":\"CMS\", \"setup\":\"A+ Trend Long\", \"side\":\"LONG\", \"price\":75.09, \"stage\":2, \"buy\":95.7, \"sell\":15.1, \"prime\":2, \"revL\":0, \"revS\":0, \"vcp\":0, \"dir_prob\":92.6, \"time\":1784035800000}", "ticker": "CMS", "setup": "A+ Trend Long", "side": "LONG", "price": 75.09, "stage": 2, "buy": 95.7, "sell": 15.1, "prime": 2, "revL": 0, "revS": 0, "vcp": 0, "time": 1784035800000, "email_id": "b'860'", "timestamp": "2026-07-14 16:01:30"}</t>
  </si>
  <si>
    <t>The setup is a strong TREND_LONG signal driven by a Buy score of 98.02, a Sell score of 30.61, and a directional probability of 90.85 in Stage 2. The news confirms this bias with a Barclays upgrade raising the price target to $81. However, the triage is capped to WATCH due to the 'extended' regime (ext_pct 2.59) and the 'earnings' caution flag (earnings_gate CAUTION), despite the high conviction.</t>
  </si>
  <si>
    <t>Buy: 92.3 | Sell: 41.2</t>
  </si>
  <si>
    <t>{"symbol": "WAT", "strategy": "Daily", "action": "LONG", "alert_price": 376.35, "score": "", "dir_prob": "86.3", "net_sigma": "", "grade": "", "align": "", "premium": "", "wrong_if": "", "context": "", "subject": "Alert: Rev - Screener v1 (SPY, 12): Any alert() function call", "body": "{\"ticker\":\"WAT\", \"setup\":\"A+ Trend Long\", \"side\":\"LONG\", \"price\":376.35, \"stage\":2, \"buy\":92.3, \"sell\":41.2, \"prime\":2, \"revL\":0, \"revS\":0, \"vcp\":0, \"dir_prob\":86.3, \"time\":1784035800000}", "ticker": "WAT", "setup": "A+ Trend Long", "side": "LONG", "price": 376.35, "stage": 2, "buy": 92.3, "sell": 41.2, "prime": 2, "revL": 0, "revS": 0, "vcp": 0, "time": 1784035800000, "email_id": "b'862'", "timestamp": "2026-07-14 16:01:14"}</t>
  </si>
  <si>
    <t>The setup is a strong TREND_LONG driven by a Buy score of 94.77, a Dir Prob of 95.27, and Stage 2 momentum, with Rev Zone L at 6.0 (Zone 2). The news confirms the bullish bias as Goldman Sachs raised the price target to $425. Triage is capped to WATCH solely due to the 'earnings_gate' being CAUTION, despite the high conviction setup.</t>
  </si>
  <si>
    <t>Buy: 96.9 | Sell: 8.6</t>
  </si>
  <si>
    <t>{"symbol": "FAST", "strategy": "Daily", "action": "LONG", "alert_price": 46.36, "score": "", "dir_prob": "93.6", "net_sigma": "", "grade": "", "align": "", "premium": "", "wrong_if": "", "context": "", "subject": "Alert: Rev - Screener v1 (SPY, 12): Any alert() function call", "body": "{\"ticker\":\"FAST\", \"setup\":\"A+ Trend Long\", \"side\":\"LONG\", \"price\":46.36, \"stage\":2, \"buy\":96.1, \"sell\":8.1, \"prime\":2, \"revL\":0, \"revS\":0, \"vcp\":0, \"dir_prob\":93.6, \"time\":1783603800000}", "ticker": "FAST", "setup": "A+ Trend Long", "side": "LONG", "price": 46.36, "stage": 2, "buy": 96.1, "sell": 8.1, "prime": 2, "revL": 0, "revS": 0, "vcp": 0, "time": 1783603800000, "email_id": "b'192'", "timestamp": "2026-07-09 16:01:00"}</t>
  </si>
  <si>
    <t>{"symbol": "AXP", "strategy": "Daily", "action": "LONG", "alert_price": 355.15, "score": "", "dir_prob": "95.5", "net_sigma": "", "grade": "", "align": "", "premium": "", "wrong_if": "", "context": "", "subject": "Alert: Rev - Screener v1 (SPY, 12): Any alert() function call", "body": "{\"ticker\":\"AXP\", \"setup\":\"A+ Trend Long\", \"side\":\"LONG\", \"price\":355.15, \"stage\":2, \"buy\":96.9, \"sell\":8.6, \"prime\":2, \"revL\":0, \"revS\":0, \"vcp\":0, \"dir_prob\":95.5, \"time\":1784035800000}", "ticker": "AXP", "setup": "A+ Trend Long", "side": "LONG", "price": 355.15, "stage": 2, "buy": 96.9, "sell": 8.6, "prime": 2, "revL": 0, "revS": 0, "vcp": 0, "time": 1784035800000, "email_id": "b'865'", "timestamp": "2026-07-14 16:01:07"}</t>
  </si>
  <si>
    <t>AXP is firing a TREND_LONG signal with a dominant Buy Score of 96.42, a Dir Prob of 86.8, and Stage 2 momentum, confirming the bullish bias. The news strongly CONFIRMS this setup via a JP Morgan upgrade to Overweight with a $400 target, despite a neutral catalyst label in the input. The setup is capped to WATCH solely due to the 'CAUTION' earnings gate, which introduces near-term volatility risk.</t>
  </si>
  <si>
    <t>Buy: 91.3 | Sell: 13.3</t>
  </si>
  <si>
    <t>Buy: 97.4 | Sell: 4.3</t>
  </si>
  <si>
    <t>{"symbol": "EXPE", "strategy": "Daily", "action": "LONG", "alert_price": 266.25, "score": "", "dir_prob": "91.4", "net_sigma": "", "grade": "", "align": "", "premium": "", "wrong_if": "", "context": "", "subject": "Alert: Rev - Screener v1 (SPY, 12): Any alert() function call", "body": "{\"ticker\":\"EXPE\", \"setup\":\"A+ Trend Long\", \"side\":\"LONG\", \"price\":266.25, \"stage\":2, \"buy\":97.4, \"sell\":4.3, \"prime\":2, \"revL\":0, \"revS\":0, \"vcp\":0, \"dir_prob\":91.4, \"time\":1784035800000}", "ticker": "EXPE", "setup": "A+ Trend Long", "side": "LONG", "price": 266.25, "stage": 2, "buy": 97.4, "sell": 4.3, "prime": 2, "revL": 0, "revS": 0, "vcp": 0, "time": 1784035800000, "email_id": "b'885'", "timestamp": "2026-07-14 16:01:02"}</t>
  </si>
  <si>
    <t>The setup is a strong TREND_LONG driven by a Buy score of 98.47, a Dir Prob of 87.15, and Stage 2 momentum, with the price currently in the long zone offering 2.0 R:R. News sentiment is bullish, confirming the technical bias via a strategic partnership and a Jefferies price target raise. The only constraint is the 'earnings' flag due to the CAUTION gate, which caps the triage at WATCH rather than a full PASS.</t>
  </si>
  <si>
    <t>Buy: 92.1 | Sell: 7.7</t>
  </si>
  <si>
    <t>{"symbol": "DOC", "strategy": "Daily", "action": "LONG", "alert_price": 21.59, "score": "", "dir_prob": "93.2", "net_sigma": "", "grade": "", "align": "", "premium": "", "wrong_if": "", "context": "", "subject": "Alert: Rev - Screener v1 (SPY, 12): Any alert() function call", "body": "{\"ticker\":\"DOC\", \"setup\":\"A+ Trend Long\", \"side\":\"LONG\", \"price\":21.59, \"stage\":2, \"buy\":91.3, \"sell\":13.3, \"prime\":2, \"revL\":0, \"revS\":0, \"vcp\":0, \"dir_prob\":93.2, \"time\":1783603800000}", "ticker": "DOC", "setup": "A+ Trend Long", "side": "LONG", "price": 21.59, "stage": 2, "buy": 91.3, "sell": 13.3, "prime": 2, "revL": 0, "revS": 0, "vcp": 0, "time": 1783603800000, "email_id": "b'213'", "timestamp": "2026-07-09 16:01:19"}</t>
  </si>
  <si>
    <t>Buy: 97 | Sell: 10.8</t>
  </si>
  <si>
    <t>{"symbol": "MNST", "strategy": "Daily", "action": "LONG", "alert_price": 98.01, "score": "", "dir_prob": "87.7", "net_sigma": "", "grade": "", "align": "", "premium": "", "wrong_if": "", "context": "", "subject": "Alert: Rev - Screener v1 (SPY, 12): Any alert() function call", "body": "{\"ticker\":\"MNST\", \"setup\":\"A+ Trend Long\", \"side\":\"LONG\", \"price\":98.01, \"stage\":2, \"buy\":92.1, \"sell\":7.7, \"prime\":2, \"revL\":0, \"revS\":0, \"vcp\":0, \"dir_prob\":87.7, \"time\":1784035800000}", "ticker": "MNST", "setup": "A+ Trend Long", "side": "LONG", "price": 98.01, "stage": 2, "buy": 92.1, "sell": 7.7, "prime": 2, "revL": 0, "revS": 0, "vcp": 0, "time": 1784035800000, "email_id": "b'894'", "timestamp": "2026-07-14 16:01:22"}</t>
  </si>
  <si>
    <t>The setup is a strong TREND_LONG driven by a Buy score of 95.6 and a directional probability of 89.64, with the price currently in the long zone. The news confirms this bias as Citigroup raises the price target to $113. However, the triage is capped to WATCH due to the 'extended' regime (ext_pct 23.23) and the 'earnings' caution flag, despite the high conviction.</t>
  </si>
  <si>
    <t>Buy: 71.2 | Sell: 6.9</t>
  </si>
  <si>
    <t>{"symbol": "CB", "strategy": "Daily", "action": "LONG", "alert_price": 337.46, "score": "", "dir_prob": "95.1", "net_sigma": "", "grade": "", "align": "", "premium": "", "wrong_if": "", "context": "", "subject": "Alert: Rev - Screener v1 (SPY, 12): Any alert() function call", "body": "{\"ticker\":\"CB\", \"setup\":\"A+ Trend Long\", \"side\":\"LONG\", \"price\":337.46, \"stage\":2, \"buy\":97, \"sell\":10.8, \"prime\":2, \"revL\":0, \"revS\":0, \"vcp\":0, \"dir_prob\":95.1, \"time\":1784122200000}", "ticker": "CB", "setup": "A+ Trend Long", "side": "LONG", "price": 337.46, "stage": 2, "buy": 97, "sell": 10.8, "prime": 2, "revL": 0, "revS": 0, "vcp": 0, "time": 1784122200000, "email_id": "b'998'", "timestamp": "2026-07-15 16:01:06"}</t>
  </si>
  <si>
    <t>{"symbol": "V", "strategy": "Daily", "action": "LONG", "alert_price": 348.09, "score": "", "dir_prob": "95.8", "net_sigma": "", "grade": "", "align": "", "premium": "", "wrong_if": "", "context": "", "subject": "Alert: Rev - Screener v1 (SPY, 12): Any alert() function call", "body": "{\"ticker\":\"V\", \"setup\":\"Early Action Long\", \"side\":\"LONG\", \"price\":348.09, \"stage\":2, \"buy\":71.2, \"sell\":6.9, \"prime\":1, \"revL\":0, \"revS\":0, \"vcp\":0, \"dir_prob\":95.8, \"time\":1783603800000}", "ticker": "V", "setup": "Early Action Long", "side": "LONG", "price": 348.09, "stage": 2, "buy": 71.2, "sell": 6.9, "prime": 1, "revL": 0, "revS": 0, "vcp": 0, "time": 1783603800000, "email_id": "b'250'", "timestamp": "2026-07-09 16:01:01"}</t>
  </si>
  <si>
    <t>poor_rr_outside_zone</t>
  </si>
  <si>
    <t>Buy: 83 | Sell: 58.6</t>
  </si>
  <si>
    <t>Buy: 95.5 | Sell: 60</t>
  </si>
  <si>
    <t>{"symbol": "IBKR", "strategy": "Daily", "action": "LONG", "alert_price": 97.42, "score": "", "dir_prob": "63.2", "net_sigma": "", "grade": "", "align": "", "premium": "", "wrong_if": "", "context": "", "subject": "Alert: Rev - Screener v1 (SPY, 12): Any alert() function call", "body": "{\"ticker\":\"IBKR\", \"setup\":\"Bullish Squeeze Release\", \"side\":\"LONG\", \"price\":97.42, \"stage\":2, \"buy\":83, \"sell\":58.6, \"prime\":1, \"revL\":0, \"revS\":0, \"vcp\":2, \"dir_prob\":63.2, \"time\":1784122200000}", "ticker": "IBKR", "setup": "Bullish Squeeze Release", "side": "LONG", "price": 97.42, "stage": 2, "buy": 83, "sell": 58.6, "prime": 1, "revL": 0, "revS": 0, "vcp": 2, "time": 1784122200000, "email_id": "b'1001'", "timestamp": "2026-07-15 16:01:02"}</t>
  </si>
  <si>
    <t>The setup is a TREND_LONG triggered by a dominant Buy score of 83.51, a directional probability of 87.11, and a Stage 2 uptrend. News sentiment is bullish, with two analysts raising price targets, which confirms the technical bias. However, the triage is capped at WATCH due to an earnings gate CAUTION (6 days out) and the 'extended' flag (28.7% above MA200 with exhaustion at 0.21).</t>
  </si>
  <si>
    <t>WATCH (6/10) → Deep Research</t>
  </si>
  <si>
    <t>Buy: 97.5 | Sell: 7.7</t>
  </si>
  <si>
    <t>{"symbol": "JNJ", "strategy": "Daily", "action": "LONG", "alert_price": 247.0, "score": "", "dir_prob": "95", "net_sigma": "", "grade": "", "align": "", "premium": "", "wrong_if": "", "context": "", "subject": "Alert: Rev - Screener v1 (SPY, 12): Any alert() function call", "body": "{\"ticker\":\"JNJ\", \"setup\":\"A+ Trend Long\", \"side\":\"LONG\", \"price\":247.00, \"stage\":2, \"buy\":97.5, \"sell\":7.7, \"prime\":2, \"revL\":0, \"revS\":0, \"vcp\":0, \"dir_prob\":95, \"time\":1784122200000}", "ticker": "JNJ", "setup": "A+ Trend Long", "side": "LONG", "price": 247.0, "stage": 2, "buy": 97.5, "sell": 7.7, "prime": 2, "revL": 0, "revS": 0, "vcp": 0, "time": 1784122200000, "email_id": "b'1000'", "timestamp": "2026-07-15 16:01:00"}</t>
  </si>
  <si>
    <t>{"symbol": "AES", "strategy": "Daily", "action": "LONG", "alert_price": 14.75, "score": "", "dir_prob": "74.6", "net_sigma": "", "grade": "", "align": "", "premium": "", "wrong_if": "", "context": "", "subject": "Alert: Rev - Screener v1 (SPY, 12): Any alert() function call", "body": "{\"ticker\":\"AES\", \"setup\":\"A+ Trend Long\", \"side\":\"LONG\", \"price\":14.75, \"stage\":2, \"buy\":95.5, \"sell\":60, \"prime\":2, \"revL\":0, \"revS\":4.5, \"vcp\":1, \"dir_prob\":74.6, \"time\":1783603800000}", "ticker": "AES", "setup": "A+ Trend Long", "side": "LONG", "price": 14.75, "stage": 2, "buy": 95.5, "sell": 60, "prime": 2, "revL": 0, "revS": 4.5, "vcp": 1, "time": 1783603800000, "email_id": "b'332'", "timestamp": "2026-07-09 16:01:35"}</t>
  </si>
  <si>
    <t>Buy: 96.4 | Sell: 10.7</t>
  </si>
  <si>
    <t>Buy: 97.1 | Sell: 12.5</t>
  </si>
  <si>
    <t>{"symbol": "ABT", "strategy": "Daily", "action": "LONG", "alert_price": 89.27, "score": "", "dir_prob": "99.2", "net_sigma": "", "grade": "", "align": "", "premium": "", "wrong_if": "", "context": "", "subject": "Alert: Rev - Screener v1 (SPY, 12): Any alert() function call", "body": "{\"ticker\":\"ABT\", \"setup\":\"A+ Trend Long\", \"side\":\"LONG\", \"price\":89.27, \"stage\":2, \"buy\":96.4, \"sell\":10.7, \"prime\":2, \"revL\":0, \"revS\":0, \"vcp\":0, \"dir_prob\":99.2, \"time\":1784122200000}", "ticker": "ABT", "setup": "A+ Trend Long", "side": "LONG", "price": 89.27, "stage": 2, "buy": 96.4, "sell": 10.7, "prime": 2, "revL": 0, "revS": 0, "vcp": 0, "time": 1784122200000, "email_id": "b'999'", "timestamp": "2026-07-15 16:01:01"}</t>
  </si>
  <si>
    <t>Early Ignition</t>
  </si>
  <si>
    <t>Buy: 83 | Sell: 25.4</t>
  </si>
  <si>
    <t>{"symbol": "MTB", "strategy": "Daily", "action": "LONG", "alert_price": 248.62, "score": "", "dir_prob": "86.2", "net_sigma": "", "grade": "", "align": "", "premium": "", "wrong_if": "", "context": "", "subject": "Alert: Rev - Screener v1 (SPY, 12): Any alert() function call", "body": "{\"ticker\":\"MTB\", \"setup\":\"Early Ignition\", \"side\":\"LONG\", \"price\":248.62, \"stage\":2, \"buy\":83, \"sell\":25.4, \"prime\":1, \"revL\":0, \"revS\":0, \"vcp\":0, \"dir_prob\":86.2, \"time\":1784122200000}", "ticker": "MTB", "setup": "Early Ignition", "side": "LONG", "price": 248.62, "stage": 2, "buy": 83, "sell": 25.4, "prime": 1, "revL": 0, "revS": 0, "vcp": 0, "time": 1784122200000, "email_id": "b'1002'", "timestamp": "2026-07-15 16:01:00"}</t>
  </si>
  <si>
    <t>{"symbol": "GL", "strategy": "Daily", "action": "LONG", "alert_price": 178.8, "score": "", "dir_prob": "88.8", "net_sigma": "", "grade": "", "align": "", "premium": "", "wrong_if": "", "context": "", "subject": "Alert: Rev - Screener v1 (SPY, 12): Any alert() function call", "body": "{\"ticker\":\"GL\", \"setup\":\"A+ Trend Long\", \"side\":\"LONG\", \"price\":178.80, \"stage\":2, \"buy\":97.1, \"sell\":12.5, \"prime\":2, \"revL\":0, \"revS\":0, \"vcp\":0, \"dir_prob\":88.8, \"time\":1783603800000}", "ticker": "GL", "setup": "A+ Trend Long", "side": "LONG", "price": 178.8, "stage": 2, "buy": 97.1, "sell": 12.5, "prime": 2, "revL": 0, "revS": 0, "vcp": 0, "time": 1783603800000, "email_id": "b'251'", "timestamp": "2026-07-09 16:01:16"}</t>
  </si>
  <si>
    <t>Buy: 19.8 | Sell: 95.7</t>
  </si>
  <si>
    <t>Buy: 85.3 | Sell: 23.3</t>
  </si>
  <si>
    <t>{"symbol": "APO", "strategy": "Daily", "action": "SHORT", "alert_price": 121.86, "score": "", "dir_prob": "13.4", "net_sigma": "", "grade": "", "align": "", "premium": "", "wrong_if": "", "context": "", "subject": "Alert: Rev - Screener v1 (SPY, 12): Any alert() function call", "body": "{\"ticker\":\"APO\", \"setup\":\"A+ Trend Short\", \"side\":\"SHORT\", \"price\":121.86, \"stage\":4, \"buy\":19.8, \"sell\":95.7, \"prime\":-2, \"revL\":0, \"revS\":0, \"vcp\":0, \"dir_prob\":13.4, \"time\":1784122200000}", "ticker": "APO", "setup": "A+ Trend Short", "side": "SHORT", "price": 121.86, "stage": 4, "buy": 19.8, "sell": 95.7, "prime": -2, "revL": 0, "revS": 0, "vcp": 0, "time": 1784122200000, "email_id": "b'1003'", "timestamp": "2026-07-15 16:01:03"}</t>
  </si>
  <si>
    <t>Buy: 96.1 | Sell: 6.4</t>
  </si>
  <si>
    <t>{"symbol": "CSX", "strategy": "Daily", "action": "LONG", "alert_price": 49.36, "score": "", "dir_prob": "80.1", "net_sigma": "", "grade": "", "align": "", "premium": "", "wrong_if": "", "context": "", "subject": "Alert: Rev - Screener v1 (SPY, 12): Any alert() function call", "body": "{\"ticker\":\"CSX\", \"setup\":\"A+ Trend Long\", \"side\":\"LONG\", \"price\":49.36, \"stage\":2, \"buy\":85.3, \"sell\":23.3, \"prime\":2, \"revL\":0, \"revS\":0, \"vcp\":0, \"dir_prob\":80.1, \"time\":1783603800000}", "ticker": "CSX", "setup": "A+ Trend Long", "side": "LONG", "price": 49.36, "stage": 2, "buy": 85.3, "sell": 23.3, "prime": 2, "revL": 0, "revS": 0, "vcp": 0, "time": 1783603800000, "email_id": "b'170'", "timestamp": "2026-07-09 16:01:04"}</t>
  </si>
  <si>
    <t>Buy: 90.7 | Sell: 12.5</t>
  </si>
  <si>
    <t>{"symbol": "LYV", "strategy": "Daily", "action": "LONG", "alert_price": 178.47, "score": "", "dir_prob": "92", "net_sigma": "", "grade": "", "align": "", "premium": "", "wrong_if": "", "context": "", "subject": "Alert: Rev - Screener v1 (SPY, 12): Any alert() function call", "body": "{\"ticker\":\"LYV\", \"setup\":\"A+ Trend Long\", \"side\":\"LONG\", \"price\":178.47, \"stage\":2, \"buy\":96.1, \"sell\":6.4, \"prime\":2, \"revL\":0, \"revS\":0, \"vcp\":0, \"dir_prob\":92, \"time\":1784122200000}", "ticker": "LYV", "setup": "A+ Trend Long", "side": "LONG", "price": 178.47, "stage": 2, "buy": 96.1, "sell": 6.4, "prime": 2, "revL": 0, "revS": 0, "vcp": 0, "time": 1784122200000, "email_id": "b'1004'", "timestamp": "2026-07-15 16:01:03"}</t>
  </si>
  <si>
    <t>The setup is a TREND_LONG triggered by a dominant long side with a Buy score of 97.0 and a directional probability of 73.29, well above the 65 threshold. The stock is in Stage 2 (up-trend) with low exhaustion (0.06) and is currently trading above its entry zone, offering a 1.51 R:R to the target. There is no news contradiction or earnings gate to cap the trade, though the 'pullback' flag indicates a minor dip-buy opportunity within the trend.</t>
  </si>
  <si>
    <t xml:space="preserve">Sentiment: -0.224140 (Somewhat-Bearish)
</t>
  </si>
  <si>
    <t>PASS (8/10) → Deep Research</t>
  </si>
  <si>
    <t>Buy: 97.7 | Sell: 3.6</t>
  </si>
  <si>
    <t>{"symbol": "UDR", "strategy": "Daily", "action": "LONG", "alert_price": 39.69, "score": "", "dir_prob": "94", "net_sigma": "", "grade": "", "align": "", "premium": "", "wrong_if": "", "context": "", "subject": "Alert: Rev - Screener v1 (SPY, 12): Any alert() function call", "body": "{\"ticker\":\"UDR\", \"setup\":\"A+ Trend Long\", \"side\":\"LONG\", \"price\":39.69, \"stage\":2, \"buy\":90.7, \"sell\":12.5, \"prime\":2, \"revL\":0, \"revS\":0, \"vcp\":0, \"dir_prob\":94, \"time\":1783603800000}", "ticker": "UDR", "setup": "A+ Trend Long", "side": "LONG", "price": 39.69, "stage": 2, "buy": 90.7, "sell": 12.5, "prime": 2, "revL": 0, "revS": 0, "vcp": 0, "time": 1783603800000, "email_id": "b'331'", "timestamp": "2026-07-09 16:01:28"}</t>
  </si>
  <si>
    <t>{"symbol": "L", "strategy": "Daily", "action": "LONG", "alert_price": 112.5, "score": "", "dir_prob": "93.2", "net_sigma": "", "grade": "", "align": "", "premium": "", "wrong_if": "", "context": "", "subject": "Alert: Rev - Screener v1 (SPY, 12): Any alert() function call", "body": "{\"ticker\":\"L\", \"setup\":\"A+ Trend Long\", \"side\":\"LONG\", \"price\":112.50, \"stage\":2, \"buy\":97.7, \"sell\":3.6, \"prime\":2, \"revL\":0, \"revS\":0, \"vcp\":0, \"dir_prob\":93.2, \"time\":1784122200000}", "ticker": "L", "setup": "A+ Trend Long", "side": "LONG", "price": 112.5, "stage": 2, "buy": 97.7, "sell": 3.6, "prime": 2, "revL": 0, "revS": 0, "vcp": 0, "time": 1784122200000, "email_id": "b'1005'", "timestamp": "2026-07-15 16:01:03"}</t>
  </si>
  <si>
    <t>Buy: 97.3 | Sell: 4.7</t>
  </si>
  <si>
    <t>Buy: 80.3 | Sell: 24.9</t>
  </si>
  <si>
    <t>{"symbol": "FFIV", "strategy": "Daily", "action": "LONG", "alert_price": 430.02, "score": "", "dir_prob": "71.8", "net_sigma": "", "grade": "", "align": "", "premium": "", "wrong_if": "", "context": "", "subject": "Alert: Rev - Screener v1 (SPY, 12): Any alert() function call", "body": "{\"ticker\":\"FFIV\", \"setup\":\"Early Action Long\", \"side\":\"LONG\", \"price\":430.02, \"stage\":2, \"buy\":80.3, \"sell\":24.9, \"prime\":1, \"revL\":0, \"revS\":0, \"vcp\":0, \"dir_prob\":71.8, \"time\":1783603800000}", "ticker": "FFIV", "setup": "Early Action Long", "side": "LONG", "price": 430.02, "stage": 2, "buy": 80.3, "sell": 24.9, "prime": 1, "revL": 0, "revS": 0, "vcp": 0, "time": 1783603800000, "email_id": "b'277'", "timestamp": "2026-07-09 16:01:32"}</t>
  </si>
  <si>
    <t>{"symbol": "ES", "strategy": "Daily", "action": "LONG", "alert_price": 73.78, "score": "", "dir_prob": "95.7", "net_sigma": "", "grade": "", "align": "", "premium": "", "wrong_if": "", "context": "", "subject": "Alert: Rev - Screener v1 (SPY, 12): Any alert() function call", "body": "{\"ticker\":\"ES\", \"setup\":\"A+ Trend Long\", \"side\":\"LONG\", \"price\":73.78, \"stage\":2, \"buy\":97.3, \"sell\":4.7, \"prime\":2, \"revL\":0, \"revS\":0, \"vcp\":0, \"dir_prob\":95.7, \"time\":1784122200000}", "ticker": "ES", "setup": "A+ Trend Long", "side": "LONG", "price": 73.78, "stage": 2, "buy": 97.3, "sell": 4.7, "prime": 2, "revL": 0, "revS": 0, "vcp": 0, "time": 1784122200000, "email_id": "b'1006'", "timestamp": "2026-07-15 16:01:00"}</t>
  </si>
  <si>
    <t>Buy: 15.1 | Sell: 92.7</t>
  </si>
  <si>
    <t>Buy: 85.7 | Sell: 17.6</t>
  </si>
  <si>
    <t>{"symbol": "AMZN", "strategy": "Daily", "action": "SHORT", "alert_price": 254.94, "score": "", "dir_prob": "12", "net_sigma": "", "grade": "", "align": "", "premium": "", "wrong_if": "", "context": "", "subject": "Alert: Rev - Screener v1 (SPY, 12): Any alert() function call", "body": "{\"ticker\":\"AMZN\", \"setup\":\"A+ Trend Short\", \"side\":\"SHORT\", \"price\":254.94, \"stage\":4, \"buy\":15.1, \"sell\":92.7, \"prime\":-2, \"revL\":0, \"revS\":0, \"vcp\":0, \"dir_prob\":12, \"time\":1784122200000}", "ticker": "AMZN", "setup": "A+ Trend Short", "side": "SHORT", "price": 254.94, "stage": 4, "buy": 15.1, "sell": 92.7, "prime": -2, "revL": 0, "revS": 0, "vcp": 0, "time": 1784122200000, "email_id": "b'1007'", "timestamp": "2026-07-15 16:01:02"}</t>
  </si>
  <si>
    <t>Buy: 96 | Sell: 6.5</t>
  </si>
  <si>
    <t>{"symbol": "AIG", "strategy": "Daily", "action": "LONG", "alert_price": 79.11, "score": "", "dir_prob": "97", "net_sigma": "", "grade": "", "align": "", "premium": "", "wrong_if": "", "context": "", "subject": "Alert: Rev - Screener v1 (SPY, 12): Any alert() function call", "body": "{\"ticker\":\"AIG\", \"setup\":\"A+ Trend Long\", \"side\":\"LONG\", \"price\":79.11, \"stage\":2, \"buy\":85.7, \"sell\":17.6, \"prime\":2, \"revL\":0, \"revS\":0, \"vcp\":0, \"dir_prob\":97, \"time\":1783603800000}", "ticker": "AIG", "setup": "A+ Trend Long", "side": "LONG", "price": 79.11, "stage": 2, "buy": 85.7, "sell": 17.6, "prime": 2, "revL": 0, "revS": 0, "vcp": 0, "time": 1783603800000, "email_id": "b'295'", "timestamp": "2026-07-09 16:01:26"}</t>
  </si>
  <si>
    <t>Buy: 97 | Sell: 7.2</t>
  </si>
  <si>
    <t>{"symbol": "ITW", "strategy": "Daily", "action": "LONG", "alert_price": 271.39, "score": "", "dir_prob": "94.6", "net_sigma": "", "grade": "", "align": "", "premium": "", "wrong_if": "", "context": "", "subject": "Alert: Rev - Screener v1 (SPY, 12): Any alert() function call", "body": "{\"ticker\":\"ITW\", \"setup\":\"A+ Trend Long\", \"side\":\"LONG\", \"price\":271.39, \"stage\":2, \"buy\":96, \"sell\":6.5, \"prime\":2, \"revL\":0, \"revS\":0, \"vcp\":1, \"dir_prob\":94.6, \"time\":1784122200000}", "ticker": "ITW", "setup": "A+ Trend Long", "side": "LONG", "price": 271.39, "stage": 2, "buy": 96, "sell": 6.5, "prime": 2, "revL": 0, "revS": 0, "vcp": 1, "time": 1784122200000, "email_id": "b'1008'", "timestamp": "2026-07-15 16:01:04"}</t>
  </si>
  <si>
    <t>CTAS</t>
  </si>
  <si>
    <t>Buy: 4.1 | Sell: 10.4</t>
  </si>
  <si>
    <t>{"symbol": "GE", "strategy": "Daily", "action": "LONG", "alert_price": 359.0, "score": "", "dir_prob": "95.1", "net_sigma": "", "grade": "", "align": "", "premium": "", "wrong_if": "", "context": "", "subject": "Alert: Rev - Screener v1 (SPY, 12): Any alert() function call", "body": "{\"ticker\":\"GE\", \"setup\":\"A+ Trend Long\", \"side\":\"LONG\", \"price\":359.00, \"stage\":2, \"buy\":97, \"sell\":7.2, \"prime\":2, \"revL\":0, \"revS\":0, \"vcp\":0, \"dir_prob\":95.1, \"time\":1783603800000}", "ticker": "GE", "setup": "A+ Trend Long", "side": "LONG", "price": 359.0, "stage": 2, "buy": 97, "sell": 7.2, "prime": 2, "revL": 0, "revS": 0, "vcp": 0, "time": 1783603800000, "email_id": "b'327'", "timestamp": "2026-07-09 16:01:37"}</t>
  </si>
  <si>
    <t>Buy: 86.9 | Sell: 51.9</t>
  </si>
  <si>
    <t>{"symbol": "CTAS", "strategy": "Daily", "action": "LONG", "alert_price": 192.28, "score": "", "dir_prob": "58.1", "net_sigma": "", "grade": "", "align": "", "premium": "", "wrong_if": "", "context": "", "subject": "Alert: Rev - Screener v1 (SPY, 12): Any alert() function call", "body": "{\"ticker\":\"CTAS\", \"setup\":\"Early Ignition\", \"side\":\"LONG\", \"price\":192.28, \"stage\":2, \"buy\":4.1, \"sell\":10.4, \"prime\":0, \"revL\":0, \"revS\":7.5, \"vcp\":0, \"dir_prob\":58.1, \"time\":1784122200000}", "ticker": "CTAS", "setup": "Early Ignition", "side": "LONG", "price": 192.28, "stage": 2, "buy": 4.1, "sell": 10.4, "prime": 0, "revL": 0, "revS": 7.5, "vcp": 0, "time": 1784122200000, "email_id": "b'1009'", "timestamp": "2026-07-15 16:01:06"}</t>
  </si>
  <si>
    <t>Buy: 89.3 | Sell: 10</t>
  </si>
  <si>
    <t>{"symbol": "FTNT", "strategy": "Daily", "action": "LONG", "alert_price": 164.52, "score": "", "dir_prob": "92.2", "net_sigma": "", "grade": "", "align": "", "premium": "", "wrong_if": "", "context": "", "subject": "Alert: Rev - Screener v1 (SPY, 12): Any alert() function call", "body": "{\"ticker\":\"FTNT\", \"setup\":\"A+ Trend Long\", \"side\":\"LONG\", \"price\":164.52, \"stage\":2, \"buy\":89.3, \"sell\":10, \"prime\":2, \"revL\":0, \"revS\":0, \"vcp\":0, \"dir_prob\":92.2, \"time\":1784122200000}", "ticker": "FTNT", "setup": "A+ Trend Long", "side": "LONG", "price": 164.52, "stage": 2, "buy": 89.3, "sell": 10, "prime": 2, "revL": 0, "revS": 0, "vcp": 0, "time": 1784122200000, "email_id": "b'1010'", "timestamp": "2026-07-15 16:01:04"}</t>
  </si>
  <si>
    <t>{"symbol": "MS", "strategy": "Daily", "action": "LONG", "alert_price": 222.13, "score": "", "dir_prob": "60.4", "net_sigma": "", "grade": "", "align": "", "premium": "", "wrong_if": "", "context": "", "subject": "Alert: Rev - Screener v1 (SPY, 12): Any alert() function call", "body": "{\"ticker\":\"MS\", \"setup\":\"A+ Trend Long\", \"side\":\"LONG\", \"price\":222.13, \"stage\":2, \"buy\":86.9, \"sell\":51.9, \"prime\":2, \"revL\":0, \"revS\":0, \"vcp\":0, \"dir_prob\":60.4, \"time\":1783603800000}", "ticker": "MS", "setup": "A+ Trend Long", "side": "LONG", "price": 222.13, "stage": 2, "buy": 86.9, "sell": 51.9, "prime": 2, "revL": 0, "revS": 0, "vcp": 0, "time": 1783603800000, "email_id": "b'297'", "timestamp": "2026-07-09 16:01:24"}</t>
  </si>
  <si>
    <t>Buy: 96.1 | Sell: 19.8</t>
  </si>
  <si>
    <t>ADSK</t>
  </si>
  <si>
    <t>Buy: 11.4 | Sell: 86.6</t>
  </si>
  <si>
    <t>SURVIVOR (172.5)</t>
  </si>
  <si>
    <t>{"symbol": "WFC", "strategy": "Daily", "action": "LONG", "alert_price": 87.52, "score": "", "dir_prob": "92.1", "net_sigma": "", "grade": "", "align": "", "premium": "", "wrong_if": "", "context": "", "subject": "Alert: Rev - Screener v1 (SPY, 12): Any alert() function call", "body": "{\"ticker\":\"WFC\", \"setup\":\"A+ Trend Long\", \"side\":\"LONG\", \"price\":87.52, \"stage\":2, \"buy\":96.1, \"sell\":19.8, \"prime\":2, \"revL\":0, \"revS\":0, \"vcp\":0, \"dir_prob\":92.1, \"time\":1784122200000}", "ticker": "WFC", "setup": "A+ Trend Long", "side": "LONG", "price": 87.52, "stage": 2, "buy": 96.1, "sell": 19.8, "prime": 2, "revL": 0, "revS": 0, "vcp": 0, "time": 1784122200000, "email_id": "b'1011'", "timestamp": "2026-07-15 16:01:07"}</t>
  </si>
  <si>
    <t>Buy: 95.8 | Sell: 8.1</t>
  </si>
  <si>
    <t>{"symbol": "COF", "strategy": "Daily", "action": "LONG", "alert_price": 208.89, "score": "", "dir_prob": "97.1", "net_sigma": "", "grade": "", "align": "", "premium": "", "wrong_if": "", "context": "", "subject": "Alert: Rev - Screener v1 (SPY, 12): Any alert() function call", "body": "{\"ticker\":\"COF\", \"setup\":\"A+ Trend Long\", \"side\":\"LONG\", \"price\":208.89, \"stage\":2, \"buy\":95.8, \"sell\":8.1, \"prime\":2, \"revL\":0, \"revS\":0, \"vcp\":1, \"dir_prob\":97.1, \"time\":1784122200000}", "ticker": "COF", "setup": "A+ Trend Long", "side": "LONG", "price": 208.89, "stage": 2, "buy": 95.8, "sell": 8.1, "prime": 2, "revL": 0, "revS": 0, "vcp": 1, "time": 1784122200000, "email_id": "b'1012'", "timestamp": "2026-07-15 16:01:07"}</t>
  </si>
  <si>
    <t>{"symbol": "ADSK", "strategy": "Daily", "action": "SHORT", "alert_price": 208.59, "score": "", "dir_prob": "12.7", "net_sigma": "", "grade": "", "align": "", "premium": "", "wrong_if": "", "context": "", "subject": "Alert: Rev - Screener v1 (SPY, 12): Any alert() function call", "body": "{\"ticker\":\"ADSK\", \"setup\":\"A+ Trend Short\", \"side\":\"SHORT\", \"price\":208.59, \"stage\":4, \"buy\":11.4, \"sell\":86.6, \"prime\":-2, \"revL\":0, \"revS\":0, \"vcp\":0, \"dir_prob\":12.7, \"time\":1783603800000}", "ticker": "ADSK", "setup": "A+ Trend Short", "side": "SHORT", "price": 208.59, "stage": 4, "buy": 11.4, "sell": 86.6, "prime": -2, "revL": 0, "revS": 0, "vcp": 0, "time": 1783603800000, "email_id": "b'305'", "timestamp": "2026-07-09 16:01:20"}</t>
  </si>
  <si>
    <t>Buy: 92.7 | Sell: 5.2</t>
  </si>
  <si>
    <t>{"symbol": "CBRE", "strategy": "Daily", "action": "LONG", "alert_price": 141.43, "score": "", "dir_prob": "94.7", "net_sigma": "", "grade": "", "align": "", "premium": "", "wrong_if": "", "context": "", "subject": "Alert: Rev - Screener v1 (SPY, 12): Any alert() function call", "body": "{\"ticker\":\"CBRE\", \"setup\":\"A+ Trend Long\", \"side\":\"LONG\", \"price\":141.43, \"stage\":2, \"buy\":92.7, \"sell\":5.2, \"prime\":2, \"revL\":0, \"revS\":0, \"vcp\":0, \"dir_prob\":94.7, \"time\":1784122200000}", "ticker": "CBRE", "setup": "A+ Trend Long", "side": "LONG", "price": 141.43, "stage": 2, "buy": 92.7, "sell": 5.2, "prime": 2, "revL": 0, "revS": 0, "vcp": 0, "time": 1784122200000, "email_id": "b'1013'", "timestamp": "2026-07-15 16:01:03"}</t>
  </si>
  <si>
    <t>Buy: 90.8 | Sell: 21.6</t>
  </si>
  <si>
    <t>Buy: 96.9 | Sell: 4.9</t>
  </si>
  <si>
    <t>{"symbol": "MRNA", "strategy": "Daily", "action": "LONG", "alert_price": 68.28, "score": "", "dir_prob": "96.5", "net_sigma": "", "grade": "", "align": "", "premium": "", "wrong_if": "", "context": "", "subject": "Alert: Rev - Screener v1 (SPY, 12): Any alert() function call", "body": "{\"ticker\":\"MRNA\", \"setup\":\"A+ Trend Long\", \"side\":\"LONG\", \"price\":68.28, \"stage\":2, \"buy\":96.9, \"sell\":4.9, \"prime\":2, \"revL\":0, \"revS\":0, \"vcp\":0, \"dir_prob\":96.5, \"time\":1784122200000}", "ticker": "MRNA", "setup": "A+ Trend Long", "side": "LONG", "price": 68.28, "stage": 2, "buy": 96.9, "sell": 4.9, "prime": 2, "revL": 0, "revS": 0, "vcp": 0, "time": 1784122200000, "email_id": "b'1014'", "timestamp": "2026-07-15 16:01:08"}</t>
  </si>
  <si>
    <t>Buy: 10.5 | Sell: 91.1</t>
  </si>
  <si>
    <t>{"symbol": "STT", "strategy": "Daily", "action": "LONG", "alert_price": 180.11, "score": "", "dir_prob": "87.1", "net_sigma": "", "grade": "", "align": "", "premium": "", "wrong_if": "", "context": "", "subject": "Alert: Rev - Screener v1 (SPY, 12): Any alert() function call", "body": "{\"ticker\":\"STT\", \"setup\":\"A+ Trend Long\", \"side\":\"LONG\", \"price\":180.11, \"stage\":2, \"buy\":90.8, \"sell\":21.6, \"prime\":2, \"revL\":0, \"revS\":0, \"vcp\":0, \"dir_prob\":87.1, \"time\":1783603800000}", "ticker": "STT", "setup": "A+ Trend Long", "side": "LONG", "price": 180.11, "stage": 2, "buy": 90.8, "sell": 21.6, "prime": 2, "revL": 0, "revS": 0, "vcp": 0, "time": 1783603800000, "email_id": "b'232'", "timestamp": "2026-07-09 16:01:36"}</t>
  </si>
  <si>
    <t>{"symbol": "BKR", "strategy": "Daily", "action": "SHORT", "alert_price": 57.25, "score": "", "dir_prob": "4.1", "net_sigma": "", "grade": "", "align": "", "premium": "", "wrong_if": "", "context": "", "subject": "Alert: Rev - Screener v1 (SPY, 12): Any alert() function call", "body": "{\"ticker\":\"BKR\", \"setup\":\"A+ Trend Short\", \"side\":\"SHORT\", \"price\":57.25, \"stage\":4, \"buy\":10.5, \"sell\":91.1, \"prime\":-2, \"revL\":0, \"revS\":0, \"vcp\":0, \"dir_prob\":4.1, \"time\":1784122200000}", "ticker": "BKR", "setup": "A+ Trend Short", "side": "SHORT", "price": 57.25, "stage": 4, "buy": 10.5, "sell": 91.1, "prime": -2, "revL": 0, "revS": 0, "vcp": 0, "time": 1784122200000, "email_id": "b'1015'", "timestamp": "2026-07-15 16:01:07"}</t>
  </si>
  <si>
    <t>Buy: 93.5 | Sell: 5.8</t>
  </si>
  <si>
    <t>Buy: 81.9 | Sell: 9</t>
  </si>
  <si>
    <t>SURVIVOR (160.6)</t>
  </si>
  <si>
    <t>{"symbol": "MET", "strategy": "Daily", "action": "LONG", "alert_price": 92.22, "score": "", "dir_prob": "90.1", "net_sigma": "", "grade": "", "align": "", "premium": "", "wrong_if": "", "context": "", "subject": "Alert: Rev - Screener v1 (SPY, 12): Any alert() function call", "body": "{\"ticker\":\"MET\", \"setup\":\"Early Action Long\", \"side\":\"LONG\", \"price\":92.22, \"stage\":2, \"buy\":81.9, \"sell\":9, \"prime\":1, \"revL\":0, \"revS\":0, \"vcp\":0, \"dir_prob\":90.1, \"time\":1784122200000}", "ticker": "MET", "setup": "Early Action Long", "side": "LONG", "price": 92.22, "stage": 2, "buy": 81.9, "sell": 9, "prime": 1, "revL": 0, "revS": 0, "vcp": 0, "time": 1784122200000, "email_id": "b'1016'", "timestamp": "2026-07-15 16:01:07"}</t>
  </si>
  <si>
    <t>{"symbol": "CB", "strategy": "Daily", "action": "LONG", "alert_price": 347.8, "score": "", "dir_prob": "95.8", "net_sigma": "", "grade": "", "align": "", "premium": "", "wrong_if": "", "context": "", "subject": "Alert: Rev - Screener v1 (SPY, 12): Any alert() function call", "body": "{\"ticker\":\"CB\", \"setup\":\"A+ Trend Long\", \"side\":\"LONG\", \"price\":347.80, \"stage\":2, \"buy\":93.5, \"sell\":5.8, \"prime\":2, \"revL\":0, \"revS\":0, \"vcp\":0, \"dir_prob\":95.8, \"time\":1783603800000}", "ticker": "CB", "setup": "A+ Trend Long", "side": "LONG", "price": 347.8, "stage": 2, "buy": 93.5, "sell": 5.8, "prime": 2, "revL": 0, "revS": 0, "vcp": 0, "time": 1783603800000, "email_id": "b'270'", "timestamp": "2026-07-09 16:01:24"}</t>
  </si>
  <si>
    <t>Buy: 9.2 | Sell: 89</t>
  </si>
  <si>
    <t>Buy: 6.1 | Sell: 94.4</t>
  </si>
  <si>
    <t>{"symbol": "XOM", "strategy": "Daily", "action": "SHORT", "alert_price": 144.5, "score": "", "dir_prob": "5.7", "net_sigma": "", "grade": "", "align": "", "premium": "", "wrong_if": "", "context": "", "subject": "Alert: Rev - Screener v1 (SPY, 12): Any alert() function call", "body": "{\"ticker\":\"XOM\", \"setup\":\"A+ Trend Short\", \"side\":\"SHORT\", \"price\":144.50, \"stage\":4, \"buy\":9.2, \"sell\":89, \"prime\":-2, \"revL\":0, \"revS\":0, \"vcp\":0, \"dir_prob\":5.7, \"time\":1784122200000}", "ticker": "XOM", "setup": "A+ Trend Short", "side": "SHORT", "price": 144.5, "stage": 4, "buy": 9.2, "sell": 89, "prime": -2, "revL": 0, "revS": 0, "vcp": 0, "time": 1784122200000, "email_id": "b'1017'", "timestamp": "2026-07-15 16:01:04"}</t>
  </si>
  <si>
    <t>Buy: 12.8 | Sell: 91</t>
  </si>
  <si>
    <t>{"symbol": "VRSN", "strategy": "Daily", "action": "SHORT", "alert_price": 270.57, "score": "", "dir_prob": "10.5", "net_sigma": "", "grade": "", "align": "", "premium": "", "wrong_if": "", "context": "", "subject": "Alert: Rev - Screener v1 (SPY, 12): Any alert() function call", "body": "{\"ticker\":\"VRSN\", \"setup\":\"A+ Trend Short\", \"side\":\"SHORT\", \"price\":270.57, \"stage\":4, \"buy\":12.8, \"sell\":91, \"prime\":-2, \"revL\":0, \"revS\":0, \"vcp\":0, \"dir_prob\":10.5, \"time\":1784122200000}", "ticker": "VRSN", "setup": "A+ Trend Short", "side": "SHORT", "price": 270.57, "stage": 4, "buy": 12.8, "sell": 91, "prime": -2, "revL": 0, "revS": 0, "vcp": 0, "time": 1784122200000, "email_id": "b'1018'", "timestamp": "2026-07-15 16:01:07"}</t>
  </si>
  <si>
    <t>Buy: 6.4 | Sell: 91.1</t>
  </si>
  <si>
    <t>{"symbol": "CBOE", "strategy": "Daily", "action": "SHORT", "alert_price": 267.67, "score": "", "dir_prob": "3.7", "net_sigma": "", "grade": "", "align": "", "premium": "", "wrong_if": "", "context": "", "subject": "Alert: Rev - Screener v1 (SPY, 12): Any alert() function call", "body": "{\"ticker\":\"CBOE\", \"setup\":\"A+ Trend Short\", \"side\":\"SHORT\", \"price\":267.67, \"stage\":4, \"buy\":6.1, \"sell\":94.4, \"prime\":-2, \"revL\":0, \"revS\":0, \"vcp\":0, \"dir_prob\":3.7, \"time\":1783603800000}", "ticker": "CBOE", "setup": "A+ Trend Short", "side": "SHORT", "price": 267.67, "stage": 4, "buy": 6.1, "sell": 94.4, "prime": -2, "revL": 0, "revS": 0, "vcp": 0, "time": 1783603800000, "email_id": "b'262'", "timestamp": "2026-07-09 16:01:16"}</t>
  </si>
  <si>
    <t>{"symbol": "FCX", "strategy": "Daily", "action": "SHORT", "alert_price": 60.99, "score": "", "dir_prob": "8.7", "net_sigma": "", "grade": "", "align": "", "premium": "", "wrong_if": "", "context": "", "subject": "Alert: Rev - Screener v1 (SPY, 12): Any alert() function call", "body": "{\"ticker\":\"FCX\", \"setup\":\"A+ Trend Short\", \"side\":\"SHORT\", \"price\":60.99, \"stage\":4, \"buy\":6.4, \"sell\":91.1, \"prime\":-2, \"revL\":0, \"revS\":0, \"vcp\":0, \"dir_prob\":8.7, \"time\":1784122200000}", "ticker": "FCX", "setup": "A+ Trend Short", "side": "SHORT", "price": 60.99, "stage": 4, "buy": 6.4, "sell": 91.1, "prime": -2, "revL": 0, "revS": 0, "vcp": 0, "time": 1784122200000, "email_id": "b'1019'", "timestamp": "2026-07-15 16:01:03"}</t>
  </si>
  <si>
    <t>Buy: 8.4 | Sell: 95.9</t>
  </si>
  <si>
    <t>Buy: 93.6 | Sell: 8</t>
  </si>
  <si>
    <t>{"symbol": "GD", "strategy": "Daily", "action": "LONG", "alert_price": 365.64, "score": "", "dir_prob": "95.8", "net_sigma": "", "grade": "", "align": "", "premium": "", "wrong_if": "", "context": "", "subject": "Alert: Rev - Screener v1 (SPY, 12): Any alert() function call", "body": "{\"ticker\":\"GD\", \"setup\":\"A+ Trend Long\", \"side\":\"LONG\", \"price\":365.64, \"stage\":2, \"buy\":93.6, \"sell\":8, \"prime\":2, \"revL\":0, \"revS\":0, \"vcp\":0, \"dir_prob\":95.8, \"time\":1784122200000}", "ticker": "GD", "setup": "A+ Trend Long", "side": "LONG", "price": 365.64, "stage": 2, "buy": 93.6, "sell": 8, "prime": 2, "revL": 0, "revS": 0, "vcp": 0, "time": 1784122200000, "email_id": "b'1020'", "timestamp": "2026-07-15 16:01:06"}</t>
  </si>
  <si>
    <t>MRSH</t>
  </si>
  <si>
    <t>Buy: 70.3 | Sell: 4.6</t>
  </si>
  <si>
    <t>{"symbol": "VRSN", "strategy": "Daily", "action": "SHORT", "alert_price": 269.97, "score": "", "dir_prob": "7.4", "net_sigma": "", "grade": "", "align": "", "premium": "", "wrong_if": "", "context": "", "subject": "Alert: Rev - Screener v1 (SPY, 12): Any alert() function call", "body": "{\"ticker\":\"VRSN\", \"setup\":\"A+ Trend Short\", \"side\":\"SHORT\", \"price\":269.97, \"stage\":4, \"buy\":8.4, \"sell\":95.9, \"prime\":-2, \"revL\":0, \"revS\":0, \"vcp\":0, \"dir_prob\":7.4, \"time\":1783603800000}", "ticker": "VRSN", "setup": "A+ Trend Short", "side": "SHORT", "price": 269.97, "stage": 4, "buy": 8.4, "sell": 95.9, "prime": -2, "revL": 0, "revS": 0, "vcp": 0, "time": 1783603800000, "email_id": "b'286'", "timestamp": "2026-07-09 16:01:34"}</t>
  </si>
  <si>
    <t>{"symbol": "MRSH", "strategy": "Daily", "action": "LONG", "alert_price": 176.26, "score": "", "dir_prob": "99.1", "net_sigma": "", "grade": "", "align": "", "premium": "", "wrong_if": "", "context": "", "subject": "Alert: Rev - Screener v1 (SPY, 12): Any alert() function call", "body": "{\"ticker\":\"MRSH\", \"setup\":\"Early Action Long\", \"side\":\"LONG\", \"price\":176.26, \"stage\":2, \"buy\":70.3, \"sell\":4.6, \"prime\":1, \"revL\":0, \"revS\":0, \"vcp\":0, \"dir_prob\":99.1, \"time\":1784122200000}", "ticker": "MRSH", "setup": "Early Action Long", "side": "LONG", "price": 176.26, "stage": 2, "buy": 70.3, "sell": 4.6, "prime": 1, "revL": 0, "revS": 0, "vcp": 0, "time": 1784122200000, "email_id": "b'1021'", "timestamp": "2026-07-15 16:01:06"}</t>
  </si>
  <si>
    <t>Buy: 94.9 | Sell: 20</t>
  </si>
  <si>
    <t>Buy: 94.4 | Sell: 47</t>
  </si>
  <si>
    <t>{"symbol": "EA", "strategy": "Daily", "action": "LONG", "alert_price": 207.25, "score": "", "dir_prob": "80.6", "net_sigma": "", "grade": "", "align": "", "premium": "", "wrong_if": "", "context": "", "subject": "Alert: Rev - Screener v1 (SPY, 12): Any alert() function call", "body": "{\"ticker\":\"EA\", \"setup\":\"A+ Trend Long\", \"side\":\"LONG\", \"price\":207.25, \"stage\":2, \"buy\":94.4, \"sell\":47, \"prime\":2, \"revL\":0, \"revS\":0, \"vcp\":0, \"dir_prob\":80.6, \"time\":1784122200000}", "ticker": "EA", "setup": "A+ Trend Long", "side": "LONG", "price": 207.25, "stage": 2, "buy": 94.4, "sell": 47, "prime": 2, "revL": 0, "revS": 0, "vcp": 0, "time": 1784122200000, "email_id": "b'1022'", "timestamp": "2026-07-15 16:01:42"}</t>
  </si>
  <si>
    <t>Buy: 21.5 | Sell: 86</t>
  </si>
  <si>
    <t>{"symbol": "EA", "strategy": "Daily", "action": "LONG", "alert_price": 206.54, "score": "", "dir_prob": "91.5", "net_sigma": "", "grade": "", "align": "", "premium": "", "wrong_if": "", "context": "", "subject": "Alert: Rev - Screener v1 (SPY, 12): Any alert() function call", "body": "{\"ticker\":\"EA\", \"setup\":\"A+ Trend Long\", \"side\":\"LONG\", \"price\":206.54, \"stage\":2, \"buy\":94.9, \"sell\":20, \"prime\":2, \"revL\":0, \"revS\":0, \"vcp\":0, \"dir_prob\":91.5, \"time\":1783603800000}", "ticker": "EA", "setup": "A+ Trend Long", "side": "LONG", "price": 206.54, "stage": 2, "buy": 94.9, "sell": 20, "prime": 2, "revL": 0, "revS": 0, "vcp": 0, "time": 1783603800000, "email_id": "b'207'", "timestamp": "2026-07-09 16:01:12"}</t>
  </si>
  <si>
    <t>{"symbol": "Q", "strategy": "Daily", "action": "SHORT", "alert_price": 140.23, "score": "", "dir_prob": "50", "net_sigma": "", "grade": "", "align": "", "premium": "", "wrong_if": "", "context": "", "subject": "Alert: Rev - Screener v1 (SPY, 12): Any alert() function call", "body": "{\"ticker\":\"Q\", \"setup\":\"A+ Trend Short\", \"side\":\"SHORT\", \"price\":140.23, \"stage\":4, \"buy\":21.5, \"sell\":86, \"prime\":-2, \"revL\":0, \"revS\":0, \"vcp\":0, \"dir_prob\":50, \"time\":1784122200000}", "ticker": "Q", "setup": "A+ Trend Short", "side": "SHORT", "price": 140.23, "stage": 4, "buy": 21.5, "sell": 86, "prime": -2, "revL": 0, "revS": 0, "vcp": 0, "time": 1784122200000, "email_id": "b'1023'", "timestamp": "2026-07-15 16:01:07"}</t>
  </si>
  <si>
    <t>Buy: 96.7 | Sell: 6.7</t>
  </si>
  <si>
    <t>Buy: 74.6 | Sell: 40.6</t>
  </si>
  <si>
    <t>{"symbol": "ED", "strategy": "Daily", "action": "LONG", "alert_price": 110.28, "score": "", "dir_prob": "95.7", "net_sigma": "", "grade": "", "align": "", "premium": "", "wrong_if": "", "context": "", "subject": "Alert: Rev - Screener v1 (SPY, 12): Any alert() function call", "body": "{\"ticker\":\"ED\", \"setup\":\"A+ Trend Long\", \"side\":\"LONG\", \"price\":110.28, \"stage\":2, \"buy\":96.7, \"sell\":6.7, \"prime\":2, \"revL\":0, \"revS\":0, \"vcp\":0, \"dir_prob\":95.7, \"time\":1784122200000}", "ticker": "ED", "setup": "A+ Trend Long", "side": "LONG", "price": 110.28, "stage": 2, "buy": 96.7, "sell": 6.7, "prime": 2, "revL": 0, "revS": 0, "vcp": 0, "time": 1784122200000, "email_id": "b'1024'", "timestamp": "2026-07-15 16:01:43"}</t>
  </si>
  <si>
    <t>Buy: 97.9 | Sell: 3.6</t>
  </si>
  <si>
    <t>{"symbol": "EBAY", "strategy": "Daily", "action": "LONG", "alert_price": 117.28, "score": "", "dir_prob": "74", "net_sigma": "", "grade": "", "align": "", "premium": "", "wrong_if": "", "context": "", "subject": "Alert: Rev - Screener v1 (SPY, 12): Any alert() function call", "body": "{\"ticker\":\"EBAY\", \"setup\":\"Early Action Long\", \"side\":\"LONG\", \"price\":117.28, \"stage\":2, \"buy\":74.6, \"sell\":40.6, \"prime\":1, \"revL\":0, \"revS\":0, \"vcp\":0, \"dir_prob\":74, \"time\":1783603800000}", "ticker": "EBAY", "setup": "Early Action Long", "side": "LONG", "price": 117.28, "stage": 2, "buy": 74.6, "sell": 40.6, "prime": 1, "revL": 0, "revS": 0, "vcp": 0, "time": 1783603800000, "email_id": "b'316'", "timestamp": "2026-07-09 16:01:24"}</t>
  </si>
  <si>
    <t>{"symbol": "TRV", "strategy": "Daily", "action": "LONG", "alert_price": 329.23, "score": "", "dir_prob": "95.3", "net_sigma": "", "grade": "", "align": "", "premium": "", "wrong_if": "", "context": "", "subject": "Alert: Rev - Screener v1 (SPY, 12): Any alert() function call", "body": "{\"ticker\":\"TRV\", \"setup\":\"A+ Trend Long\", \"side\":\"LONG\", \"price\":329.23, \"stage\":2, \"buy\":97.9, \"sell\":3.6, \"prime\":2, \"revL\":0, \"revS\":0, \"vcp\":0, \"dir_prob\":95.3, \"time\":1784122200000}", "ticker": "TRV", "setup": "A+ Trend Long", "side": "LONG", "price": 329.23, "stage": 2, "buy": 97.9, "sell": 3.6, "prime": 2, "revL": 0, "revS": 0, "vcp": 0, "time": 1784122200000, "email_id": "b'1025'", "timestamp": "2026-07-15 16:01:09"}</t>
  </si>
  <si>
    <t>Buy: 94.3 | Sell: 9.7</t>
  </si>
  <si>
    <t>ICE</t>
  </si>
  <si>
    <t>Buy: 19.1 | Sell: 85.5</t>
  </si>
  <si>
    <t>{"symbol": "ESS", "strategy": "Daily", "action": "LONG", "alert_price": 292.78, "score": "", "dir_prob": "95.8", "net_sigma": "", "grade": "", "align": "", "premium": "", "wrong_if": "", "context": "", "subject": "Alert: Rev - Screener v1 (SPY, 12): Any alert() function call", "body": "{\"ticker\":\"ESS\", \"setup\":\"A+ Trend Long\", \"side\":\"LONG\", \"price\":292.78, \"stage\":2, \"buy\":94.3, \"sell\":9.7, \"prime\":2, \"revL\":0, \"revS\":0, \"vcp\":0, \"dir_prob\":95.8, \"time\":1784122200000}", "ticker": "ESS", "setup": "A+ Trend Long", "side": "LONG", "price": 292.78, "stage": 2, "buy": 94.3, "sell": 9.7, "prime": 2, "revL": 0, "revS": 0, "vcp": 0, "time": 1784122200000, "email_id": "b'1026'", "timestamp": "2026-07-15 16:01:09"}</t>
  </si>
  <si>
    <t>Buy: 88 | Sell: 7.4</t>
  </si>
  <si>
    <t>{"symbol": "ICE", "strategy": "Daily", "action": "SHORT", "alert_price": 135.12, "score": "", "dir_prob": "20.2", "net_sigma": "", "grade": "", "align": "", "premium": "", "wrong_if": "", "context": "", "subject": "Alert: Rev - Screener v1 (SPY, 12): Any alert() function call", "body": "{\"ticker\":\"ICE\", \"setup\":\"A+ Trend Short\", \"side\":\"SHORT\", \"price\":135.12, \"stage\":4, \"buy\":19.1, \"sell\":85.5, \"prime\":-2, \"revL\":0, \"revS\":0, \"vcp\":0, \"dir_prob\":20.2, \"time\":1783603800000}", "ticker": "ICE", "setup": "A+ Trend Short", "side": "SHORT", "price": 135.12, "stage": 4, "buy": 19.1, "sell": 85.5, "prime": -2, "revL": 0, "revS": 0, "vcp": 0, "time": 1783603800000, "email_id": "b'257'", "timestamp": "2026-07-09 16:01:17"}</t>
  </si>
  <si>
    <t>{"symbol": "MTD", "strategy": "Daily", "action": "LONG", "alert_price": 1315.93, "score": "", "dir_prob": "94.4", "net_sigma": "", "grade": "", "align": "", "premium": "", "wrong_if": "", "context": "", "subject": "Alert: Rev - Screener v1 (SPY, 12): Any alert() function call", "body": "{\"ticker\":\"MTD\", \"setup\":\"A+ Trend Long\", \"side\":\"LONG\", \"price\":1315.93, \"stage\":2, \"buy\":88, \"sell\":7.4, \"prime\":2, \"revL\":0, \"revS\":0, \"vcp\":0, \"dir_prob\":94.4, \"time\":1784122200000}", "ticker": "MTD", "setup": "A+ Trend Long", "side": "LONG", "price": 1315.93, "stage": 2, "buy": 88, "sell": 7.4, "prime": 2, "revL": 0, "revS": 0, "vcp": 0, "time": 1784122200000, "email_id": "b'1027'", "timestamp": "2026-07-15 16:01:03"}</t>
  </si>
  <si>
    <t>Buy: 93 | Sell: 7.5</t>
  </si>
  <si>
    <t>Buy: 92.8 | Sell: 10.3</t>
  </si>
  <si>
    <t>{"symbol": "AIG", "strategy": "Daily", "action": "LONG", "alert_price": 76.78, "score": "", "dir_prob": "97.9", "net_sigma": "", "grade": "", "align": "", "premium": "", "wrong_if": "", "context": "", "subject": "Alert: Rev - Screener v1 (SPY, 12): Any alert() function call", "body": "{\"ticker\":\"AIG\", \"setup\":\"A+ Trend Long\", \"side\":\"LONG\", \"price\":76.78, \"stage\":2, \"buy\":93, \"sell\":7.5, \"prime\":2, \"revL\":0, \"revS\":0, \"vcp\":0, \"dir_prob\":97.9, \"time\":1784122200000}", "ticker": "AIG", "setup": "A+ Trend Long", "side": "LONG", "price": 76.78, "stage": 2, "buy": 93, "sell": 7.5, "prime": 2, "revL": 0, "revS": 0, "vcp": 0, "time": 1784122200000, "email_id": "b'1028'", "timestamp": "2026-07-15 16:01:14"}</t>
  </si>
  <si>
    <t>Buy: 85.3 | Sell: 13</t>
  </si>
  <si>
    <t>{"symbol": "L", "strategy": "Daily", "action": "LONG", "alert_price": 115.13, "score": "", "dir_prob": "90.7", "net_sigma": "", "grade": "", "align": "", "premium": "", "wrong_if": "", "context": "", "subject": "Alert: Rev - Screener v1 (SPY, 12): Any alert() function call", "body": "{\"ticker\":\"L\", \"setup\":\"A+ Trend Long\", \"side\":\"LONG\", \"price\":115.13, \"stage\":2, \"buy\":92.8, \"sell\":10.3, \"prime\":2, \"revL\":0, \"revS\":0, \"vcp\":0, \"dir_prob\":90.7, \"time\":1783603800000}", "ticker": "L", "setup": "A+ Trend Long", "side": "LONG", "price": 115.13, "stage": 2, "buy": 92.8, "sell": 10.3, "prime": 2, "revL": 0, "revS": 0, "vcp": 0, "time": 1783603800000, "email_id": "b'196'", "timestamp": "2026-07-09 16:01:12"}</t>
  </si>
  <si>
    <t>{"symbol": "BLDR", "strategy": "Daily", "action": "LONG", "alert_price": 76.08, "score": "", "dir_prob": "93", "net_sigma": "", "grade": "", "align": "", "premium": "", "wrong_if": "", "context": "", "subject": "Alert: Rev - Screener v1 (SPY, 12): Any alert() function call", "body": "{\"ticker\":\"BLDR\", \"setup\":\"A+ Trend Long\", \"side\":\"LONG\", \"price\":76.08, \"stage\":2, \"buy\":85.3, \"sell\":13, \"prime\":2, \"revL\":0, \"revS\":0, \"vcp\":0, \"dir_prob\":93, \"time\":1784122200000}", "ticker": "BLDR", "setup": "A+ Trend Long", "side": "LONG", "price": 76.08, "stage": 2, "buy": 85.3, "sell": 13, "prime": 2, "revL": 0, "revS": 0, "vcp": 0, "time": 1784122200000, "email_id": "b'1030'", "timestamp": "2026-07-15 16:01:12"}</t>
  </si>
  <si>
    <t>HAS</t>
  </si>
  <si>
    <t>Buy: 15.1 | Sell: 87.1</t>
  </si>
  <si>
    <t>Buy: 90.2 | Sell: 37.4</t>
  </si>
  <si>
    <t>SURVIVOR (123.2)</t>
  </si>
  <si>
    <t>{"symbol": "HAS", "strategy": "Daily", "action": "SHORT", "alert_price": 80.5, "score": "", "dir_prob": "12.1", "net_sigma": "", "grade": "", "align": "", "premium": "", "wrong_if": "", "context": "", "subject": "Alert: Rev - Screener v1 (SPY, 12): Any alert() function call", "body": "{\"ticker\":\"HAS\", \"setup\":\"A+ Trend Short\", \"side\":\"SHORT\", \"price\":80.50, \"stage\":4, \"buy\":15.1, \"sell\":87.1, \"prime\":-2, \"revL\":0, \"revS\":0, \"vcp\":0, \"dir_prob\":12.1, \"time\":1784122200000}", "ticker": "HAS", "setup": "A+ Trend Short", "side": "SHORT", "price": 80.5, "stage": 4, "buy": 15.1, "sell": 87.1, "prime": -2, "revL": 0, "revS": 0, "vcp": 0, "time": 1784122200000, "email_id": "b'1029'", "timestamp": "2026-07-15 16:01:08"}</t>
  </si>
  <si>
    <t>Buy: 96.1 | Sell: 22.3</t>
  </si>
  <si>
    <t>{"symbol": "AIZ", "strategy": "Daily", "action": "LONG", "alert_price": 279.25, "score": "", "dir_prob": "78.8", "net_sigma": "", "grade": "", "align": "", "premium": "", "wrong_if": "", "context": "", "subject": "Alert: Rev - Screener v1 (SPY, 12): Any alert() function call", "body": "{\"ticker\":\"AIZ\", \"setup\":\"A+ Trend Long\", \"side\":\"LONG\", \"price\":279.25, \"stage\":2, \"buy\":90.2, \"sell\":37.4, \"prime\":2, \"revL\":0, \"revS\":0, \"vcp\":0, \"dir_prob\":78.8, \"time\":1783603800000}", "ticker": "AIZ", "setup": "A+ Trend Long", "side": "LONG", "price": 279.25, "stage": 2, "buy": 90.2, "sell": 37.4, "prime": 2, "revL": 0, "revS": 0, "vcp": 0, "time": 1783603800000, "email_id": "b'173'", "timestamp": "2026-07-09 16:01:05"}</t>
  </si>
  <si>
    <t>Buy: 94.7 | Sell: 7.7</t>
  </si>
  <si>
    <t>{"symbol": "IR", "strategy": "Daily", "action": "LONG", "alert_price": 79.14, "score": "", "dir_prob": "94", "net_sigma": "", "grade": "", "align": "", "premium": "", "wrong_if": "", "context": "", "subject": "Alert: Rev - Screener v1 (SPY, 12): Any alert() function call", "body": "{\"ticker\":\"IR\", \"setup\":\"A+ Trend Long\", \"side\":\"LONG\", \"price\":79.14, \"stage\":2, \"buy\":96.1, \"sell\":22.3, \"prime\":2, \"revL\":0, \"revS\":0, \"vcp\":1, \"dir_prob\":94, \"time\":1784122200000}", "ticker": "IR", "setup": "A+ Trend Long", "side": "LONG", "price": 79.14, "stage": 2, "buy": 96.1, "sell": 22.3, "prime": 2, "revL": 0, "revS": 0, "vcp": 1, "time": 1784122200000, "email_id": "b'1031'", "timestamp": "2026-07-15 16:01:12"}</t>
  </si>
  <si>
    <t>{"symbol": "BXP", "strategy": "Daily", "action": "LONG", "alert_price": 66.94, "score": "", "dir_prob": "94.9", "net_sigma": "", "grade": "", "align": "", "premium": "", "wrong_if": "", "context": "", "subject": "Alert: Rev - Screener v1 (SPY, 12): Any alert() function call", "body": "{\"ticker\":\"BXP\", \"setup\":\"A+ Trend Long\", \"side\":\"LONG\", \"price\":66.94, \"stage\":2, \"buy\":94.7, \"sell\":7.7, \"prime\":2, \"revL\":0, \"revS\":0, \"vcp\":0, \"dir_prob\":94.9, \"time\":1783603800000}", "ticker": "BXP", "setup": "A+ Trend Long", "side": "LONG", "price": 66.94, "stage": 2, "buy": 94.7, "sell": 7.7, "prime": 2, "revL": 0, "revS": 0, "vcp": 0, "time": 1783603800000, "email_id": "b'307'", "timestamp": "2026-07-09 16:01:18"}</t>
  </si>
  <si>
    <t>{"symbol": "BAX", "strategy": "Daily", "action": "LONG", "alert_price": 22.15, "score": "", "dir_prob": "96.7", "net_sigma": "", "grade": "", "align": "", "premium": "", "wrong_if": "", "context": "", "subject": "Alert: Rev - Screener v1 (SPY, 12): Any alert() function call", "body": "{\"ticker\":\"BAX\", \"setup\":\"A+ Trend Long\", \"side\":\"LONG\", \"price\":22.15, \"stage\":2, \"buy\":97.2, \"sell\":4.7, \"prime\":2, \"revL\":0, \"revS\":0, \"vcp\":0, \"dir_prob\":96.7, \"time\":1784122200000}", "ticker": "BAX", "setup": "A+ Trend Long", "side": "LONG", "price": 22.15, "stage": 2, "buy": 97.2, "sell": 4.7, "prime": 2, "revL": 0, "revS": 0, "vcp": 0, "time": 1784122200000, "email_id": "b'1032'", "timestamp": "2026-07-15 16:01:13"}</t>
  </si>
  <si>
    <t>Buy: 87 | Sell: 17.8</t>
  </si>
  <si>
    <t>Buy: 90.5 | Sell: 43.7</t>
  </si>
  <si>
    <t>{"symbol": "D", "strategy": "Daily", "action": "LONG", "alert_price": 70.95, "score": "", "dir_prob": "90.2", "net_sigma": "", "grade": "", "align": "", "premium": "", "wrong_if": "", "context": "", "subject": "Alert: Rev - Screener v1 (SPY, 12): Any alert() function call", "body": "{\"ticker\":\"D\", \"setup\":\"A+ Trend Long\", \"side\":\"LONG\", \"price\":70.95, \"stage\":2, \"buy\":87, \"sell\":17.8, \"prime\":2, \"revL\":0, \"revS\":0, \"vcp\":0, \"dir_prob\":90.2, \"time\":1784122200000}", "ticker": "D", "setup": "A+ Trend Long", "side": "LONG", "price": 70.95, "stage": 2, "buy": 87, "sell": 17.8, "prime": 2, "revL": 0, "revS": 0, "vcp": 0, "time": 1784122200000, "email_id": "b'1033'", "timestamp": "2026-07-15 16:01:44"}</t>
  </si>
  <si>
    <t>Buy: 97.8 | Sell: 7</t>
  </si>
  <si>
    <t>{"symbol": "WAT", "strategy": "Daily", "action": "LONG", "alert_price": 377.13, "score": "", "dir_prob": "84.6", "net_sigma": "", "grade": "", "align": "", "premium": "", "wrong_if": "", "context": "", "subject": "Alert: Rev - Screener v1 (SPY, 12): Any alert() function call", "body": "{\"ticker\":\"WAT\", \"setup\":\"Bullish Squeeze Release\", \"side\":\"LONG\", \"price\":377.13, \"stage\":2, \"buy\":90.5, \"sell\":43.7, \"prime\":2, \"revL\":0, \"revS\":0, \"vcp\":2, \"dir_prob\":84.6, \"time\":1783603800000}", "ticker": "WAT", "setup": "Bullish Squeeze Release", "side": "LONG", "price": 377.13, "stage": 2, "buy": 90.5, "sell": 43.7, "prime": 2, "revL": 0, "revS": 0, "vcp": 2, "time": 1783603800000, "email_id": "b'283'", "timestamp": "2026-07-09 16:01:26"}</t>
  </si>
  <si>
    <t>Buy: 92.8 | Sell: 9.9</t>
  </si>
  <si>
    <t>{"symbol": "GPC", "strategy": "Daily", "action": "LONG", "alert_price": 121.03, "score": "", "dir_prob": "96.7", "net_sigma": "", "grade": "", "align": "", "premium": "", "wrong_if": "", "context": "", "subject": "Alert: Rev - Screener v1 (SPY, 12): Any alert() function call", "body": "{\"ticker\":\"GPC\", \"setup\":\"A+ Trend Long\", \"side\":\"LONG\", \"price\":121.03, \"stage\":2, \"buy\":97.8, \"sell\":7, \"prime\":2, \"revL\":0, \"revS\":0, \"vcp\":0, \"dir_prob\":96.7, \"time\":1784122200000}", "ticker": "GPC", "setup": "A+ Trend Long", "side": "LONG", "price": 121.03, "stage": 2, "buy": 97.8, "sell": 7, "prime": 2, "revL": 0, "revS": 0, "vcp": 0, "time": 1784122200000, "email_id": "b'1034'", "timestamp": "2026-07-15 16:01:05"}</t>
  </si>
  <si>
    <t>Buy: 96.2 | Sell: 20.3</t>
  </si>
  <si>
    <t>{"symbol": "WELL", "strategy": "Daily", "action": "LONG", "alert_price": 232.09, "score": "", "dir_prob": "88", "net_sigma": "", "grade": "", "align": "", "premium": "", "wrong_if": "", "context": "", "subject": "Alert: Rev - Screener v1 (SPY, 12): Any alert() function call", "body": "{\"ticker\":\"WELL\", \"setup\":\"A+ Trend Long\", \"side\":\"LONG\", \"price\":232.09, \"stage\":2, \"buy\":92.8, \"sell\":9.9, \"prime\":2, \"revL\":0, \"revS\":0, \"vcp\":0, \"dir_prob\":88, \"time\":1783603800000}", "ticker": "WELL", "setup": "A+ Trend Long", "side": "LONG", "price": 232.09, "stage": 2, "buy": 92.8, "sell": 9.9, "prime": 2, "revL": 0, "revS": 0, "vcp": 0, "time": 1783603800000, "email_id": "b'300'", "timestamp": "2026-07-09 16:01:21"}</t>
  </si>
  <si>
    <t>{"symbol": "DGX", "strategy": "Daily", "action": "LONG", "alert_price": 201.89, "score": "", "dir_prob": "94.2", "net_sigma": "", "grade": "", "align": "", "premium": "", "wrong_if": "", "context": "", "subject": "Alert: Rev - Screener v1 (SPY, 12): Any alert() function call", "body": "{\"ticker\":\"DGX\", \"setup\":\"A+ Trend Long\", \"side\":\"LONG\", \"price\":201.89, \"stage\":2, \"buy\":96.2, \"sell\":20.3, \"prime\":2, \"revL\":0, \"revS\":0, \"vcp\":0, \"dir_prob\":94.2, \"time\":1784122200000}", "ticker": "DGX", "setup": "A+ Trend Long", "side": "LONG", "price": 201.89, "stage": 2, "buy": 96.2, "sell": 20.3, "prime": 2, "revL": 0, "revS": 0, "vcp": 0, "time": 1784122200000, "email_id": "b'1035'", "timestamp": "2026-07-15 16:01:15"}</t>
  </si>
  <si>
    <t>MSFT</t>
  </si>
  <si>
    <t>Buy: 7.9 | Sell: 93.2</t>
  </si>
  <si>
    <t>Buy: 15.4 | Sell: 92.3</t>
  </si>
  <si>
    <t>{"symbol": "HAL", "strategy": "Daily", "action": "SHORT", "alert_price": 35.24, "score": "", "dir_prob": "1", "net_sigma": "", "grade": "", "align": "", "premium": "", "wrong_if": "", "context": "", "subject": "Alert: Rev - Screener v1 (SPY, 12): Any alert() function call", "body": "{\"ticker\":\"HAL\", \"setup\":\"A+ Trend Short\", \"side\":\"SHORT\", \"price\":35.24, \"stage\":4, \"buy\":7.9, \"sell\":93.2, \"prime\":-2, \"revL\":0, \"revS\":0, \"vcp\":0, \"dir_prob\":1, \"time\":1784122200000}", "ticker": "HAL", "setup": "A+ Trend Short", "side": "SHORT", "price": 35.24, "stage": 4, "buy": 7.9, "sell": 93.2, "prime": -2, "revL": 0, "revS": 0, "vcp": 0, "time": 1784122200000, "email_id": "b'1036'", "timestamp": "2026-07-15 16:01:18"}</t>
  </si>
  <si>
    <t>Buy: 95.3 | Sell: 7.3</t>
  </si>
  <si>
    <t>{"symbol": "MSFT", "strategy": "Daily", "action": "SHORT", "alert_price": 384.27, "score": "", "dir_prob": "13.9", "net_sigma": "", "grade": "", "align": "", "premium": "", "wrong_if": "", "context": "", "subject": "Alert: Rev - Screener v1 (SPY, 12): Any alert() function call", "body": "{\"ticker\":\"MSFT\", \"setup\":\"A+ Trend Short\", \"side\":\"SHORT\", \"price\":384.27, \"stage\":4, \"buy\":15.4, \"sell\":92.3, \"prime\":-2, \"revL\":0, \"revS\":0, \"vcp\":0, \"dir_prob\":13.9, \"time\":1783603800000}", "ticker": "MSFT", "setup": "A+ Trend Short", "side": "SHORT", "price": 384.27, "stage": 4, "buy": 15.4, "sell": 92.3, "prime": -2, "revL": 0, "revS": 0, "vcp": 0, "time": 1783603800000, "email_id": "b'174'", "timestamp": "2026-07-09 16:01:04"}</t>
  </si>
  <si>
    <t>{"symbol": "IQV", "strategy": "Daily", "action": "LONG", "alert_price": 206.82, "score": "", "dir_prob": "92.5", "net_sigma": "", "grade": "", "align": "", "premium": "", "wrong_if": "", "context": "", "subject": "Alert: Rev - Screener v1 (SPY, 12): Any alert() function call", "body": "{\"ticker\":\"IQV\", \"setup\":\"A+ Trend Long\", \"side\":\"LONG\", \"price\":206.82, \"stage\":2, \"buy\":95.3, \"sell\":7.3, \"prime\":2, \"revL\":0, \"revS\":0, \"vcp\":0, \"dir_prob\":92.5, \"time\":1784122200000}", "ticker": "IQV", "setup": "A+ Trend Long", "side": "LONG", "price": 206.82, "stage": 2, "buy": 95.3, "sell": 7.3, "prime": 2, "revL": 0, "revS": 0, "vcp": 0, "time": 1784122200000, "email_id": "b'1037'", "timestamp": "2026-07-15 16:01:12"}</t>
  </si>
  <si>
    <t>Buy: 96.8 | Sell: 5.2</t>
  </si>
  <si>
    <t>Buy: 89.2 | Sell: 10.8</t>
  </si>
  <si>
    <t>{"symbol": "SHW", "strategy": "Daily", "action": "LONG", "alert_price": 332.45, "score": "", "dir_prob": "96.4", "net_sigma": "", "grade": "", "align": "", "premium": "", "wrong_if": "", "context": "", "subject": "Alert: Rev - Screener v1 (SPY, 12): Any alert() function call", "body": "{\"ticker\":\"SHW\", \"setup\":\"A+ Trend Long\", \"side\":\"LONG\", \"price\":332.45, \"stage\":2, \"buy\":96.8, \"sell\":5.2, \"prime\":2, \"revL\":0, \"revS\":0, \"vcp\":0, \"dir_prob\":96.4, \"time\":1784122200000}", "ticker": "SHW", "setup": "A+ Trend Long", "side": "LONG", "price": 332.45, "stage": 2, "buy": 96.8, "sell": 5.2, "prime": 2, "revL": 0, "revS": 0, "vcp": 0, "time": 1784122200000, "email_id": "b'1038'", "timestamp": "2026-07-15 16:01:05"}</t>
  </si>
  <si>
    <t>{"symbol": "BNY", "strategy": "Daily", "action": "LONG", "alert_price": 152.27, "score": "", "dir_prob": "85.9", "net_sigma": "", "grade": "", "align": "", "premium": "", "wrong_if": "", "context": "", "subject": "Alert: Rev - Screener v1 (SPY, 12): Any alert() function call", "body": "{\"ticker\":\"BNY\", \"setup\":\"A+ Trend Long\", \"side\":\"LONG\", \"price\":152.27, \"stage\":2, \"buy\":89.2, \"sell\":10.8, \"prime\":2, \"revL\":0, \"revS\":0, \"vcp\":0, \"dir_prob\":85.9, \"time\":1783603800000}", "ticker": "BNY", "setup": "A+ Trend Long", "side": "LONG", "price": 152.27, "stage": 2, "buy": 89.2, "sell": 10.8, "prime": 2, "revL": 0, "revS": 0, "vcp": 0, "time": 1783603800000, "email_id": "b'181'", "timestamp": "2026-07-09 16:01:02"}</t>
  </si>
  <si>
    <t>Buy: 71.7 | Sell: 4.8</t>
  </si>
  <si>
    <t>CME</t>
  </si>
  <si>
    <t>Buy: 7.4 | Sell: 88.2</t>
  </si>
  <si>
    <t>{"symbol": "V", "strategy": "Daily", "action": "LONG", "alert_price": 355.26, "score": "", "dir_prob": "95.7", "net_sigma": "", "grade": "", "align": "", "premium": "", "wrong_if": "", "context": "", "subject": "Alert: Rev - Screener v1 (SPY, 12): Any alert() function call", "body": "{\"ticker\":\"V\", \"setup\":\"Early Action Long\", \"side\":\"LONG\", \"price\":355.26, \"stage\":2, \"buy\":71.7, \"sell\":4.8, \"prime\":1, \"revL\":0, \"revS\":0, \"vcp\":0, \"dir_prob\":95.7, \"time\":1784122200000}", "ticker": "V", "setup": "Early Action Long", "side": "LONG", "price": 355.26, "stage": 2, "buy": 71.7, "sell": 4.8, "prime": 1, "revL": 0, "revS": 0, "vcp": 0, "time": 1784122200000, "email_id": "b'1039'", "timestamp": "2026-07-15 16:01:05"}</t>
  </si>
  <si>
    <t>BRO</t>
  </si>
  <si>
    <t>Buy: 92.5 | Sell: 2.8</t>
  </si>
  <si>
    <t>{"symbol": "CME", "strategy": "Daily", "action": "SHORT", "alert_price": 239.71, "score": "", "dir_prob": "8.3", "net_sigma": "", "grade": "", "align": "", "premium": "", "wrong_if": "", "context": "", "subject": "Alert: Rev - Screener v1 (SPY, 12): Any alert() function call", "body": "{\"ticker\":\"CME\", \"setup\":\"A+ Trend Short\", \"side\":\"SHORT\", \"price\":239.71, \"stage\":4, \"buy\":7.4, \"sell\":88.2, \"prime\":-2, \"revL\":0, \"revS\":0, \"vcp\":0, \"dir_prob\":8.3, \"time\":1783603800000}", "ticker": "CME", "setup": "A+ Trend Short", "side": "SHORT", "price": 239.71, "stage": 4, "buy": 7.4, "sell": 88.2, "prime": -2, "revL": 0, "revS": 0, "vcp": 0, "time": 1783603800000, "email_id": "b'281'", "timestamp": "2026-07-09 16:01:36"}</t>
  </si>
  <si>
    <t>{"symbol": "BRO", "strategy": "Daily", "action": "LONG", "alert_price": 66.85, "score": "", "dir_prob": "99.9", "net_sigma": "", "grade": "", "align": "", "premium": "", "wrong_if": "", "context": "", "subject": "Alert: Rev - Screener v1 (SPY, 12): Any alert() function call", "body": "{\"ticker\":\"BRO\", \"setup\":\"A+ Trend Long\", \"side\":\"LONG\", \"price\":66.85, \"stage\":2, \"buy\":92.5, \"sell\":2.8, \"prime\":2, \"revL\":0, \"revS\":0, \"vcp\":0, \"dir_prob\":99.9, \"time\":1784122200000}", "ticker": "BRO", "setup": "A+ Trend Long", "side": "LONG", "price": 66.85, "stage": 2, "buy": 92.5, "sell": 2.8, "prime": 2, "revL": 0, "revS": 0, "vcp": 0, "time": 1784122200000, "email_id": "b'1040'", "timestamp": "2026-07-15 16:01:05"}</t>
  </si>
  <si>
    <t>Buy: 14.9 | Sell: 90.5</t>
  </si>
  <si>
    <t>Buy: 92.3 | Sell: 10.5</t>
  </si>
  <si>
    <t>{"symbol": "NXPI", "strategy": "Daily", "action": "SHORT", "alert_price": 278.96, "score": "", "dir_prob": "11.5", "net_sigma": "", "grade": "", "align": "", "premium": "", "wrong_if": "", "context": "", "subject": "Alert: Rev - Screener v1 (SPY, 12): Any alert() function call", "body": "{\"ticker\":\"NXPI\", \"setup\":\"A+ Trend Short\", \"side\":\"SHORT\", \"price\":278.96, \"stage\":4, \"buy\":14.9, \"sell\":90.5, \"prime\":-2, \"revL\":0, \"revS\":0, \"vcp\":0, \"dir_prob\":11.5, \"time\":1784122200000}", "ticker": "NXPI", "setup": "A+ Trend Short", "side": "SHORT", "price": 278.96, "stage": 4, "buy": 14.9, "sell": 90.5, "prime": -2, "revL": 0, "revS": 0, "vcp": 0, "time": 1784122200000, "email_id": "b'1041'", "timestamp": "2026-07-15 16:01:05"}</t>
  </si>
  <si>
    <t>Buy: 97.1 | Sell: 4.6</t>
  </si>
  <si>
    <t>{"symbol": "CPT", "strategy": "Daily", "action": "LONG", "alert_price": 113.24, "score": "", "dir_prob": "94.2", "net_sigma": "", "grade": "", "align": "", "premium": "", "wrong_if": "", "context": "", "subject": "Alert: Rev - Screener v1 (SPY, 12): Any alert() function call", "body": "{\"ticker\":\"CPT\", \"setup\":\"A+ Trend Long\", \"side\":\"LONG\", \"price\":113.24, \"stage\":2, \"buy\":92.3, \"sell\":10.5, \"prime\":2, \"revL\":0, \"revS\":0, \"vcp\":0, \"dir_prob\":94.2, \"time\":1783603800000}", "ticker": "CPT", "setup": "A+ Trend Long", "side": "LONG", "price": 113.24, "stage": 2, "buy": 92.3, "sell": 10.5, "prime": 2, "revL": 0, "revS": 0, "vcp": 0, "time": 1783603800000, "email_id": "b'337'", "timestamp": "2026-07-09 16:01:28"}</t>
  </si>
  <si>
    <t>{"symbol": "CRL", "strategy": "Daily", "action": "LONG", "alert_price": 228.15, "score": "", "dir_prob": "95.5", "net_sigma": "", "grade": "", "align": "", "premium": "", "wrong_if": "", "context": "", "subject": "Alert: Rev - Screener v1 (SPY, 12): Any alert() function call", "body": "{\"ticker\":\"CRL\", \"setup\":\"A+ Trend Long\", \"side\":\"LONG\", \"price\":228.15, \"stage\":2, \"buy\":97.1, \"sell\":4.6, \"prime\":2, \"revL\":0, \"revS\":0, \"vcp\":0, \"dir_prob\":95.5, \"time\":1784122200000}", "ticker": "CRL", "setup": "A+ Trend Long", "side": "LONG", "price": 228.15, "stage": 2, "buy": 97.1, "sell": 4.6, "prime": 2, "revL": 0, "revS": 0, "vcp": 0, "time": 1784122200000, "email_id": "b'1042'", "timestamp": "2026-07-15 16:01:23"}</t>
  </si>
  <si>
    <t>Buy: 94.5 | Sell: 8.6</t>
  </si>
  <si>
    <t>Buy: 96.5 | Sell: 6.1</t>
  </si>
  <si>
    <t>{"symbol": "VRTX", "strategy": "Daily", "action": "LONG", "alert_price": 477.2, "score": "", "dir_prob": "93.6", "net_sigma": "", "grade": "", "align": "", "premium": "", "wrong_if": "", "context": "", "subject": "Alert: Rev - Screener v1 (SPY, 12): Any alert() function call", "body": "{\"ticker\":\"VRTX\", \"setup\":\"A+ Trend Long\", \"side\":\"LONG\", \"price\":477.20, \"stage\":2, \"buy\":96.5, \"sell\":6.1, \"prime\":2, \"revL\":0, \"revS\":0, \"vcp\":0, \"dir_prob\":93.6, \"time\":1784122200000}", "ticker": "VRTX", "setup": "A+ Trend Long", "side": "LONG", "price": 477.2, "stage": 2, "buy": 96.5, "sell": 6.1, "prime": 2, "revL": 0, "revS": 0, "vcp": 0, "time": 1784122200000, "email_id": "b'1043'", "timestamp": "2026-07-15 16:01:16"}</t>
  </si>
  <si>
    <t>Buy: 21.6 | Sell: 85.6</t>
  </si>
  <si>
    <t>{"symbol": "LH", "strategy": "Daily", "action": "LONG", "alert_price": 277.58, "score": "", "dir_prob": "95.5", "net_sigma": "", "grade": "", "align": "", "premium": "", "wrong_if": "", "context": "", "subject": "Alert: Rev - Screener v1 (SPY, 12): Any alert() function call", "body": "{\"ticker\":\"LH\", \"setup\":\"A+ Trend Long\", \"side\":\"LONG\", \"price\":277.58, \"stage\":2, \"buy\":94.5, \"sell\":8.6, \"prime\":2, \"revL\":0, \"revS\":0, \"vcp\":0, \"dir_prob\":95.5, \"time\":1783603800000}", "ticker": "LH", "setup": "A+ Trend Long", "side": "LONG", "price": 277.58, "stage": 2, "buy": 94.5, "sell": 8.6, "prime": 2, "revL": 0, "revS": 0, "vcp": 0, "time": 1783603800000, "email_id": "b'309'", "timestamp": "2026-07-09 16:01:17"}</t>
  </si>
  <si>
    <t>Buy: 17.5 | Sell: 85.9</t>
  </si>
  <si>
    <t>{"symbol": "ORCL", "strategy": "Daily", "action": "SHORT", "alert_price": 132.54, "score": "", "dir_prob": "13.6", "net_sigma": "", "grade": "", "align": "", "premium": "", "wrong_if": "", "context": "", "subject": "Alert: Rev - Screener v1 (SPY, 12): Any alert() function call", "body": "{\"ticker\":\"ORCL\", \"setup\":\"A+ Trend Short\", \"side\":\"SHORT\", \"price\":132.54, \"stage\":4, \"buy\":21.6, \"sell\":85.6, \"prime\":-2, \"revL\":0, \"revS\":0, \"vcp\":0, \"dir_prob\":13.6, \"time\":1784122200000}", "ticker": "ORCL", "setup": "A+ Trend Short", "side": "SHORT", "price": 132.54, "stage": 4, "buy": 21.6, "sell": 85.6, "prime": -2, "revL": 0, "revS": 0, "vcp": 0, "time": 1784122200000, "email_id": "b'1044'", "timestamp": "2026-07-15 16:01:11"}</t>
  </si>
  <si>
    <t>Buy: 3.5 | Sell: 90.1</t>
  </si>
  <si>
    <t>{"symbol": "CCI", "strategy": "Daily", "action": "SHORT", "alert_price": 79.45, "score": "", "dir_prob": "8.9", "net_sigma": "", "grade": "", "align": "", "premium": "", "wrong_if": "", "context": "", "subject": "Alert: Rev - Screener v1 (SPY, 12): Any alert() function call", "body": "{\"ticker\":\"CCI\", \"setup\":\"A+ Trend Short\", \"side\":\"SHORT\", \"price\":79.45, \"stage\":4, \"buy\":3.5, \"sell\":90.1, \"prime\":-2, \"revL\":0, \"revS\":0, \"vcp\":0, \"dir_prob\":8.9, \"time\":1784122200000}", "ticker": "CCI", "setup": "A+ Trend Short", "side": "SHORT", "price": 79.45, "stage": 4, "buy": 3.5, "sell": 90.1, "prime": -2, "revL": 0, "revS": 0, "vcp": 0, "time": 1784122200000, "email_id": "b'1045'", "timestamp": "2026-07-15 16:01:17"}</t>
  </si>
  <si>
    <t>{"symbol": "SMCI", "strategy": "Daily", "action": "SHORT", "alert_price": 28.23, "score": "", "dir_prob": "16", "net_sigma": "", "grade": "", "align": "", "premium": "", "wrong_if": "", "context": "", "subject": "Alert: Rev - Screener v1 (SPY, 12): Any alert() function call", "body": "{\"ticker\":\"SMCI\", \"setup\":\"A+ Trend Short\", \"side\":\"SHORT\", \"price\":28.23, \"stage\":4, \"buy\":17.5, \"sell\":85.9, \"prime\":-2, \"revL\":0, \"revS\":0, \"vcp\":0, \"dir_prob\":16, \"time\":1783603800000}", "ticker": "SMCI", "setup": "A+ Trend Short", "side": "SHORT", "price": 28.23, "stage": 4, "buy": 17.5, "sell": 85.9, "prime": -2, "revL": 0, "revS": 0, "vcp": 0, "time": 1783603800000, "email_id": "b'268'", "timestamp": "2026-07-09 16:01:17"}</t>
  </si>
  <si>
    <t>Buy: 78.2 | Sell: 8</t>
  </si>
  <si>
    <t>Buy: 94.8 | Sell: 26</t>
  </si>
  <si>
    <t>{"symbol": "DHR", "strategy": "Daily", "action": "LONG", "alert_price": 200.69, "score": "", "dir_prob": "88.7", "net_sigma": "", "grade": "", "align": "", "premium": "", "wrong_if": "", "context": "", "subject": "Alert: Rev - Screener v1 (SPY, 12): Any alert() function call", "body": "{\"ticker\":\"DHR\", \"setup\":\"Early Action Long\", \"side\":\"LONG\", \"price\":200.69, \"stage\":2, \"buy\":78.2, \"sell\":8, \"prime\":1, \"revL\":0, \"revS\":6.5, \"vcp\":0, \"dir_prob\":88.7, \"time\":1784122200000}", "ticker": "DHR", "setup": "Early Action Long", "side": "LONG", "price": 200.69, "stage": 2, "buy": 78.2, "sell": 8, "prime": 1, "revL": 0, "revS": 6.5, "vcp": 0, "time": 1784122200000, "email_id": "b'1046'", "timestamp": "2026-07-15 16:01:15"}</t>
  </si>
  <si>
    <t>UNP</t>
  </si>
  <si>
    <t>Buy: 71.1 | Sell: 10.8</t>
  </si>
  <si>
    <t>{"symbol": "UNP", "strategy": "Daily", "action": "LONG", "alert_price": 288.35, "score": "", "dir_prob": "85.7", "net_sigma": "", "grade": "", "align": "", "premium": "", "wrong_if": "", "context": "", "subject": "Alert: Rev - Screener v1 (SPY, 12): Any alert() function call", "body": "{\"ticker\":\"UNP\", \"setup\":\"Early Action Long\", \"side\":\"LONG\", \"price\":288.35, \"stage\":2, \"buy\":71.1, \"sell\":10.8, \"prime\":1, \"revL\":0, \"revS\":0, \"vcp\":0, \"dir_prob\":85.7, \"time\":1784122200000}", "ticker": "UNP", "setup": "Early Action Long", "side": "LONG", "price": 288.35, "stage": 2, "buy": 71.1, "sell": 10.8, "prime": 1, "revL": 0, "revS": 0, "vcp": 0, "time": 1784122200000, "email_id": "b'1047'", "timestamp": "2026-07-15 16:01:17"}</t>
  </si>
  <si>
    <t>{"symbol": "DGX", "strategy": "Daily", "action": "LONG", "alert_price": 208.03, "score": "", "dir_prob": "93.4", "net_sigma": "", "grade": "", "align": "", "premium": "", "wrong_if": "", "context": "", "subject": "Alert: Rev - Screener v1 (SPY, 12): Any alert() function call", "body": "{\"ticker\":\"DGX\", \"setup\":\"A+ Trend Long\", \"side\":\"LONG\", \"price\":208.03, \"stage\":2, \"buy\":94.8, \"sell\":26, \"prime\":2, \"revL\":0, \"revS\":0, \"vcp\":0, \"dir_prob\":93.4, \"time\":1783603800000}", "ticker": "DGX", "setup": "A+ Trend Long", "side": "LONG", "price": 208.03, "stage": 2, "buy": 94.8, "sell": 26, "prime": 2, "revL": 0, "revS": 0, "vcp": 0, "time": 1783603800000, "email_id": "b'161'", "timestamp": "2026-07-09 16:01:03"}</t>
  </si>
  <si>
    <t>Buy: 97.3 | Sell: 17.2</t>
  </si>
  <si>
    <t>Buy: 97.6 | Sell: 11.5</t>
  </si>
  <si>
    <t>{"symbol": "IP", "strategy": "Daily", "action": "LONG", "alert_price": 36.75, "score": "", "dir_prob": "96.6", "net_sigma": "", "grade": "", "align": "", "premium": "", "wrong_if": "", "context": "", "subject": "Alert: Rev - Screener v1 (SPY, 12): Any alert() function call", "body": "{\"ticker\":\"IP\", \"setup\":\"A+ Trend Long\", \"side\":\"LONG\", \"price\":36.75, \"stage\":2, \"buy\":97.3, \"sell\":17.2, \"prime\":2, \"revL\":0, \"revS\":0, \"vcp\":1, \"dir_prob\":96.6, \"time\":1784122200000}", "ticker": "IP", "setup": "A+ Trend Long", "side": "LONG", "price": 36.75, "stage": 2, "buy": 97.3, "sell": 17.2, "prime": 2, "revL": 0, "revS": 0, "vcp": 1, "time": 1784122200000, "email_id": "b'1048'", "timestamp": "2026-07-15 16:01:18"}</t>
  </si>
  <si>
    <t>Buy: 90.9 | Sell: 41.7</t>
  </si>
  <si>
    <t>{"symbol": "TDG", "strategy": "Daily", "action": "LONG", "alert_price": 1295.3, "score": "", "dir_prob": "94.8", "net_sigma": "", "grade": "", "align": "", "premium": "", "wrong_if": "", "context": "", "subject": "Alert: Rev - Screener v1 (SPY, 12): Any alert() function call", "body": "{\"ticker\":\"TDG\", \"setup\":\"A+ Trend Long\", \"side\":\"LONG\", \"price\":1295.30, \"stage\":2, \"buy\":97.6, \"sell\":11.5, \"prime\":2, \"revL\":0, \"revS\":0, \"vcp\":0, \"dir_prob\":94.8, \"time\":1783603800000}", "ticker": "TDG", "setup": "A+ Trend Long", "side": "LONG", "price": 1295.3, "stage": 2, "buy": 97.6, "sell": 11.5, "prime": 2, "revL": 0, "revS": 0, "vcp": 0, "time": 1783603800000, "email_id": "b'241'", "timestamp": "2026-07-09 16:01:36"}</t>
  </si>
  <si>
    <t>Buy: 27.3 | Sell: 87.6</t>
  </si>
  <si>
    <t>{"symbol": "MMM", "strategy": "Daily", "action": "LONG", "alert_price": 160.5, "score": "", "dir_prob": "84.1", "net_sigma": "", "grade": "", "align": "", "premium": "", "wrong_if": "", "context": "", "subject": "Alert: Rev - Screener v1 (SPY, 12): Any alert() function call", "body": "{\"ticker\":\"MMM\", \"setup\":\"A+ Trend Long\", \"side\":\"LONG\", \"price\":160.50, \"stage\":2, \"buy\":90.9, \"sell\":41.7, \"prime\":2, \"revL\":0, \"revS\":0, \"vcp\":0, \"dir_prob\":84.1, \"time\":1784122200000}", "ticker": "MMM", "setup": "A+ Trend Long", "side": "LONG", "price": 160.5, "stage": 2, "buy": 90.9, "sell": 41.7, "prime": 2, "revL": 0, "revS": 0, "vcp": 0, "time": 1784122200000, "email_id": "b'1049'", "timestamp": "2026-07-15 16:01:12"}</t>
  </si>
  <si>
    <t>Buy: 11.6 | Sell: 90.5</t>
  </si>
  <si>
    <t>{"symbol": "Q", "strategy": "Daily", "action": "SHORT", "alert_price": 143.35, "score": "", "dir_prob": "50", "net_sigma": "", "grade": "", "align": "", "premium": "", "wrong_if": "", "context": "", "subject": "Alert: Rev - Screener v1 (SPY, 12): Any alert() function call", "body": "{\"ticker\":\"Q\", \"setup\":\"A+ Trend Short\", \"side\":\"SHORT\", \"price\":143.35, \"stage\":4, \"buy\":27.3, \"sell\":87.6, \"prime\":-2, \"revL\":0, \"revS\":0, \"vcp\":0, \"dir_prob\":50, \"time\":1783603800000}", "ticker": "Q", "setup": "A+ Trend Short", "side": "SHORT", "price": 143.35, "stage": 4, "buy": 27.3, "sell": 87.6, "prime": -2, "revL": 0, "revS": 0, "vcp": 0, "time": 1783603800000, "email_id": "b'212'", "timestamp": "2026-07-09 16:01:23"}</t>
  </si>
  <si>
    <t>{"symbol": "AKAM", "strategy": "Daily", "action": "SHORT", "alert_price": 119.98, "score": "", "dir_prob": "6.2", "net_sigma": "", "grade": "", "align": "", "premium": "", "wrong_if": "", "context": "", "subject": "Alert: Rev - Screener v1 (SPY, 12): Any alert() function call", "body": "{\"ticker\":\"AKAM\", \"setup\":\"A+ Trend Short\", \"side\":\"SHORT\", \"price\":119.98, \"stage\":4, \"buy\":11.6, \"sell\":90.5, \"prime\":-2, \"revL\":0, \"revS\":0, \"vcp\":0, \"dir_prob\":6.2, \"time\":1784122200000}", "ticker": "AKAM", "setup": "A+ Trend Short", "side": "SHORT", "price": 119.98, "stage": 4, "buy": 11.6, "sell": 90.5, "prime": -2, "revL": 0, "revS": 0, "vcp": 0, "time": 1784122200000, "email_id": "b'1050'", "timestamp": "2026-07-15 16:01:23"}</t>
  </si>
  <si>
    <t>Buy: 5.7 | Sell: 87.1</t>
  </si>
  <si>
    <t>Buy: 95.7 | Sell: 18.6</t>
  </si>
  <si>
    <t>{"symbol": "FDX", "strategy": "Daily", "action": "SHORT", "alert_price": 313.43, "score": "", "dir_prob": "2.2", "net_sigma": "", "grade": "", "align": "", "premium": "", "wrong_if": "", "context": "", "subject": "Alert: Rev - Screener v1 (SPY, 12): Any alert() function call", "body": "{\"ticker\":\"FDX\", \"setup\":\"A+ Trend Short\", \"side\":\"SHORT\", \"price\":313.43, \"stage\":4, \"buy\":5.7, \"sell\":87.1, \"prime\":-2, \"revL\":0, \"revS\":0, \"vcp\":0, \"dir_prob\":2.2, \"time\":1784122200000}", "ticker": "FDX", "setup": "A+ Trend Short", "side": "SHORT", "price": 313.43, "stage": 4, "buy": 5.7, "sell": 87.1, "prime": -2, "revL": 0, "revS": 0, "vcp": 0, "time": 1784122200000, "email_id": "b'1051'", "timestamp": "2026-07-15 16:01:23"}</t>
  </si>
  <si>
    <t>{"symbol": "BRK.B", "strategy": "Daily", "action": "LONG", "alert_price": 495.38, "score": "", "dir_prob": "93.9", "net_sigma": "", "grade": "", "align": "", "premium": "", "wrong_if": "", "context": "", "subject": "Alert: Rev - Screener v1 (SPY, 12): Any alert() function call", "body": "{\"ticker\":\"BRK.B\", \"setup\":\"A+ Trend Long\", \"side\":\"LONG\", \"price\":495.38, \"stage\":2, \"buy\":95.7, \"sell\":18.6, \"prime\":2, \"revL\":0, \"revS\":0, \"vcp\":0, \"dir_prob\":93.9, \"time\":1783603800000}", "ticker": "BRK.B", "setup": "A+ Trend Long", "side": "LONG", "price": 495.38, "stage": 2, "buy": 95.7, "sell": 18.6, "prime": 2, "revL": 0, "revS": 0, "vcp": 0, "time": 1783603800000, "email_id": "b'282'", "timestamp": "2026-07-09 16:01:43"}</t>
  </si>
  <si>
    <t>VLTO</t>
  </si>
  <si>
    <t>Buy: 95 | Sell: 3</t>
  </si>
  <si>
    <t>Buy: 80.7 | Sell: 19.3</t>
  </si>
  <si>
    <t>{"symbol": "VLTO", "strategy": "Daily", "action": "LONG", "alert_price": 90.99, "score": "", "dir_prob": "98.9", "net_sigma": "", "grade": "", "align": "", "premium": "", "wrong_if": "", "context": "", "subject": "Alert: Rev - Screener v1 (SPY, 12): Any alert() function call", "body": "{\"ticker\":\"VLTO\", \"setup\":\"A+ Trend Long\", \"side\":\"LONG\", \"price\":90.99, \"stage\":2, \"buy\":95, \"sell\":3, \"prime\":2, \"revL\":0, \"revS\":0, \"vcp\":0, \"dir_prob\":98.9, \"time\":1784122200000}", "ticker": "VLTO", "setup": "A+ Trend Long", "side": "LONG", "price": 90.99, "stage": 2, "buy": 95, "sell": 3, "prime": 2, "revL": 0, "revS": 0, "vcp": 0, "time": 1784122200000, "email_id": "b'1052'", "timestamp": "2026-07-15 16:01:19"}</t>
  </si>
  <si>
    <t>Buy: 97 | Sell: 15.1</t>
  </si>
  <si>
    <t>{"symbol": "GEN", "strategy": "Daily", "action": "LONG", "alert_price": 26.0, "score": "", "dir_prob": "93.1", "net_sigma": "", "grade": "", "align": "", "premium": "", "wrong_if": "", "context": "", "subject": "Alert: Rev - Screener v1 (SPY, 12): Any alert() function call", "body": "{\"ticker\":\"GEN\", \"setup\":\"Early Action Long\", \"side\":\"LONG\", \"price\":26.00, \"stage\":2, \"buy\":80.7, \"sell\":19.3, \"prime\":1, \"revL\":0, \"revS\":0, \"vcp\":0, \"dir_prob\":93.1, \"time\":1783603800000}", "ticker": "GEN", "setup": "Early Action Long", "side": "LONG", "price": 26.0, "stage": 2, "buy": 80.7, "sell": 19.3, "prime": 1, "revL": 0, "revS": 0, "vcp": 0, "time": 1783603800000, "email_id": "b'258'", "timestamp": "2026-07-09 16:01:05"}</t>
  </si>
  <si>
    <t>{"symbol": "LH", "strategy": "Daily", "action": "LONG", "alert_price": 272.03, "score": "", "dir_prob": "94.3", "net_sigma": "", "grade": "", "align": "", "premium": "", "wrong_if": "", "context": "", "subject": "Alert: Rev - Screener v1 (SPY, 12): Any alert() function call", "body": "{\"ticker\":\"LH\", \"setup\":\"A+ Trend Long\", \"side\":\"LONG\", \"price\":272.03, \"stage\":2, \"buy\":97, \"sell\":15.1, \"prime\":2, \"revL\":0, \"revS\":0, \"vcp\":0, \"dir_prob\":94.3, \"time\":1784122200000}", "ticker": "LH", "setup": "A+ Trend Long", "side": "LONG", "price": 272.03, "stage": 2, "buy": 97, "sell": 15.1, "prime": 2, "revL": 0, "revS": 0, "vcp": 0, "time": 1784122200000, "email_id": "b'1053'", "timestamp": "2026-07-15 16:01:21"}</t>
  </si>
  <si>
    <t>Buy: 75.1 | Sell: 47.1</t>
  </si>
  <si>
    <t>Buy: 92.9 | Sell: 7.5</t>
  </si>
  <si>
    <t>{"symbol": "CNC", "strategy": "Daily", "action": "LONG", "alert_price": 67.59, "score": "", "dir_prob": "64.6", "net_sigma": "", "grade": "", "align": "", "premium": "", "wrong_if": "", "context": "", "subject": "Alert: Rev - Screener v1 (SPY, 12): Any alert() function call", "body": "{\"ticker\":\"CNC\", \"setup\":\"Early Action Long\", \"side\":\"LONG\", \"price\":67.59, \"stage\":2, \"buy\":75.1, \"sell\":47.1, \"prime\":1, \"revL\":0, \"revS\":0, \"vcp\":0, \"dir_prob\":64.6, \"time\":1783603800000}", "ticker": "CNC", "setup": "Early Action Long", "side": "LONG", "price": 67.59, "stage": 2, "buy": 75.1, "sell": 47.1, "prime": 1, "revL": 0, "revS": 0, "vcp": 0, "time": 1783603800000, "email_id": "b'261'", "timestamp": "2026-07-09 16:01:12"}</t>
  </si>
  <si>
    <t>{"symbol": "HOOD", "strategy": "Daily", "action": "LONG", "alert_price": 115.55, "score": "", "dir_prob": "92.7", "net_sigma": "", "grade": "", "align": "", "premium": "", "wrong_if": "", "context": "", "subject": "Alert: Rev - Screener v1 (SPY, 12): Any alert() function call", "body": "{\"ticker\":\"HOOD\", \"setup\":\"A+ Trend Long\", \"side\":\"LONG\", \"price\":115.55, \"stage\":2, \"buy\":92.9, \"sell\":7.5, \"prime\":2, \"revL\":0, \"revS\":0, \"vcp\":0, \"dir_prob\":92.7, \"time\":1784122200000}", "ticker": "HOOD", "setup": "A+ Trend Long", "side": "LONG", "price": 115.55, "stage": 2, "buy": 92.9, "sell": 7.5, "prime": 2, "revL": 0, "revS": 0, "vcp": 0, "time": 1784122200000, "email_id": "b'1054'", "timestamp": "2026-07-15 16:01:09"}</t>
  </si>
  <si>
    <t>Buy: 88 | Sell: 22.1</t>
  </si>
  <si>
    <t>Buy: 14.1 | Sell: 86</t>
  </si>
  <si>
    <t>{"symbol": "DDOG", "strategy": "Daily", "action": "LONG", "alert_price": 264.33, "score": "", "dir_prob": "92.5", "net_sigma": "", "grade": "", "align": "", "premium": "", "wrong_if": "", "context": "", "subject": "Alert: Rev - Screener v1 (SPY, 12): Any alert() function call", "body": "{\"ticker\":\"DDOG\", \"setup\":\"A+ Trend Long\", \"side\":\"LONG\", \"price\":264.33, \"stage\":2, \"buy\":88, \"sell\":22.1, \"prime\":2, \"revL\":0, \"revS\":0, \"vcp\":0, \"dir_prob\":92.5, \"time\":1784122200000}", "ticker": "DDOG", "setup": "A+ Trend Long", "side": "LONG", "price": 264.33, "stage": 2, "buy": 88, "sell": 22.1, "prime": 2, "revL": 0, "revS": 0, "vcp": 0, "time": 1784122200000, "email_id": "b'1055'", "timestamp": "2026-07-15 16:01:25"}</t>
  </si>
  <si>
    <t>Buy: 96 | Sell: 7.6</t>
  </si>
  <si>
    <t>{"symbol": "MCHP", "strategy": "Daily", "action": "SHORT", "alert_price": 88.24, "score": "", "dir_prob": "16.8", "net_sigma": "", "grade": "", "align": "", "premium": "", "wrong_if": "", "context": "", "subject": "Alert: Rev - Screener v1 (SPY, 12): Any alert() function call", "body": "{\"ticker\":\"MCHP\", \"setup\":\"A+ Trend Short\", \"side\":\"SHORT\", \"price\":88.24, \"stage\":4, \"buy\":14.1, \"sell\":86, \"prime\":-2, \"revL\":0, \"revS\":0, \"vcp\":0, \"dir_prob\":16.8, \"time\":1783603800000}", "ticker": "MCHP", "setup": "A+ Trend Short", "side": "SHORT", "price": 88.24, "stage": 4, "buy": 14.1, "sell": 86, "prime": -2, "revL": 0, "revS": 0, "vcp": 0, "time": 1783603800000, "email_id": "b'238'", "timestamp": "2026-07-09 16:01:37"}</t>
  </si>
  <si>
    <t>Buy: 7.5 | Sell: 92.5</t>
  </si>
  <si>
    <t>{"symbol": "HBAN", "strategy": "Daily", "action": "LONG", "alert_price": 18.13, "score": "", "dir_prob": "94.4", "net_sigma": "", "grade": "", "align": "", "premium": "", "wrong_if": "", "context": "", "subject": "Alert: Rev - Screener v1 (SPY, 12): Any alert() function call", "body": "{\"ticker\":\"HBAN\", \"setup\":\"A+ Trend Long\", \"side\":\"LONG\", \"price\":18.13, \"stage\":2, \"buy\":96, \"sell\":7.6, \"prime\":2, \"revL\":0, \"revS\":0, \"vcp\":0, \"dir_prob\":94.4, \"time\":1784122200000}", "ticker": "HBAN", "setup": "A+ Trend Long", "side": "LONG", "price": 18.13, "stage": 2, "buy": 96, "sell": 7.6, "prime": 2, "revL": 0, "revS": 0, "vcp": 0, "time": 1784122200000, "email_id": "b'1056'", "timestamp": "2026-07-15 16:01:24"}</t>
  </si>
  <si>
    <t>WTW</t>
  </si>
  <si>
    <t>Buy: 74.1 | Sell: 5</t>
  </si>
  <si>
    <t>{"symbol": "APA", "strategy": "Daily", "action": "SHORT", "alert_price": 33.3, "score": "", "dir_prob": "3.9", "net_sigma": "", "grade": "", "align": "", "premium": "", "wrong_if": "", "context": "", "subject": "Alert: Rev - Screener v1 (SPY, 12): Any alert() function call", "body": "{\"ticker\":\"APA\", \"setup\":\"A+ Trend Short\", \"side\":\"SHORT\", \"price\":33.30, \"stage\":4, \"buy\":7.5, \"sell\":92.5, \"prime\":-2, \"revL\":0, \"revS\":0, \"vcp\":0, \"dir_prob\":3.9, \"time\":1783603800000}", "ticker": "APA", "setup": "A+ Trend Short", "side": "SHORT", "price": 33.3, "stage": 4, "buy": 7.5, "sell": 92.5, "prime": -2, "revL": 0, "revS": 0, "vcp": 0, "time": 1783603800000, "email_id": "b'172'", "timestamp": "2026-07-09 16:01:04"}</t>
  </si>
  <si>
    <t>{"symbol": "WTW", "strategy": "Daily", "action": "LONG", "alert_price": 285.16, "score": "", "dir_prob": "95.1", "net_sigma": "", "grade": "", "align": "", "premium": "", "wrong_if": "", "context": "", "subject": "Alert: Rev - Screener v1 (SPY, 12): Any alert() function call", "body": "{\"ticker\":\"WTW\", \"setup\":\"Early Action Long\", \"side\":\"LONG\", \"price\":285.16, \"stage\":2, \"buy\":74.1, \"sell\":5, \"prime\":1, \"revL\":0, \"revS\":0, \"vcp\":0, \"dir_prob\":95.1, \"time\":1784122200000}", "ticker": "WTW", "setup": "Early Action Long", "side": "LONG", "price": 285.16, "stage": 2, "buy": 74.1, "sell": 5, "prime": 1, "revL": 0, "revS": 0, "vcp": 0, "time": 1784122200000, "email_id": "b'1057'", "timestamp": "2026-07-15 16:01:21"}</t>
  </si>
  <si>
    <t>Buy: 10.9 | Sell: 90.2</t>
  </si>
  <si>
    <t>SURVIVOR (24.9)</t>
  </si>
  <si>
    <t>{"symbol": "EG", "strategy": "Daily", "action": "LONG", "alert_price": 364.06, "score": "", "dir_prob": "92.9", "net_sigma": "", "grade": "", "align": "", "premium": "", "wrong_if": "", "context": "", "subject": "Alert: Rev - Screener v1 (SPY, 12): Any alert() function call", "body": "{\"ticker\":\"EG\", \"setup\":\"A+ Trend Long\", \"side\":\"LONG\", \"price\":364.06, \"stage\":2, \"buy\":94.5, \"sell\":8.5, \"prime\":2, \"revL\":0, \"revS\":0, \"vcp\":0, \"dir_prob\":92.9, \"time\":1784122200000}", "ticker": "EG", "setup": "A+ Trend Long", "side": "LONG", "price": 364.06, "stage": 2, "buy": 94.5, "sell": 8.5, "prime": 2, "revL": 0, "revS": 0, "vcp": 0, "time": 1784122200000, "email_id": "b'1058'", "timestamp": "2026-07-15 16:01:11"}</t>
  </si>
  <si>
    <t>Buy: 88.8 | Sell: 17.5</t>
  </si>
  <si>
    <t>{"symbol": "APO", "strategy": "Daily", "action": "SHORT", "alert_price": 119.83, "score": "", "dir_prob": "11.7", "net_sigma": "", "grade": "", "align": "", "premium": "", "wrong_if": "", "context": "", "subject": "Alert: Rev - Screener v1 (SPY, 12): Any alert() function call", "body": "{\"ticker\":\"APO\", \"setup\":\"A+ Trend Short\", \"side\":\"SHORT\", \"price\":119.83, \"stage\":4, \"buy\":10.9, \"sell\":90.2, \"prime\":-2, \"revL\":0, \"revS\":0, \"vcp\":0, \"dir_prob\":11.7, \"time\":1783603800000}", "ticker": "APO", "setup": "A+ Trend Short", "side": "SHORT", "price": 119.83, "stage": 4, "buy": 10.9, "sell": 90.2, "prime": -2, "revL": 0, "revS": 0, "vcp": 0, "time": 1783603800000, "email_id": "b'324'", "timestamp": "2026-07-09 16:01:04"}</t>
  </si>
  <si>
    <t>{"symbol": "CVS", "strategy": "Daily", "action": "LONG", "alert_price": 105.88, "score": "", "dir_prob": "89.9", "net_sigma": "", "grade": "", "align": "", "premium": "", "wrong_if": "", "context": "", "subject": "Alert: Rev - Screener v1 (SPY, 12): Any alert() function call", "body": "{\"ticker\":\"CVS\", \"setup\":\"A+ Trend Long\", \"side\":\"LONG\", \"price\":105.88, \"stage\":2, \"buy\":88.8, \"sell\":17.5, \"prime\":2, \"revL\":0, \"revS\":0, \"vcp\":0, \"dir_prob\":89.9, \"time\":1784122200000}", "ticker": "CVS", "setup": "A+ Trend Long", "side": "LONG", "price": 105.88, "stage": 2, "buy": 88.8, "sell": 17.5, "prime": 2, "revL": 0, "revS": 0, "vcp": 0, "time": 1784122200000, "email_id": "b'1059'", "timestamp": "2026-07-15 16:01:32"}</t>
  </si>
  <si>
    <t>Buy: 95.8 | Sell: 6.9</t>
  </si>
  <si>
    <t>Buy: 94 | Sell: 9.9</t>
  </si>
  <si>
    <t>SKIP / WAIT-FOR-PULLBACK (LEAN-WATCH for patient capital)</t>
  </si>
  <si>
    <t>{"symbol": "SPG", "strategy": "Daily", "action": "LONG", "alert_price": 219.74, "score": "", "dir_prob": "88.9", "net_sigma": "", "grade": "", "align": "", "premium": "", "wrong_if": "", "context": "", "subject": "Alert: Rev - Screener v1 (SPY, 12): Any alert() function call", "body": "{\"ticker\":\"SPG\", \"setup\":\"A+ Trend Long\", \"side\":\"LONG\", \"price\":219.74, \"stage\":2, \"buy\":95.8, \"sell\":6.9, \"prime\":2, \"revL\":0, \"revS\":0, \"vcp\":0, \"dir_prob\":88.9, \"time\":1783603800000}", "ticker": "SPG", "setup": "A+ Trend Long", "side": "LONG", "price": 219.74, "stage": 2, "buy": 95.8, "sell": 6.9, "prime": 2, "revL": 0, "revS": 0, "vcp": 0, "time": 1783603800000, "email_id": "b'224'", "timestamp": "2026-07-09 16:01:13"}</t>
  </si>
  <si>
    <t>{"symbol": "SPG", "strategy": "Daily", "action": "LONG", "alert_price": 221.95, "score": "", "dir_prob": "87.2", "net_sigma": "", "grade": "", "align": "", "premium": "", "wrong_if": "", "context": "", "subject": "Alert: Rev - Screener v1 (SPY, 12): Any alert() function call", "body": "{\"ticker\":\"SPG\", \"setup\":\"A+ Trend Long\", \"side\":\"LONG\", \"price\":221.95, \"stage\":2, \"buy\":94, \"sell\":9.9, \"prime\":2, \"revL\":0, \"revS\":0, \"vcp\":0, \"dir_prob\":87.2, \"time\":1784122200000}", "ticker": "SPG", "setup": "A+ Trend Long", "side": "LONG", "price": 221.95, "stage": 2, "buy": 94, "sell": 9.9, "prime": 2, "revL": 0, "revS": 0, "vcp": 0, "time": 1784122200000, "email_id": "b'1060'", "timestamp": "2026-07-15 16:01:26"}</t>
  </si>
  <si>
    <t>The setup is a TREND_LONG driven by a dominant Buy score of 97.38 and a directional probability of 91.98, indicating a strong bullish bias in Stage 2. The Rev Zone score of 2.0 confirms no mean-reversion signal is active, aligning with the trend-following logic. However, the price is currently above the long entry zone (219.5-220.58) with an R:R of 1.63, triggering the 'chased' flag which suggests the entry is slightly late for optimal risk/reward. There is no news contradiction or earnings gate failure to veto the signal.</t>
  </si>
  <si>
    <t xml:space="preserve">Sentiment: 0.144689 (Neutral)
</t>
  </si>
  <si>
    <t>Buy: 96.2 | Sell: 6</t>
  </si>
  <si>
    <t>Buy: 6.6 | Sell: 92.1</t>
  </si>
  <si>
    <t>{"symbol": "AXON", "strategy": "Daily", "action": "LONG", "alert_price": 541.01, "score": "", "dir_prob": "98.6", "net_sigma": "", "grade": "", "align": "", "premium": "", "wrong_if": "", "context": "", "subject": "Alert: Rev - Screener v1 (SPY, 12): Any alert() function call", "body": "{\"ticker\":\"AXON\", \"setup\":\"A+ Trend Long\", \"side\":\"LONG\", \"price\":541.01, \"stage\":2, \"buy\":96.2, \"sell\":6, \"prime\":2, \"revL\":0, \"revS\":0, \"vcp\":0, \"dir_prob\":98.6, \"time\":1784122200000}", "ticker": "AXON", "setup": "A+ Trend Long", "side": "LONG", "price": 541.01, "stage": 2, "buy": 96.2, "sell": 6, "prime": 2, "revL": 0, "revS": 0, "vcp": 0, "time": 1784122200000, "email_id": "b'1061'", "timestamp": "2026-07-15 16:01:14"}</t>
  </si>
  <si>
    <t>Buy: 92.7 | Sell: 12.4</t>
  </si>
  <si>
    <t>**EXIT LONGS / SKIP NEW LONGS / SHORT BIAS (with patience)**</t>
  </si>
  <si>
    <t>6</t>
  </si>
  <si>
    <t>Entry: 69.71
Stop: 70.51
Target: 
See markdown for full rationale.</t>
  </si>
  <si>
    <t>{"symbol": "IT", "strategy": "Daily", "action": "SHORT", "alert_price": 132.63, "score": "", "dir_prob": "6.9", "net_sigma": "", "grade": "", "align": "", "premium": "", "wrong_if": "", "context": "", "subject": "Alert: Rev - Screener v1 (SPY, 12): Any alert() function call", "body": "{\"ticker\":\"IT\", \"setup\":\"A+ Trend Short\", \"side\":\"SHORT\", \"price\":132.63, \"stage\":4, \"buy\":6.6, \"sell\":92.1, \"prime\":-2, \"revL\":0, \"revS\":0, \"vcp\":0, \"dir_prob\":6.9, \"time\":1783603800000}", "ticker": "IT", "setup": "A+ Trend Short", "side": "SHORT", "price": 132.63, "stage": 4, "buy": 6.6, "sell": 92.1, "prime": -2, "revL": 0, "revS": 0, "vcp": 0, "time": 1783603800000, "email_id": "b'344'", "timestamp": "2026-07-09 16:01:09"}</t>
  </si>
  <si>
    <t>{"symbol": "EQR", "strategy": "Daily", "action": "LONG", "alert_price": 68.25, "score": "", "dir_prob": "94.5", "net_sigma": "", "grade": "", "align": "", "premium": "", "wrong_if": "", "context": "", "subject": "Alert: Rev - Screener v1 (SPY, 12): Any alert() function call", "body": "{\"ticker\":\"EQR\", \"setup\":\"A+ Trend Long\", \"side\":\"LONG\", \"price\":68.25, \"stage\":2, \"buy\":92.7, \"sell\":12.4, \"prime\":2, \"revL\":0, \"revS\":0, \"vcp\":0, \"dir_prob\":94.5, \"time\":1784122200000}", "ticker": "EQR", "setup": "A+ Trend Long", "side": "LONG", "price": 68.25, "stage": 2, "buy": 92.7, "sell": 12.4, "prime": 2, "revL": 0, "revS": 0, "vcp": 0, "time": 1784122200000, "email_id": "b'1062'", "timestamp": "2026-07-15 16:01:30"}</t>
  </si>
  <si>
    <t>Buy: 95.5 | Sell: 6.1</t>
  </si>
  <si>
    <t>Buy: 91.4 | Sell: 7.8</t>
  </si>
  <si>
    <t>{"symbol": "MNST", "strategy": "Daily", "action": "LONG", "alert_price": 97.57, "score": "", "dir_prob": "87.3", "net_sigma": "", "grade": "", "align": "", "premium": "", "wrong_if": "", "context": "", "subject": "Alert: Rev - Screener v1 (SPY, 12): Any alert() function call", "body": "{\"ticker\":\"MNST\", \"setup\":\"A+ Trend Long\", \"side\":\"LONG\", \"price\":97.57, \"stage\":2, \"buy\":91.4, \"sell\":7.8, \"prime\":2, \"revL\":0, \"revS\":0, \"vcp\":0, \"dir_prob\":87.3, \"time\":1784122200000}", "ticker": "MNST", "setup": "A+ Trend Long", "side": "LONG", "price": 97.57, "stage": 2, "buy": 91.4, "sell": 7.8, "prime": 2, "revL": 0, "revS": 0, "vcp": 0, "time": 1784122200000, "email_id": "b'1063'", "timestamp": "2026-07-15 16:01:16"}</t>
  </si>
  <si>
    <t>{"symbol": "COO", "strategy": "Daily", "action": "LONG", "alert_price": 71.03, "score": "", "dir_prob": "96.7", "net_sigma": "", "grade": "", "align": "", "premium": "", "wrong_if": "", "context": "", "subject": "Alert: Rev - Screener v1 (SPY, 12): Any alert() function call", "body": "{\"ticker\":\"COO\", \"setup\":\"A+ Trend Long\", \"side\":\"LONG\", \"price\":71.03, \"stage\":2, \"buy\":95.5, \"sell\":6.1, \"prime\":2, \"revL\":0, \"revS\":0, \"vcp\":0, \"dir_prob\":96.7, \"time\":1783603800000}", "ticker": "COO", "setup": "A+ Trend Long", "side": "LONG", "price": 71.03, "stage": 2, "buy": 95.5, "sell": 6.1, "prime": 2, "revL": 0, "revS": 0, "vcp": 0, "time": 1783603800000, "email_id": "b'336'", "timestamp": "2026-07-09 16:01:21"}</t>
  </si>
  <si>
    <t>Buy: 12.2 | Sell: 90</t>
  </si>
  <si>
    <t>Buy: 10.4 | Sell: 86.8</t>
  </si>
  <si>
    <t>{"symbol": "PFE", "strategy": "Daily", "action": "SHORT", "alert_price": 24.8, "score": "", "dir_prob": "8", "net_sigma": "", "grade": "", "align": "", "premium": "", "wrong_if": "", "context": "", "subject": "Alert: Rev - Screener v1 (SPY, 12): Any alert() function call", "body": "{\"ticker\":\"PFE\", \"setup\":\"A+ Trend Short\", \"side\":\"SHORT\", \"price\":24.80, \"stage\":4, \"buy\":12.2, \"sell\":90, \"prime\":-2, \"revL\":0, \"revS\":0, \"vcp\":0, \"dir_prob\":8, \"time\":1784122200000}", "ticker": "PFE", "setup": "A+ Trend Short", "side": "SHORT", "price": 24.8, "stage": 4, "buy": 12.2, "sell": 90, "prime": -2, "revL": 0, "revS": 0, "vcp": 0, "time": 1784122200000, "email_id": "b'1064'", "timestamp": "2026-07-15 16:01:26"}</t>
  </si>
  <si>
    <t>Buy: 96.4 | Sell: 6.4</t>
  </si>
  <si>
    <t>{"symbol": "ABNB", "strategy": "Daily", "action": "LONG", "alert_price": 148.38, "score": "", "dir_prob": "96.2", "net_sigma": "", "grade": "", "align": "", "premium": "", "wrong_if": "", "context": "", "subject": "Alert: Rev - Screener v1 (SPY, 12): Any alert() function call", "body": "{\"ticker\":\"ABNB\", \"setup\":\"A+ Trend Long\", \"side\":\"LONG\", \"price\":148.38, \"stage\":2, \"buy\":96.4, \"sell\":6.4, \"prime\":2, \"revL\":0, \"revS\":0, \"vcp\":1, \"dir_prob\":96.2, \"time\":1784122200000}", "ticker": "ABNB", "setup": "A+ Trend Long", "side": "LONG", "price": 148.38, "stage": 2, "buy": 96.4, "sell": 6.4, "prime": 2, "revL": 0, "revS": 0, "vcp": 1, "time": 1784122200000, "email_id": "b'1065'", "timestamp": "2026-07-15 16:01:13"}</t>
  </si>
  <si>
    <t>{"symbol": "T", "strategy": "Daily", "action": "SHORT", "alert_price": 21.03, "score": "", "dir_prob": "14.3", "net_sigma": "", "grade": "", "align": "", "premium": "", "wrong_if": "", "context": "", "subject": "Alert: Rev - Screener v1 (SPY, 12): Any alert() function call", "body": "{\"ticker\":\"T\", \"setup\":\"A+ Trend Short\", \"side\":\"SHORT\", \"price\":21.03, \"stage\":4, \"buy\":10.4, \"sell\":86.8, \"prime\":-2, \"revL\":0, \"revS\":0, \"vcp\":0, \"dir_prob\":14.3, \"time\":1783603800000}", "ticker": "T", "setup": "A+ Trend Short", "side": "SHORT", "price": 21.03, "stage": 4, "buy": 10.4, "sell": 86.8, "prime": -2, "revL": 0, "revS": 0, "vcp": 0, "time": 1783603800000, "email_id": "b'188'", "timestamp": "2026-07-09 16:01:12"}</t>
  </si>
  <si>
    <t>The setup is a TREND_LONG triggered by a dominant Buy score of 83.44, a Dir Prob of 89.72, and Stage 2 (up-trend) conditions. The news confirms this bias with a Jefferies upgrade raising the price target to $175. The 'squeeze' flag indicates a coiling regime (Regime 6) rather than exhaustion, while the 'dip_buy' flag notes the Rev Zone L score of 2.0 is low, meaning this is a trend continuation rather than a counter-trend reversal. The stock is currently 'in_zone' with a healthy R:R of 2.0x.</t>
  </si>
  <si>
    <t xml:space="preserve">Sentiment: 0.095341 (Neutral)
</t>
  </si>
  <si>
    <t>Buy: 98.1 | Sell: 12.2</t>
  </si>
  <si>
    <t>Buy: 92.8 | Sell: 32.4</t>
  </si>
  <si>
    <t>{"symbol": "KMB", "strategy": "Daily", "action": "LONG", "alert_price": 106.53, "score": "", "dir_prob": "98.6", "net_sigma": "", "grade": "", "align": "", "premium": "", "wrong_if": "", "context": "", "subject": "Alert: Rev - Screener v1 (SPY, 12): Any alert() function call", "body": "{\"ticker\":\"KMB\", \"setup\":\"A+ Trend Long\", \"side\":\"LONG\", \"price\":106.53, \"stage\":2, \"buy\":98.1, \"sell\":12.2, \"prime\":2, \"revL\":0, \"revS\":0, \"vcp\":0, \"dir_prob\":98.6, \"time\":1784122200000}", "ticker": "KMB", "setup": "A+ Trend Long", "side": "LONG", "price": 106.53, "stage": 2, "buy": 98.1, "sell": 12.2, "prime": 2, "revL": 0, "revS": 0, "vcp": 0, "time": 1784122200000, "email_id": "b'1066'", "timestamp": "2026-07-15 16:01:21"}</t>
  </si>
  <si>
    <t>Buy: 87.2 | Sell: 19.9</t>
  </si>
  <si>
    <t>{"symbol": "MAA", "strategy": "Daily", "action": "LONG", "alert_price": 135.96, "score": "", "dir_prob": "94", "net_sigma": "", "grade": "", "align": "", "premium": "", "wrong_if": "", "context": "", "subject": "Alert: Rev - Screener v1 (SPY, 12): Any alert() function call", "body": "{\"ticker\":\"MAA\", \"setup\":\"A+ Trend Long\", \"side\":\"LONG\", \"price\":135.96, \"stage\":2, \"buy\":92.8, \"sell\":32.4, \"prime\":2, \"revL\":0, \"revS\":0, \"vcp\":0, \"dir_prob\":94, \"time\":1783603800000}", "ticker": "MAA", "setup": "A+ Trend Long", "side": "LONG", "price": 135.96, "stage": 2, "buy": 92.8, "sell": 32.4, "prime": 2, "revL": 0, "revS": 0, "vcp": 0, "time": 1783603800000, "email_id": "b'329'", "timestamp": "2026-07-09 16:01:15"}</t>
  </si>
  <si>
    <t>{"symbol": "GEN", "strategy": "Daily", "action": "LONG", "alert_price": 26.43, "score": "", "dir_prob": "94", "net_sigma": "", "grade": "", "align": "", "premium": "", "wrong_if": "", "context": "", "subject": "Alert: Rev - Screener v1 (SPY, 12): Any alert() function call", "body": "{\"ticker\":\"GEN\", \"setup\":\"A+ Trend Long\", \"side\":\"LONG\", \"price\":26.43, \"stage\":2, \"buy\":87.2, \"sell\":19.9, \"prime\":2, \"revL\":0, \"revS\":0, \"vcp\":0, \"dir_prob\":94, \"time\":1784122200000}", "ticker": "GEN", "setup": "A+ Trend Long", "side": "LONG", "price": 26.43, "stage": 2, "buy": 87.2, "sell": 19.9, "prime": 2, "revL": 0, "revS": 0, "vcp": 0, "time": 1784122200000, "email_id": "b'1067'", "timestamp": "2026-07-15 16:01:30"}</t>
  </si>
  <si>
    <t>Buy: 85.3 | Sell: 27.1</t>
  </si>
  <si>
    <t>Buy: 15 | Sell: 89.2</t>
  </si>
  <si>
    <t>{"symbol": "AES", "strategy": "Daily", "action": "LONG", "alert_price": 14.82, "score": "", "dir_prob": "84.9", "net_sigma": "", "grade": "", "align": "", "premium": "", "wrong_if": "", "context": "", "subject": "Alert: Rev - Screener v1 (SPY, 12): Any alert() function call", "body": "{\"ticker\":\"AES\", \"setup\":\"A+ Trend Long\", \"side\":\"LONG\", \"price\":14.82, \"stage\":2, \"buy\":85.3, \"sell\":27.1, \"prime\":2, \"revL\":0, \"revS\":0, \"vcp\":0, \"dir_prob\":84.9, \"time\":1784122200000}", "ticker": "AES", "setup": "A+ Trend Long", "side": "LONG", "price": 14.82, "stage": 2, "buy": 85.3, "sell": 27.1, "prime": 2, "revL": 0, "revS": 0, "vcp": 0, "time": 1784122200000, "email_id": "b'1068'", "timestamp": "2026-07-15 16:01:28"}</t>
  </si>
  <si>
    <t>Buy: 95.6 | Sell: 26.5</t>
  </si>
  <si>
    <t>STALK → staged entry at zone on 60m confirmation (size = 50% of plan per earnings gate)</t>
  </si>
  <si>
    <t>{"symbol": "LVS", "strategy": "Daily", "action": "SHORT", "alert_price": 46.44, "score": "", "dir_prob": "14.1", "net_sigma": "", "grade": "", "align": "", "premium": "", "wrong_if": "", "context": "", "subject": "Alert: Rev - Screener v1 (SPY, 12): Any alert() function call", "body": "{\"ticker\":\"LVS\", \"setup\":\"A+ Trend Short\", \"side\":\"SHORT\", \"price\":46.44, \"stage\":4, \"buy\":15, \"sell\":89.2, \"prime\":-2, \"revL\":0, \"revS\":0, \"vcp\":0, \"dir_prob\":14.1, \"time\":1783603800000}", "ticker": "LVS", "setup": "A+ Trend Short", "side": "SHORT", "price": 46.44, "stage": 4, "buy": 15, "sell": 89.2, "prime": -2, "revL": 0, "revS": 0, "vcp": 0, "time": 1783603800000, "email_id": "b'244'", "timestamp": "2026-07-09 16:01:32"}</t>
  </si>
  <si>
    <t>Buy: 87.2 | Sell: 19.6</t>
  </si>
  <si>
    <t>{"symbol": "LUV", "strategy": "Daily", "action": "LONG", "alert_price": 49.26, "score": "", "dir_prob": "91.7", "net_sigma": "", "grade": "", "align": "", "premium": "", "wrong_if": "", "context": "", "subject": "Alert: Rev - Screener v1 (SPY, 12): Any alert() function call", "body": "{\"ticker\":\"LUV\", \"setup\":\"A+ Trend Long\", \"side\":\"LONG\", \"price\":49.26, \"stage\":2, \"buy\":95.6, \"sell\":26.5, \"prime\":2, \"revL\":0, \"revS\":0, \"vcp\":0, \"dir_prob\":91.7, \"time\":1784122200000}", "ticker": "LUV", "setup": "A+ Trend Long", "side": "LONG", "price": 49.26, "stage": 2, "buy": 95.6, "sell": 26.5, "prime": 2, "revL": 0, "revS": 0, "vcp": 0, "time": 1784122200000, "email_id": "b'1069'", "timestamp": "2026-07-15 16:01:27"}</t>
  </si>
  <si>
    <t>The setup is a strong TREND_LONG triggered by a Buy score of 92.43, a Sell score of 10.85, and a directional probability of 95.66, with the price currently inside the long entry zone. The stock is in Stage 2 (up-trend) with a healthy Regime 0 and low exhaustion (0.10), offering a favorable R:R of 2.49 to the target of 57.66. The only caution is the 'earnings' flag, as earnings are in 7 days, which caps the conviction but does not veto the technical strength.</t>
  </si>
  <si>
    <t xml:space="preserve">Sentiment: -0.275361 (Somewhat-Bearish)
</t>
  </si>
  <si>
    <t>Buy: 11.9 | Sell: 92.7</t>
  </si>
  <si>
    <t>{"symbol": "BEN", "strategy": "Daily", "action": "LONG", "alert_price": 33.69, "score": "", "dir_prob": "85.8", "net_sigma": "", "grade": "", "align": "", "premium": "", "wrong_if": "", "context": "", "subject": "Alert: Rev - Screener v1 (SPY, 12): Any alert() function call", "body": "{\"ticker\":\"BEN\", \"setup\":\"A+ Trend Long\", \"side\":\"LONG\", \"price\":33.69, \"stage\":2, \"buy\":87.2, \"sell\":19.6, \"prime\":2, \"revL\":0, \"revS\":0, \"vcp\":0, \"dir_prob\":85.8, \"time\":1783603800000}", "ticker": "BEN", "setup": "A+ Trend Long", "side": "LONG", "price": 33.69, "stage": 2, "buy": 87.2, "sell": 19.6, "prime": 2, "revL": 0, "revS": 0, "vcp": 0, "time": 1783603800000, "email_id": "b'320'", "timestamp": "2026-07-09 16:01:11"}</t>
  </si>
  <si>
    <t>{"symbol": "ROST", "strategy": "Daily", "action": "SHORT", "alert_price": 225.9, "score": "", "dir_prob": "1.4", "net_sigma": "", "grade": "", "align": "", "premium": "", "wrong_if": "", "context": "", "subject": "Alert: Rev - Screener v1 (SPY, 12): Any alert() function call", "body": "{\"ticker\":\"ROST\", \"setup\":\"A+ Trend Short\", \"side\":\"SHORT\", \"price\":225.90, \"stage\":4, \"buy\":11.9, \"sell\":92.7, \"prime\":-2, \"revL\":0, \"revS\":0, \"vcp\":0, \"dir_prob\":1.4, \"time\":1784122200000}", "ticker": "ROST", "setup": "A+ Trend Short", "side": "SHORT", "price": 225.9, "stage": 4, "buy": 11.9, "sell": 92.7, "prime": -2, "revL": 0, "revS": 0, "vcp": 0, "time": 1784122200000, "email_id": "b'1070'", "timestamp": "2026-07-15 16:01:27"}</t>
  </si>
  <si>
    <t>Buy: 3.5 | Sell: 93.3</t>
  </si>
  <si>
    <t>Buy: 90.6 | Sell: 8.9</t>
  </si>
  <si>
    <t>{"symbol": "SLB", "strategy": "Daily", "action": "SHORT", "alert_price": 47.56, "score": "", "dir_prob": "3", "net_sigma": "", "grade": "", "align": "", "premium": "", "wrong_if": "", "context": "", "subject": "Alert: Rev - Screener v1 (SPY, 12): Any alert() function call", "body": "{\"ticker\":\"SLB\", \"setup\":\"A+ Trend Short\", \"side\":\"SHORT\", \"price\":47.56, \"stage\":4, \"buy\":3.5, \"sell\":93.3, \"prime\":-2, \"revL\":0, \"revS\":0, \"vcp\":0, \"dir_prob\":3, \"time\":1784122200000}", "ticker": "SLB", "setup": "A+ Trend Short", "side": "SHORT", "price": 47.56, "stage": 4, "buy": 3.5, "sell": 93.3, "prime": -2, "revL": 0, "revS": 0, "vcp": 0, "time": 1784122200000, "email_id": "b'1071'", "timestamp": "2026-07-15 16:01:28"}</t>
  </si>
  <si>
    <t>Buy: 91.4 | Sell: 6.6</t>
  </si>
  <si>
    <t>{"symbol": "RVTY", "strategy": "Daily", "action": "LONG", "alert_price": 112.94, "score": "", "dir_prob": "93.1", "net_sigma": "", "grade": "", "align": "", "premium": "", "wrong_if": "", "context": "", "subject": "Alert: Rev - Screener v1 (SPY, 12): Any alert() function call", "body": "{\"ticker\":\"RVTY\", \"setup\":\"A+ Trend Long\", \"side\":\"LONG\", \"price\":112.94, \"stage\":2, \"buy\":90.6, \"sell\":8.9, \"prime\":2, \"revL\":0, \"revS\":0, \"vcp\":0, \"dir_prob\":93.1, \"time\":1783603800000}", "ticker": "RVTY", "setup": "A+ Trend Long", "side": "LONG", "price": 112.94, "stage": 2, "buy": 90.6, "sell": 8.9, "prime": 2, "revL": 0, "revS": 0, "vcp": 0, "time": 1783603800000, "email_id": "b'190'", "timestamp": "2026-07-09 16:01:12"}</t>
  </si>
  <si>
    <t>Buy: 18.6 | Sell: 93.6</t>
  </si>
  <si>
    <t>{"symbol": "NXPI", "strategy": "Daily", "action": "SHORT", "alert_price": 290.51, "score": "", "dir_prob": "11.2", "net_sigma": "", "grade": "", "align": "", "premium": "", "wrong_if": "", "context": "", "subject": "Alert: Rev - Screener v1 (SPY, 12): Any alert() function call", "body": "{\"ticker\":\"NXPI\", \"setup\":\"A+ Trend Short\", \"side\":\"SHORT\", \"price\":290.51, \"stage\":4, \"buy\":18.6, \"sell\":93.6, \"prime\":-2, \"revL\":0, \"revS\":0, \"vcp\":0, \"dir_prob\":11.2, \"time\":1783603800000}", "ticker": "NXPI", "setup": "A+ Trend Short", "side": "SHORT", "price": 290.51, "stage": 4, "buy": 18.6, "sell": 93.6, "prime": -2, "revL": 0, "revS": 0, "vcp": 0, "time": 1783603800000, "email_id": "b'253'", "timestamp": "2026-07-09 16:01:08"}</t>
  </si>
  <si>
    <t>Buy: 12.6 | Sell: 95.5</t>
  </si>
  <si>
    <t>{"symbol": "PHM", "strategy": "Daily", "action": "LONG", "alert_price": 125.39, "score": "", "dir_prob": "93.9", "net_sigma": "", "grade": "", "align": "", "premium": "", "wrong_if": "", "context": "", "subject": "Alert: Rev - Screener v1 (SPY, 12): Any alert() function call", "body": "{\"ticker\":\"PHM\", \"setup\":\"A+ Trend Long\", \"side\":\"LONG\", \"price\":125.39, \"stage\":2, \"buy\":91.4, \"sell\":6.6, \"prime\":2, \"revL\":0, \"revS\":0, \"vcp\":0, \"dir_prob\":93.9, \"time\":1784122200000}", "ticker": "PHM", "setup": "A+ Trend Long", "side": "LONG", "price": 125.39, "stage": 2, "buy": 91.4, "sell": 6.6, "prime": 2, "revL": 0, "revS": 0, "vcp": 0, "time": 1784122200000, "email_id": "b'1072'", "timestamp": "2026-07-15 16:01:23"}</t>
  </si>
  <si>
    <t>The setup is a TREND_LONG triggered by a dominant buy score of 84.38, a sell score of 18.65, and a directional probability of 91.43 in Stage 2. The news sentiment is neutral as the headline maintains an Equal-Weight rating with a slight target raise, which does not contradict the strong technical bias. The triage is capped at WATCH due to the 'chased' flag (price is above the long entry zone with an R:R of 1.39) and the 'earnings' flag (7 days remaining), despite the positive conviction from the strong trend signal.</t>
  </si>
  <si>
    <t xml:space="preserve">Sentiment: -0.189731 (Somewhat-Bearish)
</t>
  </si>
  <si>
    <t>Buy: 97.6 | Sell: 14.9</t>
  </si>
  <si>
    <t>{"symbol": "KVUE", "strategy": "Daily", "action": "LONG", "alert_price": 18.7, "score": "", "dir_prob": "94.2", "net_sigma": "", "grade": "", "align": "", "premium": "", "wrong_if": "", "context": "", "subject": "Alert: Rev - Screener v1 (SPY, 12): Any alert() function call", "body": "{\"ticker\":\"KVUE\", \"setup\":\"A+ Trend Long\", \"side\":\"LONG\", \"price\":18.70, \"stage\":2, \"buy\":97.6, \"sell\":14.9, \"prime\":2, \"revL\":0, \"revS\":0, \"vcp\":0, \"dir_prob\":94.2, \"time\":1784122200000}", "ticker": "KVUE", "setup": "A+ Trend Long", "side": "LONG", "price": 18.7, "stage": 2, "buy": 97.6, "sell": 14.9, "prime": 2, "revL": 0, "revS": 0, "vcp": 0, "time": 1784122200000, "email_id": "b'1073'", "timestamp": "2026-07-15 16:01:18"}</t>
  </si>
  <si>
    <t>Buy: 94.2 | Sell: 8.2</t>
  </si>
  <si>
    <t>{"symbol": "BKR", "strategy": "Daily", "action": "SHORT", "alert_price": 57.2, "score": "", "dir_prob": "3.3", "net_sigma": "", "grade": "", "align": "", "premium": "", "wrong_if": "", "context": "", "subject": "Alert: Rev - Screener v1 (SPY, 12): Any alert() function call", "body": "{\"ticker\":\"BKR\", \"setup\":\"A+ Trend Short\", \"side\":\"SHORT\", \"price\":57.20, \"stage\":4, \"buy\":12.6, \"sell\":95.5, \"prime\":-2, \"revL\":0, \"revS\":0, \"vcp\":0, \"dir_prob\":3.3, \"time\":1783603800000}", "ticker": "BKR", "setup": "A+ Trend Short", "side": "SHORT", "price": 57.2, "stage": 4, "buy": 12.6, "sell": 95.5, "prime": -2, "revL": 0, "revS": 0, "vcp": 0, "time": 1783603800000, "email_id": "b'325'", "timestamp": "2026-07-09 16:01:32"}</t>
  </si>
  <si>
    <t>NDAQ</t>
  </si>
  <si>
    <t>Buy: 11.2 | Sell: 89.5</t>
  </si>
  <si>
    <t>{"symbol": "NDAQ", "strategy": "Daily", "action": "SHORT", "alert_price": 87.51, "score": "", "dir_prob": "8.8", "net_sigma": "", "grade": "", "align": "", "premium": "", "wrong_if": "", "context": "", "subject": "Alert: Rev - Screener v1 (SPY, 12): Any alert() function call", "body": "{\"ticker\":\"NDAQ\", \"setup\":\"A+ Trend Short\", \"side\":\"SHORT\", \"price\":87.51, \"stage\":4, \"buy\":11.2, \"sell\":89.5, \"prime\":-2, \"revL\":0, \"revS\":0, \"vcp\":0, \"dir_prob\":8.8, \"time\":1783603800000}", "ticker": "NDAQ", "setup": "A+ Trend Short", "side": "SHORT", "price": 87.51, "stage": 4, "buy": 11.2, "sell": 89.5, "prime": -2, "revL": 0, "revS": 0, "vcp": 0, "time": 1783603800000, "email_id": "b'158'", "timestamp": "2026-07-09 16:01:02"}</t>
  </si>
  <si>
    <t>Buy: 5.5 | Sell: 94.3</t>
  </si>
  <si>
    <t>{"symbol": "CDW", "strategy": "Daily", "action": "LONG", "alert_price": 130.83, "score": "", "dir_prob": "98.4", "net_sigma": "", "grade": "", "align": "", "premium": "", "wrong_if": "", "context": "", "subject": "Alert: Rev - Screener v1 (SPY, 12): Any alert() function call", "body": "{\"ticker\":\"CDW\", \"setup\":\"A+ Trend Long\", \"side\":\"LONG\", \"price\":130.83, \"stage\":2, \"buy\":94.2, \"sell\":8.2, \"prime\":2, \"revL\":0, \"revS\":0, \"vcp\":0, \"dir_prob\":98.4, \"time\":1784122200000}", "ticker": "CDW", "setup": "A+ Trend Long", "side": "LONG", "price": 130.83, "stage": 2, "buy": 94.2, "sell": 8.2, "prime": 2, "revL": 0, "revS": 0, "vcp": 0, "time": 1784122200000, "email_id": "b'1074'", "timestamp": "2026-07-15 16:01:20"}</t>
  </si>
  <si>
    <t>Buy: 96.4 | Sell: 12.8</t>
  </si>
  <si>
    <t>{"symbol": "BG", "strategy": "Daily", "action": "SHORT", "alert_price": 113.58, "score": "", "dir_prob": "6.2", "net_sigma": "", "grade": "", "align": "", "premium": "", "wrong_if": "", "context": "", "subject": "Alert: Rev - Screener v1 (SPY, 12): Any alert() function call", "body": "{\"ticker\":\"BG\", \"setup\":\"A+ Trend Short\", \"side\":\"SHORT\", \"price\":113.58, \"stage\":4, \"buy\":5.5, \"sell\":94.3, \"prime\":-2, \"revL\":0, \"revS\":0, \"vcp\":0, \"dir_prob\":6.2, \"time\":1783603800000}", "ticker": "BG", "setup": "A+ Trend Short", "side": "SHORT", "price": 113.58, "stage": 4, "buy": 5.5, "sell": 94.3, "prime": -2, "revL": 0, "revS": 0, "vcp": 0, "time": 1783603800000, "email_id": "b'200'", "timestamp": "2026-07-09 16:01:15"}</t>
  </si>
  <si>
    <t>{"symbol": "RVTY", "strategy": "Daily", "action": "LONG", "alert_price": 111.33, "score": "", "dir_prob": "93.5", "net_sigma": "", "grade": "", "align": "", "premium": "", "wrong_if": "", "context": "", "subject": "Alert: Rev - Screener v1 (SPY, 12): Any alert() function call", "body": "{\"ticker\":\"RVTY\", \"setup\":\"A+ Trend Long\", \"side\":\"LONG\", \"price\":111.33, \"stage\":2, \"buy\":96.4, \"sell\":12.8, \"prime\":2, \"revL\":0, \"revS\":0, \"vcp\":0, \"dir_prob\":93.5, \"time\":1784122200000}", "ticker": "RVTY", "setup": "A+ Trend Long", "side": "LONG", "price": 111.33, "stage": 2, "buy": 96.4, "sell": 12.8, "prime": 2, "revL": 0, "revS": 0, "vcp": 0, "time": 1784122200000, "email_id": "b'1075'", "timestamp": "2026-07-15 16:01:32"}</t>
  </si>
  <si>
    <t>Buy: 12.1 | Sell: 92.3</t>
  </si>
  <si>
    <t>Buy: 96.1 | Sell: 5.6</t>
  </si>
  <si>
    <t>{"symbol": "USB", "strategy": "Daily", "action": "LONG", "alert_price": 63.04, "score": "", "dir_prob": "93.1", "net_sigma": "", "grade": "", "align": "", "premium": "", "wrong_if": "", "context": "", "subject": "Alert: Rev - Screener v1 (SPY, 12): Any alert() function call", "body": "{\"ticker\":\"USB\", \"setup\":\"A+ Trend Long\", \"side\":\"LONG\", \"price\":63.04, \"stage\":2, \"buy\":96.1, \"sell\":5.6, \"prime\":2, \"revL\":0, \"revS\":0, \"vcp\":0, \"dir_prob\":93.1, \"time\":1784122200000}", "ticker": "USB", "setup": "A+ Trend Long", "side": "LONG", "price": 63.04, "stage": 2, "buy": 96.1, "sell": 5.6, "prime": 2, "revL": 0, "revS": 0, "vcp": 0, "time": 1784122200000, "email_id": "b'1076'", "timestamp": "2026-07-15 16:01:30"}</t>
  </si>
  <si>
    <t>The setup is a strong TREND_LONG driven by a Buy score of 97.44, a Dir Prob of 90.79, and Stage 2 momentum, with the price currently inside the long entry zone. The technicals are clean with low exhaustion (0.15) and a healthy R:R of ~2.0x. However, the triage is capped to WATCH because the earnings gate is FAIL with earnings due in 1 day, creating an imminent risk of volatility or gap.</t>
  </si>
  <si>
    <t>Buy: 96.5 | Sell: 6.8</t>
  </si>
  <si>
    <t>{"symbol": "FOX", "strategy": "Daily", "action": "SHORT", "alert_price": 48.43, "score": "", "dir_prob": "5.3", "net_sigma": "", "grade": "", "align": "", "premium": "", "wrong_if": "", "context": "", "subject": "Alert: Rev - Screener v1 (SPY, 12): Any alert() function call", "body": "{\"ticker\":\"FOX\", \"setup\":\"A+ Trend Short\", \"side\":\"SHORT\", \"price\":48.43, \"stage\":4, \"buy\":12.1, \"sell\":92.3, \"prime\":-2, \"revL\":0, \"revS\":0, \"vcp\":0, \"dir_prob\":5.3, \"time\":1783603800000}", "ticker": "FOX", "setup": "A+ Trend Short", "side": "SHORT", "price": 48.43, "stage": 4, "buy": 12.1, "sell": 92.3, "prime": -2, "revL": 0, "revS": 0, "vcp": 0, "time": 1783603800000, "email_id": "b'230'", "timestamp": "2026-07-09 16:01:31"}</t>
  </si>
  <si>
    <t>Buy: 94.3 | Sell: 4.9</t>
  </si>
  <si>
    <t>{"symbol": "ACGL", "strategy": "Daily", "action": "LONG", "alert_price": 98.52, "score": "", "dir_prob": "95.7", "net_sigma": "", "grade": "", "align": "", "premium": "", "wrong_if": "", "context": "", "subject": "Alert: Rev - Screener v1 (SPY, 12): Any alert() function call", "body": "{\"ticker\":\"ACGL\", \"setup\":\"A+ Trend Long\", \"side\":\"LONG\", \"price\":98.52, \"stage\":2, \"buy\":96.5, \"sell\":6.8, \"prime\":2, \"revL\":0, \"revS\":0, \"vcp\":0, \"dir_prob\":95.7, \"time\":1784122200000}", "ticker": "ACGL", "setup": "A+ Trend Long", "side": "LONG", "price": 98.52, "stage": 2, "buy": 96.5, "sell": 6.8, "prime": 2, "revL": 0, "revS": 0, "vcp": 0, "time": 1784122200000, "email_id": "b'1078'", "timestamp": "2026-07-15 16:01:33"}</t>
  </si>
  <si>
    <t>Buy: 86.4 | Sell: 38.3</t>
  </si>
  <si>
    <t>**HOLD / WAIT** — Do NOT initiate fresh long here.</t>
  </si>
  <si>
    <t>N/A</t>
  </si>
  <si>
    <t>{"symbol": "ABBV", "strategy": "Daily", "action": "LONG", "alert_price": 249.79, "score": "", "dir_prob": "94.5", "net_sigma": "", "grade": "", "align": "", "premium": "", "wrong_if": "", "context": "", "subject": "Alert: Rev - Screener v1 (SPY, 12): Any alert() function call", "body": "{\"ticker\":\"ABBV\", \"setup\":\"A+ Trend Long\", \"side\":\"LONG\", \"price\":249.79, \"stage\":2, \"buy\":94.3, \"sell\":4.9, \"prime\":2, \"revL\":0, \"revS\":0, \"vcp\":0, \"dir_prob\":94.5, \"time\":1783603800000}", "ticker": "ABBV", "setup": "A+ Trend Long", "side": "LONG", "price": 249.79, "stage": 2, "buy": 94.3, "sell": 4.9, "prime": 2, "revL": 0, "revS": 0, "vcp": 0, "time": 1783603800000, "email_id": "b'179'", "timestamp": "2026-07-09 16:01:15"}</t>
  </si>
  <si>
    <t>{"symbol": "HUM", "strategy": "Daily", "action": "LONG", "alert_price": 407.73, "score": "", "dir_prob": "86.2", "net_sigma": "", "grade": "", "align": "", "premium": "", "wrong_if": "", "context": "", "subject": "Alert: Rev - Screener v1 (SPY, 12): Any alert() function call", "body": "{\"ticker\":\"HUM\", \"setup\":\"A+ Trend Long\", \"side\":\"LONG\", \"price\":407.73, \"stage\":2, \"buy\":86.4, \"sell\":38.3, \"prime\":2, \"revL\":0, \"revS\":0, \"vcp\":0, \"dir_prob\":86.2, \"time\":1784122200000}", "ticker": "HUM", "setup": "A+ Trend Long", "side": "LONG", "price": 407.73, "stage": 2, "buy": 86.4, "sell": 38.3, "prime": 2, "revL": 0, "revS": 0, "vcp": 0, "time": 1784122200000, "email_id": "b'1079'", "timestamp": "2026-07-15 16:01:26"}</t>
  </si>
  <si>
    <t>The setup is a TREND_LONG driven by a dominant Buy score of 92.93 and a 95.24% directional probability in Stage 2. News confirms this bias with three recent upgrades and price target increases. The trade is currently 'in_zone' with a 2.0 R:R, but carries 'exhaustion' (0.44) and 'extended' (48.3% vs MA200) flags, suggesting a dip-buy opportunity rather than a fresh breakout.</t>
  </si>
  <si>
    <t xml:space="preserve">Sentiment: 0.440588 (Bullish)
</t>
  </si>
  <si>
    <t>Buy: 95.3 | Sell: 11.2</t>
  </si>
  <si>
    <t>Buy: 4.5 | Sell: 87.4</t>
  </si>
  <si>
    <t>{"symbol": "KEY", "strategy": "Daily", "action": "LONG", "alert_price": 23.53, "score": "", "dir_prob": "92", "net_sigma": "", "grade": "", "align": "", "premium": "", "wrong_if": "", "context": "", "subject": "Alert: Rev - Screener v1 (SPY, 12): Any alert() function call", "body": "{\"ticker\":\"KEY\", \"setup\":\"A+ Trend Long\", \"side\":\"LONG\", \"price\":23.53, \"stage\":2, \"buy\":95.3, \"sell\":11.2, \"prime\":2, \"revL\":0, \"revS\":0, \"vcp\":1, \"dir_prob\":92, \"time\":1784122200000}", "ticker": "KEY", "setup": "A+ Trend Long", "side": "LONG", "price": 23.53, "stage": 2, "buy": 95.3, "sell": 11.2, "prime": 2, "revL": 0, "revS": 0, "vcp": 1, "time": 1784122200000, "email_id": "b'1077'", "timestamp": "2026-07-15 16:01:21"}</t>
  </si>
  <si>
    <t>Buy: 85.9 | Sell: 51.9</t>
  </si>
  <si>
    <t>{"symbol": "HAL", "strategy": "Daily", "action": "SHORT", "alert_price": 34.12, "score": "", "dir_prob": "0.7", "net_sigma": "", "grade": "", "align": "", "premium": "", "wrong_if": "", "context": "", "subject": "Alert: Rev - Screener v1 (SPY, 12): Any alert() function call", "body": "{\"ticker\":\"HAL\", \"setup\":\"A+ Trend Short\", \"side\":\"SHORT\", \"price\":34.12, \"stage\":4, \"buy\":4.5, \"sell\":87.4, \"prime\":-2, \"revL\":0, \"revS\":0, \"vcp\":0, \"dir_prob\":0.7, \"time\":1783603800000}", "ticker": "HAL", "setup": "A+ Trend Short", "side": "SHORT", "price": 34.12, "stage": 4, "buy": 4.5, "sell": 87.4, "prime": -2, "revL": 0, "revS": 0, "vcp": 0, "time": 1783603800000, "email_id": "b'217'", "timestamp": "2026-07-09 16:01:30"}</t>
  </si>
  <si>
    <t>{"symbol": "MS", "strategy": "Daily", "action": "LONG", "alert_price": 228.49, "score": "", "dir_prob": "60.3", "net_sigma": "", "grade": "", "align": "", "premium": "", "wrong_if": "", "context": "", "subject": "Alert: Rev - Screener v1 (SPY, 12): Any alert() function call", "body": "{\"ticker\":\"MS\", \"setup\":\"Early Ignition\", \"side\":\"LONG\", \"price\":228.49, \"stage\":2, \"buy\":85.9, \"sell\":51.9, \"prime\":2, \"revL\":0, \"revS\":0, \"vcp\":0, \"dir_prob\":60.3, \"time\":1784122200000}", "ticker": "MS", "setup": "Early Ignition", "side": "LONG", "price": 228.49, "stage": 2, "buy": 85.9, "sell": 51.9, "prime": 2, "revL": 0, "revS": 0, "vcp": 0, "time": 1784122200000, "email_id": "b'1080'", "timestamp": "2026-07-15 16:01:36"}</t>
  </si>
  <si>
    <t>The setup is a strong TREND_LONG triggered by a Buy score of 96.38, a Sell score of 1.93, and a Direction Probability of 90.62 in Stage 2. News confirms the bullish bias with a Q2 EPS beat, sales beat, and a $20B share repurchase authorization. The triage is capped to WATCH due to the 'extended' regime (ext_pct 25.83) and the 'earnings' flag (earnings_days 0), despite the strong technicals and positive catalyst.</t>
  </si>
  <si>
    <t>Buy: 4.3 | Sell: 89.6</t>
  </si>
  <si>
    <t>Buy: 7 | Sell: 89.4</t>
  </si>
  <si>
    <t>{"symbol": "LYB", "strategy": "Daily", "action": "SHORT", "alert_price": 58.01, "score": "", "dir_prob": "8.9", "net_sigma": "", "grade": "", "align": "", "premium": "", "wrong_if": "", "context": "", "subject": "Alert: Rev - Screener v1 (SPY, 12): Any alert() function call", "body": "{\"ticker\":\"LYB\", \"setup\":\"A+ Trend Short\", \"side\":\"SHORT\", \"price\":58.01, \"stage\":4, \"buy\":4.3, \"sell\":89.6, \"prime\":-2, \"revL\":0, \"revS\":0, \"vcp\":0, \"dir_prob\":8.9, \"time\":1784122200000}", "ticker": "LYB", "setup": "A+ Trend Short", "side": "SHORT", "price": 58.01, "stage": 4, "buy": 4.3, "sell": 89.6, "prime": -2, "revL": 0, "revS": 0, "vcp": 0, "time": 1784122200000, "email_id": "b'1081'", "timestamp": "2026-07-15 16:01:32"}</t>
  </si>
  <si>
    <t>{"symbol": "MPWR", "strategy": "Daily", "action": "SHORT", "alert_price": 1352.64, "score": "", "dir_prob": "4.1", "net_sigma": "", "grade": "", "align": "", "premium": "", "wrong_if": "", "context": "", "subject": "Alert: Rev - Screener v1 (SPY, 12): Any alert() function call", "body": "{\"ticker\":\"MPWR\", \"setup\":\"A+ Trend Short\", \"side\":\"SHORT\", \"price\":1352.64, \"stage\":4, \"buy\":3.5, \"sell\":93.3, \"prime\":-2, \"revL\":0, \"revS\":0, \"vcp\":0, \"dir_prob\":4.1, \"time\":1784122200000}", "ticker": "MPWR", "setup": "A+ Trend Short", "side": "SHORT", "price": 1352.64, "stage": 4, "buy": 3.5, "sell": 93.3, "prime": -2, "revL": 0, "revS": 0, "vcp": 0, "time": 1784122200000, "email_id": "b'1082'", "timestamp": "2026-07-15 16:01:37"}</t>
  </si>
  <si>
    <t>{"symbol": "FANG", "strategy": "Daily", "action": "SHORT", "alert_price": 181.91, "score": "", "dir_prob": "3.8", "net_sigma": "", "grade": "", "align": "", "premium": "", "wrong_if": "", "context": "", "subject": "Alert: Rev - Screener v1 (SPY, 12): Any alert() function call", "body": "{\"ticker\":\"FANG\", \"setup\":\"A+ Trend Short\", \"side\":\"SHORT\", \"price\":181.91, \"stage\":4, \"buy\":7, \"sell\":89.4, \"prime\":-2, \"revL\":0, \"revS\":0, \"vcp\":0, \"dir_prob\":3.8, \"time\":1783603800000}", "ticker": "FANG", "setup": "A+ Trend Short", "side": "SHORT", "price": 181.91, "stage": 4, "buy": 7, "sell": 89.4, "prime": -2, "revL": 0, "revS": 0, "vcp": 0, "time": 1783603800000, "email_id": "b'279'", "timestamp": "2026-07-09 16:01:23"}</t>
  </si>
  <si>
    <t>Buy: 6.9 | Sell: 88.5</t>
  </si>
  <si>
    <t>{"symbol": "MCHP", "strategy": "Daily", "action": "SHORT", "alert_price": 86.23, "score": "", "dir_prob": "13.9", "net_sigma": "", "grade": "", "align": "", "premium": "", "wrong_if": "", "context": "", "subject": "Alert: Rev - Screener v1 (SPY, 12): Any alert() function call", "body": "{\"ticker\":\"MCHP\", \"setup\":\"A+ Trend Short\", \"side\":\"SHORT\", \"price\":86.23, \"stage\":4, \"buy\":6.9, \"sell\":88.5, \"prime\":-2, \"revL\":0, \"revS\":0, \"vcp\":0, \"dir_prob\":13.9, \"time\":1784122200000}", "ticker": "MCHP", "setup": "A+ Trend Short", "side": "SHORT", "price": 86.23, "stage": 4, "buy": 6.9, "sell": 88.5, "prime": -2, "revL": 0, "revS": 0, "vcp": 0, "time": 1784122200000, "email_id": "b'1083'", "timestamp": "2026-07-15 16:01:30"}</t>
  </si>
  <si>
    <t>Buy: 93.5 | Sell: 5.3</t>
  </si>
  <si>
    <t>Buy: 95.2 | Sell: 6.6</t>
  </si>
  <si>
    <t>{"symbol": "ZBRA", "strategy": "Daily", "action": "LONG", "alert_price": 255.38, "score": "", "dir_prob": "97.2", "net_sigma": "", "grade": "", "align": "", "premium": "", "wrong_if": "", "context": "", "subject": "Alert: Rev - Screener v1 (SPY, 12): Any alert() function call", "body": "{\"ticker\":\"ZBRA\", \"setup\":\"A+ Trend Long\", \"side\":\"LONG\", \"price\":255.38, \"stage\":2, \"buy\":95.2, \"sell\":6.6, \"prime\":2, \"revL\":0, \"revS\":0, \"vcp\":0, \"dir_prob\":97.2, \"time\":1784122200000}", "ticker": "ZBRA", "setup": "A+ Trend Long", "side": "LONG", "price": 255.38, "stage": 2, "buy": 95.2, "sell": 6.6, "prime": 2, "revL": 0, "revS": 0, "vcp": 0, "time": 1784122200000, "email_id": "b'1084'", "timestamp": "2026-07-15 16:01:35"}</t>
  </si>
  <si>
    <t>{"symbol": "JNJ", "strategy": "Daily", "action": "LONG", "alert_price": 259.11, "score": "", "dir_prob": "95.3", "net_sigma": "", "grade": "", "align": "", "premium": "", "wrong_if": "", "context": "", "subject": "Alert: Rev - Screener v1 (SPY, 12): Any alert() function call", "body": "{\"ticker\":\"JNJ\", \"setup\":\"A+ Trend Long\", \"side\":\"LONG\", \"price\":259.11, \"stage\":2, \"buy\":93.5, \"sell\":5.3, \"prime\":2, \"revL\":0, \"revS\":0, \"vcp\":0, \"dir_prob\":95.3, \"time\":1783603800000}", "ticker": "JNJ", "setup": "A+ Trend Long", "side": "LONG", "price": 259.11, "stage": 2, "buy": 93.5, "sell": 5.3, "prime": 2, "revL": 0, "revS": 0, "vcp": 0, "time": 1783603800000, "email_id": "b'189'", "timestamp": "2026-07-09 16:01:11"}</t>
  </si>
  <si>
    <t>Buy: 91.8 | Sell: 5.1</t>
  </si>
  <si>
    <t>Buy: 90.7 | Sell: 32.6</t>
  </si>
  <si>
    <t>{"symbol": "PRU", "strategy": "Daily", "action": "LONG", "alert_price": 115.04, "score": "", "dir_prob": "93.2", "net_sigma": "", "grade": "", "align": "", "premium": "", "wrong_if": "", "context": "", "subject": "Alert: Rev - Screener v1 (SPY, 12): Any alert() function call", "body": "{\"ticker\":\"PRU\", \"setup\":\"A+ Trend Long\", \"side\":\"LONG\", \"price\":115.04, \"stage\":2, \"buy\":91.8, \"sell\":5.1, \"prime\":2, \"revL\":0, \"revS\":0, \"vcp\":0, \"dir_prob\":93.2, \"time\":1784122200000}", "ticker": "PRU", "setup": "A+ Trend Long", "side": "LONG", "price": 115.04, "stage": 2, "buy": 91.8, "sell": 5.1, "prime": 2, "revL": 0, "revS": 0, "vcp": 0, "time": 1784122200000, "email_id": "b'1085'", "timestamp": "2026-07-15 16:01:28"}</t>
  </si>
  <si>
    <t>Buy: 14.9 | Sell: 85.5</t>
  </si>
  <si>
    <t>{"symbol": "T", "strategy": "Daily", "action": "SHORT", "alert_price": 21.43, "score": "", "dir_prob": "17.2", "net_sigma": "", "grade": "", "align": "", "premium": "", "wrong_if": "", "context": "", "subject": "Alert: Rev - Screener v1 (SPY, 12): Any alert() function call", "body": "{\"ticker\":\"T\", \"setup\":\"A+ Trend Short\", \"side\":\"SHORT\", \"price\":21.43, \"stage\":4, \"buy\":14.9, \"sell\":85.5, \"prime\":-2, \"revL\":0, \"revS\":0, \"vcp\":0, \"dir_prob\":17.2, \"time\":1784122200000}", "ticker": "T", "setup": "A+ Trend Short", "side": "SHORT", "price": 21.43, "stage": 4, "buy": 14.9, "sell": 85.5, "prime": -2, "revL": 0, "revS": 0, "vcp": 0, "time": 1784122200000, "email_id": "b'1086'", "timestamp": "2026-07-15 16:01:38"}</t>
  </si>
  <si>
    <t>{"symbol": "VRSK", "strategy": "Daily", "action": "LONG", "alert_price": 187.02, "score": "", "dir_prob": "94.8", "net_sigma": "", "grade": "", "align": "", "premium": "", "wrong_if": "", "context": "", "subject": "Alert: Rev - Screener v1 (SPY, 12): Any alert() function call", "body": "{\"ticker\":\"VRSK\", \"setup\":\"A+ Trend Long\", \"side\":\"LONG\", \"price\":187.02, \"stage\":2, \"buy\":90.7, \"sell\":32.6, \"prime\":2, \"revL\":0, \"revS\":0, \"vcp\":0, \"dir_prob\":94.8, \"time\":1783603800000}", "ticker": "VRSK", "setup": "A+ Trend Long", "side": "LONG", "price": 187.02, "stage": 2, "buy": 90.7, "sell": 32.6, "prime": 2, "revL": 0, "revS": 0, "vcp": 0, "time": 1783603800000, "email_id": "b'228'", "timestamp": "2026-07-09 16:01:39"}</t>
  </si>
  <si>
    <t>Buy: 95 | Sell: 5.5</t>
  </si>
  <si>
    <t>Buy: 72.8 | Sell: 51.7</t>
  </si>
  <si>
    <t>{"symbol": "CMG", "strategy": "Daily", "action": "LONG", "alert_price": 34.64, "score": "", "dir_prob": "97.8", "net_sigma": "", "grade": "", "align": "", "premium": "", "wrong_if": "", "context": "", "subject": "Alert: Rev - Screener v1 (SPY, 12): Any alert() function call", "body": "{\"ticker\":\"CMG\", \"setup\":\"A+ Trend Long\", \"side\":\"LONG\", \"price\":34.64, \"stage\":2, \"buy\":95, \"sell\":5.5, \"prime\":2, \"revL\":0, \"revS\":0, \"vcp\":0, \"dir_prob\":97.8, \"time\":1784122200000}", "ticker": "CMG", "setup": "A+ Trend Long", "side": "LONG", "price": 34.64, "stage": 2, "buy": 95, "sell": 5.5, "prime": 2, "revL": 0, "revS": 0, "vcp": 0, "time": 1784122200000, "email_id": "b'1087'", "timestamp": "2026-07-15 16:01:28"}</t>
  </si>
  <si>
    <t>Buy: 86.7 | Sell: 12.2</t>
  </si>
  <si>
    <t>{"symbol": "ELV", "strategy": "Daily", "action": "LONG", "alert_price": 420.23, "score": "", "dir_prob": "67.7", "net_sigma": "", "grade": "", "align": "", "premium": "", "wrong_if": "", "context": "", "subject": "Alert: Rev - Screener v1 (SPY, 12): Any alert() function call", "body": "{\"ticker\":\"ELV\", \"setup\":\"Early Action Long\", \"side\":\"LONG\", \"price\":420.23, \"stage\":2, \"buy\":72.8, \"sell\":51.7, \"prime\":1, \"revL\":0, \"revS\":0, \"vcp\":0, \"dir_prob\":67.7, \"time\":1783603800000}", "ticker": "ELV", "setup": "Early Action Long", "side": "LONG", "price": 420.23, "stage": 2, "buy": 72.8, "sell": 51.7, "prime": 1, "revL": 0, "revS": 0, "vcp": 0, "time": 1783603800000, "email_id": "b'169'", "timestamp": "2026-07-09 16:01:04"}</t>
  </si>
  <si>
    <t>{"symbol": "GWW", "strategy": "Daily", "action": "LONG", "alert_price": 1371.5, "score": "", "dir_prob": "89.8", "net_sigma": "", "grade": "", "align": "", "premium": "", "wrong_if": "", "context": "", "subject": "Alert: Rev - Screener v1 (SPY, 12): Any alert() function call", "body": "{\"ticker\":\"GWW\", \"setup\":\"A+ Trend Long\", \"side\":\"LONG\", \"price\":1371.50, \"stage\":2, \"buy\":86.7, \"sell\":12.2, \"prime\":2, \"revL\":0, \"revS\":0, \"vcp\":1, \"dir_prob\":89.8, \"time\":1784122200000}", "ticker": "GWW", "setup": "A+ Trend Long", "side": "LONG", "price": 1371.5, "stage": 2, "buy": 86.7, "sell": 12.2, "prime": 2, "revL": 0, "revS": 0, "vcp": 1, "time": 1784122200000, "email_id": "b'1088'", "timestamp": "2026-07-15 16:01:34"}</t>
  </si>
  <si>
    <t>Buy: 29.3 | Sell: 94.8</t>
  </si>
  <si>
    <t>Buy: 6.9 | Sell: 93.3</t>
  </si>
  <si>
    <t>{"symbol": "IRM", "strategy": "Daily", "action": "SHORT", "alert_price": 123.57, "score": "", "dir_prob": "14.5", "net_sigma": "", "grade": "", "align": "", "premium": "", "wrong_if": "", "context": "", "subject": "Alert: Rev - Screener v1 (SPY, 12): Any alert() function call", "body": "{\"ticker\":\"IRM\", \"setup\":\"A+ Trend Short\", \"side\":\"SHORT\", \"price\":123.57, \"stage\":4, \"buy\":29.3, \"sell\":94.8, \"prime\":-2, \"revL\":0, \"revS\":0, \"vcp\":0, \"dir_prob\":14.5, \"time\":1784122200000}", "ticker": "IRM", "setup": "A+ Trend Short", "side": "SHORT", "price": 123.57, "stage": 4, "buy": 29.3, "sell": 94.8, "prime": -2, "revL": 0, "revS": 0, "vcp": 0, "time": 1784122200000, "email_id": "b'1089'", "timestamp": "2026-07-15 16:01:37"}</t>
  </si>
  <si>
    <t>Buy: 92.5 | Sell: 40.5</t>
  </si>
  <si>
    <t>{"symbol": "WAT", "strategy": "Daily", "action": "LONG", "alert_price": 374.94, "score": "", "dir_prob": "86.6", "net_sigma": "", "grade": "", "align": "", "premium": "", "wrong_if": "", "context": "", "subject": "Alert: Rev - Screener v1 (SPY, 12): Any alert() function call", "body": "{\"ticker\":\"WAT\", \"setup\":\"A+ Trend Long\", \"side\":\"LONG\", \"price\":374.94, \"stage\":2, \"buy\":92.5, \"sell\":40.5, \"prime\":2, \"revL\":0, \"revS\":0, \"vcp\":1, \"dir_prob\":86.6, \"time\":1784122200000}", "ticker": "WAT", "setup": "A+ Trend Long", "side": "LONG", "price": 374.94, "stage": 2, "buy": 92.5, "sell": 40.5, "prime": 2, "revL": 0, "revS": 0, "vcp": 1, "time": 1784122200000, "email_id": "b'1090'", "timestamp": "2026-07-15 16:01:31"}</t>
  </si>
  <si>
    <t>{"symbol": "COP", "strategy": "Daily", "action": "SHORT", "alert_price": 107.97, "score": "", "dir_prob": "6.1", "net_sigma": "", "grade": "", "align": "", "premium": "", "wrong_if": "", "context": "", "subject": "Alert: Rev - Screener v1 (SPY, 12): Any alert() function call", "body": "{\"ticker\":\"COP\", \"setup\":\"A+ Trend Short\", \"side\":\"SHORT\", \"price\":107.97, \"stage\":4, \"buy\":6.9, \"sell\":93.3, \"prime\":-2, \"revL\":0, \"revS\":0, \"vcp\":0, \"dir_prob\":6.1, \"time\":1783603800000}", "ticker": "COP", "setup": "A+ Trend Short", "side": "SHORT", "price": 107.97, "stage": 4, "buy": 6.9, "sell": 93.3, "prime": -2, "revL": 0, "revS": 0, "vcp": 0, "time": 1783603800000, "email_id": "b'180'", "timestamp": "2026-07-09 16:01:05"}</t>
  </si>
  <si>
    <t>The setup is a TREND_LONG triggered by a dominant Buy score of 94.82, a Dir Prob of 91.6, and a Stage 2 uptrend. The news confirms this bias with a Goldman Sachs upgrade raising the price target to $425. The triage is capped to WATCH due to the 'extended' flag (Regime 1/Extended) and the 'squeeze' flag (Regime 6), which indicates a coiling phase rather than a clean breakout, alongside an R:R of only 1.03 from current levels.</t>
  </si>
  <si>
    <t xml:space="preserve">Sentiment: 0.111272 (Neutral)
</t>
  </si>
  <si>
    <t>Buy: 96.5 | Sell: 5</t>
  </si>
  <si>
    <t>Buy: 96.9 | Sell: 15.9</t>
  </si>
  <si>
    <t>{"symbol": "PNC", "strategy": "Daily", "action": "LONG", "alert_price": 254.16, "score": "", "dir_prob": "94", "net_sigma": "", "grade": "", "align": "", "premium": "", "wrong_if": "", "context": "", "subject": "Alert: Rev - Screener v1 (SPY, 12): Any alert() function call", "body": "{\"ticker\":\"PNC\", \"setup\":\"A+ Trend Long\", \"side\":\"LONG\", \"price\":254.16, \"stage\":2, \"buy\":96.5, \"sell\":5, \"prime\":2, \"revL\":0, \"revS\":0, \"vcp\":0, \"dir_prob\":94, \"time\":1784122200000}", "ticker": "PNC", "setup": "A+ Trend Long", "side": "LONG", "price": 254.16, "stage": 2, "buy": 96.5, "sell": 5, "prime": 2, "revL": 0, "revS": 0, "vcp": 0, "time": 1784122200000, "email_id": "b'1091'", "timestamp": "2026-07-15 16:01:35"}</t>
  </si>
  <si>
    <t>The setup is a strong TREND_LONG driven by a Buy score of 98.24, a Sell score of 23.6, and a directional probability of 89.92 in Stage 2. The news fully CONFIRMS this bias with a Q2 EPS beat, sales beat, dividend increase, and raised FY26 guidance. However, the triage is capped to WATCH because the earnings_gate is FAIL (earnings scheduled for today), creating an imminent risk of volatility or gap-down despite the positive headline.</t>
  </si>
  <si>
    <t>{"symbol": "FFIV", "strategy": "Daily", "action": "LONG", "alert_price": 421.48, "score": "", "dir_prob": "80.6", "net_sigma": "", "grade": "", "align": "", "premium": "", "wrong_if": "", "context": "", "subject": "Alert: Rev - Screener v1 (SPY, 12): Any alert() function call", "body": "{\"ticker\":\"FFIV\", \"setup\":\"A+ Trend Long\", \"side\":\"LONG\", \"price\":421.48, \"stage\":2, \"buy\":88.3, \"sell\":19.4, \"prime\":2, \"revL\":0, \"revS\":0, \"vcp\":0, \"dir_prob\":80.6, \"time\":1784122200000}", "ticker": "FFIV", "setup": "A+ Trend Long", "side": "LONG", "price": 421.48, "stage": 2, "buy": 88.3, "sell": 19.4, "prime": 2, "revL": 0, "revS": 0, "vcp": 0, "time": 1784122200000, "email_id": "b'1092'", "timestamp": "2026-07-15 16:01:25"}</t>
  </si>
  <si>
    <t>{"symbol": "DE", "strategy": "Daily", "action": "LONG", "alert_price": 592.92, "score": "", "dir_prob": "96.3", "net_sigma": "", "grade": "", "align": "", "premium": "", "wrong_if": "", "context": "", "subject": "Alert: Rev - Screener v1 (SPY, 12): Any alert() function call", "body": "{\"ticker\":\"DE\", \"setup\":\"A+ Trend Long\", \"side\":\"LONG\", \"price\":592.92, \"stage\":2, \"buy\":96.9, \"sell\":15.9, \"prime\":2, \"revL\":0, \"revS\":0, \"vcp\":0, \"dir_prob\":96.3, \"time\":1783603800000}", "ticker": "DE", "setup": "A+ Trend Long", "side": "LONG", "price": 592.92, "stage": 2, "buy": 96.9, "sell": 15.9, "prime": 2, "revL": 0, "revS": 0, "vcp": 0, "time": 1783603800000, "email_id": "b'222'", "timestamp": "2026-07-09 16:01:30"}</t>
  </si>
  <si>
    <t>Buy: 96.7 | Sell: 4.4</t>
  </si>
  <si>
    <t>Buy: 81.6 | Sell: 13.3</t>
  </si>
  <si>
    <t>{"symbol": "PNW", "strategy": "Daily", "action": "LONG", "alert_price": 107.14, "score": "", "dir_prob": "96.1", "net_sigma": "", "grade": "", "align": "", "premium": "", "wrong_if": "", "context": "", "subject": "Alert: Rev - Screener v1 (SPY, 12): Any alert() function call", "body": "{\"ticker\":\"PNW\", \"setup\":\"A+ Trend Long\", \"side\":\"LONG\", \"price\":107.14, \"stage\":2, \"buy\":96.7, \"sell\":4.4, \"prime\":2, \"revL\":0, \"revS\":0, \"vcp\":0, \"dir_prob\":96.1, \"time\":1784122200000}", "ticker": "PNW", "setup": "A+ Trend Long", "side": "LONG", "price": 107.14, "stage": 2, "buy": 96.7, "sell": 4.4, "prime": 2, "revL": 0, "revS": 0, "vcp": 0, "time": 1784122200000, "email_id": "b'1093'", "timestamp": "2026-07-15 16:01:10"}</t>
  </si>
  <si>
    <t>The technicals show a strong long bias with a Buy score of 95.96 and Dir Prob of 66.83, triggering a TREND_LONG entry mode. However, the price is currently above the long entry zone (105.75-106.23) with an R:R of only 1.46, flagging a 'chased' entry with poor risk-reward. Additionally, the 'churn' flag indicates conflicting momentum between the high buy score and the lower sell score (71.85). The presence of earnings in 20 days adds a soft caution, though the gate remains PASS.</t>
  </si>
  <si>
    <t xml:space="preserve">Sentiment: 0.345699 (Somewhat-Bullish)
</t>
  </si>
  <si>
    <t>WATCH (4/10) → Deep Research</t>
  </si>
  <si>
    <t>XYL</t>
  </si>
  <si>
    <t>Buy: 70 | Sell: 7.9</t>
  </si>
  <si>
    <t>{"symbol": "XYL", "strategy": "Daily", "action": "LONG", "alert_price": 121.43, "score": "", "dir_prob": "94.2", "net_sigma": "", "grade": "", "align": "", "premium": "", "wrong_if": "", "context": "", "subject": "Alert: Rev - Screener v1 (SPY, 12): Any alert() function call", "body": "{\"ticker\":\"XYL\", \"setup\":\"Early Action Long\", \"side\":\"LONG\", \"price\":121.43, \"stage\":2, \"buy\":70, \"sell\":7.9, \"prime\":1, \"revL\":0, \"revS\":0, \"vcp\":0, \"dir_prob\":94.2, \"time\":1784122200000}", "ticker": "XYL", "setup": "Early Action Long", "side": "LONG", "price": 121.43, "stage": 2, "buy": 70, "sell": 7.9, "prime": 1, "revL": 0, "revS": 0, "vcp": 0, "time": 1784122200000, "email_id": "b'1094'", "timestamp": "2026-07-15 16:01:09"}</t>
  </si>
  <si>
    <t>{"symbol": "CBRE", "strategy": "Daily", "action": "LONG", "alert_price": 141.01, "score": "", "dir_prob": "90.9", "net_sigma": "", "grade": "", "align": "", "premium": "", "wrong_if": "", "context": "", "subject": "Alert: Rev - Screener v1 (SPY, 12): Any alert() function call", "body": "{\"ticker\":\"CBRE\", \"setup\":\"Early Action Long\", \"side\":\"LONG\", \"price\":141.01, \"stage\":2, \"buy\":81.6, \"sell\":13.3, \"prime\":1, \"revL\":0, \"revS\":0, \"vcp\":0, \"dir_prob\":90.9, \"time\":1783603800000}", "ticker": "CBRE", "setup": "Early Action Long", "side": "LONG", "price": 141.01, "stage": 2, "buy": 81.6, "sell": 13.3, "prime": 1, "revL": 0, "revS": 0, "vcp": 0, "time": 1783603800000, "email_id": "b'272'", "timestamp": "2026-07-09 16:01:29"}</t>
  </si>
  <si>
    <t>Buy: 94.1 | Sell: 10.1</t>
  </si>
  <si>
    <t>Buy: 92.2 | Sell: 13.6</t>
  </si>
  <si>
    <t>{"symbol": "LLY", "strategy": "Daily", "action": "LONG", "alert_price": 1156.48, "score": "", "dir_prob": "92.4", "net_sigma": "", "grade": "", "align": "", "premium": "", "wrong_if": "", "context": "", "subject": "Alert: Rev - Screener v1 (SPY, 12): Any alert() function call", "body": "{\"ticker\":\"LLY\", \"setup\":\"A+ Trend Long\", \"side\":\"LONG\", \"price\":1156.48, \"stage\":2, \"buy\":94.1, \"sell\":10.1, \"prime\":2, \"revL\":0, \"revS\":0, \"vcp\":0, \"dir_prob\":92.4, \"time\":1784122200000}", "ticker": "LLY", "setup": "A+ Trend Long", "side": "LONG", "price": 1156.48, "stage": 2, "buy": 94.1, "sell": 10.1, "prime": 2, "revL": 0, "revS": 0, "vcp": 0, "time": 1784122200000, "email_id": "b'1095'", "timestamp": "2026-07-15 16:01:01"}</t>
  </si>
  <si>
    <t>Buy: 95.7 | Sell: 7.4</t>
  </si>
  <si>
    <t>LEAN LONG (Skip for new positions; 50% size for existing; close before earnings)</t>
  </si>
  <si>
    <t>Entry: 
Stop: 228.95
Target: 254.80
See markdown for full rationale.</t>
  </si>
  <si>
    <t>{"symbol": "LYV", "strategy": "Daily", "action": "LONG", "alert_price": 179.89, "score": "", "dir_prob": "91.7", "net_sigma": "", "grade": "", "align": "", "premium": "", "wrong_if": "", "context": "", "subject": "Alert: Rev - Screener v1 (SPY, 12): Any alert() function call", "body": "{\"ticker\":\"LYV\", \"setup\":\"A+ Trend Long\", \"side\":\"LONG\", \"price\":179.89, \"stage\":2, \"buy\":95.8, \"sell\":6.9, \"prime\":2, \"revL\":0, \"revS\":0, \"vcp\":0, \"dir_prob\":91.7, \"time\":1784208600000}", "ticker": "LYV", "setup": "A+ Trend Long", "side": "LONG", "price": 179.89, "stage": 2, "buy": 95.8, "sell": 6.9, "prime": 2, "revL": 0, "revS": 0, "vcp": 0, "time": 1784208600000, "email_id": "b'1186'", "timestamp": "2026-07-16 16:01:04"}</t>
  </si>
  <si>
    <t>The setup is a strong TREND_LONG driven by a Buy score of 97.59, a Sell score of 38.63, and a directional probability of 84.46, all within Stage 2 (uptrend) and Regime 0 (healthy). The stock is currently 'in_zone' with a favorable Risk:Reward of 2.25x. However, the presence of a 'TOP' warning 8 bars ago and an earnings event in 14 days introduces caution, capping the conviction despite the robust technicals.</t>
  </si>
  <si>
    <t>{"symbol": "WST", "strategy": "Daily", "action": "LONG", "alert_price": 357.49, "score": "", "dir_prob": "91", "net_sigma": "", "grade": "", "align": "", "premium": "", "wrong_if": "", "context": "", "subject": "Alert: Rev - Screener v1 (SPY, 12): Any alert() function call", "body": "{\"ticker\":\"WST\", \"setup\":\"A+ Trend Long\", \"side\":\"LONG\", \"price\":357.49, \"stage\":2, \"buy\":92.2, \"sell\":13.6, \"prime\":2, \"revL\":0, \"revS\":0, \"vcp\":0, \"dir_prob\":91, \"time\":1783603800000}", "ticker": "WST", "setup": "A+ Trend Long", "side": "LONG", "price": 357.49, "stage": 2, "buy": 92.2, "sell": 13.6, "prime": 2, "revL": 0, "revS": 0, "vcp": 0, "time": 1783603800000, "email_id": "b'243'", "timestamp": "2026-07-09 16:01:34"}</t>
  </si>
  <si>
    <t>Buy: 84.6 | Sell: 15.1</t>
  </si>
  <si>
    <t>{"symbol": "TTWO", "strategy": "Daily", "action": "LONG", "alert_price": 243.77, "score": "", "dir_prob": "95.2", "net_sigma": "", "grade": "", "align": "", "premium": "", "wrong_if": "", "context": "", "subject": "Alert: Rev - Screener v1 (SPY, 12): Any alert() function call", "body": "{\"ticker\":\"TTWO\", \"setup\":\"A+ Trend Long\", \"side\":\"LONG\", \"price\":243.77, \"stage\":2, \"buy\":95.7, \"sell\":7.4, \"prime\":2, \"revL\":0, \"revS\":0, \"vcp\":0, \"dir_prob\":95.2, \"time\":1784122200000}", "ticker": "TTWO", "setup": "A+ Trend Long", "side": "LONG", "price": 243.77, "stage": 2, "buy": 95.7, "sell": 7.4, "prime": 2, "revL": 0, "revS": 0, "vcp": 0, "time": 1784122200000, "email_id": "b'1096'", "timestamp": "2026-07-15 16:01:42"}</t>
  </si>
  <si>
    <t>The setup is a TREND_LONG triggered by a dominant buy score of 90.21, a sell score of 25.65, and a directional probability of 94.13, all within Stage 2 (up-trend) and Regime 0 (healthy). The stock is currently in its long entry zone with an R:R of 0.74, and the Rev Zone Long score of 5.5 indicates a Zone 2 watch level rather than a reversal. The only caution is the 'earnings' flag, as earnings are in 23 days, which caps the conviction but does not veto the technical strength.</t>
  </si>
  <si>
    <t xml:space="preserve">Sentiment: 0.203709 (Somewhat-Bullish)
</t>
  </si>
  <si>
    <t>Buy: 86.1 | Sell: 13.6</t>
  </si>
  <si>
    <t>Buy: 3.5 | Sell: 95.2</t>
  </si>
  <si>
    <t>{"symbol": "BLDR", "strategy": "Daily", "action": "LONG", "alert_price": 78.21, "score": "", "dir_prob": "92.5", "net_sigma": "", "grade": "", "align": "", "premium": "", "wrong_if": "", "context": "", "subject": "Alert: Rev - Screener v1 (SPY, 12): Any alert() function call", "body": "{\"ticker\":\"BLDR\", \"setup\":\"Early Action Long\", \"side\":\"LONG\", \"price\":78.21, \"stage\":2, \"buy\":84.6, \"sell\":15.1, \"prime\":1, \"revL\":0, \"revS\":0, \"vcp\":0, \"dir_prob\":92.5, \"time\":1784208600000}", "ticker": "BLDR", "setup": "Early Action Long", "side": "LONG", "price": 78.21, "stage": 2, "buy": 84.6, "sell": 15.1, "prime": 1, "revL": 0, "revS": 0, "vcp": 0, "time": 1784208600000, "email_id": "b'1187'", "timestamp": "2026-07-16 16:01:09"}</t>
  </si>
  <si>
    <t>{"symbol": "TMO", "strategy": "Daily", "action": "LONG", "alert_price": 535.26, "score": "", "dir_prob": "87.6", "net_sigma": "", "grade": "", "align": "", "premium": "", "wrong_if": "", "context": "", "subject": "Alert: Rev - Screener v1 (SPY, 12): Any alert() function call", "body": "{\"ticker\":\"TMO\", \"setup\":\"A+ Trend Long\", \"side\":\"LONG\", \"price\":535.26, \"stage\":2, \"buy\":86.1, \"sell\":13.6, \"prime\":2, \"revL\":0, \"revS\":4.5, \"vcp\":0, \"dir_prob\":87.6, \"time\":1784122200000}", "ticker": "TMO", "setup": "A+ Trend Long", "side": "LONG", "price": 535.26, "stage": 2, "buy": 86.1, "sell": 13.6, "prime": 2, "revL": 0, "revS": 4.5, "vcp": 0, "time": 1784122200000, "email_id": "b'1097'", "timestamp": "2026-07-15 16:01:09"}</t>
  </si>
  <si>
    <t>AJG</t>
  </si>
  <si>
    <t>Buy: 76.9 | Sell: 4.7</t>
  </si>
  <si>
    <t>Buy: 72.6 | Sell: 31.7</t>
  </si>
  <si>
    <t>{"symbol": "SLB", "strategy": "Daily", "action": "SHORT", "alert_price": 47.26, "score": "", "dir_prob": "2.5", "net_sigma": "", "grade": "", "align": "", "premium": "", "wrong_if": "", "context": "", "subject": "Alert: Rev - Screener v1 (SPY, 12): Any alert() function call", "body": "{\"ticker\":\"SLB\", \"setup\":\"A+ Trend Short\", \"side\":\"SHORT\", \"price\":47.26, \"stage\":4, \"buy\":3.5, \"sell\":95.2, \"prime\":-2, \"revL\":0, \"revS\":0, \"vcp\":0, \"dir_prob\":2.5, \"time\":1783603800000}", "ticker": "SLB", "setup": "A+ Trend Short", "side": "SHORT", "price": 47.26, "stage": 4, "buy": 3.5, "sell": 95.2, "prime": -2, "revL": 0, "revS": 0, "vcp": 0, "time": 1783603800000, "email_id": "b'317'", "timestamp": "2026-07-09 16:01:14"}</t>
  </si>
  <si>
    <t>{"symbol": "AJG", "strategy": "Daily", "action": "LONG", "alert_price": 247.79, "score": "", "dir_prob": "98.6", "net_sigma": "", "grade": "", "align": "", "premium": "", "wrong_if": "", "context": "", "subject": "Alert: Rev - Screener v1 (SPY, 12): Any alert() function call", "body": "{\"ticker\":\"AJG\", \"setup\":\"Early Action Long\", \"side\":\"LONG\", \"price\":247.79, \"stage\":2, \"buy\":76.9, \"sell\":4.7, \"prime\":1, \"revL\":0, \"revS\":0, \"vcp\":0, \"dir_prob\":98.6, \"time\":1784122200000}", "ticker": "AJG", "setup": "Early Action Long", "side": "LONG", "price": 247.79, "stage": 2, "buy": 76.9, "sell": 4.7, "prime": 1, "revL": 0, "revS": 0, "vcp": 0, "time": 1784122200000, "email_id": "b'1098'", "timestamp": "2026-07-15 16:01:12"}</t>
  </si>
  <si>
    <t>{"symbol": "TMO", "strategy": "Daily", "action": "LONG", "alert_price": 543.15, "score": "", "dir_prob": "72.8", "net_sigma": "", "grade": "", "align": "", "premium": "", "wrong_if": "", "context": "", "subject": "Alert: Rev - Screener v1 (SPY, 12): Any alert() function call", "body": "{\"ticker\":\"TMO\", \"setup\":\"Early Action Long\", \"side\":\"LONG\", \"price\":543.15, \"stage\":2, \"buy\":72.6, \"sell\":31.7, \"prime\":1, \"revL\":0, \"revS\":0, \"vcp\":0, \"dir_prob\":72.8, \"time\":1784208600000}", "ticker": "TMO", "setup": "Early Action Long", "side": "LONG", "price": 543.15, "stage": 2, "buy": 72.6, "sell": 31.7, "prime": 1, "revL": 0, "revS": 0, "vcp": 0, "time": 1784208600000, "email_id": "b'1188'", "timestamp": "2026-07-16 16:01:16"}</t>
  </si>
  <si>
    <t>Buy: 94.2 | Sell: 10.7</t>
  </si>
  <si>
    <t>Buy: 4.1 | Sell: 93.4</t>
  </si>
  <si>
    <t>Buy: 73.4 | Sell: 8.4</t>
  </si>
  <si>
    <t>{"symbol": "DOC", "strategy": "Daily", "action": "LONG", "alert_price": 21.74, "score": "", "dir_prob": "93.8", "net_sigma": "", "grade": "", "align": "", "premium": "", "wrong_if": "", "context": "", "subject": "Alert: Rev - Screener v1 (SPY, 12): Any alert() function call", "body": "{\"ticker\":\"DOC\", \"setup\":\"A+ Trend Long\", \"side\":\"LONG\", \"price\":21.74, \"stage\":2, \"buy\":94.2, \"sell\":10.7, \"prime\":2, \"revL\":0, \"revS\":0, \"vcp\":0, \"dir_prob\":93.8, \"time\":1784122200000}", "ticker": "DOC", "setup": "A+ Trend Long", "side": "LONG", "price": 21.74, "stage": 2, "buy": 94.2, "sell": 10.7, "prime": 2, "revL": 0, "revS": 0, "vcp": 0, "time": 1784122200000, "email_id": "b'1099'", "timestamp": "2026-07-15 16:01:48"}</t>
  </si>
  <si>
    <t>Buy: 95.3 | Sell: 8</t>
  </si>
  <si>
    <t>{"symbol": "XOM", "strategy": "Daily", "action": "SHORT", "alert_price": 137.37, "score": "", "dir_prob": "3.9", "net_sigma": "", "grade": "", "align": "", "premium": "", "wrong_if": "", "context": "", "subject": "Alert: Rev - Screener v1 (SPY, 12): Any alert() function call", "body": "{\"ticker\":\"XOM\", \"setup\":\"A+ Trend Short\", \"side\":\"SHORT\", \"price\":137.37, \"stage\":4, \"buy\":4.1, \"sell\":93.4, \"prime\":-2, \"revL\":0, \"revS\":0, \"vcp\":0, \"dir_prob\":3.9, \"time\":1783603800000}", "ticker": "XOM", "setup": "A+ Trend Short", "side": "SHORT", "price": 137.37, "stage": 4, "buy": 4.1, "sell": 93.4, "prime": -2, "revL": 0, "revS": 0, "vcp": 0, "time": 1783603800000, "email_id": "b'310'", "timestamp": "2026-07-09 16:01:09"}</t>
  </si>
  <si>
    <t>{"symbol": "COR", "strategy": "Daily", "action": "LONG", "alert_price": 307.99, "score": "", "dir_prob": "93.8", "net_sigma": "", "grade": "", "align": "", "premium": "", "wrong_if": "", "context": "", "subject": "Alert: Rev - Screener v1 (SPY, 12): Any alert() function call", "body": "{\"ticker\":\"COR\", \"setup\":\"Early Action Long\", \"side\":\"LONG\", \"price\":307.99, \"stage\":2, \"buy\":73.4, \"sell\":8.4, \"prime\":1, \"revL\":0, \"revS\":0, \"vcp\":0, \"dir_prob\":93.8, \"time\":1784208600000}", "ticker": "COR", "setup": "Early Action Long", "side": "LONG", "price": 307.99, "stage": 2, "buy": 73.4, "sell": 8.4, "prime": 1, "revL": 0, "revS": 0, "vcp": 0, "time": 1784208600000, "email_id": "b'1191'", "timestamp": "2026-07-16 16:01:28"}</t>
  </si>
  <si>
    <t>Buy: 92.5 | Sell: 7.7</t>
  </si>
  <si>
    <t>Buy: 20.1 | Sell: 93.2</t>
  </si>
  <si>
    <t>{"symbol": "GE", "strategy": "Daily", "action": "LONG", "alert_price": 360.38, "score": "", "dir_prob": "94.3", "net_sigma": "", "grade": "", "align": "", "premium": "", "wrong_if": "", "context": "", "subject": "Alert: Rev - Screener v1 (SPY, 12): Any alert() function call", "body": "{\"ticker\":\"GE\", \"setup\":\"A+ Trend Long\", \"side\":\"LONG\", \"price\":360.38, \"stage\":2, \"buy\":95.3, \"sell\":8, \"prime\":2, \"revL\":0, \"revS\":0, \"vcp\":0, \"dir_prob\":94.3, \"time\":1784122200000}", "ticker": "GE", "setup": "A+ Trend Long", "side": "LONG", "price": 360.38, "stage": 2, "buy": 95.3, "sell": 8, "prime": 2, "revL": 0, "revS": 0, "vcp": 0, "time": 1784122200000, "email_id": "b'1100'", "timestamp": "2026-07-15 16:01:49"}</t>
  </si>
  <si>
    <t>The setup is a strong TREND_LONG driven by a Buy score of 91.51, a 94.04% directional probability, and Stage 2 momentum, with the price currently inside the long entry zone offering a 2.8 R:R. News sentiment is bullish, confirmed by RBC and TD Cowen raising price targets and a major order win from Riyadh Air. However, the triage is capped to WATCH because earnings are imminent (1 day out) with a FAIL gate, creating a high-risk event horizon that overrides the technical strength.</t>
  </si>
  <si>
    <t>Buy: 94.1 | Sell: 11.4</t>
  </si>
  <si>
    <t>BUY (Standard Position Size on Confirmation) — Set alerts at zone boundary</t>
  </si>
  <si>
    <t>{"symbol": "IQV", "strategy": "Daily", "action": "LONG", "alert_price": 210.49, "score": "", "dir_prob": "91.8", "net_sigma": "", "grade": "", "align": "", "premium": "", "wrong_if": "", "context": "", "subject": "Alert: Rev - Screener v1 (SPY, 12): Any alert() function call", "body": "{\"ticker\":\"IQV\", \"setup\":\"A+ Trend Long\", \"side\":\"LONG\", \"price\":210.49, \"stage\":2, \"buy\":92.5, \"sell\":7.7, \"prime\":2, \"revL\":0, \"revS\":0, \"vcp\":0, \"dir_prob\":91.8, \"time\":1784208600000}", "ticker": "IQV", "setup": "A+ Trend Long", "side": "LONG", "price": 210.49, "stage": 2, "buy": 92.5, "sell": 7.7, "prime": 2, "revL": 0, "revS": 0, "vcp": 0, "time": 1784208600000, "email_id": "b'1189'", "timestamp": "2026-07-16 16:01:26"}</t>
  </si>
  <si>
    <t>The setup is a strong TREND_LONG driven by a Buy score of 97.86, a 91.82% directional probability, and Stage 2 momentum, with the price currently inside the long entry zone offering a 2.0 R:R. The news is neutral, featuring regulatory testimony and a comparison article, which does not contradict the bullish technicals. However, the triage is capped to WATCH due to the 'extended' flag (11.84% above MA200) and the 'earnings' flag (12 days remaining), despite the earnings gate passing.</t>
  </si>
  <si>
    <t>Buy: 96.3 | Sell: 6.5</t>
  </si>
  <si>
    <t>{"symbol": "DLTR", "strategy": "Daily", "action": "LONG", "alert_price": 127.02, "score": "", "dir_prob": "95.6", "net_sigma": "", "grade": "", "align": "", "premium": "", "wrong_if": "", "context": "", "subject": "Alert: Rev - Screener v1 (SPY, 12): Any alert() function call", "body": "{\"ticker\":\"DLTR\", \"setup\":\"A+ Trend Long\", \"side\":\"LONG\", \"price\":127.02, \"stage\":2, \"buy\":94.1, \"sell\":11.4, \"prime\":2, \"revL\":0, \"revS\":0, \"vcp\":0, \"dir_prob\":95.6, \"time\":1784122200000}", "ticker": "DLTR", "setup": "A+ Trend Long", "side": "LONG", "price": 127.02, "stage": 2, "buy": 94.1, "sell": 11.4, "prime": 2, "revL": 0, "revS": 0, "vcp": 0, "time": 1784122200000, "email_id": "b'1101'", "timestamp": "2026-07-15 16:01:34"}</t>
  </si>
  <si>
    <t>The setup is a TREND_LONG driven by a dominant Buy score of 97.62, a Sell score of 13.52, and a directional probability of 93.57, all within Stage 2 (up-trend). The stock is currently in its long entry zone with a 2.0 R:R ratio to the target of 141.35. While the technicals are strong, the stock is flagged as 'extended' due to an ext_pct of 16.21 and exhaustion of 0.0944, suggesting some caution on entry timing despite the clear bullish bias.</t>
  </si>
  <si>
    <t xml:space="preserve">Sentiment: 0.126853 (Neutral)
</t>
  </si>
  <si>
    <t>{"symbol": "OXY", "strategy": "Daily", "action": "SHORT", "alert_price": 52.29, "score": "", "dir_prob": "8.3", "net_sigma": "", "grade": "", "align": "", "premium": "", "wrong_if": "", "context": "", "subject": "Alert: Rev - Screener v1 (SPY, 12): Any alert() function call", "body": "{\"ticker\":\"OXY\", \"setup\":\"A+ Trend Short\", \"side\":\"SHORT\", \"price\":52.29, \"stage\":4, \"buy\":20.1, \"sell\":93.2, \"prime\":-2, \"revL\":0, \"revS\":0, \"vcp\":0, \"dir_prob\":8.3, \"time\":1783603800000}", "ticker": "OXY", "setup": "A+ Trend Short", "side": "SHORT", "price": 52.29, "stage": 4, "buy": 20.1, "sell": 93.2, "prime": -2, "revL": 0, "revS": 0, "vcp": 0, "time": 1783603800000, "email_id": "b'239'", "timestamp": "2026-07-09 16:01:36"}</t>
  </si>
  <si>
    <t>Buy: 94.6 | Sell: 18.8</t>
  </si>
  <si>
    <t>Buy: 20 | Sell: 93.3</t>
  </si>
  <si>
    <t>{"symbol": "SHW", "strategy": "Daily", "action": "LONG", "alert_price": 338.26, "score": "", "dir_prob": "96.1", "net_sigma": "", "grade": "", "align": "", "premium": "", "wrong_if": "", "context": "", "subject": "Alert: Rev - Screener v1 (SPY, 12): Any alert() function call", "body": "{\"ticker\":\"SHW\", \"setup\":\"A+ Trend Long\", \"side\":\"LONG\", \"price\":338.26, \"stage\":2, \"buy\":96.3, \"sell\":6.5, \"prime\":2, \"revL\":0, \"revS\":0, \"vcp\":0, \"dir_prob\":96.1, \"time\":1784208600000}", "ticker": "SHW", "setup": "A+ Trend Long", "side": "LONG", "price": 338.26, "stage": 2, "buy": 96.3, "sell": 6.5, "prime": 2, "revL": 0, "revS": 0, "vcp": 0, "time": 1784208600000, "email_id": "b'1190'", "timestamp": "2026-07-16 16:01:03"}</t>
  </si>
  <si>
    <t>{"symbol": "DVA", "strategy": "Daily", "action": "LONG", "alert_price": 231.63, "score": "", "dir_prob": "93.9", "net_sigma": "", "grade": "", "align": "", "premium": "", "wrong_if": "", "context": "", "subject": "Alert: Rev - Screener v1 (SPY, 12): Any alert() function call", "body": "{\"ticker\":\"DVA\", \"setup\":\"A+ Trend Long\", \"side\":\"LONG\", \"price\":231.63, \"stage\":2, \"buy\":94.6, \"sell\":18.8, \"prime\":2, \"revL\":0, \"revS\":0, \"vcp\":0, \"dir_prob\":93.9, \"time\":1784122200000}", "ticker": "DVA", "setup": "A+ Trend Long", "side": "LONG", "price": 231.63, "stage": 2, "buy": 94.6, "sell": 18.8, "prime": 2, "revL": 0, "revS": 0, "vcp": 0, "time": 1784122200000, "email_id": "b'1102'", "timestamp": "2026-07-15 16:01:32"}</t>
  </si>
  <si>
    <t>The setup is a TREND_LONG triggered by a dominant Buy score of 96.73, a Sell score of 29.76, and a directional probability of 90.25 in Stage 2. The news confirms this bias with a price target raise to $250, aligning with the long-side momentum. The triage is capped to WATCH due to the 'extended' flag (ext_pct ~40%) and the 'earnings' flag (21 days out), despite the strong technicals and favorable R:R of 2.0.</t>
  </si>
  <si>
    <t xml:space="preserve">Sentiment: -0.448314 (Bearish)
</t>
  </si>
  <si>
    <t>WATCH (7/10) → Deep Research</t>
  </si>
  <si>
    <t>Buy: 97.9 | Sell: 8.5</t>
  </si>
  <si>
    <t>Buy: 76 | Sell: 10.5</t>
  </si>
  <si>
    <t>{"symbol": "KR", "strategy": "Daily", "action": "SHORT", "alert_price": 59.85, "score": "", "dir_prob": "14.4", "net_sigma": "", "grade": "", "align": "", "premium": "", "wrong_if": "", "context": "", "subject": "Alert: Rev - Screener v1 (SPY, 12): Any alert() function call", "body": "{\"ticker\":\"KR\", \"setup\":\"A+ Trend Short\", \"side\":\"SHORT\", \"price\":59.85, \"stage\":4, \"buy\":20, \"sell\":93.3, \"prime\":-2, \"revL\":0, \"revS\":0, \"vcp\":0, \"dir_prob\":14.4, \"time\":1783603800000}", "ticker": "KR", "setup": "A+ Trend Short", "side": "SHORT", "price": 59.85, "stage": 4, "buy": 20, "sell": 93.3, "prime": -2, "revL": 0, "revS": 0, "vcp": 0, "time": 1783603800000, "email_id": "b'235'", "timestamp": "2026-07-09 16:01:37"}</t>
  </si>
  <si>
    <t>{"symbol": "CAH", "strategy": "Daily", "action": "LONG", "alert_price": 224.94, "score": "", "dir_prob": "98.1", "net_sigma": "", "grade": "", "align": "", "premium": "", "wrong_if": "", "context": "", "subject": "Alert: Rev - Screener v1 (SPY, 12): Any alert() function call", "body": "{\"ticker\":\"CAH\", \"setup\":\"A+ Trend Long\", \"side\":\"LONG\", \"price\":224.94, \"stage\":2, \"buy\":97.9, \"sell\":8.5, \"prime\":2, \"revL\":0, \"revS\":0, \"vcp\":0, \"dir_prob\":98.1, \"time\":1784122200000}", "ticker": "CAH", "setup": "A+ Trend Long", "side": "LONG", "price": 224.94, "stage": 2, "buy": 97.9, "sell": 8.5, "prime": 2, "revL": 0, "revS": 0, "vcp": 0, "time": 1784122200000, "email_id": "b'1103'", "timestamp": "2026-07-15 16:01:12"}</t>
  </si>
  <si>
    <t>{"symbol": "NTRS", "strategy": "Daily", "action": "LONG", "alert_price": 188.67, "score": "", "dir_prob": "84.9", "net_sigma": "", "grade": "", "align": "", "premium": "", "wrong_if": "", "context": "", "subject": "Alert: Rev - Screener v1 (SPY, 12): Any alert() function call", "body": "{\"ticker\":\"NTRS\", \"setup\":\"Early Action Long\", \"side\":\"LONG\", \"price\":188.67, \"stage\":2, \"buy\":76, \"sell\":10.5, \"prime\":1, \"revL\":0, \"revS\":0, \"vcp\":0, \"dir_prob\":84.9, \"time\":1784208600000}", "ticker": "NTRS", "setup": "Early Action Long", "side": "LONG", "price": 188.67, "stage": 2, "buy": 76, "sell": 10.5, "prime": 1, "revL": 0, "revS": 0, "vcp": 0, "time": 1784208600000, "email_id": "b'1192'", "timestamp": "2026-07-16 16:01:37"}</t>
  </si>
  <si>
    <t>Buy: 93.2 | Sell: 12.7</t>
  </si>
  <si>
    <t>Buy: 5.4 | Sell: 90.7</t>
  </si>
  <si>
    <t>Buy: 95 | Sell: 9.8</t>
  </si>
  <si>
    <t>{"symbol": "DG", "strategy": "Daily", "action": "LONG", "alert_price": 121.3, "score": "", "dir_prob": "96.8", "net_sigma": "", "grade": "", "align": "", "premium": "", "wrong_if": "", "context": "", "subject": "Alert: Rev - Screener v1 (SPY, 12): Any alert() function call", "body": "{\"ticker\":\"DG\", \"setup\":\"A+ Trend Long\", \"side\":\"LONG\", \"price\":121.30, \"stage\":2, \"buy\":93.2, \"sell\":12.7, \"prime\":2, \"revL\":0, \"revS\":0, \"vcp\":0, \"dir_prob\":96.8, \"time\":1784122200000}", "ticker": "DG", "setup": "A+ Trend Long", "side": "LONG", "price": 121.3, "stage": 2, "buy": 93.2, "sell": 12.7, "prime": 2, "revL": 0, "revS": 0, "vcp": 0, "time": 1784122200000, "email_id": "b'1104'", "timestamp": "2026-07-15 16:01:20"}</t>
  </si>
  <si>
    <t>{"symbol": "AMT", "strategy": "Daily", "action": "SHORT", "alert_price": 168.93, "score": "", "dir_prob": "9.8", "net_sigma": "", "grade": "", "align": "", "premium": "", "wrong_if": "", "context": "", "subject": "Alert: Rev - Screener v1 (SPY, 12): Any alert() function call", "body": "{\"ticker\":\"AMT\", \"setup\":\"A+ Trend Short\", \"side\":\"SHORT\", \"price\":168.93, \"stage\":4, \"buy\":5.4, \"sell\":90.7, \"prime\":-2, \"revL\":0, \"revS\":0, \"vcp\":0, \"dir_prob\":9.8, \"time\":1784208600000}", "ticker": "AMT", "setup": "A+ Trend Short", "side": "SHORT", "price": 168.93, "stage": 4, "buy": 5.4, "sell": 90.7, "prime": -2, "revL": 0, "revS": 0, "vcp": 0, "time": 1784208600000, "email_id": "b'1193'", "timestamp": "2026-07-16 16:01:06"}</t>
  </si>
  <si>
    <t>Buy: 95.4 | Sell: 6.4</t>
  </si>
  <si>
    <t>BUY (Trend-Following) — Defined-Risk Only</t>
  </si>
  <si>
    <t>Buy: 10.5 | Sell: 91.3</t>
  </si>
  <si>
    <t>{"symbol": "TTWO", "strategy": "Daily", "action": "LONG", "alert_price": 246.08, "score": "", "dir_prob": "95.4", "net_sigma": "", "grade": "", "align": "", "premium": "", "wrong_if": "", "context": "", "subject": "Alert: Rev - Screener v1 (SPY, 12): Any alert() function call", "body": "{\"ticker\":\"TTWO\", \"setup\":\"A+ Trend Long\", \"side\":\"LONG\", \"price\":246.08, \"stage\":2, \"buy\":95, \"sell\":9.8, \"prime\":2, \"revL\":0, \"revS\":0, \"vcp\":0, \"dir_prob\":95.4, \"time\":1783603800000}", "ticker": "TTWO", "setup": "A+ Trend Long", "side": "LONG", "price": 246.08, "stage": 2, "buy": 95, "sell": 9.8, "prime": 2, "revL": 0, "revS": 0, "vcp": 0, "time": 1783603800000, "email_id": "b'292'", "timestamp": "2026-07-09 16:01:36"}</t>
  </si>
  <si>
    <t>{"symbol": "VRSN", "strategy": "Daily", "action": "SHORT", "alert_price": 275.22, "score": "", "dir_prob": "9.8", "net_sigma": "", "grade": "", "align": "", "premium": "", "wrong_if": "", "context": "", "subject": "Alert: Rev - Screener v1 (SPY, 12): Any alert() function call", "body": "{\"ticker\":\"VRSN\", \"setup\":\"A+ Trend Short\", \"side\":\"SHORT\", \"price\":275.22, \"stage\":4, \"buy\":10.5, \"sell\":91.3, \"prime\":-2, \"revL\":0, \"revS\":0, \"vcp\":0, \"dir_prob\":9.8, \"time\":1784208600000}", "ticker": "VRSN", "setup": "A+ Trend Short", "side": "SHORT", "price": 275.22, "stage": 4, "buy": 10.5, "sell": 91.3, "prime": -2, "revL": 0, "revS": 0, "vcp": 0, "time": 1784208600000, "email_id": "b'1194'", "timestamp": "2026-07-16 16:01:00"}</t>
  </si>
  <si>
    <t>{"symbol": "RTX", "strategy": "Daily", "action": "LONG", "alert_price": 195.88, "score": "", "dir_prob": "93", "net_sigma": "", "grade": "", "align": "", "premium": "", "wrong_if": "", "context": "", "subject": "Alert: Rev - Screener v1 (SPY, 12): Any alert() function call", "body": "{\"ticker\":\"RTX\", \"setup\":\"A+ Trend Long\", \"side\":\"LONG\", \"price\":195.88, \"stage\":2, \"buy\":95.4, \"sell\":6.4, \"prime\":2, \"revL\":0, \"revS\":0, \"vcp\":0, \"dir_prob\":93, \"time\":1784122200000}", "ticker": "RTX", "setup": "A+ Trend Long", "side": "LONG", "price": 195.88, "stage": 2, "buy": 95.4, "sell": 6.4, "prime": 2, "revL": 0, "revS": 0, "vcp": 0, "time": 1784122200000, "email_id": "b'1105'", "timestamp": "2026-07-15 16:01:07"}</t>
  </si>
  <si>
    <t>The setup is a TREND_LONG driven by a dominant Buy score of 96.7 and a Direction Probability of 90.58, indicating a strong bullish bias. The stock is currently in Stage 2 (up-trend) with low exhaustion (0.08) and is trading within its long entry zone, offering a favorable 2:1 risk-reward ratio. The news headline regarding increased defense spending confirms the bullish technical setup, reinforcing the long thesis. The Rev Zone score of 5.0 (Zone 2) suggests the trend is healthy but not yet in a deep mean-reversion state, so the primary driver remains the strong trend momentum.</t>
  </si>
  <si>
    <t xml:space="preserve">Sentiment: 0.431360 (Bullish)
</t>
  </si>
  <si>
    <t>Buy: 71.4 | Sell: 21.6</t>
  </si>
  <si>
    <t>Buy: 94.4 | Sell: 5.9</t>
  </si>
  <si>
    <t>Buy: 92.4 | Sell: 11.1</t>
  </si>
  <si>
    <t>{"symbol": "CRWD", "strategy": "Daily", "action": "LONG", "alert_price": 203.76, "score": "", "dir_prob": "94.7", "net_sigma": "", "grade": "", "align": "", "premium": "", "wrong_if": "", "context": "", "subject": "Alert: Rev - Screener v1 (SPY, 12): Any alert() function call", "body": "{\"ticker\":\"CRWD\", \"setup\":\"A+ Trend Long\", \"side\":\"LONG\", \"price\":203.76, \"stage\":2, \"buy\":92.4, \"sell\":11.1, \"prime\":2, \"revL\":0, \"revS\":0, \"vcp\":0, \"dir_prob\":94.7, \"time\":1784208600000}", "ticker": "CRWD", "setup": "A+ Trend Long", "side": "LONG", "price": 203.76, "stage": 2, "buy": 92.4, "sell": 11.1, "prime": 2, "revL": 0, "revS": 0, "vcp": 0, "time": 1784208600000, "email_id": "b'1195'", "timestamp": "2026-07-16 16:01:04"}</t>
  </si>
  <si>
    <t>{"symbol": "VTR", "strategy": "Daily", "action": "LONG", "alert_price": 91.74, "score": "", "dir_prob": "76.6", "net_sigma": "", "grade": "", "align": "", "premium": "", "wrong_if": "", "context": "", "subject": "Alert: Rev - Screener v1 (SPY, 12): Any alert() function call", "body": "{\"ticker\":\"VTR\", \"setup\":\"Early Action Long\", \"side\":\"LONG\", \"price\":91.74, \"stage\":2, \"buy\":71.4, \"sell\":21.6, \"prime\":1, \"revL\":0, \"revS\":0, \"vcp\":0, \"dir_prob\":76.6, \"time\":1783603800000}", "ticker": "VTR", "setup": "Early Action Long", "side": "LONG", "price": 91.74, "stage": 2, "buy": 71.4, "sell": 21.6, "prime": 1, "revL": 0, "revS": 0, "vcp": 0, "time": 1783603800000, "email_id": "b'202'", "timestamp": "2026-07-09 16:01:18"}</t>
  </si>
  <si>
    <t>{"symbol": "HSIC", "strategy": "Daily", "action": "LONG", "alert_price": 87.18, "score": "", "dir_prob": "95.2", "net_sigma": "", "grade": "", "align": "", "premium": "", "wrong_if": "", "context": "", "subject": "Alert: Rev - Screener v1 (SPY, 12): Any alert() function call", "body": "{\"ticker\":\"HSIC\", \"setup\":\"A+ Trend Long\", \"side\":\"LONG\", \"price\":87.18, \"stage\":2, \"buy\":94.4, \"sell\":5.9, \"prime\":2, \"revL\":0, \"revS\":5, \"vcp\":0, \"dir_prob\":95.2, \"time\":1784122200000}", "ticker": "HSIC", "setup": "A+ Trend Long", "side": "LONG", "price": 87.18, "stage": 2, "buy": 94.4, "sell": 5.9, "prime": 2, "revL": 0, "revS": 5, "vcp": 0, "time": 1784122200000, "email_id": "b'1106'", "timestamp": "2026-07-15 16:01:02"}</t>
  </si>
  <si>
    <t>The technicals show a dominant short bias (dir_prob 91.82) but no active long entry mode fires; the long Buy score (92.31) is actually the opposite_score, while the short Sell score (23.65) is too low for a TREND_SHORT setup. The short Rev Zone score of 11.5 indicates a Zone 1 overbought condition, but since the dominant side is short, this represents a counter-trend rally risk rather than a valid short entry. News is neutral with no catalyst, and the 'churn' flag combined with the high opposite score suggests conflicting momentum. Additionally, earnings are imminent in 20 days, adding volatility risk.</t>
  </si>
  <si>
    <t xml:space="preserve">Sentiment: 0.469070 (Bullish)
</t>
  </si>
  <si>
    <t>CUT (2/10) → Deep Research</t>
  </si>
  <si>
    <t>Buy: 97.4 | Sell: 5</t>
  </si>
  <si>
    <t>WM</t>
  </si>
  <si>
    <t>Buy: 82.8 | Sell: 13.4</t>
  </si>
  <si>
    <t>Buy: 94.8 | Sell: 8.1</t>
  </si>
  <si>
    <t>{"symbol": "ACGL", "strategy": "Daily", "action": "LONG", "alert_price": 100.03, "score": "", "dir_prob": "95.9", "net_sigma": "", "grade": "", "align": "", "premium": "", "wrong_if": "", "context": "", "subject": "Alert: Rev - Screener v1 (SPY, 12): Any alert() function call", "body": "{\"ticker\":\"ACGL\", \"setup\":\"A+ Trend Long\", \"side\":\"LONG\", \"price\":100.03, \"stage\":2, \"buy\":97.4, \"sell\":5, \"prime\":2, \"revL\":0, \"revS\":0, \"vcp\":0, \"dir_prob\":95.9, \"time\":1784208600000}", "ticker": "ACGL", "setup": "A+ Trend Long", "side": "LONG", "price": 100.03, "stage": 2, "buy": 97.4, "sell": 5, "prime": 2, "revL": 0, "revS": 0, "vcp": 0, "time": 1784208600000, "email_id": "b'1196'", "timestamp": "2026-07-16 16:01:40"}</t>
  </si>
  <si>
    <t>The setup is a strong TREND_LONG driven by a Buy score of 98.47, a Sell score of 28.45, and a 92.93% directional probability in Stage 2. The stock is currently 'in_zone' with a healthy R:R of ~2.0x. However, the news read is NEUTRAL as the Berkshire comparison headline does not directly contradict the bullish technicals, though it highlights a competitor. The triage is capped to WATCH due to the 'churn' flag (opposite score 28.45 is significant enough to note) and the 'earnings' flag (12 days out).</t>
  </si>
  <si>
    <t>{"symbol": "WM", "strategy": "Daily", "action": "LONG", "alert_price": 232.74, "score": "", "dir_prob": "94", "net_sigma": "", "grade": "", "align": "", "premium": "", "wrong_if": "", "context": "", "subject": "Alert: Rev - Screener v1 (SPY, 12): Any alert() function call", "body": "{\"ticker\":\"WM\", \"setup\":\"Early Action Long\", \"side\":\"LONG\", \"price\":232.74, \"stage\":2, \"buy\":82.8, \"sell\":13.4, \"prime\":1, \"revL\":0, \"revS\":0, \"vcp\":0, \"dir_prob\":94, \"time\":1784122200000}", "ticker": "WM", "setup": "Early Action Long", "side": "LONG", "price": 232.74, "stage": 2, "buy": 82.8, "sell": 13.4, "prime": 1, "revL": 0, "revS": 0, "vcp": 0, "time": 1784122200000, "email_id": "b'1107'", "timestamp": "2026-07-15 16:01:10"}</t>
  </si>
  <si>
    <t>Buy: 96.7 | Sell: 6.5</t>
  </si>
  <si>
    <t>{"symbol": "MRK", "strategy": "Daily", "action": "LONG", "alert_price": 125.05, "score": "", "dir_prob": "92.1", "net_sigma": "", "grade": "", "align": "", "premium": "", "wrong_if": "", "context": "", "subject": "Alert: Rev - Screener v1 (SPY, 12): Any alert() function call", "body": "{\"ticker\":\"MRK\", \"setup\":\"A+ Trend Long\", \"side\":\"LONG\", \"price\":125.05, \"stage\":2, \"buy\":94.8, \"sell\":8.1, \"prime\":2, \"revL\":0, \"revS\":0, \"vcp\":0, \"dir_prob\":92.1, \"time\":1783603800000}", "ticker": "MRK", "setup": "A+ Trend Long", "side": "LONG", "price": 125.05, "stage": 2, "buy": 94.8, "sell": 8.1, "prime": 2, "revL": 0, "revS": 0, "vcp": 0, "time": 1783603800000, "email_id": "b'285'", "timestamp": "2026-07-09 16:01:16"}</t>
  </si>
  <si>
    <t>{"symbol": "BALL", "strategy": "Daily", "action": "LONG", "alert_price": 63.17, "score": "", "dir_prob": "96.9", "net_sigma": "", "grade": "", "align": "", "premium": "", "wrong_if": "", "context": "", "subject": "Alert: Rev - Screener v1 (SPY, 12): Any alert() function call", "body": "{\"ticker\":\"BALL\", \"setup\":\"A+ Trend Long\", \"side\":\"LONG\", \"price\":63.17, \"stage\":2, \"buy\":96.9, \"sell\":5.7, \"prime\":2, \"revL\":0, \"revS\":0, \"vcp\":0, \"dir_prob\":96.9, \"time\":1784208600000}", "ticker": "BALL", "setup": "A+ Trend Long", "side": "LONG", "price": 63.17, "stage": 2, "buy": 96.9, "sell": 5.7, "prime": 2, "revL": 0, "revS": 0, "vcp": 0, "time": 1784208600000, "email_id": "b'1197'", "timestamp": "2026-07-16 16:01:43"}</t>
  </si>
  <si>
    <t>Buy: 93.5 | Sell: 33.7</t>
  </si>
  <si>
    <t>The setup is a strong TREND_LONG driven by a Buy score of 98.71, a 95.97% directional probability, and Stage 2 momentum, with the price currently inside the long entry zone offering a 2.02 R:R. The news confirms the bullish bias as BofA raised the price target to $73, reinforcing the technicals. However, the triage is capped to WATCH due to the 'extended' flag (ext_pct ~10% with low exhaustion) and the 'earnings' flag (19 days out), which introduces near-term volatility risk despite the strong trend.</t>
  </si>
  <si>
    <t>{"symbol": "AWK", "strategy": "Daily", "action": "LONG", "alert_price": 129.21, "score": "", "dir_prob": "98.2", "net_sigma": "", "grade": "", "align": "", "premium": "", "wrong_if": "", "context": "", "subject": "Alert: Rev - Screener v1 (SPY, 12): Any alert() function call", "body": "{\"ticker\":\"AWK\", \"setup\":\"A+ Trend Long\", \"side\":\"LONG\", \"price\":129.21, \"stage\":2, \"buy\":96.7, \"sell\":6.5, \"prime\":2, \"revL\":0, \"revS\":0, \"vcp\":0, \"dir_prob\":98.2, \"time\":1784122200000}", "ticker": "AWK", "setup": "A+ Trend Long", "side": "LONG", "price": 129.21, "stage": 2, "buy": 96.7, "sell": 6.5, "prime": 2, "revL": 0, "revS": 0, "vcp": 0, "time": 1784122200000, "email_id": "b'1108'", "timestamp": "2026-07-15 16:01:12"}</t>
  </si>
  <si>
    <t>Buy: 17.1 | Sell: 93.9</t>
  </si>
  <si>
    <t>Buy: 93.1 | Sell: 34.9</t>
  </si>
  <si>
    <t>{"symbol": "IFF", "strategy": "Daily", "action": "LONG", "alert_price": 78.53, "score": "", "dir_prob": "88.9", "net_sigma": "", "grade": "", "align": "", "premium": "", "wrong_if": "", "context": "", "subject": "Alert: Rev - Screener v1 (SPY, 12): Any alert() function call", "body": "{\"ticker\":\"IFF\", \"setup\":\"A+ Trend Long\", \"side\":\"LONG\", \"price\":78.53, \"stage\":2, \"buy\":93.5, \"sell\":33.7, \"prime\":2, \"revL\":0, \"revS\":0, \"vcp\":0, \"dir_prob\":88.9, \"time\":1783603800000}", "ticker": "IFF", "setup": "A+ Trend Long", "side": "LONG", "price": 78.53, "stage": 2, "buy": 93.5, "sell": 33.7, "prime": 2, "revL": 0, "revS": 0, "vcp": 0, "time": 1783603800000, "email_id": "b'223'", "timestamp": "2026-07-09 16:01:26"}</t>
  </si>
  <si>
    <t>{"symbol": "IRM", "strategy": "Daily", "action": "SHORT", "alert_price": 121.66, "score": "", "dir_prob": "11", "net_sigma": "", "grade": "", "align": "", "premium": "", "wrong_if": "", "context": "", "subject": "Alert: Rev - Screener v1 (SPY, 12): Any alert() function call", "body": "{\"ticker\":\"IRM\", \"setup\":\"A+ Trend Short\", \"side\":\"SHORT\", \"price\":121.66, \"stage\":4, \"buy\":17.1, \"sell\":93.9, \"prime\":-2, \"revL\":0, \"revS\":0, \"vcp\":0, \"dir_prob\":11, \"time\":1784208600000}", "ticker": "IRM", "setup": "A+ Trend Short", "side": "SHORT", "price": 121.66, "stage": 4, "buy": 17.1, "sell": 93.9, "prime": -2, "revL": 0, "revS": 0, "vcp": 0, "time": 1784208600000, "email_id": "b'1198'", "timestamp": "2026-07-16 16:01:09"}</t>
  </si>
  <si>
    <t>{"symbol": "WSM", "strategy": "Daily", "action": "LONG", "alert_price": 222.87, "score": "", "dir_prob": "86.7", "net_sigma": "", "grade": "", "align": "", "premium": "", "wrong_if": "", "context": "", "subject": "Alert: Rev - Screener v1 (SPY, 12): Any alert() function call", "body": "{\"ticker\":\"WSM\", \"setup\":\"A+ Trend Long\", \"side\":\"LONG\", \"price\":222.87, \"stage\":2, \"buy\":93.1, \"sell\":34.9, \"prime\":2, \"revL\":0, \"revS\":0, \"vcp\":0, \"dir_prob\":86.7, \"time\":1784122200000}", "ticker": "WSM", "setup": "A+ Trend Long", "side": "LONG", "price": 222.87, "stage": 2, "buy": 93.1, "sell": 34.9, "prime": 2, "revL": 0, "revS": 0, "vcp": 0, "time": 1784122200000, "email_id": "b'1109'", "timestamp": "2026-07-15 16:01:09"}</t>
  </si>
  <si>
    <t>Buy: 89.8 | Sell: 22.5</t>
  </si>
  <si>
    <t>BUY (Trend-Following Momentum — REDUCED SIZE)</t>
  </si>
  <si>
    <t>Buy: 97.7 | Sell: 9.4</t>
  </si>
  <si>
    <t>Buy: 6 | Sell: 93.6</t>
  </si>
  <si>
    <t>{"symbol": "MNST", "strategy": "Daily", "action": "LONG", "alert_price": 99.92, "score": "", "dir_prob": "80.5", "net_sigma": "", "grade": "", "align": "", "premium": "", "wrong_if": "", "context": "", "subject": "Alert: Rev - Screener v1 (SPY, 12): Any alert() function call", "body": "{\"ticker\":\"MNST\", \"setup\":\"A+ Trend Long\", \"side\":\"LONG\", \"price\":99.92, \"stage\":2, \"buy\":89.8, \"sell\":22.5, \"prime\":2, \"revL\":0, \"revS\":0, \"vcp\":0, \"dir_prob\":80.5, \"time\":1784208600000}", "ticker": "MNST", "setup": "A+ Trend Long", "side": "LONG", "price": 99.92, "stage": 2, "buy": 89.8, "sell": 22.5, "prime": 2, "revL": 0, "revS": 0, "vcp": 0, "time": 1784208600000, "email_id": "b'1199'", "timestamp": "2026-07-16 16:01:10"}</t>
  </si>
  <si>
    <t>MNST is in a strong TREND_LONG mode with a Buy score of 96.21 and a directional probability of 91.43, supported by Stage 2 uptrend and a healthy Regime 0. The news confirms this bias with multiple analyst upgrades and raised price targets, despite a headline about UK regulatory concerns. The stock is currently 'in_zone' with a 2.0 R:R, but the 25% extension above MA200 and an earnings event in 21 days warrant caution. The 'extended' flag reflects the high extension, while 'earnings' flags the upcoming catalyst.</t>
  </si>
  <si>
    <t>{"symbol": "SYY", "strategy": "Daily", "action": "LONG", "alert_price": 80.73, "score": "", "dir_prob": "96.4", "net_sigma": "", "grade": "", "align": "", "premium": "", "wrong_if": "", "context": "", "subject": "Alert: Rev - Screener v1 (SPY, 12): Any alert() function call", "body": "{\"ticker\":\"SYY\", \"setup\":\"A+ Trend Long\", \"side\":\"LONG\", \"price\":80.73, \"stage\":2, \"buy\":97.7, \"sell\":9.4, \"prime\":2, \"revL\":0, \"revS\":0, \"vcp\":0, \"dir_prob\":96.4, \"time\":1784122200000}", "ticker": "SYY", "setup": "A+ Trend Long", "side": "LONG", "price": 80.73, "stage": 2, "buy": 97.7, "sell": 9.4, "prime": 2, "revL": 0, "revS": 0, "vcp": 0, "time": 1784122200000, "email_id": "b'1110'", "timestamp": "2026-07-15 16:01:34"}</t>
  </si>
  <si>
    <t>Buy: 16.7 | Sell: 96.7</t>
  </si>
  <si>
    <t>Buy: 94.7 | Sell: 9.7</t>
  </si>
  <si>
    <t>**BUY (Reduced Size — 50–75%)** — defined risk through earnings</t>
  </si>
  <si>
    <t>{"symbol": "CVX", "strategy": "Daily", "action": "SHORT", "alert_price": 174.03, "score": "", "dir_prob": "7.8", "net_sigma": "", "grade": "", "align": "", "premium": "", "wrong_if": "", "context": "", "subject": "Alert: Rev - Screener v1 (SPY, 12): Any alert() function call", "body": "{\"ticker\":\"CVX\", \"setup\":\"A+ Trend Short\", \"side\":\"SHORT\", \"price\":174.03, \"stage\":4, \"buy\":6, \"sell\":93.6, \"prime\":-2, \"revL\":0, \"revS\":0, \"vcp\":0, \"dir_prob\":7.8, \"time\":1783603800000}", "ticker": "CVX", "setup": "A+ Trend Short", "side": "SHORT", "price": 174.03, "stage": 4, "buy": 6, "sell": 93.6, "prime": -2, "revL": 0, "revS": 0, "vcp": 0, "time": 1783603800000, "email_id": "b'296'", "timestamp": "2026-07-09 16:01:12"}</t>
  </si>
  <si>
    <t>Buy: 89 | Sell: 29.2</t>
  </si>
  <si>
    <t>{"symbol": "APO", "strategy": "Daily", "action": "SHORT", "alert_price": 123.34, "score": "", "dir_prob": "12.2", "net_sigma": "", "grade": "", "align": "", "premium": "", "wrong_if": "", "context": "", "subject": "Alert: Rev - Screener v1 (SPY, 12): Any alert() function call", "body": "{\"ticker\":\"APO\", \"setup\":\"A+ Trend Short\", \"side\":\"SHORT\", \"price\":123.34, \"stage\":4, \"buy\":16.7, \"sell\":96.7, \"prime\":-2, \"revL\":0, \"revS\":0, \"vcp\":0, \"dir_prob\":12.2, \"time\":1784208600000}", "ticker": "APO", "setup": "A+ Trend Short", "side": "SHORT", "price": 123.34, "stage": 4, "buy": 16.7, "sell": 96.7, "prime": -2, "revL": 0, "revS": 0, "vcp": 0, "time": 1784208600000, "email_id": "b'1200'", "timestamp": "2026-07-16 16:01:11"}</t>
  </si>
  <si>
    <t>Buy: 71 | Sell: 5.4</t>
  </si>
  <si>
    <t>{"symbol": "EIX", "strategy": "Daily", "action": "LONG", "alert_price": 76.67, "score": "", "dir_prob": "89.3", "net_sigma": "", "grade": "", "align": "", "premium": "", "wrong_if": "", "context": "", "subject": "Alert: Rev - Screener v1 (SPY, 12): Any alert() function call", "body": "{\"ticker\":\"EIX\", \"setup\":\"A+ Trend Long\", \"side\":\"LONG\", \"price\":76.67, \"stage\":2, \"buy\":94.7, \"sell\":9.7, \"prime\":2, \"revL\":0, \"revS\":0, \"vcp\":0, \"dir_prob\":89.3, \"time\":1784122200000}", "ticker": "EIX", "setup": "A+ Trend Long", "side": "LONG", "price": 76.67, "stage": 2, "buy": 94.7, "sell": 9.7, "prime": 2, "revL": 0, "revS": 0, "vcp": 0, "time": 1784122200000, "email_id": "b'1111'", "timestamp": "2026-07-15 16:01:04"}</t>
  </si>
  <si>
    <t>The setup is a strong TREND_LONG triggered by a Buy score of 94.95, a Sell score of 28.67, and a directional probability of 87.9% in Stage 2. The bullish news of a Barclays price target raise confirms the dominant long bias. The trade is currently 'in_zone' with a healthy R:R of 1.80, though the 15-day earnings window adds a soft caution flag.</t>
  </si>
  <si>
    <t xml:space="preserve">Sentiment: -0.215641 (Somewhat-Bearish)
</t>
  </si>
  <si>
    <t>Buy: 94.7 | Sell: 23.8</t>
  </si>
  <si>
    <t>{"symbol": "BAX", "strategy": "Daily", "action": "LONG", "alert_price": 23.36, "score": "", "dir_prob": "92.6", "net_sigma": "", "grade": "", "align": "", "premium": "", "wrong_if": "", "context": "", "subject": "Alert: Rev - Screener v1 (SPY, 12): Any alert() function call", "body": "{\"ticker\":\"BAX\", \"setup\":\"Early Action Long\", \"side\":\"LONG\", \"price\":23.36, \"stage\":2, \"buy\":71, \"sell\":5.4, \"prime\":1, \"revL\":0, \"revS\":0, \"vcp\":0, \"dir_prob\":92.6, \"time\":1784208600000}", "ticker": "BAX", "setup": "Early Action Long", "side": "LONG", "price": 23.36, "stage": 2, "buy": 71, "sell": 5.4, "prime": 1, "revL": 0, "revS": 0, "vcp": 0, "time": 1784208600000, "email_id": "b'1201'", "timestamp": "2026-07-16 16:01:04"}</t>
  </si>
  <si>
    <t>{"symbol": "HUM", "strategy": "Daily", "action": "LONG", "alert_price": 397.77, "score": "", "dir_prob": "90.8", "net_sigma": "", "grade": "", "align": "", "premium": "", "wrong_if": "", "context": "", "subject": "Alert: Rev - Screener v1 (SPY, 12): Any alert() function call", "body": "{\"ticker\":\"HUM\", \"setup\":\"A+ Trend Long\", \"side\":\"LONG\", \"price\":397.77, \"stage\":2, \"buy\":89, \"sell\":29.2, \"prime\":2, \"revL\":0, \"revS\":0, \"vcp\":0, \"dir_prob\":90.8, \"time\":1783603800000}", "ticker": "HUM", "setup": "A+ Trend Long", "side": "LONG", "price": 397.77, "stage": 2, "buy": 89, "sell": 29.2, "prime": 2, "revL": 0, "revS": 0, "vcp": 0, "time": 1783603800000, "email_id": "b'176'", "timestamp": "2026-07-09 16:01:05"}</t>
  </si>
  <si>
    <t>Buy: 96.7 | Sell: 5.8</t>
  </si>
  <si>
    <t>Buy: 93.8 | Sell: 9.7</t>
  </si>
  <si>
    <t>{"symbol": "GL", "strategy": "Daily", "action": "LONG", "alert_price": 181.57, "score": "", "dir_prob": "83.4", "net_sigma": "", "grade": "", "align": "", "premium": "", "wrong_if": "", "context": "", "subject": "Alert: Rev - Screener v1 (SPY, 12): Any alert() function call", "body": "{\"ticker\":\"GL\", \"setup\":\"A+ Trend Long\", \"side\":\"LONG\", \"price\":181.57, \"stage\":2, \"buy\":94.7, \"sell\":23.8, \"prime\":2, \"revL\":0, \"revS\":0, \"vcp\":0, \"dir_prob\":83.4, \"time\":1784122200000}", "ticker": "GL", "setup": "A+ Trend Long", "side": "LONG", "price": 181.57, "stage": 2, "buy": 94.7, "sell": 23.8, "prime": 2, "revL": 0, "revS": 0, "vcp": 0, "time": 1784122200000, "email_id": "b'1112'", "timestamp": "2026-07-15 16:01:15"}</t>
  </si>
  <si>
    <t>The setup is a strong TREND_LONG driven by a Buy score of 98.02, a Sell score of 21.1, and a directional probability of 89.96 in Stage 2. The news confirms this bias with three consecutive analyst upgrades raising price targets. However, the triage is capped to WATCH due to the 'extended' flag (ext_pct 22.26 &gt; 20) and the 'earnings' flag (7 days remaining), which introduces near-term volatility risk despite the strong momentum.</t>
  </si>
  <si>
    <t xml:space="preserve">Sentiment: 0.054541 (Neutral)
</t>
  </si>
  <si>
    <t>Buy: 93.3 | Sell: 2.3</t>
  </si>
  <si>
    <t>{"symbol": "COO", "strategy": "Daily", "action": "LONG", "alert_price": 73.11, "score": "", "dir_prob": "96.2", "net_sigma": "", "grade": "", "align": "", "premium": "", "wrong_if": "", "context": "", "subject": "Alert: Rev - Screener v1 (SPY, 12): Any alert() function call", "body": "{\"ticker\":\"COO\", \"setup\":\"A+ Trend Long\", \"side\":\"LONG\", \"price\":73.11, \"stage\":2, \"buy\":96.7, \"sell\":5.8, \"prime\":2, \"revL\":0, \"revS\":0, \"vcp\":0, \"dir_prob\":96.2, \"time\":1784208600000}", "ticker": "COO", "setup": "A+ Trend Long", "side": "LONG", "price": 73.11, "stage": 2, "buy": 96.7, "sell": 5.8, "prime": 2, "revL": 0, "revS": 0, "vcp": 0, "time": 1784208600000, "email_id": "b'1202'", "timestamp": "2026-07-16 16:01:10"}</t>
  </si>
  <si>
    <t>Buy: 95.4 | Sell: 8</t>
  </si>
  <si>
    <t>{"symbol": "LYV", "strategy": "Daily", "action": "LONG", "alert_price": 182.58, "score": "", "dir_prob": "91.1", "net_sigma": "", "grade": "", "align": "", "premium": "", "wrong_if": "", "context": "", "subject": "Alert: Rev - Screener v1 (SPY, 12): Any alert() function call", "body": "{\"ticker\":\"LYV\", \"setup\":\"A+ Trend Long\", \"side\":\"LONG\", \"price\":182.58, \"stage\":2, \"buy\":93.8, \"sell\":9.7, \"prime\":2, \"revL\":0, \"revS\":0, \"vcp\":0, \"dir_prob\":91.1, \"time\":1783603800000}", "ticker": "LYV", "setup": "A+ Trend Long", "side": "LONG", "price": 182.58, "stage": 2, "buy": 93.8, "sell": 9.7, "prime": 2, "revL": 0, "revS": 0, "vcp": 0, "time": 1783603800000, "email_id": "b'160'", "timestamp": "2026-07-09 16:01:01"}</t>
  </si>
  <si>
    <t>{"symbol": "MKC", "strategy": "Daily", "action": "LONG", "alert_price": 50.89, "score": "", "dir_prob": "99", "net_sigma": "", "grade": "", "align": "", "premium": "", "wrong_if": "", "context": "", "subject": "Alert: Rev - Screener v1 (SPY, 12): Any alert() function call", "body": "{\"ticker\":\"MKC\", \"setup\":\"A+ Trend Long\", \"side\":\"LONG\", \"price\":50.89, \"stage\":2, \"buy\":93.3, \"sell\":2.3, \"prime\":2, \"revL\":0, \"revS\":0, \"vcp\":0, \"dir_prob\":99, \"time\":1784122200000}", "ticker": "MKC", "setup": "A+ Trend Long", "side": "LONG", "price": 50.89, "stage": 2, "buy": 93.3, "sell": 2.3, "prime": 2, "revL": 0, "revS": 0, "vcp": 0, "time": 1784122200000, "email_id": "b'1113'", "timestamp": "2026-07-15 16:01:10"}</t>
  </si>
  <si>
    <t>Buy: 95.7 | Sell: 4.8</t>
  </si>
  <si>
    <t>{"symbol": "AXP", "strategy": "Daily", "action": "LONG", "alert_price": 361.54, "score": "", "dir_prob": "95.4", "net_sigma": "", "grade": "", "align": "", "premium": "", "wrong_if": "", "context": "", "subject": "Alert: Rev - Screener v1 (SPY, 12): Any alert() function call", "body": "{\"ticker\":\"AXP\", \"setup\":\"A+ Trend Long\", \"side\":\"LONG\", \"price\":361.54, \"stage\":2, \"buy\":95.4, \"sell\":8, \"prime\":2, \"revL\":0, \"revS\":0, \"vcp\":0, \"dir_prob\":95.4, \"time\":1784208600000}", "ticker": "AXP", "setup": "A+ Trend Long", "side": "LONG", "price": 361.54, "stage": 2, "buy": 95.4, "sell": 8, "prime": 2, "revL": 0, "revS": 0, "vcp": 0, "time": 1784208600000, "email_id": "b'1203'", "timestamp": "2026-07-16 16:01:56"}</t>
  </si>
  <si>
    <t>AXP is firing a TREND_LONG signal with a Buy Score of 75.53, Dir Prob of 87.89, and Stage 2, indicating a strong uptrend. The news confirms this bullish bias with positive credit metrics and sector tailwinds. However, the setup is capped at WATCH due to the 'chased' flag (price above the long zone with poor R:R) and an earnings event in 8 days.</t>
  </si>
  <si>
    <t>Buy: 97.4 | Sell: 10</t>
  </si>
  <si>
    <t>Buy: 86 | Sell: 24.1</t>
  </si>
  <si>
    <t>{"symbol": "WRB", "strategy": "Daily", "action": "LONG", "alert_price": 69.86, "score": "", "dir_prob": "97.2", "net_sigma": "", "grade": "", "align": "", "premium": "", "wrong_if": "", "context": "", "subject": "Alert: Rev - Screener v1 (SPY, 12): Any alert() function call", "body": "{\"ticker\":\"WRB\", \"setup\":\"A+ Trend Long\", \"side\":\"LONG\", \"price\":69.86, \"stage\":2, \"buy\":95.7, \"sell\":4.8, \"prime\":2, \"revL\":0, \"revS\":0, \"vcp\":0, \"dir_prob\":97.2, \"time\":1784122200000}", "ticker": "WRB", "setup": "A+ Trend Long", "side": "LONG", "price": 69.86, "stage": 2, "buy": 95.7, "sell": 4.8, "prime": 2, "revL": 0, "revS": 0, "vcp": 0, "time": 1784122200000, "email_id": "b'1114'", "timestamp": "2026-07-15 16:01:14"}</t>
  </si>
  <si>
    <t>{"symbol": "AES", "strategy": "Daily", "action": "LONG", "alert_price": 14.82, "score": "", "dir_prob": "86.2", "net_sigma": "", "grade": "", "align": "", "premium": "", "wrong_if": "", "context": "", "subject": "Alert: Rev - Screener v1 (SPY, 12): Any alert() function call", "body": "{\"ticker\":\"AES\", \"setup\":\"A+ Trend Long\", \"side\":\"LONG\", \"price\":14.82, \"stage\":2, \"buy\":86, \"sell\":24.1, \"prime\":2, \"revL\":0, \"revS\":0, \"vcp\":0, \"dir_prob\":86.2, \"time\":1784208600000}", "ticker": "AES", "setup": "A+ Trend Long", "side": "LONG", "price": 14.82, "stage": 2, "buy": 86, "sell": 24.1, "prime": 2, "revL": 0, "revS": 0, "vcp": 0, "time": 1784208600000, "email_id": "b'1204'", "timestamp": "2026-07-16 16:01:05"}</t>
  </si>
  <si>
    <t>{"symbol": "LUV", "strategy": "Daily", "action": "LONG", "alert_price": 49.21, "score": "", "dir_prob": "95.5", "net_sigma": "", "grade": "", "align": "", "premium": "", "wrong_if": "", "context": "", "subject": "Alert: Rev - Screener v1 (SPY, 12): Any alert() function call", "body": "{\"ticker\":\"LUV\", \"setup\":\"A+ Trend Long\", \"side\":\"LONG\", \"price\":49.21, \"stage\":2, \"buy\":97.4, \"sell\":10, \"prime\":2, \"revL\":0, \"revS\":0, \"vcp\":0, \"dir_prob\":95.5, \"time\":1783603800000}", "ticker": "LUV", "setup": "A+ Trend Long", "side": "LONG", "price": 49.21, "stage": 2, "buy": 97.4, "sell": 10, "prime": 2, "revL": 0, "revS": 0, "vcp": 0, "time": 1783603800000, "email_id": "b'242'", "timestamp": "2026-07-09 16:01:33"}</t>
  </si>
  <si>
    <t>Buy: 11.7 | Sell: 90.5</t>
  </si>
  <si>
    <t>{"symbol": "VTR", "strategy": "Daily", "action": "LONG", "alert_price": 92.3, "score": "", "dir_prob": "90.9", "net_sigma": "", "grade": "", "align": "", "premium": "", "wrong_if": "", "context": "", "subject": "Alert: Rev - Screener v1 (SPY, 12): Any alert() function call", "body": "{\"ticker\":\"VTR\", \"setup\":\"A+ Trend Long\", \"side\":\"LONG\", \"price\":92.30, \"stage\":2, \"buy\":94.9, \"sell\":8.1, \"prime\":2, \"revL\":0, \"revS\":0, \"vcp\":0, \"dir_prob\":90.9, \"time\":1784122200000}", "ticker": "VTR", "setup": "A+ Trend Long", "side": "LONG", "price": 92.3, "stage": 2, "buy": 94.9, "sell": 8.1, "prime": 2, "revL": 0, "revS": 0, "vcp": 0, "time": 1784122200000, "email_id": "b'1115'", "timestamp": "2026-07-15 16:01:34"}</t>
  </si>
  <si>
    <t>Buy: 2.3 | Sell: 90.8</t>
  </si>
  <si>
    <t>{"symbol": "ROST", "strategy": "Daily", "action": "SHORT", "alert_price": 232.69, "score": "", "dir_prob": "1.5", "net_sigma": "", "grade": "", "align": "", "premium": "", "wrong_if": "", "context": "", "subject": "Alert: Rev - Screener v1 (SPY, 12): Any alert() function call", "body": "{\"ticker\":\"ROST\", \"setup\":\"A+ Trend Short\", \"side\":\"SHORT\", \"price\":232.69, \"stage\":4, \"buy\":11.7, \"sell\":90.5, \"prime\":-2, \"revL\":0, \"revS\":0, \"vcp\":0, \"dir_prob\":1.5, \"time\":1784208600000}", "ticker": "ROST", "setup": "A+ Trend Short", "side": "SHORT", "price": 232.69, "stage": 4, "buy": 11.7, "sell": 90.5, "prime": -2, "revL": 0, "revS": 0, "vcp": 0, "time": 1784208600000, "email_id": "b'1205'", "timestamp": "2026-07-16 16:01:07"}</t>
  </si>
  <si>
    <t>Buy: 91.5 | Sell: 41.2</t>
  </si>
  <si>
    <t>{"symbol": "AMT", "strategy": "Daily", "action": "SHORT", "alert_price": 168.59, "score": "", "dir_prob": "8.7", "net_sigma": "", "grade": "", "align": "", "premium": "", "wrong_if": "", "context": "", "subject": "Alert: Rev - Screener v1 (SPY, 12): Any alert() function call", "body": "{\"ticker\":\"AMT\", \"setup\":\"A+ Trend Short\", \"side\":\"SHORT\", \"price\":168.59, \"stage\":4, \"buy\":2.3, \"sell\":90.8, \"prime\":-2, \"revL\":0, \"revS\":0, \"vcp\":0, \"dir_prob\":8.7, \"time\":1784122200000}", "ticker": "AMT", "setup": "A+ Trend Short", "side": "SHORT", "price": 168.59, "stage": 4, "buy": 2.3, "sell": 90.8, "prime": -2, "revL": 0, "revS": 0, "vcp": 0, "time": 1784122200000, "email_id": "b'1116'", "timestamp": "2026-07-15 16:01:13"}</t>
  </si>
  <si>
    <t>{"symbol": "UNH", "strategy": "Daily", "action": "LONG", "alert_price": 431.6, "score": "", "dir_prob": "87", "net_sigma": "", "grade": "", "align": "", "premium": "", "wrong_if": "", "context": "", "subject": "Alert: Rev - Screener v1 (SPY, 12): Any alert() function call", "body": "{\"ticker\":\"UNH\", \"setup\":\"Early Action Long\", \"side\":\"LONG\", \"price\":431.60, \"stage\":2, \"buy\":84.3, \"sell\":22.8, \"prime\":1, \"revL\":0, \"revS\":0, \"vcp\":0, \"dir_prob\":87, \"time\":1783603800000}", "ticker": "UNH", "setup": "Early Action Long", "side": "LONG", "price": 431.6, "stage": 2, "buy": 84.3, "sell": 22.8, "prime": 1, "revL": 0, "revS": 0, "vcp": 0, "time": 1783603800000, "email_id": "b'215'", "timestamp": "2026-07-09 16:01:15"}</t>
  </si>
  <si>
    <t>Buy: 94.5 | Sell: 23.6</t>
  </si>
  <si>
    <t>{"symbol": "WSM", "strategy": "Daily", "action": "LONG", "alert_price": 228.45, "score": "", "dir_prob": "83.9", "net_sigma": "", "grade": "", "align": "", "premium": "", "wrong_if": "", "context": "", "subject": "Alert: Rev - Screener v1 (SPY, 12): Any alert() function call", "body": "{\"ticker\":\"WSM\", \"setup\":\"A+ Trend Long\", \"side\":\"LONG\", \"price\":228.45, \"stage\":2, \"buy\":91.5, \"sell\":41.2, \"prime\":2, \"revL\":0, \"revS\":0, \"vcp\":0, \"dir_prob\":83.9, \"time\":1784208600000}", "ticker": "WSM", "setup": "A+ Trend Long", "side": "LONG", "price": 228.45, "stage": 2, "buy": 91.5, "sell": 41.2, "prime": 2, "revL": 0, "revS": 0, "vcp": 0, "time": 1784208600000, "email_id": "b'1206'", "timestamp": "2026-07-16 16:01:03"}</t>
  </si>
  <si>
    <t>Buy: 19.9 | Sell: 12</t>
  </si>
  <si>
    <t>Buy: 24 | Sell: 87.9</t>
  </si>
  <si>
    <t>{"symbol": "PCAR", "strategy": "Daily", "action": "LONG", "alert_price": 123.15, "score": "", "dir_prob": "90.7", "net_sigma": "", "grade": "", "align": "", "premium": "", "wrong_if": "", "context": "", "subject": "Alert: Rev - Screener v1 (SPY, 12): Any alert() function call", "body": "{\"ticker\":\"PCAR\", \"setup\":\"A+ Trend Long\", \"side\":\"LONG\", \"price\":123.15, \"stage\":2, \"buy\":94.5, \"sell\":23.6, \"prime\":2, \"revL\":0, \"revS\":0, \"vcp\":0, \"dir_prob\":90.7, \"time\":1784122200000}", "ticker": "PCAR", "setup": "A+ Trend Long", "side": "LONG", "price": 123.15, "stage": 2, "buy": 94.5, "sell": 23.6, "prime": 2, "revL": 0, "revS": 0, "vcp": 0, "time": 1784122200000, "email_id": "b'1117'", "timestamp": "2026-07-15 16:01:12"}</t>
  </si>
  <si>
    <t>{"symbol": "ABT", "strategy": "Daily", "action": "LONG", "alert_price": 98.82, "score": "", "dir_prob": "83.7", "net_sigma": "", "grade": "", "align": "", "premium": "", "wrong_if": "", "context": "", "subject": "Alert: Rev - Screener v1 (SPY, 12): Any alert() function call", "body": "{\"ticker\":\"ABT\", \"setup\":\"Early Ignition\", \"side\":\"LONG\", \"price\":98.82, \"stage\":2, \"buy\":19.9, \"sell\":12, \"prime\":0, \"revL\":0, \"revS\":7.5, \"vcp\":0, \"dir_prob\":83.7, \"time\":1784208600000}", "ticker": "ABT", "setup": "Early Ignition", "side": "LONG", "price": 98.82, "stage": 2, "buy": 19.9, "sell": 12, "prime": 0, "revL": 0, "revS": 7.5, "vcp": 0, "time": 1784208600000, "email_id": "b'1208'", "timestamp": "2026-07-16 16:01:11"}</t>
  </si>
  <si>
    <t>{"symbol": "FCX", "strategy": "Daily", "action": "SHORT", "alert_price": 60.51, "score": "", "dir_prob": "14.7", "net_sigma": "", "grade": "", "align": "", "premium": "", "wrong_if": "", "context": "", "subject": "Alert: Rev - Screener v1 (SPY, 12): Any alert() function call", "body": "{\"ticker\":\"FCX\", \"setup\":\"A+ Trend Short\", \"side\":\"SHORT\", \"price\":60.51, \"stage\":4, \"buy\":24, \"sell\":87.9, \"prime\":-2, \"revL\":0, \"revS\":0, \"vcp\":0, \"dir_prob\":14.7, \"time\":1783603800000}", "ticker": "FCX", "setup": "A+ Trend Short", "side": "SHORT", "price": 60.51, "stage": 4, "buy": 24, "sell": 87.9, "prime": -2, "revL": 0, "revS": 0, "vcp": 0, "time": 1783603800000, "email_id": "b'187'", "timestamp": "2026-07-09 16:01:11"}</t>
  </si>
  <si>
    <t>Buy: 93.2 | Sell: 30</t>
  </si>
  <si>
    <t>{"symbol": "AMCR", "strategy": "Daily", "action": "LONG", "alert_price": 43.4, "score": "", "dir_prob": "94.6", "net_sigma": "", "grade": "", "align": "", "premium": "", "wrong_if": "", "context": "", "subject": "Alert: Rev - Screener v1 (SPY, 12): Any alert() function call", "body": "{\"ticker\":\"AMCR\", \"setup\":\"A+ Trend Long\", \"side\":\"LONG\", \"price\":43.40, \"stage\":2, \"buy\":96.8, \"sell\":5.2, \"prime\":2, \"revL\":0, \"revS\":0, \"vcp\":0, \"dir_prob\":94.6, \"time\":1784122200000}", "ticker": "AMCR", "setup": "A+ Trend Long", "side": "LONG", "price": 43.4, "stage": 2, "buy": 96.8, "sell": 5.2, "prime": 2, "revL": 0, "revS": 0, "vcp": 0, "time": 1784122200000, "email_id": "b'1118'", "timestamp": "2026-07-15 16:01:19"}</t>
  </si>
  <si>
    <t>Buy: 70.3 | Sell: 58.1</t>
  </si>
  <si>
    <t>Buy: 89.1 | Sell: 5.3</t>
  </si>
  <si>
    <t>{"symbol": "GL", "strategy": "Daily", "action": "LONG", "alert_price": 184.39, "score": "", "dir_prob": "79.9", "net_sigma": "", "grade": "", "align": "", "premium": "", "wrong_if": "", "context": "", "subject": "Alert: Rev - Screener v1 (SPY, 12): Any alert() function call", "body": "{\"ticker\":\"GL\", \"setup\":\"A+ Trend Long\", \"side\":\"LONG\", \"price\":184.39, \"stage\":2, \"buy\":93.2, \"sell\":30, \"prime\":2, \"revL\":0, \"revS\":0, \"vcp\":0, \"dir_prob\":79.9, \"time\":1784208600000}", "ticker": "GL", "setup": "A+ Trend Long", "side": "LONG", "price": 184.39, "stage": 2, "buy": 93.2, "sell": 30, "prime": 2, "revL": 0, "revS": 0, "vcp": 0, "time": 1784208600000, "email_id": "b'1209'", "timestamp": "2026-07-16 16:01:11"}</t>
  </si>
  <si>
    <t>Buy: 86 | Sell: 35.8</t>
  </si>
  <si>
    <t>{"symbol": "PANW", "strategy": "Daily", "action": "LONG", "alert_price": 353.95, "score": "", "dir_prob": "93.6", "net_sigma": "", "grade": "", "align": "", "premium": "", "wrong_if": "", "context": "", "subject": "Alert: Rev - Screener v1 (SPY, 12): Any alert() function call", "body": "{\"ticker\":\"PANW\", \"setup\":\"A+ Trend Long\", \"side\":\"LONG\", \"price\":353.95, \"stage\":2, \"buy\":89.1, \"sell\":5.3, \"prime\":2, \"revL\":0, \"revS\":0, \"vcp\":0, \"dir_prob\":93.6, \"time\":1784122200000}", "ticker": "PANW", "setup": "A+ Trend Long", "side": "LONG", "price": 353.95, "stage": 2, "buy": 89.1, "sell": 5.3, "prime": 2, "revL": 0, "revS": 0, "vcp": 0, "time": 1784122200000, "email_id": "b'1119'", "timestamp": "2026-07-15 16:01:10"}</t>
  </si>
  <si>
    <t>SW</t>
  </si>
  <si>
    <t>{"symbol": "NTAP", "strategy": "Daily", "action": "LONG", "alert_price": 171.74, "score": "", "dir_prob": "65.4", "net_sigma": "", "grade": "", "align": "", "premium": "", "wrong_if": "", "context": "", "subject": "Alert: Rev - Screener v1 (SPY, 12): Any alert() function call", "body": "{\"ticker\":\"NTAP\", \"setup\":\"Coiled VCP\", \"side\":\"LONG\", \"price\":171.74, \"stage\":2, \"buy\":70.3, \"sell\":58.1, \"prime\":1, \"revL\":0, \"revS\":0, \"vcp\":1, \"dir_prob\":65.4, \"time\":1783603800000}", "ticker": "NTAP", "setup": "Coiled VCP", "side": "LONG", "price": 171.74, "stage": 2, "buy": 70.3, "sell": 58.1, "prime": 1, "revL": 0, "revS": 0, "vcp": 1, "time": 1783603800000, "email_id": "b'289'", "timestamp": "2026-07-09 16:01:28"}</t>
  </si>
  <si>
    <t>Buy: 91.4 | Sell: 27.8</t>
  </si>
  <si>
    <t>{"symbol": "ERIE", "strategy": "Daily", "action": "LONG", "alert_price": 225.98, "score": "", "dir_prob": "96.7", "net_sigma": "", "grade": "", "align": "", "premium": "", "wrong_if": "", "context": "", "subject": "Alert: Rev - Screener v1 (SPY, 12): Any alert() function call", "body": "{\"ticker\":\"ERIE\", \"setup\":\"A+ Trend Long\", \"side\":\"LONG\", \"price\":225.98, \"stage\":2, \"buy\":86, \"sell\":35.8, \"prime\":2, \"revL\":0, \"revS\":0, \"vcp\":0, \"dir_prob\":96.7, \"time\":1784208600000}", "ticker": "ERIE", "setup": "A+ Trend Long", "side": "LONG", "price": 225.98, "stage": 2, "buy": 86, "sell": 35.8, "prime": 2, "revL": 0, "revS": 0, "vcp": 0, "time": 1784208600000, "email_id": "b'1207'", "timestamp": "2026-07-16 16:01:01"}</t>
  </si>
  <si>
    <t>Buy: 16.6 | Sell: 89.7</t>
  </si>
  <si>
    <t>Buy: 97.7 | Sell: 3.7</t>
  </si>
  <si>
    <t>{"symbol": "SW", "strategy": "Daily", "action": "LONG", "alert_price": 43.57, "score": "", "dir_prob": "91.4", "net_sigma": "", "grade": "", "align": "", "premium": "", "wrong_if": "", "context": "", "subject": "Alert: Rev - Screener v1 (SPY, 12): Any alert() function call", "body": "{\"ticker\":\"SW\", \"setup\":\"A+ Trend Long\", \"side\":\"LONG\", \"price\":43.57, \"stage\":2, \"buy\":91.4, \"sell\":27.8, \"prime\":2, \"revL\":0, \"revS\":0, \"vcp\":0, \"dir_prob\":91.4, \"time\":1784122200000}", "ticker": "SW", "setup": "A+ Trend Long", "side": "LONG", "price": 43.57, "stage": 2, "buy": 91.4, "sell": 27.8, "prime": 2, "revL": 0, "revS": 0, "vcp": 0, "time": 1784122200000, "email_id": "b'1120'", "timestamp": "2026-07-15 16:01:20"}</t>
  </si>
  <si>
    <t>Buy: 93.1 | Sell: 21.4</t>
  </si>
  <si>
    <t>{"symbol": "L", "strategy": "Daily", "action": "LONG", "alert_price": 113.85, "score": "", "dir_prob": "93.1", "net_sigma": "", "grade": "", "align": "", "premium": "", "wrong_if": "", "context": "", "subject": "Alert: Rev - Screener v1 (SPY, 12): Any alert() function call", "body": "{\"ticker\":\"L\", \"setup\":\"A+ Trend Long\", \"side\":\"LONG\", \"price\":113.85, \"stage\":2, \"buy\":97.7, \"sell\":3.7, \"prime\":2, \"revL\":0, \"revS\":0, \"vcp\":0, \"dir_prob\":93.1, \"time\":1784208600000}", "ticker": "L", "setup": "A+ Trend Long", "side": "LONG", "price": 113.85, "stage": 2, "buy": 97.7, "sell": 3.7, "prime": 2, "revL": 0, "revS": 0, "vcp": 0, "time": 1784208600000, "email_id": "b'1210'", "timestamp": "2026-07-16 16:01:09"}</t>
  </si>
  <si>
    <t>The setup is a TREND_LONG triggered by a dominant buy score of 97.96, a buy/sell ratio of 3.48, and a directional probability of 89.6%, all within Stage 2. The stock is currently in its long entry zone with a 1.99 R:R ratio, supported by a recent KEY_REV_BULL reversal 13 bars ago. The only caution is the 'extended' flag due to ext_pct at 7.9% (Regime 0), which suggests the move is healthy but not yet parabolic. News is neutral with no catalyst, so the technical edge stands.</t>
  </si>
  <si>
    <t>{"symbol": "IRM", "strategy": "Daily", "action": "SHORT", "alert_price": 119.47, "score": "", "dir_prob": "12", "net_sigma": "", "grade": "", "align": "", "premium": "", "wrong_if": "", "context": "", "subject": "Alert: Rev - Screener v1 (SPY, 12): Any alert() function call", "body": "{\"ticker\":\"IRM\", \"setup\":\"A+ Trend Short\", \"side\":\"SHORT\", \"price\":119.47, \"stage\":4, \"buy\":16.6, \"sell\":89.7, \"prime\":-2, \"revL\":0, \"revS\":0, \"vcp\":0, \"dir_prob\":12, \"time\":1783603800000}", "ticker": "IRM", "setup": "A+ Trend Short", "side": "SHORT", "price": 119.47, "stage": 4, "buy": 16.6, "sell": 89.7, "prime": -2, "revL": 0, "revS": 0, "vcp": 0, "time": 1783603800000, "email_id": "b'326'", "timestamp": "2026-07-09 16:01:19"}</t>
  </si>
  <si>
    <t>Buy: 13 | Sell: 90</t>
  </si>
  <si>
    <t>{"symbol": "BRK.B", "strategy": "Daily", "action": "LONG", "alert_price": 488.74, "score": "", "dir_prob": "92.1", "net_sigma": "", "grade": "", "align": "", "premium": "", "wrong_if": "", "context": "", "subject": "Alert: Rev - Screener v1 (SPY, 12): Any alert() function call", "body": "{\"ticker\":\"BRK.B\", \"setup\":\"A+ Trend Long\", \"side\":\"LONG\", \"price\":488.74, \"stage\":2, \"buy\":93.1, \"sell\":21.4, \"prime\":2, \"revL\":0, \"revS\":0, \"vcp\":0, \"dir_prob\":92.1, \"time\":1784122200000}", "ticker": "BRK.B", "setup": "A+ Trend Long", "side": "LONG", "price": 488.74, "stage": 2, "buy": 93.1, "sell": 21.4, "prime": 2, "revL": 0, "revS": 0, "vcp": 0, "time": 1784122200000, "email_id": "b'1121'", "timestamp": "2026-07-15 16:01:25"}</t>
  </si>
  <si>
    <t>Buy: 29.7 | Sell: 93.6</t>
  </si>
  <si>
    <t>{"symbol": "FOX", "strategy": "Daily", "action": "SHORT", "alert_price": 51.05, "score": "", "dir_prob": "6.6", "net_sigma": "", "grade": "", "align": "", "premium": "", "wrong_if": "", "context": "", "subject": "Alert: Rev - Screener v1 (SPY, 12): Any alert() function call", "body": "{\"ticker\":\"FOX\", \"setup\":\"A+ Trend Short\", \"side\":\"SHORT\", \"price\":51.05, \"stage\":4, \"buy\":13, \"sell\":90, \"prime\":-2, \"revL\":0, \"revS\":0, \"vcp\":0, \"dir_prob\":6.6, \"time\":1784208600000}", "ticker": "FOX", "setup": "A+ Trend Short", "side": "SHORT", "price": 51.05, "stage": 4, "buy": 13, "sell": 90, "prime": -2, "revL": 0, "revS": 0, "vcp": 0, "time": 1784208600000, "email_id": "b'1211'", "timestamp": "2026-07-16 16:01:04"}</t>
  </si>
  <si>
    <t>Buy: 10.5 | Sell: 94.3</t>
  </si>
  <si>
    <t>Buy: 74.1 | Sell: 7.1</t>
  </si>
  <si>
    <t>{"symbol": "FRT", "strategy": "Daily", "action": "SHORT", "alert_price": 122.24, "score": "", "dir_prob": "7.7", "net_sigma": "", "grade": "", "align": "", "premium": "", "wrong_if": "", "context": "", "subject": "Alert: Rev - Screener v1 (SPY, 12): Any alert() function call", "body": "{\"ticker\":\"FRT\", \"setup\":\"A+ Trend Short\", \"side\":\"SHORT\", \"price\":122.24, \"stage\":4, \"buy\":29.7, \"sell\":93.6, \"prime\":-2, \"revL\":0, \"revS\":0, \"vcp\":0, \"dir_prob\":7.7, \"time\":1784122200000}", "ticker": "FRT", "setup": "A+ Trend Short", "side": "SHORT", "price": 122.24, "stage": 4, "buy": 29.7, "sell": 93.6, "prime": -2, "revL": 0, "revS": 0, "vcp": 0, "time": 1784122200000, "email_id": "b'1122'", "timestamp": "2026-07-15 16:01:22"}</t>
  </si>
  <si>
    <t>Buy: 81.4 | Sell: 6.1</t>
  </si>
  <si>
    <t>{"symbol": "WELL", "strategy": "Daily", "action": "LONG", "alert_price": 241.45, "score": "", "dir_prob": "81.1", "net_sigma": "", "grade": "", "align": "", "premium": "", "wrong_if": "", "context": "", "subject": "Alert: Rev - Screener v1 (SPY, 12): Any alert() function call", "body": "{\"ticker\":\"WELL\", \"setup\":\"Early Action Long\", \"side\":\"LONG\", \"price\":241.45, \"stage\":2, \"buy\":74.1, \"sell\":7.1, \"prime\":1, \"revL\":0, \"revS\":0, \"vcp\":0, \"dir_prob\":81.1, \"time\":1784208600000}", "ticker": "WELL", "setup": "Early Action Long", "side": "LONG", "price": 241.45, "stage": 2, "buy": 74.1, "sell": 7.1, "prime": 1, "revL": 0, "revS": 0, "vcp": 0, "time": 1784208600000, "email_id": "b'1212'", "timestamp": "2026-07-16 16:01:17"}</t>
  </si>
  <si>
    <t>Buy: 94.1 | Sell: 17.8</t>
  </si>
  <si>
    <t>{"symbol": "LYB", "strategy": "Daily", "action": "SHORT", "alert_price": 55.39, "score": "", "dir_prob": "8.8", "net_sigma": "", "grade": "", "align": "", "premium": "", "wrong_if": "", "context": "", "subject": "Alert: Rev - Screener v1 (SPY, 12): Any alert() function call", "body": "{\"ticker\":\"LYB\", \"setup\":\"A+ Trend Short\", \"side\":\"SHORT\", \"price\":55.39, \"stage\":4, \"buy\":10.5, \"sell\":94.3, \"prime\":-2, \"revL\":0, \"revS\":0, \"vcp\":0, \"dir_prob\":8.8, \"time\":1783603800000}", "ticker": "LYB", "setup": "A+ Trend Short", "side": "SHORT", "price": 55.39, "stage": 4, "buy": 10.5, "sell": 94.3, "prime": -2, "revL": 0, "revS": 0, "vcp": 0, "time": 1783603800000, "email_id": "b'219'", "timestamp": "2026-07-09 16:01:15"}</t>
  </si>
  <si>
    <t>{"symbol": "TROW", "strategy": "Daily", "action": "LONG", "alert_price": 118.59, "score": "", "dir_prob": "92.3", "net_sigma": "", "grade": "", "align": "", "premium": "", "wrong_if": "", "context": "", "subject": "Alert: Rev - Screener v1 (SPY, 12): Any alert() function call", "body": "{\"ticker\":\"TROW\", \"setup\":\"Early Action Long\", \"side\":\"LONG\", \"price\":118.59, \"stage\":2, \"buy\":81.4, \"sell\":6.1, \"prime\":1, \"revL\":0, \"revS\":0, \"vcp\":0, \"dir_prob\":92.3, \"time\":1784122200000}", "ticker": "TROW", "setup": "Early Action Long", "side": "LONG", "price": 118.59, "stage": 2, "buy": 81.4, "sell": 6.1, "prime": 1, "revL": 0, "revS": 0, "vcp": 0, "time": 1784122200000, "email_id": "b'1123'", "timestamp": "2026-07-15 16:01:06"}</t>
  </si>
  <si>
    <t>The technicals show a strong long bias with a Buy score of 87.7, Dir Prob of 82.96, and Stage 2, triggering a TREND_LONG entry mode. However, the news contradicts this bullish setup as Barclays maintains an Underweight rating and raises the price target to $108 (below current $118.58), creating a significant fundamental headwind. Additionally, earnings are imminent in 16 days, adding volatility risk. The churn flag is present due to the high opposite score (30.15) relative to the weak Rev Zone signals (L:3.5, S:4.5), suggesting conflicting momentum.</t>
  </si>
  <si>
    <t>Buy: 95.8 | Sell: 6</t>
  </si>
  <si>
    <t>{"symbol": "FITB", "strategy": "Daily", "action": "LONG", "alert_price": 59.36, "score": "", "dir_prob": "88.9", "net_sigma": "", "grade": "", "align": "", "premium": "", "wrong_if": "", "context": "", "subject": "Alert: Rev - Screener v1 (SPY, 12): Any alert() function call", "body": "{\"ticker\":\"FITB\", \"setup\":\"A+ Trend Long\", \"side\":\"LONG\", \"price\":59.36, \"stage\":2, \"buy\":94.1, \"sell\":17.8, \"prime\":2, \"revL\":0, \"revS\":0, \"vcp\":0, \"dir_prob\":88.9, \"time\":1784208600000}", "ticker": "FITB", "setup": "A+ Trend Long", "side": "LONG", "price": 59.36, "stage": 2, "buy": 94.1, "sell": 17.8, "prime": 2, "revL": 0, "revS": 0, "vcp": 0, "time": 1784208600000, "email_id": "b'1213'", "timestamp": "2026-07-16 16:01:13"}</t>
  </si>
  <si>
    <t>Buy: 96.1 | Sell: 7.6</t>
  </si>
  <si>
    <t>Buy: 85.6 | Sell: 5.7</t>
  </si>
  <si>
    <t>{"symbol": "TROW", "strategy": "Daily", "action": "LONG", "alert_price": 118.89, "score": "", "dir_prob": "93.1", "net_sigma": "", "grade": "", "align": "", "premium": "", "wrong_if": "", "context": "", "subject": "Alert: Rev - Screener v1 (SPY, 12): Any alert() function call", "body": "{\"ticker\":\"TROW\", \"setup\":\"A+ Trend Long\", \"side\":\"LONG\", \"price\":118.89, \"stage\":2, \"buy\":85.6, \"sell\":5.7, \"prime\":2, \"revL\":0, \"revS\":0, \"vcp\":0, \"dir_prob\":93.1, \"time\":1784208600000}", "ticker": "TROW", "setup": "A+ Trend Long", "side": "LONG", "price": 118.89, "stage": 2, "buy": 85.6, "sell": 5.7, "prime": 2, "revL": 0, "revS": 0, "vcp": 0, "time": 1784208600000, "email_id": "b'1214'", "timestamp": "2026-07-16 16:01:15"}</t>
  </si>
  <si>
    <t>The technicals show a strong long bias with a Buy score of 91.02, Dir Prob of 84.58, and Stage 2, indicating a healthy uptrend. However, the news contradicts this momentum as Barclays downgraded the stock to Underweight, raising the price target only to $108 (below the current $118.87). This news veto caps the setup at WATCH. Additionally, the stock is in Zone State 'in_zone' with an R:R of 2.0, but the 'earnings' flag is present (15 days out), adding caution.</t>
  </si>
  <si>
    <t>{"symbol": "DAL", "strategy": "Daily", "action": "LONG", "alert_price": 88.98, "score": "", "dir_prob": "91.3", "net_sigma": "", "grade": "", "align": "", "premium": "", "wrong_if": "", "context": "", "subject": "Alert: Rev - Screener v1 (SPY, 12): Any alert() function call", "body": "{\"ticker\":\"DAL\", \"setup\":\"A+ Trend Long\", \"side\":\"LONG\", \"price\":88.98, \"stage\":2, \"buy\":96.1, \"sell\":7.6, \"prime\":2, \"revL\":0, \"revS\":0, \"vcp\":0, \"dir_prob\":91.3, \"time\":1783603800000}", "ticker": "DAL", "setup": "A+ Trend Long", "side": "LONG", "price": 88.98, "stage": 2, "buy": 96.1, "sell": 7.6, "prime": 2, "revL": 0, "revS": 0, "vcp": 0, "time": 1783603800000, "email_id": "b'333'", "timestamp": "2026-07-09 16:01:03"}</t>
  </si>
  <si>
    <t>Buy: 90.1 | Sell: 9.1</t>
  </si>
  <si>
    <t>{"symbol": "FITB", "strategy": "Daily", "action": "LONG", "alert_price": 57.95, "score": "", "dir_prob": "92.3", "net_sigma": "", "grade": "", "align": "", "premium": "", "wrong_if": "", "context": "", "subject": "Alert: Rev - Screener v1 (SPY, 12): Any alert() function call", "body": "{\"ticker\":\"FITB\", \"setup\":\"A+ Trend Long\", \"side\":\"LONG\", \"price\":57.95, \"stage\":2, \"buy\":95.8, \"sell\":6, \"prime\":2, \"revL\":0, \"revS\":0, \"vcp\":0, \"dir_prob\":92.3, \"time\":1784122200000}", "ticker": "FITB", "setup": "A+ Trend Long", "side": "LONG", "price": 57.95, "stage": 2, "buy": 95.8, "sell": 6, "prime": 2, "revL": 0, "revS": 0, "vcp": 0, "time": 1784122200000, "email_id": "b'1124'", "timestamp": "2026-07-15 16:01:19"}</t>
  </si>
  <si>
    <t>The setup is a TREND_LONG driven by a dominant Buy score of 93.66, a Dir Prob of 88.42, and Stage 2 momentum, with the price currently inside the long entry zone. News sentiment is bullish, confirming the technical bias with sector-wide comeback expectations. However, the triage is capped at WATCH due to the 'earnings_gate' being FAIL with earnings in 2 days, creating a near-term risk of volatility.</t>
  </si>
  <si>
    <t>Buy: 90.4 | Sell: 8.5</t>
  </si>
  <si>
    <t>Buy: 6.4 | Sell: 90.1</t>
  </si>
  <si>
    <t>{"symbol": "FTNT", "strategy": "Daily", "action": "LONG", "alert_price": 160.79, "score": "", "dir_prob": "92.5", "net_sigma": "", "grade": "", "align": "", "premium": "", "wrong_if": "", "context": "", "subject": "Alert: Rev - Screener v1 (SPY, 12): Any alert() function call", "body": "{\"ticker\":\"FTNT\", \"setup\":\"A+ Trend Long\", \"side\":\"LONG\", \"price\":160.79, \"stage\":2, \"buy\":90.1, \"sell\":9.1, \"prime\":2, \"revL\":0, \"revS\":0, \"vcp\":0, \"dir_prob\":92.5, \"time\":1784208600000}", "ticker": "FTNT", "setup": "A+ Trend Long", "side": "LONG", "price": 160.79, "stage": 2, "buy": 90.1, "sell": 9.1, "prime": 2, "revL": 0, "revS": 0, "vcp": 0, "time": 1784208600000, "email_id": "b'1215'", "timestamp": "2026-07-16 16:01:05"}</t>
  </si>
  <si>
    <t>FTNT shows a strong TREND_LONG setup with a Buy score of 91.29 and 91% directional probability, supported by a Stage 2 uptrend and 50% extension above MA200. However, the news read CONTRADICTS the bullish technicals: while TD Cowen raised its target, Mizuho maintained an 'Underperform' rating, creating conflicting analyst sentiment. This contradiction, combined with high exhaustion (0.45) and a 'TOP' warning 7 bars ago, caps the setup at WATCH rather than PASS. The R:R is acceptable (1.02) but the mixed catalyst and elevated risk flags warrant caution.</t>
  </si>
  <si>
    <t>{"symbol": "HIG", "strategy": "Daily", "action": "LONG", "alert_price": 134.47, "score": "", "dir_prob": "93.4", "net_sigma": "", "grade": "", "align": "", "premium": "", "wrong_if": "", "context": "", "subject": "Alert: Rev - Screener v1 (SPY, 12): Any alert() function call", "body": "{\"ticker\":\"HIG\", \"setup\":\"A+ Trend Long\", \"side\":\"LONG\", \"price\":134.47, \"stage\":2, \"buy\":90.4, \"sell\":8.5, \"prime\":2, \"revL\":0, \"revS\":0, \"vcp\":0, \"dir_prob\":93.4, \"time\":1784122200000}", "ticker": "HIG", "setup": "A+ Trend Long", "side": "LONG", "price": 134.47, "stage": 2, "buy": 90.4, "sell": 8.5, "prime": 2, "revL": 0, "revS": 0, "vcp": 0, "time": 1784122200000, "email_id": "b'1125'", "timestamp": "2026-07-15 16:01:20"}</t>
  </si>
  <si>
    <t>Buy: 94.1 | Sell: 5.8</t>
  </si>
  <si>
    <t>{"symbol": "DOW", "strategy": "Daily", "action": "SHORT", "alert_price": 28.5, "score": "", "dir_prob": "5.5", "net_sigma": "", "grade": "", "align": "", "premium": "", "wrong_if": "", "context": "", "subject": "Alert: Rev - Screener v1 (SPY, 12): Any alert() function call", "body": "{\"ticker\":\"DOW\", \"setup\":\"A+ Trend Short\", \"side\":\"SHORT\", \"price\":28.50, \"stage\":4, \"buy\":6.4, \"sell\":90.1, \"prime\":-2, \"revL\":0, \"revS\":0, \"vcp\":0, \"dir_prob\":5.5, \"time\":1783603800000}", "ticker": "DOW", "setup": "A+ Trend Short", "side": "SHORT", "price": 28.5, "stage": 4, "buy": 6.4, "sell": 90.1, "prime": -2, "revL": 0, "revS": 0, "vcp": 0, "time": 1783603800000, "email_id": "b'177'", "timestamp": "2026-07-09 16:01:13"}</t>
  </si>
  <si>
    <t>Buy: 72.7 | Sell: 17.1</t>
  </si>
  <si>
    <t>Buy: 97.1 | Sell: 5.8</t>
  </si>
  <si>
    <t>{"symbol": "GE", "strategy": "Daily", "action": "LONG", "alert_price": 345.75, "score": "", "dir_prob": "94.4", "net_sigma": "", "grade": "", "align": "", "premium": "", "wrong_if": "", "context": "", "subject": "Alert: Rev - Screener v1 (SPY, 12): Any alert() function call", "body": "{\"ticker\":\"GE\", \"setup\":\"A+ Trend Long\", \"side\":\"LONG\", \"price\":345.75, \"stage\":2, \"buy\":94.1, \"sell\":5.8, \"prime\":2, \"revL\":0, \"revS\":0, \"vcp\":0, \"dir_prob\":94.4, \"time\":1784208600000}", "ticker": "GE", "setup": "A+ Trend Long", "side": "LONG", "price": 345.75, "stage": 2, "buy": 94.1, "sell": 5.8, "prime": 2, "revL": 0, "revS": 0, "vcp": 0, "time": 1784208600000, "email_id": "b'1216'", "timestamp": "2026-07-16 16:01:15"}</t>
  </si>
  <si>
    <t>The technicals show a strong long bias with a Buy score of 86.19 and 92.04% directional probability in Stage 2, triggering a TREND_LONG entry mode. However, the news explicitly contradicts this bullish setup by highlighting supply constraints as the primary growth hurdle, which caps the triage at WATCH. Additionally, the 'earnings_gate' is FAIL (earnings imminent), and the 'TOP' warning combined with a Buy score of 86 suggests potential churn or exhaustion, further reducing conviction.</t>
  </si>
  <si>
    <t>{"symbol": "BAC", "strategy": "Daily", "action": "LONG", "alert_price": 61.62, "score": "", "dir_prob": "79.4", "net_sigma": "", "grade": "", "align": "", "premium": "", "wrong_if": "", "context": "", "subject": "Alert: Rev - Screener v1 (SPY, 12): Any alert() function call", "body": "{\"ticker\":\"BAC\", \"setup\":\"Early Action Long\", \"side\":\"LONG\", \"price\":61.62, \"stage\":2, \"buy\":72.7, \"sell\":17.1, \"prime\":1, \"revL\":0, \"revS\":0, \"vcp\":0, \"dir_prob\":79.4, \"time\":1784122200000}", "ticker": "BAC", "setup": "Early Action Long", "side": "LONG", "price": 61.62, "stage": 2, "buy": 72.7, "sell": 17.1, "prime": 1, "revL": 0, "revS": 0, "vcp": 0, "time": 1784122200000, "email_id": "b'1126'", "timestamp": "2026-07-15 16:01:22"}</t>
  </si>
  <si>
    <t>SURVIVOR (185.5)</t>
  </si>
  <si>
    <t>Buy: 97.4 | Sell: 7</t>
  </si>
  <si>
    <t>Buy: 92.8 | Sell: 9.2</t>
  </si>
  <si>
    <t>BUY (Trend-Following Momentum) — but **WAIT FOR 60M CONFIRMATION** before sizing up</t>
  </si>
  <si>
    <t>{"symbol": "ALL", "strategy": "Daily", "action": "LONG", "alert_price": 241.89, "score": "", "dir_prob": "92.3", "net_sigma": "", "grade": "", "align": "", "premium": "", "wrong_if": "", "context": "", "subject": "Alert: Rev - Screener v1 (SPY, 12): Any alert() function call", "body": "{\"ticker\":\"ALL\", \"setup\":\"A+ Trend Long\", \"side\":\"LONG\", \"price\":241.89, \"stage\":2, \"buy\":97.4, \"sell\":7, \"prime\":2, \"revL\":0, \"revS\":0, \"vcp\":0, \"dir_prob\":92.3, \"time\":1784208600000}", "ticker": "ALL", "setup": "A+ Trend Long", "side": "LONG", "price": 241.89, "stage": 2, "buy": 97.4, "sell": 7, "prime": 2, "revL": 0, "revS": 0, "vcp": 0, "time": 1784208600000, "email_id": "b'1217'", "timestamp": "2026-07-16 16:01:16"}</t>
  </si>
  <si>
    <t>The setup is a TREND_LONG driven by a dominant Buy score of 98.4 and a 90.04% directional probability in Stage 2. The news confirms this bias with a UBS upgrade and a raised price target, despite mixed headlines regarding catastrophe losses. However, the high Buy score combined with a 13.84% extension above the MA200 and a 'TOP' warning from 4 bars ago flags 'extended' and 'churn' conditions, suggesting the move may be nearing a local peak. The R:R is acceptable at 1.71, but the technical exhaustion warrants caution on entry timing.</t>
  </si>
  <si>
    <t>{"symbol": "APH", "strategy": "Daily", "action": "LONG", "alert_price": 162.2, "score": "", "dir_prob": "93.9", "net_sigma": "", "grade": "", "align": "", "premium": "", "wrong_if": "", "context": "", "subject": "Alert: Rev - Screener v1 (SPY, 12): Any alert() function call", "body": "{\"ticker\":\"APH\", \"setup\":\"A+ Trend Long\", \"side\":\"LONG\", \"price\":162.20, \"stage\":2, \"buy\":97.1, \"sell\":5.8, \"prime\":2, \"revL\":0, \"revS\":0, \"vcp\":0, \"dir_prob\":93.9, \"time\":1783603800000}", "ticker": "APH", "setup": "A+ Trend Long", "side": "LONG", "price": 162.2, "stage": 2, "buy": 97.1, "sell": 5.8, "prime": 2, "revL": 0, "revS": 0, "vcp": 0, "time": 1783603800000, "email_id": "b'322'", "timestamp": "2026-07-09 16:01:32"}</t>
  </si>
  <si>
    <t>Buy: 92.2 | Sell: 9.1</t>
  </si>
  <si>
    <t>{"symbol": "BXP", "strategy": "Daily", "action": "LONG", "alert_price": 68.93, "score": "", "dir_prob": "94.1", "net_sigma": "", "grade": "", "align": "", "premium": "", "wrong_if": "", "context": "", "subject": "Alert: Rev - Screener v1 (SPY, 12): Any alert() function call", "body": "{\"ticker\":\"BXP\", \"setup\":\"A+ Trend Long\", \"side\":\"LONG\", \"price\":68.93, \"stage\":2, \"buy\":92.8, \"sell\":9.2, \"prime\":2, \"revL\":0, \"revS\":0, \"vcp\":0, \"dir_prob\":94.1, \"time\":1784122200000}", "ticker": "BXP", "setup": "A+ Trend Long", "side": "LONG", "price": 68.93, "stage": 2, "buy": 92.8, "sell": 9.2, "prime": 2, "revL": 0, "revS": 0, "vcp": 0, "time": 1784122200000, "email_id": "b'1127'", "timestamp": "2026-07-15 16:01:19"}</t>
  </si>
  <si>
    <t>The setup is a TREND_LONG triggered by a dominant buy score of 97.17, a direction probability of 95.74, and a regime of 0 (Healthy). The stock is currently in the long entry zone with a 2.0 R:R ratio, and the low exhaustion (0.121) confirms the move is not overextended. The Rev Zone L score of 4.5 indicates a Zone 2 dip-buy opportunity, suggesting the price is finding support within the trend. With no negative news and a clean technical structure, the setup is valid.</t>
  </si>
  <si>
    <t xml:space="preserve">Sentiment: 0.329209 (Somewhat-Bullish)
</t>
  </si>
  <si>
    <t>Buy: 95.8 | Sell: 5.7</t>
  </si>
  <si>
    <t>Buy: 94.4 | Sell: 22</t>
  </si>
  <si>
    <t>{"symbol": "COF", "strategy": "Daily", "action": "LONG", "alert_price": 211.97, "score": "", "dir_prob": "96.6", "net_sigma": "", "grade": "", "align": "", "premium": "", "wrong_if": "", "context": "", "subject": "Alert: Rev - Screener v1 (SPY, 12): Any alert() function call", "body": "{\"ticker\":\"COF\", \"setup\":\"A+ Trend Long\", \"side\":\"LONG\", \"price\":211.97, \"stage\":2, \"buy\":92.2, \"sell\":9.1, \"prime\":2, \"revL\":0, \"revS\":4.5, \"vcp\":1, \"dir_prob\":96.6, \"time\":1784208600000}", "ticker": "COF", "setup": "A+ Trend Long", "side": "LONG", "price": 211.97, "stage": 2, "buy": 92.2, "sell": 9.1, "prime": 2, "revL": 0, "revS": 4.5, "vcp": 1, "time": 1784208600000, "email_id": "b'1218'", "timestamp": "2026-07-16 16:01:07"}</t>
  </si>
  <si>
    <t>ORLY</t>
  </si>
  <si>
    <t>Buy: 28.5 | Sell: 85.8</t>
  </si>
  <si>
    <t>{"symbol": "TECH", "strategy": "Daily", "action": "LONG", "alert_price": 71.49, "score": "", "dir_prob": "94.5", "net_sigma": "", "grade": "", "align": "", "premium": "", "wrong_if": "", "context": "", "subject": "Alert: Rev - Screener v1 (SPY, 12): Any alert() function call", "body": "{\"ticker\":\"TECH\", \"setup\":\"A+ Trend Long\", \"side\":\"LONG\", \"price\":71.49, \"stage\":2, \"buy\":94.4, \"sell\":22, \"prime\":2, \"revL\":0, \"revS\":0, \"vcp\":0, \"dir_prob\":94.5, \"time\":1784122200000}", "ticker": "TECH", "setup": "A+ Trend Long", "side": "LONG", "price": 71.49, "stage": 2, "buy": 94.4, "sell": 22, "prime": 2, "revL": 0, "revS": 0, "vcp": 0, "time": 1784122200000, "email_id": "b'1128'", "timestamp": "2026-07-15 16:01:24"}</t>
  </si>
  <si>
    <t>The setup is a TREND_LONG triggered by a dominant buy score of 96.75 and a direction probability of 96.33, with the price currently inside the long entry zone. The technicals are healthy with low exhaustion (0.196) and a favorable R:R of 2.01, though the stock is extended at +23% above the MA200. The triage is capped to WATCH due to the 'extended' regime and an earnings event in 21 days, despite the strong momentum.</t>
  </si>
  <si>
    <t>Buy: 96.8 | Sell: 21.3</t>
  </si>
  <si>
    <t>{"symbol": "VRTX", "strategy": "Daily", "action": "LONG", "alert_price": 496.43, "score": "", "dir_prob": "94.1", "net_sigma": "", "grade": "", "align": "", "premium": "", "wrong_if": "", "context": "", "subject": "Alert: Rev - Screener v1 (SPY, 12): Any alert() function call", "body": "{\"ticker\":\"VRTX\", \"setup\":\"A+ Trend Long\", \"side\":\"LONG\", \"price\":496.43, \"stage\":2, \"buy\":95.8, \"sell\":5.7, \"prime\":2, \"revL\":0, \"revS\":0, \"vcp\":0, \"dir_prob\":94.1, \"time\":1783603800000}", "ticker": "VRTX", "setup": "A+ Trend Long", "side": "LONG", "price": 496.43, "stage": 2, "buy": 95.8, "sell": 5.7, "prime": 2, "revL": 0, "revS": 0, "vcp": 0, "time": 1783603800000, "email_id": "b'274'", "timestamp": "2026-07-09 16:01:22"}</t>
  </si>
  <si>
    <t>{"symbol": "ORLY", "strategy": "Daily", "action": "SHORT", "alert_price": 86.25, "score": "", "dir_prob": "18.8", "net_sigma": "", "grade": "", "align": "", "premium": "", "wrong_if": "", "context": "", "subject": "Alert: Rev - Screener v1 (SPY, 12): Any alert() function call", "body": "{\"ticker\":\"ORLY\", \"setup\":\"A+ Trend Short\", \"side\":\"SHORT\", \"price\":86.25, \"stage\":4, \"buy\":28.5, \"sell\":85.8, \"prime\":-2, \"revL\":0, \"revS\":0, \"vcp\":0, \"dir_prob\":18.8, \"time\":1784208600000}", "ticker": "ORLY", "setup": "A+ Trend Short", "side": "SHORT", "price": 86.25, "stage": 4, "buy": 28.5, "sell": 85.8, "prime": -2, "revL": 0, "revS": 0, "vcp": 0, "time": 1784208600000, "email_id": "b'1219'", "timestamp": "2026-07-16 16:01:09"}</t>
  </si>
  <si>
    <t>The technical setup shows no active edge; the dominant side is short but the buy score (68.86) equals the opposite score, creating a 'churn' condition where momentum is conflicting. While a Zone-2 reversal signal (rev_zone_l=8.5) exists, it is insufficient to trigger a mean-reversion entry without a stronger signal (Zone 0 or 1) or a clear trend confirmation. The stock is approaching earnings in 13 days, adding uncertainty to any directional move.</t>
  </si>
  <si>
    <t>BKNG</t>
  </si>
  <si>
    <t>Buy: 94.8 | Sell: 8.8</t>
  </si>
  <si>
    <t>Buy: 92.8 | Sell: 12</t>
  </si>
  <si>
    <t>{"symbol": "PH", "strategy": "Daily", "action": "LONG", "alert_price": 952.62, "score": "", "dir_prob": "87.4", "net_sigma": "", "grade": "", "align": "", "premium": "", "wrong_if": "", "context": "", "subject": "Alert: Rev - Screener v1 (SPY, 12): Any alert() function call", "body": "{\"ticker\":\"PH\", \"setup\":\"A+ Trend Long\", \"side\":\"LONG\", \"price\":952.62, \"stage\":2, \"buy\":96.8, \"sell\":21.3, \"prime\":2, \"revL\":0, \"revS\":0, \"vcp\":1, \"dir_prob\":87.4, \"time\":1784122200000}", "ticker": "PH", "setup": "A+ Trend Long", "side": "LONG", "price": 952.62, "stage": 2, "buy": 96.8, "sell": 21.3, "prime": 2, "revL": 0, "revS": 0, "vcp": 1, "time": 1784122200000, "email_id": "b'1129'", "timestamp": "2026-07-15 16:01:21"}</t>
  </si>
  <si>
    <t>Buy: 94.3 | Sell: 19.5</t>
  </si>
  <si>
    <t>{"symbol": "BKNG", "strategy": "Daily", "action": "LONG", "alert_price": 184.62, "score": "", "dir_prob": "97.2", "net_sigma": "", "grade": "", "align": "", "premium": "", "wrong_if": "", "context": "", "subject": "Alert: Rev - Screener v1 (SPY, 12): Any alert() function call", "body": "{\"ticker\":\"BKNG\", \"setup\":\"Bullish Squeeze Release\", \"side\":\"LONG\", \"price\":184.62, \"stage\":2, \"buy\":94.8, \"sell\":8.8, \"prime\":0, \"revL\":0, \"revS\":0, \"vcp\":2, \"dir_prob\":97.2, \"time\":1784208600000}", "ticker": "BKNG", "setup": "Bullish Squeeze Release", "side": "LONG", "price": 184.62, "stage": 2, "buy": 94.8, "sell": 8.8, "prime": 0, "revL": 0, "revS": 0, "vcp": 2, "time": 1784208600000, "email_id": "b'1220'", "timestamp": "2026-07-16 16:01:13"}</t>
  </si>
  <si>
    <t>Buy: 73.9 | Sell: 9.2</t>
  </si>
  <si>
    <t>{"symbol": "LLY", "strategy": "Daily", "action": "LONG", "alert_price": 1216.67, "score": "", "dir_prob": "92.2", "net_sigma": "", "grade": "", "align": "", "premium": "", "wrong_if": "", "context": "", "subject": "Alert: Rev - Screener v1 (SPY, 12): Any alert() function call", "body": "{\"ticker\":\"LLY\", \"setup\":\"A+ Trend Long\", \"side\":\"LONG\", \"price\":1216.67, \"stage\":2, \"buy\":92.8, \"sell\":12, \"prime\":2, \"revL\":0, \"revS\":0, \"vcp\":0, \"dir_prob\":92.2, \"time\":1783603800000}", "ticker": "LLY", "setup": "A+ Trend Long", "side": "LONG", "price": 1216.67, "stage": 2, "buy": 92.8, "sell": 12, "prime": 2, "revL": 0, "revS": 0, "vcp": 0, "time": 1783603800000, "email_id": "b'233'", "timestamp": "2026-07-09 16:01:37"}</t>
  </si>
  <si>
    <t>{"symbol": "APH", "strategy": "Daily", "action": "LONG", "alert_price": 157.08, "score": "", "dir_prob": "89.3", "net_sigma": "", "grade": "", "align": "", "premium": "", "wrong_if": "", "context": "", "subject": "Alert: Rev - Screener v1 (SPY, 12): Any alert() function call", "body": "{\"ticker\":\"APH\", \"setup\":\"A+ Trend Long\", \"side\":\"LONG\", \"price\":157.08, \"stage\":2, \"buy\":94.3, \"sell\":19.5, \"prime\":2, \"revL\":0, \"revS\":0, \"vcp\":-2, \"dir_prob\":89.3, \"time\":1784122200000}", "ticker": "APH", "setup": "A+ Trend Long", "side": "LONG", "price": 157.08, "stage": 2, "buy": 94.3, "sell": 19.5, "prime": 2, "revL": 0, "revS": 0, "vcp": -2, "time": 1784122200000, "email_id": "b'1130'", "timestamp": "2026-07-15 16:01:22"}</t>
  </si>
  <si>
    <t>Buy: 7.5 | Sell: 86.3</t>
  </si>
  <si>
    <t>{"symbol": "BXP", "strategy": "Daily", "action": "LONG", "alert_price": 70.64, "score": "", "dir_prob": "90.3", "net_sigma": "", "grade": "", "align": "", "premium": "", "wrong_if": "", "context": "", "subject": "Alert: Rev - Screener v1 (SPY, 12): Any alert() function call", "body": "{\"ticker\":\"BXP\", \"setup\":\"Early Action Long\", \"side\":\"LONG\", \"price\":70.64, \"stage\":2, \"buy\":73.9, \"sell\":9.2, \"prime\":1, \"revL\":0, \"revS\":0, \"vcp\":0, \"dir_prob\":90.3, \"time\":1784208600000}", "ticker": "BXP", "setup": "Early Action Long", "side": "LONG", "price": 70.64, "stage": 2, "buy": 73.9, "sell": 9.2, "prime": 1, "revL": 0, "revS": 0, "vcp": 0, "time": 1784208600000, "email_id": "b'1221'", "timestamp": "2026-07-16 16:01:09"}</t>
  </si>
  <si>
    <t>Buy: 96.7 | Sell: 5.3</t>
  </si>
  <si>
    <t>Buy: 97 | Sell: 19.3</t>
  </si>
  <si>
    <t>{"symbol": "KVUE", "strategy": "Daily", "action": "LONG", "alert_price": 19.02, "score": "", "dir_prob": "93.1", "net_sigma": "", "grade": "", "align": "", "premium": "", "wrong_if": "", "context": "", "subject": "Alert: Rev - Screener v1 (SPY, 12): Any alert() function call", "body": "{\"ticker\":\"KVUE\", \"setup\":\"A+ Trend Long\", \"side\":\"LONG\", \"price\":19.02, \"stage\":2, \"buy\":97, \"sell\":19.3, \"prime\":2, \"revL\":0, \"revS\":0, \"vcp\":0, \"dir_prob\":93.1, \"time\":1784208600000}", "ticker": "KVUE", "setup": "A+ Trend Long", "side": "LONG", "price": 19.02, "stage": 2, "buy": 97, "sell": 19.3, "prime": 2, "revL": 0, "revS": 0, "vcp": 0, "time": 1784208600000, "email_id": "b'1222'", "timestamp": "2026-07-16 16:01:05"}</t>
  </si>
  <si>
    <t>KVUE is firing a TREND_LONG signal with a Buy Score of 96.34 and Dir Prob of 95.19, indicating a strong bullish bias in Stage 2. The news confirms this with UBS raising the price target to $20, aligning with the technical setup. However, the triage is capped to WATCH due to the 'earnings' flag (21 days out) and the 'churn' condition where the opposite score (17.87) is non-negligible relative to the dominant side, suggesting some underlying volatility.</t>
  </si>
  <si>
    <t>{"symbol": "COP", "strategy": "Daily", "action": "SHORT", "alert_price": 111.47, "score": "", "dir_prob": "8.2", "net_sigma": "", "grade": "", "align": "", "premium": "", "wrong_if": "", "context": "", "subject": "Alert: Rev - Screener v1 (SPY, 12): Any alert() function call", "body": "{\"ticker\":\"COP\", \"setup\":\"A+ Trend Short\", \"side\":\"SHORT\", \"price\":111.47, \"stage\":4, \"buy\":7.5, \"sell\":86.3, \"prime\":-2, \"revL\":0, \"revS\":0, \"vcp\":0, \"dir_prob\":8.2, \"time\":1784122200000}", "ticker": "COP", "setup": "A+ Trend Short", "side": "SHORT", "price": 111.47, "stage": 4, "buy": 7.5, "sell": 86.3, "prime": -2, "revL": 0, "revS": 0, "vcp": 0, "time": 1784122200000, "email_id": "b'1131'", "timestamp": "2026-07-15 16:01:32"}</t>
  </si>
  <si>
    <t>Buy: 10.2 | Sell: 87.2</t>
  </si>
  <si>
    <t>Buy: 95.7 | Sell: 5.7</t>
  </si>
  <si>
    <t>{"symbol": "UAL", "strategy": "Daily", "action": "LONG", "alert_price": 129.05, "score": "", "dir_prob": "92.2", "net_sigma": "", "grade": "", "align": "", "premium": "", "wrong_if": "", "context": "", "subject": "Alert: Rev - Screener v1 (SPY, 12): Any alert() function call", "body": "{\"ticker\":\"UAL\", \"setup\":\"A+ Trend Long\", \"side\":\"LONG\", \"price\":129.05, \"stage\":2, \"buy\":96.7, \"sell\":5.3, \"prime\":2, \"revL\":0, \"revS\":0, \"vcp\":0, \"dir_prob\":92.2, \"time\":1783603800000}", "ticker": "UAL", "setup": "A+ Trend Long", "side": "LONG", "price": 129.05, "stage": 2, "buy": 96.7, "sell": 5.3, "prime": 2, "revL": 0, "revS": 0, "vcp": 0, "time": 1783603800000, "email_id": "b'311'", "timestamp": "2026-07-09 16:01:33"}</t>
  </si>
  <si>
    <t>{"symbol": "NXPI", "strategy": "Daily", "action": "SHORT", "alert_price": 270.94, "score": "", "dir_prob": "11.3", "net_sigma": "", "grade": "", "align": "", "premium": "", "wrong_if": "", "context": "", "subject": "Alert: Rev - Screener v1 (SPY, 12): Any alert() function call", "body": "{\"ticker\":\"NXPI\", \"setup\":\"A+ Trend Short\", \"side\":\"SHORT\", \"price\":270.94, \"stage\":4, \"buy\":10.2, \"sell\":87.2, \"prime\":-2, \"revL\":0, \"revS\":0, \"vcp\":0, \"dir_prob\":11.3, \"time\":1784208600000}", "ticker": "NXPI", "setup": "A+ Trend Short", "side": "SHORT", "price": 270.94, "stage": 4, "buy": 10.2, "sell": 87.2, "prime": -2, "revL": 0, "revS": 0, "vcp": 0, "time": 1784208600000, "email_id": "b'1223'", "timestamp": "2026-07-16 16:01:04"}</t>
  </si>
  <si>
    <t>Buy: 96.8 | Sell: 5.3</t>
  </si>
  <si>
    <t>CF</t>
  </si>
  <si>
    <t>Buy: 23.2 | Sell: 86.3</t>
  </si>
  <si>
    <t>{"symbol": "ES", "strategy": "Daily", "action": "LONG", "alert_price": 75.04, "score": "", "dir_prob": "95.5", "net_sigma": "", "grade": "", "align": "", "premium": "", "wrong_if": "", "context": "", "subject": "Alert: Rev - Screener v1 (SPY, 12): Any alert() function call", "body": "{\"ticker\":\"ES\", \"setup\":\"A+ Trend Long\", \"side\":\"LONG\", \"price\":75.04, \"stage\":2, \"buy\":96.8, \"sell\":5.3, \"prime\":2, \"revL\":0, \"revS\":0, \"vcp\":0, \"dir_prob\":95.5, \"time\":1784208600000}", "ticker": "ES", "setup": "A+ Trend Long", "side": "LONG", "price": 75.04, "stage": 2, "buy": 96.8, "sell": 5.3, "prime": 2, "revL": 0, "revS": 0, "vcp": 0, "time": 1784208600000, "email_id": "b'1224'", "timestamp": "2026-07-16 16:01:22"}</t>
  </si>
  <si>
    <t>The setup is a TREND_LONG triggered by a dominant buy score of 96.33, a sell score of 18.47, and a directional probability of 96.88, all within Stage 2 (uptrend) and Regime 0 (healthy). The price is currently in the long entry zone with a 2.0 R:R ratio to the target. However, the verdict is capped to WATCH due to two factors: the 'extended' flag (ext_pct is 9.93, approaching the 20 threshold for extended readings) and the 'earnings' flag (14 days remaining), which introduces a specific risk event before the trade can fully develop.</t>
  </si>
  <si>
    <t>WYNN</t>
  </si>
  <si>
    <t>Buy: 13.3 | Sell: 86.2</t>
  </si>
  <si>
    <t>{"symbol": "CTVA", "strategy": "Daily", "action": "LONG", "alert_price": 84.45, "score": "", "dir_prob": "95.1", "net_sigma": "", "grade": "", "align": "", "premium": "", "wrong_if": "", "context": "", "subject": "Alert: Rev - Screener v1 (SPY, 12): Any alert() function call", "body": "{\"ticker\":\"CTVA\", \"setup\":\"A+ Trend Long\", \"side\":\"LONG\", \"price\":84.45, \"stage\":2, \"buy\":95.7, \"sell\":5.7, \"prime\":2, \"revL\":0, \"revS\":0, \"vcp\":0, \"dir_prob\":95.1, \"time\":1784122200000}", "ticker": "CTVA", "setup": "A+ Trend Long", "side": "LONG", "price": 84.45, "stage": 2, "buy": 95.7, "sell": 5.7, "prime": 2, "revL": 0, "revS": 0, "vcp": 0, "time": 1784122200000, "email_id": "b'1132'", "timestamp": "2026-07-15 16:01:16"}</t>
  </si>
  <si>
    <t>CTVA is firing a TREND_LONG signal with a Buy score of 96.49 and Dir Prob of 83.65, supported by a positive headline raising the price target to $97. The stock is currently in Zone (long_zone 83.4-84.45) with a healthy R:R of ~2.0x. A key caution is the 'extended' flag (ext_pct 11.52, regime 0), indicating the uptrend is mature but not yet exhausted.</t>
  </si>
  <si>
    <t>{"symbol": "CF", "strategy": "Daily", "action": "SHORT", "alert_price": 114.04, "score": "", "dir_prob": "19.6", "net_sigma": "", "grade": "", "align": "", "premium": "", "wrong_if": "", "context": "", "subject": "Alert: Rev - Screener v1 (SPY, 12): Any alert() function call", "body": "{\"ticker\":\"CF\", \"setup\":\"A+ Trend Short\", \"side\":\"SHORT\", \"price\":114.04, \"stage\":4, \"buy\":23.2, \"sell\":86.3, \"prime\":-2, \"revL\":0, \"revS\":0, \"vcp\":0, \"dir_prob\":19.6, \"time\":1783603800000}", "ticker": "CF", "setup": "A+ Trend Short", "side": "SHORT", "price": 114.04, "stage": 4, "buy": 23.2, "sell": 86.3, "prime": -2, "revL": 0, "revS": 0, "vcp": 0, "time": 1783603800000, "email_id": "b'162'", "timestamp": "2026-07-09 16:01:02"}</t>
  </si>
  <si>
    <t xml:space="preserve">Sentiment: 0.313128 (Somewhat-Bullish)
</t>
  </si>
  <si>
    <t>Buy: 9 | Sell: 88.5</t>
  </si>
  <si>
    <t>{"symbol": "WYNN", "strategy": "Daily", "action": "SHORT", "alert_price": 98.08, "score": "", "dir_prob": "14.5", "net_sigma": "", "grade": "", "align": "", "premium": "", "wrong_if": "", "context": "", "subject": "Alert: Rev - Screener v1 (SPY, 12): Any alert() function call", "body": "{\"ticker\":\"WYNN\", \"setup\":\"A+ Trend Short\", \"side\":\"SHORT\", \"price\":98.08, \"stage\":4, \"buy\":13.3, \"sell\":86.2, \"prime\":-2, \"revL\":0, \"revS\":0, \"vcp\":0, \"dir_prob\":14.5, \"time\":1784208600000}", "ticker": "WYNN", "setup": "A+ Trend Short", "side": "SHORT", "price": 98.08, "stage": 4, "buy": 13.3, "sell": 86.2, "prime": -2, "revL": 0, "revS": 0, "vcp": 0, "time": 1784208600000, "email_id": "b'1225'", "timestamp": "2026-07-16 16:01:15"}</t>
  </si>
  <si>
    <t>Buy: 94.3 | Sell: 7.9</t>
  </si>
  <si>
    <t>Buy: 31.1 | Sell: 91</t>
  </si>
  <si>
    <t>{"symbol": "VZ", "strategy": "Daily", "action": "SHORT", "alert_price": 42.83, "score": "", "dir_prob": "12.3", "net_sigma": "", "grade": "", "align": "", "premium": "", "wrong_if": "", "context": "", "subject": "Alert: Rev - Screener v1 (SPY, 12): Any alert() function call", "body": "{\"ticker\":\"VZ\", \"setup\":\"A+ Trend Short\", \"side\":\"SHORT\", \"price\":42.83, \"stage\":4, \"buy\":9, \"sell\":88.5, \"prime\":-2, \"revL\":0, \"revS\":0, \"vcp\":0, \"dir_prob\":12.3, \"time\":1784122200000}", "ticker": "VZ", "setup": "A+ Trend Short", "side": "SHORT", "price": 42.83, "stage": 4, "buy": 9, "sell": 88.5, "prime": -2, "revL": 0, "revS": 0, "vcp": 0, "time": 1784122200000, "email_id": "b'1133'", "timestamp": "2026-07-15 16:01:08"}</t>
  </si>
  <si>
    <t>Buy: 97.6 | Sell: 5.7</t>
  </si>
  <si>
    <t>{"symbol": "AIG", "strategy": "Daily", "action": "LONG", "alert_price": 78.02, "score": "", "dir_prob": "97.9", "net_sigma": "", "grade": "", "align": "", "premium": "", "wrong_if": "", "context": "", "subject": "Alert: Rev - Screener v1 (SPY, 12): Any alert() function call", "body": "{\"ticker\":\"AIG\", \"setup\":\"A+ Trend Long\", \"side\":\"LONG\", \"price\":78.02, \"stage\":2, \"buy\":94.3, \"sell\":7.9, \"prime\":2, \"revL\":0, \"revS\":0, \"vcp\":0, \"dir_prob\":97.9, \"time\":1784208600000}", "ticker": "AIG", "setup": "A+ Trend Long", "side": "LONG", "price": 78.02, "stage": 2, "buy": 94.3, "sell": 7.9, "prime": 2, "revL": 0, "revS": 0, "vcp": 0, "time": 1784208600000, "email_id": "b'1226'", "timestamp": "2026-07-16 16:01:06"}</t>
  </si>
  <si>
    <t>Buy: 80.3 | Sell: 49.3</t>
  </si>
  <si>
    <t>{"symbol": "CSCO", "strategy": "Daily", "action": "SHORT", "alert_price": 118.3, "score": "", "dir_prob": "12", "net_sigma": "", "grade": "", "align": "", "premium": "", "wrong_if": "", "context": "", "subject": "Alert: Rev - Screener v1 (SPY, 12): Any alert() function call", "body": "{\"ticker\":\"CSCO\", \"setup\":\"A+ Trend Short\", \"side\":\"SHORT\", \"price\":118.30, \"stage\":4, \"buy\":31.1, \"sell\":91, \"prime\":-2, \"revL\":0, \"revS\":0, \"vcp\":0, \"dir_prob\":12, \"time\":1783603800000}", "ticker": "CSCO", "setup": "A+ Trend Short", "side": "SHORT", "price": 118.3, "stage": 4, "buy": 31.1, "sell": 91, "prime": -2, "revL": 0, "revS": 0, "vcp": 0, "time": 1783603800000, "email_id": "b'252'", "timestamp": "2026-07-09 16:01:10"}</t>
  </si>
  <si>
    <t>{"symbol": "GS", "strategy": "Daily", "action": "LONG", "alert_price": 1095.95, "score": "", "dir_prob": "60.9", "net_sigma": "", "grade": "", "align": "", "premium": "", "wrong_if": "", "context": "", "subject": "Alert: Rev - Screener v1 (SPY, 12): Any alert() function call", "body": "{\"ticker\":\"GS\", \"setup\":\"Early Action Long\", \"side\":\"LONG\", \"price\":1095.95, \"stage\":2, \"buy\":80.3, \"sell\":49.3, \"prime\":1, \"revL\":0, \"revS\":0, \"vcp\":0, \"dir_prob\":60.9, \"time\":1784208600000}", "ticker": "GS", "setup": "Early Action Long", "side": "LONG", "price": 1095.95, "stage": 2, "buy": 80.3, "sell": 49.3, "prime": 1, "revL": 0, "revS": 0, "vcp": 0, "time": 1784208600000, "email_id": "b'1227'", "timestamp": "2026-07-16 16:01:04"}</t>
  </si>
  <si>
    <t>Buy: 80.7 | Sell: 15.5</t>
  </si>
  <si>
    <t>{"symbol": "DASH", "strategy": "Daily", "action": "LONG", "alert_price": 190.2, "score": "", "dir_prob": "97.9", "net_sigma": "", "grade": "", "align": "", "premium": "", "wrong_if": "", "context": "", "subject": "Alert: Rev - Screener v1 (SPY, 12): Any alert() function call", "body": "{\"ticker\":\"DASH\", \"setup\":\"A+ Trend Long\", \"side\":\"LONG\", \"price\":190.20, \"stage\":2, \"buy\":97.6, \"sell\":5.7, \"prime\":2, \"revL\":0, \"revS\":0, \"vcp\":0, \"dir_prob\":97.9, \"time\":1784122200000}", "ticker": "DASH", "setup": "A+ Trend Long", "side": "LONG", "price": 190.2, "stage": 2, "buy": 97.6, "sell": 5.7, "prime": 2, "revL": 0, "revS": 0, "vcp": 0, "time": 1784122200000, "email_id": "b'1134'", "timestamp": "2026-07-15 16:01:19"}</t>
  </si>
  <si>
    <t>Buy: 81.3 | Sell: 17.1</t>
  </si>
  <si>
    <t>Buy: 91.3 | Sell: 34.5</t>
  </si>
  <si>
    <t>**WAIT (Pullback to $80.23 Entry Zone)**</t>
  </si>
  <si>
    <t>Entry: 
Stop: 86.05
Target: 80.14
See markdown for full rationale.</t>
  </si>
  <si>
    <t>{"symbol": "GWW", "strategy": "Daily", "action": "LONG", "alert_price": 1401.57, "score": "", "dir_prob": "86.5", "net_sigma": "", "grade": "", "align": "", "premium": "", "wrong_if": "", "context": "", "subject": "Alert: Rev - Screener v1 (SPY, 12): Any alert() function call", "body": "{\"ticker\":\"GWW\", \"setup\":\"Coiled VCP\", \"side\":\"LONG\", \"price\":1401.57, \"stage\":2, \"buy\":81.3, \"sell\":17.1, \"prime\":1, \"revL\":0, \"revS\":0, \"vcp\":1, \"dir_prob\":86.5, \"time\":1784208600000}", "ticker": "GWW", "setup": "Coiled VCP", "side": "LONG", "price": 1401.57, "stage": 2, "buy": 81.3, "sell": 17.1, "prime": 1, "revL": 0, "revS": 0, "vcp": 1, "time": 1784208600000, "email_id": "b'1228'", "timestamp": "2026-07-16 16:01:10"}</t>
  </si>
  <si>
    <t>The technical setup is a strong TREND_LONG with a Buy score of 89.66 and 90.29% directional probability, supported by a Regime 6 squeeze indicating coiling energy. However, the news read CONTRADICTS the bullish bias due to a Stephens downgrade, which caps the verdict at WATCH. Additionally, the stock is flagged as 'chased' (above the long zone with poor R:R) and has earnings in 19 days, further reducing conviction for a new entry.</t>
  </si>
  <si>
    <t>Buy: 15.7 | Sell: 86.3</t>
  </si>
  <si>
    <t>{"symbol": "IBM", "strategy": "Daily", "action": "LONG", "alert_price": 295.18, "score": "", "dir_prob": "91.5", "net_sigma": "", "grade": "", "align": "", "premium": "", "wrong_if": "", "context": "", "subject": "Alert: Rev - Screener v1 (SPY, 12): Any alert() function call", "body": "{\"ticker\":\"IBM\", \"setup\":\"Early Action Long\", \"side\":\"LONG\", \"price\":295.18, \"stage\":2, \"buy\":80.7, \"sell\":15.5, \"prime\":1, \"revL\":0, \"revS\":0, \"vcp\":0, \"dir_prob\":91.5, \"time\":1783603800000}", "ticker": "IBM", "setup": "Early Action Long", "side": "LONG", "price": 295.18, "stage": 2, "buy": 80.7, "sell": 15.5, "prime": 1, "revL": 0, "revS": 0, "vcp": 0, "time": 1783603800000, "email_id": "b'254'", "timestamp": "2026-07-09 16:01:10"}</t>
  </si>
  <si>
    <t>{"symbol": "XYZ", "strategy": "Daily", "action": "LONG", "alert_price": 81.81, "score": "", "dir_prob": "86.6", "net_sigma": "", "grade": "", "align": "", "premium": "", "wrong_if": "", "context": "", "subject": "Alert: Rev - Screener v1 (SPY, 12): Any alert() function call", "body": "{\"ticker\":\"XYZ\", \"setup\":\"Early Ignition\", \"side\":\"LONG\", \"price\":81.81, \"stage\":2, \"buy\":91.3, \"sell\":34.5, \"prime\":2, \"revL\":0, \"revS\":4.5, \"vcp\":0, \"dir_prob\":86.6, \"time\":1784122200000}", "ticker": "XYZ", "setup": "Early Ignition", "side": "LONG", "price": 81.81, "stage": 2, "buy": 91.3, "sell": 34.5, "prime": 2, "revL": 0, "revS": 4.5, "vcp": 0, "time": 1784122200000, "email_id": "b'1135'", "timestamp": "2026-07-15 16:01:13"}</t>
  </si>
  <si>
    <t>The setup is a confirmed BREAKOUT_LONG triggered by ignition_long=1.0, supported by a massive buy score of 96.04 and dir_prob of 94.72. The news is a strong catalyst confirming the bullish bias with a $53B takeover offer. Although the R:R is tight (0.36) and earnings are in 21 days, the explosive technicals and news event warrant a PASS.</t>
  </si>
  <si>
    <t xml:space="preserve">Sentiment: -0.322171 (Somewhat-Bearish)
</t>
  </si>
  <si>
    <t>{"symbol": "XOM", "strategy": "Daily", "action": "SHORT", "alert_price": 145.95, "score": "", "dir_prob": "7.7", "net_sigma": "", "grade": "", "align": "", "premium": "", "wrong_if": "", "context": "", "subject": "Alert: Rev - Screener v1 (SPY, 12): Any alert() function call", "body": "{\"ticker\":\"XOM\", \"setup\":\"A+ Trend Short\", \"side\":\"SHORT\", \"price\":145.95, \"stage\":4, \"buy\":15.7, \"sell\":86.3, \"prime\":-2, \"revL\":0, \"revS\":0, \"vcp\":0, \"dir_prob\":7.7, \"time\":1784208600000}", "ticker": "XOM", "setup": "A+ Trend Short", "side": "SHORT", "price": 145.95, "stage": 4, "buy": 15.7, "sell": 86.3, "prime": -2, "revL": 0, "revS": 0, "vcp": 0, "time": 1784208600000, "email_id": "b'1229'", "timestamp": "2026-07-16 16:01:22"}</t>
  </si>
  <si>
    <t>Buy: 85.4 | Sell: 6</t>
  </si>
  <si>
    <t>Buy: 5.5 | Sell: 88.5</t>
  </si>
  <si>
    <t>{"symbol": "BALL", "strategy": "Daily", "action": "LONG", "alert_price": 60.79, "score": "", "dir_prob": "97.1", "net_sigma": "", "grade": "", "align": "", "premium": "", "wrong_if": "", "context": "", "subject": "Alert: Rev - Screener v1 (SPY, 12): Any alert() function call", "body": "{\"ticker\":\"BALL\", \"setup\":\"A+ Trend Long\", \"side\":\"LONG\", \"price\":60.79, \"stage\":2, \"buy\":97.3, \"sell\":4.5, \"prime\":2, \"revL\":0, \"revS\":0, \"vcp\":0, \"dir_prob\":97.1, \"time\":1784122200000}", "ticker": "BALL", "setup": "A+ Trend Long", "side": "LONG", "price": 60.79, "stage": 2, "buy": 97.3, "sell": 4.5, "prime": 2, "revL": 0, "revS": 0, "vcp": 0, "time": 1784122200000, "email_id": "b'1136'", "timestamp": "2026-07-15 16:01:26"}</t>
  </si>
  <si>
    <t>{"symbol": "CCI", "strategy": "Daily", "action": "SHORT", "alert_price": 78.71, "score": "", "dir_prob": "10", "net_sigma": "", "grade": "", "align": "", "premium": "", "wrong_if": "", "context": "", "subject": "Alert: Rev - Screener v1 (SPY, 12): Any alert() function call", "body": "{\"ticker\":\"CCI\", \"setup\":\"A+ Trend Short\", \"side\":\"SHORT\", \"price\":78.71, \"stage\":4, \"buy\":5.5, \"sell\":88.5, \"prime\":-2, \"revL\":0, \"revS\":0, \"vcp\":0, \"dir_prob\":10, \"time\":1784208600000}", "ticker": "CCI", "setup": "A+ Trend Short", "side": "SHORT", "price": 78.71, "stage": 4, "buy": 5.5, "sell": 88.5, "prime": -2, "revL": 0, "revS": 0, "vcp": 0, "time": 1784208600000, "email_id": "b'1230'", "timestamp": "2026-07-16 16:01:17"}</t>
  </si>
  <si>
    <t>The setup is a strong TREND_LONG triggered by a Buy score of 97.98, a Sell score of 28.46, and a directional probability of 93.03, with the price currently in the long entry zone. The news confirms the bullish bias as BofA maintains a Buy rating and raises the price target to $73. The triage is capped to WATCH solely due to the 'earnings' flag, as earnings are in 20 days, creating a near-term event risk despite the strong technicals.</t>
  </si>
  <si>
    <t xml:space="preserve">Sentiment: 0.035824 (Neutral)
</t>
  </si>
  <si>
    <t>Buy: 96.5 | Sell: 19.7</t>
  </si>
  <si>
    <t>Buy: 30.7 | Sell: 85.6</t>
  </si>
  <si>
    <t>{"symbol": "HOOD", "strategy": "Daily", "action": "LONG", "alert_price": 115.1, "score": "", "dir_prob": "91.5", "net_sigma": "", "grade": "", "align": "", "premium": "", "wrong_if": "", "context": "", "subject": "Alert: Rev - Screener v1 (SPY, 12): Any alert() function call", "body": "{\"ticker\":\"HOOD\", \"setup\":\"A+ Trend Long\", \"side\":\"LONG\", \"price\":115.10, \"stage\":2, \"buy\":85.4, \"sell\":6, \"prime\":2, \"revL\":0, \"revS\":0, \"vcp\":0, \"dir_prob\":91.5, \"time\":1783603800000}", "ticker": "HOOD", "setup": "A+ Trend Long", "side": "LONG", "price": 115.1, "stage": 2, "buy": 85.4, "sell": 6, "prime": 2, "revL": 0, "revS": 0, "vcp": 0, "time": 1783603800000, "email_id": "b'197'", "timestamp": "2026-07-09 16:01:14"}</t>
  </si>
  <si>
    <t>{"symbol": "ABBV", "strategy": "Daily", "action": "LONG", "alert_price": 254.45, "score": "", "dir_prob": "91.1", "net_sigma": "", "grade": "", "align": "", "premium": "", "wrong_if": "", "context": "", "subject": "Alert: Rev - Screener v1 (SPY, 12): Any alert() function call", "body": "{\"ticker\":\"ABBV\", \"setup\":\"A+ Trend Long\", \"side\":\"LONG\", \"price\":254.45, \"stage\":2, \"buy\":96.5, \"sell\":19.7, \"prime\":2, \"revL\":0, \"revS\":0, \"vcp\":0, \"dir_prob\":91.1, \"time\":1784208600000}", "ticker": "ABBV", "setup": "A+ Trend Long", "side": "LONG", "price": 254.45, "stage": 2, "buy": 96.5, "sell": 19.7, "prime": 2, "revL": 0, "revS": 0, "vcp": 0, "time": 1784208600000, "email_id": "b'1231'", "timestamp": "2026-07-16 16:01:09"}</t>
  </si>
  <si>
    <t>Buy: 96.3 | Sell: 4.8</t>
  </si>
  <si>
    <t>Buy: 90.5 | Sell: 20.6</t>
  </si>
  <si>
    <t>{"symbol": "KR", "strategy": "Daily", "action": "SHORT", "alert_price": 56.56, "score": "", "dir_prob": "24.5", "net_sigma": "", "grade": "", "align": "", "premium": "", "wrong_if": "", "context": "", "subject": "Alert: Rev - Screener v1 (SPY, 12): Any alert() function call", "body": "{\"ticker\":\"KR\", \"setup\":\"A+ Trend Short\", \"side\":\"SHORT\", \"price\":56.56, \"stage\":4, \"buy\":30.7, \"sell\":85.6, \"prime\":-2, \"revL\":0, \"revS\":0, \"vcp\":0, \"dir_prob\":24.5, \"time\":1784122200000}", "ticker": "KR", "setup": "A+ Trend Short", "side": "SHORT", "price": 56.56, "stage": 4, "buy": 30.7, "sell": 85.6, "prime": -2, "revL": 0, "revS": 0, "vcp": 0, "time": 1784122200000, "email_id": "b'1137'", "timestamp": "2026-07-15 16:01:26"}</t>
  </si>
  <si>
    <t>Buy: 94.1 | Sell: 15.2</t>
  </si>
  <si>
    <t>{"symbol": "PNW", "strategy": "Daily", "action": "LONG", "alert_price": 109.28, "score": "", "dir_prob": "95.8", "net_sigma": "", "grade": "", "align": "", "premium": "", "wrong_if": "", "context": "", "subject": "Alert: Rev - Screener v1 (SPY, 12): Any alert() function call", "body": "{\"ticker\":\"PNW\", \"setup\":\"A+ Trend Long\", \"side\":\"LONG\", \"price\":109.28, \"stage\":2, \"buy\":96.3, \"sell\":4.8, \"prime\":2, \"revL\":0, \"revS\":0, \"vcp\":0, \"dir_prob\":95.8, \"time\":1784208600000}", "ticker": "PNW", "setup": "A+ Trend Long", "side": "LONG", "price": 109.28, "stage": 2, "buy": 96.3, "sell": 4.8, "prime": 2, "revL": 0, "revS": 0, "vcp": 0, "time": 1784208600000, "email_id": "b'1232'", "timestamp": "2026-07-16 16:01:06"}</t>
  </si>
  <si>
    <t>PNW is firing a TREND_LONG signal with a dominant Buy score of 93.76, a directional probability of 84.83, and Stage 2 momentum. The setup is technically sound with the price inside the long entry zone and a robust 2.48x Risk:Reward ratio targeting 118.98. However, the presence of a 'TOP' warning 14 bars ago and an earnings event in 19 days introduces caution, capping the conviction despite the strong technicals.</t>
  </si>
  <si>
    <t>Buy: 20.2 | Sell: 91.8</t>
  </si>
  <si>
    <t>{"symbol": "DELL", "strategy": "Daily", "action": "LONG", "alert_price": 449.95, "score": "", "dir_prob": "82.1", "net_sigma": "", "grade": "", "align": "", "premium": "", "wrong_if": "", "context": "", "subject": "Alert: Rev - Screener v1 (SPY, 12): Any alert() function call", "body": "{\"ticker\":\"DELL\", \"setup\":\"A+ Trend Long\", \"side\":\"LONG\", \"price\":449.95, \"stage\":2, \"buy\":90.5, \"sell\":20.6, \"prime\":2, \"revL\":0, \"revS\":5.5, \"vcp\":1, \"dir_prob\":82.1, \"time\":1783603800000}", "ticker": "DELL", "setup": "A+ Trend Long", "side": "LONG", "price": 449.95, "stage": 2, "buy": 90.5, "sell": 20.6, "prime": 2, "revL": 0, "revS": 5.5, "vcp": 1, "time": 1783603800000, "email_id": "b'335'", "timestamp": "2026-07-09 16:01:07"}</t>
  </si>
  <si>
    <t>{"symbol": "AIZ", "strategy": "Daily", "action": "LONG", "alert_price": 274.06, "score": "", "dir_prob": "88.4", "net_sigma": "", "grade": "", "align": "", "premium": "", "wrong_if": "", "context": "", "subject": "Alert: Rev - Screener v1 (SPY, 12): Any alert() function call", "body": "{\"ticker\":\"AIZ\", \"setup\":\"A+ Trend Long\", \"side\":\"LONG\", \"price\":274.06, \"stage\":2, \"buy\":94.1, \"sell\":15.2, \"prime\":2, \"revL\":0, \"revS\":0, \"vcp\":0, \"dir_prob\":88.4, \"time\":1784122200000}", "ticker": "AIZ", "setup": "A+ Trend Long", "side": "LONG", "price": 274.06, "stage": 2, "buy": 94.1, "sell": 15.2, "prime": 2, "revL": 0, "revS": 0, "vcp": 0, "time": 1784122200000, "email_id": "b'1138'", "timestamp": "2026-07-15 16:01:07"}</t>
  </si>
  <si>
    <t>{"symbol": "AMZN", "strategy": "Daily", "action": "SHORT", "alert_price": 249.94, "score": "", "dir_prob": "14.3", "net_sigma": "", "grade": "", "align": "", "premium": "", "wrong_if": "", "context": "", "subject": "Alert: Rev - Screener v1 (SPY, 12): Any alert() function call", "body": "{\"ticker\":\"AMZN\", \"setup\":\"A+ Trend Short\", \"side\":\"SHORT\", \"price\":249.94, \"stage\":4, \"buy\":20.2, \"sell\":91.8, \"prime\":-2, \"revL\":0, \"revS\":0, \"vcp\":0, \"dir_prob\":14.3, \"time\":1784208600000}", "ticker": "AMZN", "setup": "A+ Trend Short", "side": "SHORT", "price": 249.94, "stage": 4, "buy": 20.2, "sell": 91.8, "prime": -2, "revL": 0, "revS": 0, "vcp": 0, "time": 1784208600000, "email_id": "b'1233'", "timestamp": "2026-07-16 16:01:26"}</t>
  </si>
  <si>
    <t>Buy: 94.3 | Sell: 23.5</t>
  </si>
  <si>
    <t>Buy: 94 | Sell: 7.8</t>
  </si>
  <si>
    <t>Buy: 90.6 | Sell: 7.2</t>
  </si>
  <si>
    <t>{"symbol": "UAL", "strategy": "Daily", "action": "LONG", "alert_price": 120.95, "score": "", "dir_prob": "86.8", "net_sigma": "", "grade": "", "align": "", "premium": "", "wrong_if": "", "context": "", "subject": "Alert: Rev - Screener v1 (SPY, 12): Any alert() function call", "body": "{\"ticker\":\"UAL\", \"setup\":\"A+ Trend Long\", \"side\":\"LONG\", \"price\":120.95, \"stage\":2, \"buy\":94.3, \"sell\":23.5, \"prime\":2, \"revL\":0, \"revS\":0, \"vcp\":0, \"dir_prob\":86.8, \"time\":1784122200000}", "ticker": "UAL", "setup": "A+ Trend Long", "side": "LONG", "price": 120.95, "stage": 2, "buy": 94.3, "sell": 23.5, "prime": 2, "revL": 0, "revS": 0, "vcp": 0, "time": 1784122200000, "email_id": "b'1139'", "timestamp": "2026-07-15 16:01:24"}</t>
  </si>
  <si>
    <t>{"symbol": "USB", "strategy": "Daily", "action": "LONG", "alert_price": 64.0, "score": "", "dir_prob": "92.2", "net_sigma": "", "grade": "", "align": "", "premium": "", "wrong_if": "", "context": "", "subject": "Alert: Rev - Screener v1 (SPY, 12): Any alert() function call", "body": "{\"ticker\":\"USB\", \"setup\":\"A+ Trend Long\", \"side\":\"LONG\", \"price\":64.00, \"stage\":2, \"buy\":94, \"sell\":7.8, \"prime\":2, \"revL\":0, \"revS\":0, \"vcp\":0, \"dir_prob\":92.2, \"time\":1784208600000}", "ticker": "USB", "setup": "A+ Trend Long", "side": "LONG", "price": 64.0, "stage": 2, "buy": 94, "sell": 7.8, "prime": 2, "revL": 0, "revS": 0, "vcp": 0, "time": 1784208600000, "email_id": "b'1234'", "timestamp": "2026-07-16 16:01:12"}</t>
  </si>
  <si>
    <t>IEX</t>
  </si>
  <si>
    <t>Buy: 96.4 | Sell: 11.8</t>
  </si>
  <si>
    <t>Buy: 79.5 | Sell: 55.2</t>
  </si>
  <si>
    <t>{"symbol": "PANW", "strategy": "Daily", "action": "LONG", "alert_price": 338.36, "score": "", "dir_prob": "94.1", "net_sigma": "", "grade": "", "align": "", "premium": "", "wrong_if": "", "context": "", "subject": "Alert: Rev - Screener v1 (SPY, 12): Any alert() function call", "body": "{\"ticker\":\"PANW\", \"setup\":\"A+ Trend Long\", \"side\":\"LONG\", \"price\":338.36, \"stage\":2, \"buy\":90.6, \"sell\":7.2, \"prime\":2, \"revL\":0, \"revS\":0, \"vcp\":0, \"dir_prob\":94.1, \"time\":1783603800000}", "ticker": "PANW", "setup": "A+ Trend Long", "side": "LONG", "price": 338.36, "stage": 2, "buy": 90.6, "sell": 7.2, "prime": 2, "revL": 0, "revS": 0, "vcp": 0, "time": 1783603800000, "email_id": "b'247'", "timestamp": "2026-07-09 16:01:12"}</t>
  </si>
  <si>
    <t>{"symbol": "CFG", "strategy": "Daily", "action": "LONG", "alert_price": 71.13, "score": "", "dir_prob": "89.2", "net_sigma": "", "grade": "", "align": "", "premium": "", "wrong_if": "", "context": "", "subject": "Alert: Rev - Screener v1 (SPY, 12): Any alert() function call", "body": "{\"ticker\":\"CFG\", \"setup\":\"A+ Trend Long\", \"side\":\"LONG\", \"price\":71.13, \"stage\":2, \"buy\":96.4, \"sell\":11.8, \"prime\":2, \"revL\":0, \"revS\":0, \"vcp\":0, \"dir_prob\":89.2, \"time\":1784122200000}", "ticker": "CFG", "setup": "A+ Trend Long", "side": "LONG", "price": 71.13, "stage": 2, "buy": 96.4, "sell": 11.8, "prime": 2, "revL": 0, "revS": 0, "vcp": 0, "time": 1784122200000, "email_id": "b'1140'", "timestamp": "2026-07-15 16:01:28"}</t>
  </si>
  <si>
    <t>CFG is firing a TREND_LONG signal with a Buy score of 97.68, Dir Prob of 92.13, and Stage 2, supported by a bullish headline raising the target to $80. The setup is technically strong with the price inside the long zone and low exhaustion (0.09). However, the triage is capped to WATCH because earnings are imminent in 1 day (gate FAIL), creating a high-risk event horizon that overrides the technical edge.</t>
  </si>
  <si>
    <t>{"symbol": "IEX", "strategy": "Daily", "action": "LONG", "alert_price": 228.82, "score": "", "dir_prob": "58.5", "net_sigma": "", "grade": "", "align": "", "premium": "", "wrong_if": "", "context": "", "subject": "Alert: Rev - Screener v1 (SPY, 12): Any alert() function call", "body": "{\"ticker\":\"IEX\", \"setup\":\"Early Ignition\", \"side\":\"LONG\", \"price\":228.82, \"stage\":2, \"buy\":79.5, \"sell\":55.2, \"prime\":0, \"revL\":0, \"revS\":0, \"vcp\":1, \"dir_prob\":58.5, \"time\":1784208600000}", "ticker": "IEX", "setup": "Early Ignition", "side": "LONG", "price": 228.82, "stage": 2, "buy": 79.5, "sell": 55.2, "prime": 0, "revL": 0, "revS": 0, "vcp": 1, "time": 1784208600000, "email_id": "b'1235'", "timestamp": "2026-07-16 16:01:10"}</t>
  </si>
  <si>
    <t>Buy: 90.4 | Sell: 24.7</t>
  </si>
  <si>
    <t>Buy: 93 | Sell: 28</t>
  </si>
  <si>
    <t>Buy: 85.4 | Sell: 15</t>
  </si>
  <si>
    <t>{"symbol": "CSX", "strategy": "Daily", "action": "LONG", "alert_price": 49.43, "score": "", "dir_prob": "82", "net_sigma": "", "grade": "", "align": "", "premium": "", "wrong_if": "", "context": "", "subject": "Alert: Rev - Screener v1 (SPY, 12): Any alert() function call", "body": "{\"ticker\":\"CSX\", \"setup\":\"A+ Trend Long\", \"side\":\"LONG\", \"price\":49.43, \"stage\":2, \"buy\":90.4, \"sell\":24.7, \"prime\":2, \"revL\":0, \"revS\":0, \"vcp\":0, \"dir_prob\":82, \"time\":1784122200000}", "ticker": "CSX", "setup": "A+ Trend Long", "side": "LONG", "price": 49.43, "stage": 2, "buy": 90.4, "sell": 24.7, "prime": 2, "revL": 0, "revS": 0, "vcp": 0, "time": 1784122200000, "email_id": "b'1141'", "timestamp": "2026-07-15 16:01:24"}</t>
  </si>
  <si>
    <t>Buy: 93.7 | Sell: 10.9</t>
  </si>
  <si>
    <t>{"symbol": "TECH", "strategy": "Daily", "action": "LONG", "alert_price": 71.78, "score": "", "dir_prob": "93.1", "net_sigma": "", "grade": "", "align": "", "premium": "", "wrong_if": "", "context": "", "subject": "Alert: Rev - Screener v1 (SPY, 12): Any alert() function call", "body": "{\"ticker\":\"TECH\", \"setup\":\"A+ Trend Long\", \"side\":\"LONG\", \"price\":71.78, \"stage\":2, \"buy\":93, \"sell\":28, \"prime\":2, \"revL\":0, \"revS\":0, \"vcp\":0, \"dir_prob\":93.1, \"time\":1784208600000}", "ticker": "TECH", "setup": "A+ Trend Long", "side": "LONG", "price": 71.78, "stage": 2, "buy": 93, "sell": 28, "prime": 2, "revL": 0, "revS": 0, "vcp": 0, "time": 1784208600000, "email_id": "b'1236'", "timestamp": "2026-07-16 16:01:23"}</t>
  </si>
  <si>
    <t>The setup is a strong TREND_LONG driven by a Buy score of 96.16, a Dir Prob of 96.38, and Stage 2 momentum, with the price currently inside the long entry zone offering a 2:1 R:R. The news confirms the bullish bias, citing Q1 earnings outperformance as the catalyst. However, the triage is capped to WATCH due to the 'extended' regime (23.37% above MA200) and the 'earnings' flag (20 days remaining), which introduces near-term volatility risk despite the strong technicals.</t>
  </si>
  <si>
    <t>Buy: 73.6 | Sell: 28.2</t>
  </si>
  <si>
    <t>{"symbol": "FTNT", "strategy": "Daily", "action": "LONG", "alert_price": 163.74, "score": "", "dir_prob": "90.4", "net_sigma": "", "grade": "", "align": "", "premium": "", "wrong_if": "", "context": "", "subject": "Alert: Rev - Screener v1 (SPY, 12): Any alert() function call", "body": "{\"ticker\":\"FTNT\", \"setup\":\"A+ Trend Long\", \"side\":\"LONG\", \"price\":163.74, \"stage\":2, \"buy\":85.4, \"sell\":15, \"prime\":2, \"revL\":0, \"revS\":0, \"vcp\":0, \"dir_prob\":90.4, \"time\":1783603800000}", "ticker": "FTNT", "setup": "A+ Trend Long", "side": "LONG", "price": 163.74, "stage": 2, "buy": 85.4, "sell": 15, "prime": 2, "revL": 0, "revS": 0, "vcp": 0, "time": 1783603800000, "email_id": "b'255'", "timestamp": "2026-07-09 16:01:04"}</t>
  </si>
  <si>
    <t>{"symbol": "UDR", "strategy": "Daily", "action": "LONG", "alert_price": 39.45, "score": "", "dir_prob": "94.1", "net_sigma": "", "grade": "", "align": "", "premium": "", "wrong_if": "", "context": "", "subject": "Alert: Rev - Screener v1 (SPY, 12): Any alert() function call", "body": "{\"ticker\":\"UDR\", \"setup\":\"A+ Trend Long\", \"side\":\"LONG\", \"price\":39.45, \"stage\":2, \"buy\":93.7, \"sell\":10.9, \"prime\":2, \"revL\":0, \"revS\":0, \"vcp\":0, \"dir_prob\":94.1, \"time\":1784122200000}", "ticker": "UDR", "setup": "A+ Trend Long", "side": "LONG", "price": 39.45, "stage": 2, "buy": 93.7, "sell": 10.9, "prime": 2, "revL": 0, "revS": 0, "vcp": 0, "time": 1784122200000, "email_id": "b'1142'", "timestamp": "2026-07-15 16:01:31"}</t>
  </si>
  <si>
    <t>Buy: 96.8 | Sell: 10.4</t>
  </si>
  <si>
    <t>Buy: 9.5 | Sell: 96.9</t>
  </si>
  <si>
    <t>{"symbol": "CINF", "strategy": "Daily", "action": "LONG", "alert_price": 176.34, "score": "", "dir_prob": "80.6", "net_sigma": "", "grade": "", "align": "", "premium": "", "wrong_if": "", "context": "", "subject": "Alert: Rev - Screener v1 (SPY, 12): Any alert() function call", "body": "{\"ticker\":\"CINF\", \"setup\":\"Early Action Long\", \"side\":\"LONG\", \"price\":176.34, \"stage\":2, \"buy\":73.6, \"sell\":28.2, \"prime\":1, \"revL\":0, \"revS\":0, \"vcp\":0, \"dir_prob\":80.6, \"time\":1784208600000}", "ticker": "CINF", "setup": "Early Action Long", "side": "LONG", "price": 176.34, "stage": 2, "buy": 73.6, "sell": 28.2, "prime": 1, "revL": 0, "revS": 0, "vcp": 0, "time": 1784208600000, "email_id": "b'1237'", "timestamp": "2026-07-16 16:01:24"}</t>
  </si>
  <si>
    <t>Buy: 87.1 | Sell: 35</t>
  </si>
  <si>
    <t>{"symbol": "ALL", "strategy": "Daily", "action": "LONG", "alert_price": 239.5, "score": "", "dir_prob": "91.4", "net_sigma": "", "grade": "", "align": "", "premium": "", "wrong_if": "", "context": "", "subject": "Alert: Rev - Screener v1 (SPY, 12): Any alert() function call", "body": "{\"ticker\":\"ALL\", \"setup\":\"A+ Trend Long\", \"side\":\"LONG\", \"price\":239.50, \"stage\":2, \"buy\":96.8, \"sell\":10.4, \"prime\":2, \"revL\":0, \"revS\":0, \"vcp\":0, \"dir_prob\":91.4, \"time\":1784122200000}", "ticker": "ALL", "setup": "A+ Trend Long", "side": "LONG", "price": 239.5, "stage": 2, "buy": 96.8, "sell": 10.4, "prime": 2, "revL": 0, "revS": 0, "vcp": 0, "time": 1784122200000, "email_id": "b'1143'", "timestamp": "2026-07-15 16:01:30"}</t>
  </si>
  <si>
    <t>Buy: 84 | Sell: 10.7</t>
  </si>
  <si>
    <t>{"symbol": "CFG", "strategy": "Daily", "action": "LONG", "alert_price": 74.38, "score": "", "dir_prob": "76.3", "net_sigma": "", "grade": "", "align": "", "premium": "", "wrong_if": "", "context": "", "subject": "Alert: Rev - Screener v1 (SPY, 12): Any alert() function call", "body": "{\"ticker\":\"CFG\", \"setup\":\"Early Ignition\", \"side\":\"LONG\", \"price\":74.38, \"stage\":2, \"buy\":87.1, \"sell\":35, \"prime\":2, \"revL\":0, \"revS\":0, \"vcp\":0, \"dir_prob\":76.3, \"time\":1784208600000}", "ticker": "CFG", "setup": "Early Ignition", "side": "LONG", "price": 74.38, "stage": 2, "buy": 87.1, "sell": 35, "prime": 2, "revL": 0, "revS": 0, "vcp": 0, "time": 1784208600000, "email_id": "b'1238'", "timestamp": "2026-07-16 16:01:05"}</t>
  </si>
  <si>
    <t>{"symbol": "SBAC", "strategy": "Daily", "action": "SHORT", "alert_price": 182.58, "score": "", "dir_prob": "7.4", "net_sigma": "", "grade": "", "align": "", "premium": "", "wrong_if": "", "context": "", "subject": "Alert: Rev - Screener v1 (SPY, 12): Any alert() function call", "body": "{\"ticker\":\"SBAC\", \"setup\":\"A+ Trend Short\", \"side\":\"SHORT\", \"price\":182.58, \"stage\":4, \"buy\":9.5, \"sell\":96.9, \"prime\":-2, \"revL\":0, \"revS\":0, \"vcp\":0, \"dir_prob\":7.4, \"time\":1783603800000}", "ticker": "SBAC", "setup": "A+ Trend Short", "side": "SHORT", "price": 182.58, "stage": 4, "buy": 9.5, "sell": 96.9, "prime": -2, "revL": 0, "revS": 0, "vcp": 0, "time": 1783603800000, "email_id": "b'236'", "timestamp": "2026-07-09 16:01:38"}</t>
  </si>
  <si>
    <t>Buy: 79.8 | Sell: 11.4</t>
  </si>
  <si>
    <t>Buy: 80.6 | Sell: 47.7</t>
  </si>
  <si>
    <t>{"symbol": "COR", "strategy": "Daily", "action": "LONG", "alert_price": 296.58, "score": "", "dir_prob": "95.3", "net_sigma": "", "grade": "", "align": "", "premium": "", "wrong_if": "", "context": "", "subject": "Alert: Rev - Screener v1 (SPY, 12): Any alert() function call", "body": "{\"ticker\":\"COR\", \"setup\":\"Early Action Long\", \"side\":\"LONG\", \"price\":296.58, \"stage\":2, \"buy\":84, \"sell\":10.7, \"prime\":1, \"revL\":0, \"revS\":0, \"vcp\":0, \"dir_prob\":95.3, \"time\":1784122200000}", "ticker": "COR", "setup": "Early Action Long", "side": "LONG", "price": 296.58, "stage": 2, "buy": 84, "sell": 10.7, "prime": 1, "revL": 0, "revS": 0, "vcp": 0, "time": 1784122200000, "email_id": "b'1144'", "timestamp": "2026-07-15 16:01:21"}</t>
  </si>
  <si>
    <t>{"symbol": "EQR", "strategy": "Daily", "action": "LONG", "alert_price": 69.98, "score": "", "dir_prob": "92", "net_sigma": "", "grade": "", "align": "", "premium": "", "wrong_if": "", "context": "", "subject": "Alert: Rev - Screener v1 (SPY, 12): Any alert() function call", "body": "{\"ticker\":\"EQR\", \"setup\":\"Early Action Long\", \"side\":\"LONG\", \"price\":69.98, \"stage\":2, \"buy\":79.8, \"sell\":11.4, \"prime\":1, \"revL\":0, \"revS\":0, \"vcp\":0, \"dir_prob\":92, \"time\":1784208600000}", "ticker": "EQR", "setup": "Early Action Long", "side": "LONG", "price": 69.98, "stage": 2, "buy": 79.8, "sell": 11.4, "prime": 1, "revL": 0, "revS": 0, "vcp": 0, "time": 1784208600000, "email_id": "b'1239'", "timestamp": "2026-07-16 16:01:17"}</t>
  </si>
  <si>
    <t>Buy: 96.2 | Sell: 7.7</t>
  </si>
  <si>
    <t>Buy: 79.5 | Sell: 3.3</t>
  </si>
  <si>
    <t>{"symbol": "DDOG", "strategy": "Daily", "action": "LONG", "alert_price": 268.96, "score": "", "dir_prob": "79.8", "net_sigma": "", "grade": "", "align": "", "premium": "", "wrong_if": "", "context": "", "subject": "Alert: Rev - Screener v1 (SPY, 12): Any alert() function call", "body": "{\"ticker\":\"DDOG\", \"setup\":\"Early Action Long\", \"side\":\"LONG\", \"price\":268.96, \"stage\":2, \"buy\":80.6, \"sell\":47.7, \"prime\":1, \"revL\":0, \"revS\":0, \"vcp\":0, \"dir_prob\":79.8, \"time\":1783603800000}", "ticker": "DDOG", "setup": "Early Action Long", "side": "LONG", "price": 268.96, "stage": 2, "buy": 80.6, "sell": 47.7, "prime": 1, "revL": 0, "revS": 0, "vcp": 0, "time": 1783603800000, "email_id": "b'271'", "timestamp": "2026-07-09 16:01:20"}</t>
  </si>
  <si>
    <t>{"symbol": "AXP", "strategy": "Daily", "action": "LONG", "alert_price": 358.39, "score": "", "dir_prob": "95.5", "net_sigma": "", "grade": "", "align": "", "premium": "", "wrong_if": "", "context": "", "subject": "Alert: Rev - Screener v1 (SPY, 12): Any alert() function call", "body": "{\"ticker\":\"AXP\", \"setup\":\"A+ Trend Long\", \"side\":\"LONG\", \"price\":358.39, \"stage\":2, \"buy\":96.2, \"sell\":7.7, \"prime\":2, \"revL\":0, \"revS\":0, \"vcp\":0, \"dir_prob\":95.5, \"time\":1784122200000}", "ticker": "AXP", "setup": "A+ Trend Long", "side": "LONG", "price": 358.39, "stage": 2, "buy": 96.2, "sell": 7.7, "prime": 2, "revL": 0, "revS": 0, "vcp": 0, "time": 1784122200000, "email_id": "b'1145'", "timestamp": "2026-07-15 16:01:34"}</t>
  </si>
  <si>
    <t>Buy: 94 | Sell: 9.5</t>
  </si>
  <si>
    <t>{"symbol": "MKC", "strategy": "Daily", "action": "LONG", "alert_price": 52.92, "score": "", "dir_prob": "98.1", "net_sigma": "", "grade": "", "align": "", "premium": "", "wrong_if": "", "context": "", "subject": "Alert: Rev - Screener v1 (SPY, 12): Any alert() function call", "body": "{\"ticker\":\"MKC\", \"setup\":\"Early Action Long\", \"side\":\"LONG\", \"price\":52.92, \"stage\":2, \"buy\":79.5, \"sell\":3.3, \"prime\":1, \"revL\":0, \"revS\":0, \"vcp\":0, \"dir_prob\":98.1, \"time\":1784208600000}", "ticker": "MKC", "setup": "Early Action Long", "side": "LONG", "price": 52.92, "stage": 2, "buy": 79.5, "sell": 3.3, "prime": 1, "revL": 0, "revS": 0, "vcp": 0, "time": 1784208600000, "email_id": "b'1240'", "timestamp": "2026-07-16 16:01:03"}</t>
  </si>
  <si>
    <t>Buy: 78 | Sell: 22.5</t>
  </si>
  <si>
    <t>Buy: 61.7 | Sell: 23.3</t>
  </si>
  <si>
    <t>{"symbol": "AFL", "strategy": "Daily", "action": "LONG", "alert_price": 120.99, "score": "", "dir_prob": "90.8", "net_sigma": "", "grade": "", "align": "", "premium": "", "wrong_if": "", "context": "", "subject": "Alert: Rev - Screener v1 (SPY, 12): Any alert() function call", "body": "{\"ticker\":\"AFL\", \"setup\":\"A+ Trend Long\", \"side\":\"LONG\", \"price\":120.99, \"stage\":2, \"buy\":94, \"sell\":9.5, \"prime\":2, \"revL\":0, \"revS\":0, \"vcp\":0, \"dir_prob\":90.8, \"time\":1784122200000}", "ticker": "AFL", "setup": "A+ Trend Long", "side": "LONG", "price": 120.99, "stage": 2, "buy": 94, "sell": 9.5, "prime": 2, "revL": 0, "revS": 0, "vcp": 0, "time": 1784122200000, "email_id": "b'1146'", "timestamp": "2026-07-15 16:01:26"}</t>
  </si>
  <si>
    <t>{"symbol": "CRWD", "strategy": "Daily", "action": "LONG", "alert_price": 198.41, "score": "", "dir_prob": "90", "net_sigma": "", "grade": "", "align": "", "premium": "", "wrong_if": "", "context": "", "subject": "Alert: Rev - Screener v1 (SPY, 12): Any alert() function call", "body": "{\"ticker\":\"CRWD\", \"setup\":\"Early Action Long\", \"side\":\"LONG\", \"price\":198.41, \"stage\":2, \"buy\":78, \"sell\":22.5, \"prime\":1, \"revL\":0, \"revS\":0, \"vcp\":0, \"dir_prob\":90, \"time\":1783603800000}", "ticker": "CRWD", "setup": "Early Action Long", "side": "LONG", "price": 198.41, "stage": 2, "buy": 78, "sell": 22.5, "prime": 1, "revL": 0, "revS": 0, "vcp": 0, "time": 1783603800000, "email_id": "b'341'", "timestamp": "2026-07-09 16:01:38"}</t>
  </si>
  <si>
    <t>{"symbol": "IR", "strategy": "Daily", "action": "LONG", "alert_price": 84.77, "score": "", "dir_prob": "84.1", "net_sigma": "", "grade": "", "align": "", "premium": "", "wrong_if": "", "context": "", "subject": "Alert: Rev - Screener v1 (SPY, 12): Any alert() function call", "body": "{\"ticker\":\"IR\", \"setup\":\"Early Ignition\", \"side\":\"LONG\", \"price\":84.77, \"stage\":2, \"buy\":61.7, \"sell\":23.3, \"prime\":0, \"revL\":0, \"revS\":0, \"vcp\":2, \"dir_prob\":84.1, \"time\":1784208600000}", "ticker": "IR", "setup": "Early Ignition", "side": "LONG", "price": 84.77, "stage": 2, "buy": 61.7, "sell": 23.3, "prime": 0, "revL": 0, "revS": 0, "vcp": 2, "time": 1784208600000, "email_id": "b'1241'", "timestamp": "2026-07-16 16:01:22"}</t>
  </si>
  <si>
    <t>Buy: 96 | Sell: 8.6</t>
  </si>
  <si>
    <t>{"symbol": "ACN", "strategy": "Daily", "action": "SHORT", "alert_price": 137.04, "score": "", "dir_prob": "12.5", "net_sigma": "", "grade": "", "align": "", "premium": "", "wrong_if": "", "context": "", "subject": "Alert: Rev - Screener v1 (SPY, 12): Any alert() function call", "body": "{\"ticker\":\"ACN\", \"setup\":\"A+ Trend Short\", \"side\":\"SHORT\", \"price\":137.04, \"stage\":4, \"buy\":14, \"sell\":86.1, \"prime\":-2, \"revL\":0, \"revS\":0, \"vcp\":0, \"dir_prob\":12.5, \"time\":1784122200000}", "ticker": "ACN", "setup": "A+ Trend Short", "side": "SHORT", "price": 137.04, "stage": 4, "buy": 14, "sell": 86.1, "prime": -2, "revL": 0, "revS": 0, "vcp": 0, "time": 1784122200000, "email_id": "b'1147'", "timestamp": "2026-07-15 16:01:25"}</t>
  </si>
  <si>
    <t>Buy: 7.3 | Sell: 86.9</t>
  </si>
  <si>
    <t>{"symbol": "RVTY", "strategy": "Daily", "action": "LONG", "alert_price": 111.73, "score": "", "dir_prob": "94.1", "net_sigma": "", "grade": "", "align": "", "premium": "", "wrong_if": "", "context": "", "subject": "Alert: Rev - Screener v1 (SPY, 12): Any alert() function call", "body": "{\"ticker\":\"RVTY\", \"setup\":\"A+ Trend Long\", \"side\":\"LONG\", \"price\":111.73, \"stage\":2, \"buy\":96, \"sell\":8.6, \"prime\":2, \"revL\":0, \"revS\":0, \"vcp\":0, \"dir_prob\":94.1, \"time\":1784208600000}", "ticker": "RVTY", "setup": "A+ Trend Long", "side": "LONG", "price": 111.73, "stage": 2, "buy": 96, "sell": 8.6, "prime": 2, "revL": 0, "revS": 0, "vcp": 0, "time": 1784208600000, "email_id": "b'1242'", "timestamp": "2026-07-16 16:01:11"}</t>
  </si>
  <si>
    <t>The setup is a TREND_LONG triggered by a dominant buy score of 97.55, a sell score of 26.7, and a directional probability of 94.24, all within Stage 2 (uptrend) and Regime 0 (healthy). The stock is currently in its long entry zone with an R:R of 0.86, and recent chart labels show bearish traps (TRAP_BULL, OOPS_BEAR) that have likely cleared. The primary caution is the earnings gate, which is set to PASS but with 19 days remaining, warranting a flag for upcoming volatility.</t>
  </si>
  <si>
    <t>Buy: 90.4 | Sell: 34.4</t>
  </si>
  <si>
    <t>{"symbol": "SBAC", "strategy": "Daily", "action": "SHORT", "alert_price": 187.12, "score": "", "dir_prob": "10.5", "net_sigma": "", "grade": "", "align": "", "premium": "", "wrong_if": "", "context": "", "subject": "Alert: Rev - Screener v1 (SPY, 12): Any alert() function call", "body": "{\"ticker\":\"SBAC\", \"setup\":\"A+ Trend Short\", \"side\":\"SHORT\", \"price\":187.12, \"stage\":4, \"buy\":7.3, \"sell\":86.9, \"prime\":-2, \"revL\":0, \"revS\":0, \"vcp\":0, \"dir_prob\":10.5, \"time\":1784122200000}", "ticker": "SBAC", "setup": "A+ Trend Short", "side": "SHORT", "price": 187.12, "stage": 4, "buy": 7.3, "sell": 86.9, "prime": -2, "revL": 0, "revS": 0, "vcp": 0, "time": 1784122200000, "email_id": "b'1150'", "timestamp": "2026-07-15 16:01:28"}</t>
  </si>
  <si>
    <t>Buy: 5 | Sell: 86</t>
  </si>
  <si>
    <t>{"symbol": "PCAR", "strategy": "Daily", "action": "LONG", "alert_price": 126.69, "score": "", "dir_prob": "86", "net_sigma": "", "grade": "", "align": "", "premium": "", "wrong_if": "", "context": "", "subject": "Alert: Rev - Screener v1 (SPY, 12): Any alert() function call", "body": "{\"ticker\":\"PCAR\", \"setup\":\"A+ Trend Long\", \"side\":\"LONG\", \"price\":126.69, \"stage\":2, \"buy\":90.4, \"sell\":34.4, \"prime\":2, \"revL\":0, \"revS\":0, \"vcp\":0, \"dir_prob\":86, \"time\":1784208600000}", "ticker": "PCAR", "setup": "A+ Trend Long", "side": "LONG", "price": 126.69, "stage": 2, "buy": 90.4, "sell": 34.4, "prime": 2, "revL": 0, "revS": 0, "vcp": 0, "time": 1784208600000, "email_id": "b'1243'", "timestamp": "2026-07-16 16:01:29"}</t>
  </si>
  <si>
    <t>Buy: 96.2 | Sell: 29.4</t>
  </si>
  <si>
    <t>{"symbol": "WMT", "strategy": "Daily", "action": "SHORT", "alert_price": 112.52, "score": "", "dir_prob": "5.3", "net_sigma": "", "grade": "", "align": "", "premium": "", "wrong_if": "", "context": "", "subject": "Alert: Rev - Screener v1 (SPY, 12): Any alert() function call", "body": "{\"ticker\":\"WMT\", \"setup\":\"A+ Trend Short\", \"side\":\"SHORT\", \"price\":112.52, \"stage\":4, \"buy\":5, \"sell\":86, \"prime\":-2, \"revL\":0, \"revS\":0, \"vcp\":0, \"dir_prob\":5.3, \"time\":1784122200000}", "ticker": "WMT", "setup": "A+ Trend Short", "side": "SHORT", "price": 112.52, "stage": 4, "buy": 5, "sell": 86, "prime": -2, "revL": 0, "revS": 0, "vcp": 0, "time": 1784122200000, "email_id": "b'1148'", "timestamp": "2026-07-15 16:01:31"}</t>
  </si>
  <si>
    <t>{"symbol": "DGX", "strategy": "Daily", "action": "LONG", "alert_price": 209.37, "score": "", "dir_prob": "92.2", "net_sigma": "", "grade": "", "align": "", "premium": "", "wrong_if": "", "context": "", "subject": "Alert: Rev - Screener v1 (SPY, 12): Any alert() function call", "body": "{\"ticker\":\"DGX\", \"setup\":\"A+ Trend Long\", \"side\":\"LONG\", \"price\":209.37, \"stage\":2, \"buy\":96.2, \"sell\":29.4, \"prime\":2, \"revL\":0, \"revS\":0, \"vcp\":0, \"dir_prob\":92.2, \"time\":1784208600000}", "ticker": "DGX", "setup": "A+ Trend Long", "side": "LONG", "price": 209.37, "stage": 2, "buy": 96.2, "sell": 29.4, "prime": 2, "revL": 0, "revS": 0, "vcp": 0, "time": 1784208600000, "email_id": "b'1244'", "timestamp": "2026-07-16 16:01:13"}</t>
  </si>
  <si>
    <t>Buy: 76 | Sell: 11.7</t>
  </si>
  <si>
    <t>SYF</t>
  </si>
  <si>
    <t>Buy: 75.7 | Sell: 48.2</t>
  </si>
  <si>
    <t>Buy: 95.1 | Sell: 7.9</t>
  </si>
  <si>
    <t>{"symbol": "SYF", "strategy": "Daily", "action": "LONG", "alert_price": 74.29, "score": "", "dir_prob": "72.3", "net_sigma": "", "grade": "", "align": "", "premium": "", "wrong_if": "", "context": "", "subject": "Alert: Rev - Screener v1 (SPY, 12): Any alert() function call", "body": "{\"ticker\":\"SYF\", \"setup\":\"Early Action Long\", \"side\":\"LONG\", \"price\":74.29, \"stage\":2, \"buy\":75.7, \"sell\":48.2, \"prime\":1, \"revL\":0, \"revS\":0, \"vcp\":0, \"dir_prob\":72.3, \"time\":1784208600000}", "ticker": "SYF", "setup": "Early Action Long", "side": "LONG", "price": 74.29, "stage": 2, "buy": 75.7, "sell": 48.2, "prime": 1, "revL": 0, "revS": 0, "vcp": 0, "time": 1784208600000, "email_id": "b'1245'", "timestamp": "2026-07-16 16:01:26"}</t>
  </si>
  <si>
    <t>Buy: 3.9 | Sell: 88.2</t>
  </si>
  <si>
    <t>{"symbol": "CRWD", "strategy": "Daily", "action": "LONG", "alert_price": 206.75, "score": "", "dir_prob": "91.6", "net_sigma": "", "grade": "", "align": "", "premium": "", "wrong_if": "", "context": "", "subject": "Alert: Rev - Screener v1 (SPY, 12): Any alert() function call", "body": "{\"ticker\":\"CRWD\", \"setup\":\"Early Action Long\", \"side\":\"LONG\", \"price\":206.75, \"stage\":2, \"buy\":76, \"sell\":11.7, \"prime\":1, \"revL\":0, \"revS\":0, \"vcp\":0, \"dir_prob\":91.6, \"time\":1784122200000}", "ticker": "CRWD", "setup": "Early Action Long", "side": "LONG", "price": 206.75, "stage": 2, "buy": 76, "sell": 11.7, "prime": 1, "revL": 0, "revS": 0, "vcp": 0, "time": 1784122200000, "email_id": "b'1149'", "timestamp": "2026-07-15 16:01:19"}</t>
  </si>
  <si>
    <t>Buy: 3.4 | Sell: 89</t>
  </si>
  <si>
    <t>{"symbol": "LYB", "strategy": "Daily", "action": "SHORT", "alert_price": 57.81, "score": "", "dir_prob": "9.3", "net_sigma": "", "grade": "", "align": "", "premium": "", "wrong_if": "", "context": "", "subject": "Alert: Rev - Screener v1 (SPY, 12): Any alert() function call", "body": "{\"ticker\":\"LYB\", \"setup\":\"A+ Trend Short\", \"side\":\"SHORT\", \"price\":57.81, \"stage\":4, \"buy\":3.9, \"sell\":88.2, \"prime\":-2, \"revL\":0, \"revS\":0, \"vcp\":0, \"dir_prob\":9.3, \"time\":1784208600000}", "ticker": "LYB", "setup": "A+ Trend Short", "side": "SHORT", "price": 57.81, "stage": 4, "buy": 3.9, "sell": 88.2, "prime": -2, "revL": 0, "revS": 0, "vcp": 0, "time": 1784208600000, "email_id": "b'1246'", "timestamp": "2026-07-16 16:01:24"}</t>
  </si>
  <si>
    <t>{"symbol": "LYV", "strategy": "Daily", "action": "LONG", "alert_price": 180.22, "score": "", "dir_prob": "91.1", "net_sigma": "", "grade": "", "align": "", "premium": "", "wrong_if": "", "context": "", "subject": "Alert: Rev - Screener v1 (SPY, 12): Any alert() function call", "body": "{\"ticker\":\"LYV\", \"setup\":\"A+ Trend Long\", \"side\":\"LONG\", \"price\":180.22, \"stage\":2, \"buy\":95.1, \"sell\":7.9, \"prime\":2, \"revL\":0, \"revS\":0, \"vcp\":0, \"dir_prob\":91.1, \"time\":1784295000000}", "ticker": "LYV", "setup": "A+ Trend Long", "side": "LONG", "price": 180.22, "stage": 2, "buy": 95.1, "sell": 7.9, "prime": 2, "revL": 0, "revS": 0, "vcp": 0, "time": 1784295000000, "email_id": "b'1368'", "timestamp": "2026-07-17 16:01:03"}</t>
  </si>
  <si>
    <t>TREND_LONG fires with buy=96.79 &gt;&gt; 65, dir_prob=91.78 &gt;&gt; 50, and stage=2 (up-trend). News is NEUTRAL (whale alert headline) and does not contradict the strong technicals. No VETO flags apply; computed_flags is empty and earnings_gate is PASS. High conviction due to extreme buy score and clean trend setup.</t>
  </si>
  <si>
    <t>Buy: 97.4 | Sell: 5.3</t>
  </si>
  <si>
    <t>Buy: 94.3 | Sell: 9.4</t>
  </si>
  <si>
    <t>{"symbol": "DOW", "strategy": "Daily", "action": "SHORT", "alert_price": 29.7, "score": "", "dir_prob": "5.6", "net_sigma": "", "grade": "", "align": "", "premium": "", "wrong_if": "", "context": "", "subject": "Alert: Rev - Screener v1 (SPY, 12): Any alert() function call", "body": "{\"ticker\":\"DOW\", \"setup\":\"A+ Trend Short\", \"side\":\"SHORT\", \"price\":29.70, \"stage\":4, \"buy\":3.4, \"sell\":89, \"prime\":-2, \"revL\":0, \"revS\":0, \"vcp\":0, \"dir_prob\":5.6, \"time\":1784122200000}", "ticker": "DOW", "setup": "A+ Trend Short", "side": "SHORT", "price": 29.7, "stage": 4, "buy": 3.4, "sell": 89, "prime": -2, "revL": 0, "revS": 0, "vcp": 0, "time": 1784122200000, "email_id": "b'1151'", "timestamp": "2026-07-15 16:01:13"}</t>
  </si>
  <si>
    <t>Buy: 96.7 | Sell: 5.7</t>
  </si>
  <si>
    <t>{"symbol": "MAS", "strategy": "Daily", "action": "LONG", "alert_price": 78.65, "score": "", "dir_prob": "91.5", "net_sigma": "", "grade": "", "align": "", "premium": "", "wrong_if": "", "context": "", "subject": "Alert: Rev - Screener v1 (SPY, 12): Any alert() function call", "body": "{\"ticker\":\"MAS\", \"setup\":\"A+ Trend Long\", \"side\":\"LONG\", \"price\":78.65, \"stage\":2, \"buy\":94.3, \"sell\":9.4, \"prime\":2, \"revL\":0, \"revS\":0, \"vcp\":0, \"dir_prob\":91.5, \"time\":1784295000000}", "ticker": "MAS", "setup": "A+ Trend Long", "side": "LONG", "price": 78.65, "stage": 2, "buy": 94.3, "sell": 9.4, "prime": 2, "revL": 0, "revS": 0, "vcp": 0, "time": 1784295000000, "email_id": "b'1367'", "timestamp": "2026-07-17 16:01:11"}</t>
  </si>
  <si>
    <t>{"symbol": "GPC", "strategy": "Daily", "action": "LONG", "alert_price": 125.65, "score": "", "dir_prob": "96.7", "net_sigma": "", "grade": "", "align": "", "premium": "", "wrong_if": "", "context": "", "subject": "Alert: Rev - Screener v1 (SPY, 12): Any alert() function call", "body": "{\"ticker\":\"GPC\", \"setup\":\"A+ Trend Long\", \"side\":\"LONG\", \"price\":125.65, \"stage\":2, \"buy\":97.4, \"sell\":5.3, \"prime\":2, \"revL\":0, \"revS\":0, \"vcp\":0, \"dir_prob\":96.7, \"time\":1784208600000}", "ticker": "GPC", "setup": "A+ Trend Long", "side": "LONG", "price": 125.65, "stage": 2, "buy": 97.4, "sell": 5.3, "prime": 2, "revL": 0, "revS": 0, "vcp": 0, "time": 1784208600000, "email_id": "b'1247'", "timestamp": "2026-07-16 16:01:04"}</t>
  </si>
  <si>
    <t>Buy: 96.2 | Sell: 7</t>
  </si>
  <si>
    <t>Buy: 96.7 | Sell: 6.6</t>
  </si>
  <si>
    <t>{"symbol": "AXP", "strategy": "Daily", "action": "LONG", "alert_price": 355.38, "score": "", "dir_prob": "95.6", "net_sigma": "", "grade": "", "align": "", "premium": "", "wrong_if": "", "context": "", "subject": "Alert: Rev - Screener v1 (SPY, 12): Any alert() function call", "body": "{\"ticker\":\"AXP\", \"setup\":\"A+ Trend Long\", \"side\":\"LONG\", \"price\":355.38, \"stage\":2, \"buy\":96.2, \"sell\":7, \"prime\":2, \"revL\":0, \"revS\":0, \"vcp\":0, \"dir_prob\":95.6, \"time\":1784295000000}", "ticker": "AXP", "setup": "A+ Trend Long", "side": "LONG", "price": 355.38, "stage": 2, "buy": 96.2, "sell": 7, "prime": 2, "revL": 0, "revS": 0, "vcp": 0, "time": 1784295000000, "email_id": "b'1366'", "timestamp": "2026-07-17 16:01:02"}</t>
  </si>
  <si>
    <t>Buy: 97.7 | Sell: 3</t>
  </si>
  <si>
    <t>{"symbol": "WELL", "strategy": "Daily", "action": "LONG", "alert_price": 233.37, "score": "", "dir_prob": "90", "net_sigma": "", "grade": "", "align": "", "premium": "", "wrong_if": "", "context": "", "subject": "Alert: Rev - Screener v1 (SPY, 12): Any alert() function call", "body": "{\"ticker\":\"WELL\", \"setup\":\"A+ Trend Long\", \"side\":\"LONG\", \"price\":233.37, \"stage\":2, \"buy\":96.7, \"sell\":5.7, \"prime\":2, \"revL\":0, \"revS\":0, \"vcp\":0, \"dir_prob\":90, \"time\":1784122200000}", "ticker": "WELL", "setup": "A+ Trend Long", "side": "LONG", "price": 233.37, "stage": 2, "buy": 96.7, "sell": 5.7, "prime": 2, "revL": 0, "revS": 0, "vcp": 0, "time": 1784122200000, "email_id": "b'1153'", "timestamp": "2026-07-15 16:01:25"}</t>
  </si>
  <si>
    <t>{"symbol": "ED", "strategy": "Daily", "action": "LONG", "alert_price": 112.35, "score": "", "dir_prob": "95.6", "net_sigma": "", "grade": "", "align": "", "premium": "", "wrong_if": "", "context": "", "subject": "Alert: Rev - Screener v1 (SPY, 12): Any alert() function call", "body": "{\"ticker\":\"ED\", \"setup\":\"A+ Trend Long\", \"side\":\"LONG\", \"price\":112.35, \"stage\":2, \"buy\":96.7, \"sell\":6.6, \"prime\":2, \"revL\":0, \"revS\":0, \"vcp\":0, \"dir_prob\":95.6, \"time\":1784208600000}", "ticker": "ED", "setup": "A+ Trend Long", "side": "LONG", "price": 112.35, "stage": 2, "buy": 96.7, "sell": 6.6, "prime": 2, "revL": 0, "revS": 0, "vcp": 0, "time": 1784208600000, "email_id": "b'1248'", "timestamp": "2026-07-16 16:01:17"}</t>
  </si>
  <si>
    <t>The setup is a strong TREND_LONG driven by a Buy score of 98.33, a 95.35% directional probability, and Stage 2 momentum, with the price currently inside the long entry zone. The news confirms the bullish bias via a dividend declaration, though the upcoming earnings report on August 6 (21 days out) adds a caution flag. The R:R is tight at 0.71, but the high conviction technicals and confirmed news support a PASS for swing/LEAP consideration.</t>
  </si>
  <si>
    <t>Buy: 82.3 | Sell: 9.7</t>
  </si>
  <si>
    <t>{"symbol": "CRL", "strategy": "Daily", "action": "LONG", "alert_price": 224.35, "score": "", "dir_prob": "95.8", "net_sigma": "", "grade": "", "align": "", "premium": "", "wrong_if": "", "context": "", "subject": "Alert: Rev - Screener v1 (SPY, 12): Any alert() function call", "body": "{\"ticker\":\"CRL\", \"setup\":\"A+ Trend Long\", \"side\":\"LONG\", \"price\":224.35, \"stage\":2, \"buy\":97.7, \"sell\":3, \"prime\":2, \"revL\":0, \"revS\":0, \"vcp\":0, \"dir_prob\":95.8, \"time\":1784295000000}", "ticker": "CRL", "setup": "A+ Trend Long", "side": "LONG", "price": 224.35, "stage": 2, "buy": 97.7, "sell": 3, "prime": 2, "revL": 0, "revS": 0, "vcp": 0, "time": 1784295000000, "email_id": "b'1369'", "timestamp": "2026-07-17 16:01:03"}</t>
  </si>
  <si>
    <t>Buy: 9 | Sell: 92.6</t>
  </si>
  <si>
    <t>{"symbol": "AXON", "strategy": "Daily", "action": "LONG", "alert_price": 542.13, "score": "", "dir_prob": "98.5", "net_sigma": "", "grade": "", "align": "", "premium": "", "wrong_if": "", "context": "", "subject": "Alert: Rev - Screener v1 (SPY, 12): Any alert() function call", "body": "{\"ticker\":\"AXON\", \"setup\":\"A+ Trend Long\", \"side\":\"LONG\", \"price\":542.13, \"stage\":2, \"buy\":96.5, \"sell\":6.1, \"prime\":2, \"revL\":0, \"revS\":0, \"vcp\":0, \"dir_prob\":98.5, \"time\":1784208600000}", "ticker": "AXON", "setup": "A+ Trend Long", "side": "LONG", "price": 542.13, "stage": 2, "buy": 96.5, "sell": 6.1, "prime": 2, "revL": 0, "revS": 0, "vcp": 0, "time": 1784208600000, "email_id": "b'1249'", "timestamp": "2026-07-16 16:01:16"}</t>
  </si>
  <si>
    <t>{"symbol": "JPM", "strategy": "Daily", "action": "LONG", "alert_price": 346.94, "score": "", "dir_prob": "90.9", "net_sigma": "", "grade": "", "align": "", "premium": "", "wrong_if": "", "context": "", "subject": "Alert: Rev - Screener v1 (SPY, 12): Any alert() function call", "body": "{\"ticker\":\"JPM\", \"setup\":\"Coiled VCP\", \"side\":\"LONG\", \"price\":346.94, \"stage\":2, \"buy\":82.3, \"sell\":9.7, \"prime\":1, \"revL\":0, \"revS\":4.5, \"vcp\":1, \"dir_prob\":90.9, \"time\":1784122200000}", "ticker": "JPM", "setup": "Coiled VCP", "side": "LONG", "price": 346.94, "stage": 2, "buy": 82.3, "sell": 9.7, "prime": 1, "revL": 0, "revS": 4.5, "vcp": 1, "time": 1784122200000, "email_id": "b'1154'", "timestamp": "2026-07-15 16:01:19"}</t>
  </si>
  <si>
    <t>SOLV</t>
  </si>
  <si>
    <t>The technicals show a dominant short bias (dir_prob 78.85) but the Rev Zone Short score is 10.5 (Zone 0), indicating a strong counter-trend reversal opportunity despite the Stage 2 uptrend. The news is overwhelmingly bullish with multiple analyst upgrades and positive earnings sentiment, which confirms the short-side technicals are currently fighting a strong fundamental updraft. This creates a high-risk 'dip_buy' setup where the short signal is technically valid but contradicted by the fundamental catalyst. Consequently, the trade is capped at WATCH due to the conflicting signals and the specific 'counter_trend_high_risk' flag.</t>
  </si>
  <si>
    <t>Buy: 49.1 | Sell: 52.3</t>
  </si>
  <si>
    <t xml:space="preserve">Sentiment: -0.389059 (Bearish)
</t>
  </si>
  <si>
    <t>{"symbol": "MPWR", "strategy": "Daily", "action": "SHORT", "alert_price": 1310.86, "score": "", "dir_prob": "5.3", "net_sigma": "", "grade": "", "align": "", "premium": "", "wrong_if": "", "context": "", "subject": "Alert: Rev - Screener v1 (SPY, 12): Any alert() function call", "body": "{\"ticker\":\"MPWR\", \"setup\":\"A+ Trend Short\", \"side\":\"SHORT\", \"price\":1310.86, \"stage\":4, \"buy\":9, \"sell\":92.6, \"prime\":-2, \"revL\":0, \"revS\":0, \"vcp\":0, \"dir_prob\":5.3, \"time\":1784295000000}", "ticker": "MPWR", "setup": "A+ Trend Short", "side": "SHORT", "price": 1310.86, "stage": 4, "buy": 9, "sell": 92.6, "prime": -2, "revL": 0, "revS": 0, "vcp": 0, "time": 1784295000000, "email_id": "b'1370'", "timestamp": "2026-07-17 16:01:04"}</t>
  </si>
  <si>
    <t>Buy: 89.5 | Sell: 22.5</t>
  </si>
  <si>
    <t>Buy: 8.2 | Sell: 91.5</t>
  </si>
  <si>
    <t>{"symbol": "SOLV", "strategy": "Daily", "action": "LONG", "alert_price": 81.69, "score": "", "dir_prob": "64.5", "net_sigma": "", "grade": "", "align": "", "premium": "", "wrong_if": "", "context": "", "subject": "Alert: Rev - Screener v1 (SPY, 12): Any alert() function call", "body": "{\"ticker\":\"SOLV\", \"setup\":\"Bullish Squeeze Release\", \"side\":\"LONG\", \"price\":81.69, \"stage\":2, \"buy\":49.1, \"sell\":52.3, \"prime\":0, \"revL\":0, \"revS\":0, \"vcp\":2, \"dir_prob\":64.5, \"time\":1784208600000}", "ticker": "SOLV", "setup": "Bullish Squeeze Release", "side": "LONG", "price": 81.69, "stage": 2, "buy": 49.1, "sell": 52.3, "prime": 0, "revL": 0, "revS": 0, "vcp": 2, "time": 1784208600000, "email_id": "b'1251'", "timestamp": "2026-07-16 16:01:41"}</t>
  </si>
  <si>
    <t>{"symbol": "BKR", "strategy": "Daily", "action": "SHORT", "alert_price": 55.95, "score": "", "dir_prob": "3.9", "net_sigma": "", "grade": "", "align": "", "premium": "", "wrong_if": "", "context": "", "subject": "Alert: Rev - Screener v1 (SPY, 12): Any alert() function call", "body": "{\"ticker\":\"BKR\", \"setup\":\"A+ Trend Short\", \"side\":\"SHORT\", \"price\":55.95, \"stage\":4, \"buy\":8.2, \"sell\":91.5, \"prime\":-2, \"revL\":0, \"revS\":0, \"vcp\":0, \"dir_prob\":3.9, \"time\":1784295000000}", "ticker": "BKR", "setup": "A+ Trend Short", "side": "SHORT", "price": 55.95, "stage": 4, "buy": 8.2, "sell": 91.5, "prime": -2, "revL": 0, "revS": 0, "vcp": 0, "time": 1784295000000, "email_id": "b'1371'", "timestamp": "2026-07-17 16:01:01"}</t>
  </si>
  <si>
    <t>Buy: 96.1 | Sell: 5.2</t>
  </si>
  <si>
    <t>{"symbol": "CHRW", "strategy": "Daily", "action": "LONG", "alert_price": 197.66, "score": "", "dir_prob": "86.8", "net_sigma": "", "grade": "", "align": "", "premium": "", "wrong_if": "", "context": "", "subject": "Alert: Rev - Screener v1 (SPY, 12): Any alert() function call", "body": "{\"ticker\":\"CHRW\", \"setup\":\"A+ Trend Long\", \"side\":\"LONG\", \"price\":197.66, \"stage\":2, \"buy\":89.5, \"sell\":22.5, \"prime\":2, \"revL\":0, \"revS\":0, \"vcp\":0, \"dir_prob\":86.8, \"time\":1784122200000}", "ticker": "CHRW", "setup": "A+ Trend Long", "side": "LONG", "price": 197.66, "stage": 2, "buy": 89.5, "sell": 22.5, "prime": 2, "revL": 0, "revS": 0, "vcp": 0, "time": 1784122200000, "email_id": "b'1152'", "timestamp": "2026-07-15 16:01:20"}</t>
  </si>
  <si>
    <t>Buy: 95.1 | Sell: 6.3</t>
  </si>
  <si>
    <t>{"symbol": "ACGL", "strategy": "Daily", "action": "LONG", "alert_price": 101.36, "score": "", "dir_prob": "95.5", "net_sigma": "", "grade": "", "align": "", "premium": "", "wrong_if": "", "context": "", "subject": "Alert: Rev - Screener v1 (SPY, 12): Any alert() function call", "body": "{\"ticker\":\"ACGL\", \"setup\":\"A+ Trend Long\", \"side\":\"LONG\", \"price\":101.36, \"stage\":2, \"buy\":97.5, \"sell\":7.5, \"prime\":2, \"revL\":0, \"revS\":0, \"vcp\":0, \"dir_prob\":95.5, \"time\":1784295000000}", "ticker": "ACGL", "setup": "A+ Trend Long", "side": "LONG", "price": 101.36, "stage": 2, "buy": 97.5, "sell": 7.5, "prime": 2, "revL": 0, "revS": 0, "vcp": 0, "time": 1784295000000, "email_id": "b'1372'", "timestamp": "2026-07-17 16:01:05"}</t>
  </si>
  <si>
    <t>{"symbol": "MRNA", "strategy": "Daily", "action": "LONG", "alert_price": 63.15, "score": "", "dir_prob": "96.3", "net_sigma": "", "grade": "", "align": "", "premium": "", "wrong_if": "", "context": "", "subject": "Alert: Rev - Screener v1 (SPY, 12): Any alert() function call", "body": "{\"ticker\":\"MRNA\", \"setup\":\"A+ Trend Long\", \"side\":\"LONG\", \"price\":63.15, \"stage\":2, \"buy\":96.1, \"sell\":5.2, \"prime\":2, \"revL\":0, \"revS\":0, \"vcp\":0, \"dir_prob\":96.3, \"time\":1784208600000}", "ticker": "MRNA", "setup": "A+ Trend Long", "side": "LONG", "price": 63.15, "stage": 2, "buy": 96.1, "sell": 5.2, "prime": 2, "revL": 0, "revS": 0, "vcp": 0, "time": 1784208600000, "email_id": "b'1250'", "timestamp": "2026-07-16 16:01:14"}</t>
  </si>
  <si>
    <t>Buy: 96.7 | Sell: 5.9</t>
  </si>
  <si>
    <t>Buy: 87 | Sell: 6.6</t>
  </si>
  <si>
    <t>{"symbol": "RF", "strategy": "Daily", "action": "LONG", "alert_price": 31.47, "score": "", "dir_prob": "93", "net_sigma": "", "grade": "", "align": "", "premium": "", "wrong_if": "", "context": "", "subject": "Alert: Rev - Screener v1 (SPY, 12): Any alert() function call", "body": "{\"ticker\":\"RF\", \"setup\":\"A+ Trend Long\", \"side\":\"LONG\", \"price\":31.47, \"stage\":2, \"buy\":95.1, \"sell\":6.3, \"prime\":2, \"revL\":0, \"revS\":0, \"vcp\":0, \"dir_prob\":93, \"time\":1784122200000}", "ticker": "RF", "setup": "A+ Trend Long", "side": "LONG", "price": 31.47, "stage": 2, "buy": 95.1, "sell": 6.3, "prime": 2, "revL": 0, "revS": 0, "vcp": 0, "time": 1784122200000, "email_id": "b'1155'", "timestamp": "2026-07-15 16:01:17"}</t>
  </si>
  <si>
    <t>The setup is a strong TREND_LONG driven by a Buy score of 97.05, a Sell score of 18.13, and a Direction Probability of 90.97, all within Stage 2 (up-trend) and Regime 0 (healthy). The stock is currently 'in_zone' with a favorable R:R of 1.23, and the news sentiment is bullish, confirming the technical bias. However, the triage is capped to WATCH because the earnings gate is 'FAIL' with earnings due in 2 days, creating an imminent risk of volatility.</t>
  </si>
  <si>
    <t>{"symbol": "HSIC", "strategy": "Daily", "action": "LONG", "alert_price": 88.25, "score": "", "dir_prob": "93.8", "net_sigma": "", "grade": "", "align": "", "premium": "", "wrong_if": "", "context": "", "subject": "Alert: Rev - Screener v1 (SPY, 12): Any alert() function call", "body": "{\"ticker\":\"HSIC\", \"setup\":\"A+ Trend Long\", \"side\":\"LONG\", \"price\":88.25, \"stage\":2, \"buy\":87, \"sell\":6.6, \"prime\":2, \"revL\":0, \"revS\":5, \"vcp\":0, \"dir_prob\":93.8, \"time\":1784208600000}", "ticker": "HSIC", "setup": "A+ Trend Long", "side": "LONG", "price": 88.25, "stage": 2, "buy": 87, "sell": 6.6, "prime": 2, "revL": 0, "revS": 5, "vcp": 0, "time": 1784208600000, "email_id": "b'1252'", "timestamp": "2026-07-16 16:01:18"}</t>
  </si>
  <si>
    <t>{"symbol": "INCY", "strategy": "Daily", "action": "LONG", "alert_price": 117.24, "score": "", "dir_prob": "95", "net_sigma": "", "grade": "", "align": "", "premium": "", "wrong_if": "", "context": "", "subject": "Alert: Rev - Screener v1 (SPY, 12): Any alert() function call", "body": "{\"ticker\":\"INCY\", \"setup\":\"A+ Trend Long\", \"side\":\"LONG\", \"price\":117.24, \"stage\":2, \"buy\":96.7, \"sell\":5.9, \"prime\":2, \"revL\":0, \"revS\":0, \"vcp\":0, \"dir_prob\":95, \"time\":1784295000000}", "ticker": "INCY", "setup": "A+ Trend Long", "side": "LONG", "price": 117.24, "stage": 2, "buy": 96.7, "sell": 5.9, "prime": 2, "revL": 0, "revS": 0, "vcp": 0, "time": 1784295000000, "email_id": "b'1373'", "timestamp": "2026-07-17 16:01:21"}</t>
  </si>
  <si>
    <t>The technicals show a dominant short bias (dir_prob 88.15) but no active entry mode fires; the long side is in a Zone-1 mean-reversion setup (rev_zone_l=5.0) while the short side lacks a breakout or strong trend signal (sell=16.05). The 'churn' flag and conflicting momentum (opposite_score=74.8 vs buy=74.8) indicate indecision, compounded by a 'TOP' warning 23 bars ago and a 'SWEEP_BEAR' reversal 15 bars ago. With earnings in 19 days and the stock currently in the long entry zone, the setup lacks a clear directional edge for a swing trade.</t>
  </si>
  <si>
    <t>WATCH (2/10) → Deep Research</t>
  </si>
  <si>
    <t>Buy: 82.5 | Sell: 11.2</t>
  </si>
  <si>
    <t>Buy: 92 | Sell: 9.7</t>
  </si>
  <si>
    <t>{"symbol": "KO", "strategy": "Daily", "action": "LONG", "alert_price": 84.94, "score": "", "dir_prob": "90.7", "net_sigma": "", "grade": "", "align": "", "premium": "", "wrong_if": "", "context": "", "subject": "Alert: Rev - Screener v1 (SPY, 12): Any alert() function call", "body": "{\"ticker\":\"KO\", \"setup\":\"Early Action Long\", \"side\":\"LONG\", \"price\":84.94, \"stage\":2, \"buy\":82.5, \"sell\":11.2, \"prime\":1, \"revL\":0, \"revS\":0, \"vcp\":0, \"dir_prob\":90.7, \"time\":1784208600000}", "ticker": "KO", "setup": "Early Action Long", "side": "LONG", "price": 84.94, "stage": 2, "buy": 82.5, "sell": 11.2, "prime": 1, "revL": 0, "revS": 0, "vcp": 0, "time": 1784208600000, "email_id": "b'1253'", "timestamp": "2026-07-16 16:01:19"}</t>
  </si>
  <si>
    <t>{"symbol": "WST", "strategy": "Daily", "action": "LONG", "alert_price": 358.17, "score": "", "dir_prob": "91.5", "net_sigma": "", "grade": "", "align": "", "premium": "", "wrong_if": "", "context": "", "subject": "Alert: Rev - Screener v1 (SPY, 12): Any alert() function call", "body": "{\"ticker\":\"WST\", \"setup\":\"A+ Trend Long\", \"side\":\"LONG\", \"price\":358.17, \"stage\":2, \"buy\":92, \"sell\":9.7, \"prime\":2, \"revL\":0, \"revS\":0, \"vcp\":0, \"dir_prob\":91.5, \"time\":1784295000000}", "ticker": "WST", "setup": "A+ Trend Long", "side": "LONG", "price": 358.17, "stage": 2, "buy": 92, "sell": 9.7, "prime": 2, "revL": 0, "revS": 0, "vcp": 0, "time": 1784295000000, "email_id": "b'1374'", "timestamp": "2026-07-17 16:01:03"}</t>
  </si>
  <si>
    <t>The setup is a TREND_LONG driven by a dominant Buy score of 78.81 and a directional probability of 78.28, with Stage 2 confirming an uptrend. The news confirms this bias as Citigroup raised the price target to $97, despite neutral headline sentiment regarding investor sentiment. The trade is capped at WATCH because the 'chased' flag indicates the price is above the long entry zone (83.93-84.35) with an R:R of only 1.4, offering poor risk-reward for a new entry.</t>
  </si>
  <si>
    <t>Buy: 92.8 | Sell: 28.2</t>
  </si>
  <si>
    <t>{"symbol": "COO", "strategy": "Daily", "action": "LONG", "alert_price": 70.6, "score": "", "dir_prob": "96.5", "net_sigma": "", "grade": "", "align": "", "premium": "", "wrong_if": "", "context": "", "subject": "Alert: Rev - Screener v1 (SPY, 12): Any alert() function call", "body": "{\"ticker\":\"COO\", \"setup\":\"A+ Trend Long\", \"side\":\"LONG\", \"price\":70.60, \"stage\":2, \"buy\":97.3, \"sell\":4.7, \"prime\":2, \"revL\":0, \"revS\":0, \"vcp\":0, \"dir_prob\":96.5, \"time\":1784122200000}", "ticker": "COO", "setup": "A+ Trend Long", "side": "LONG", "price": 70.6, "stage": 2, "buy": 97.3, "sell": 4.7, "prime": 2, "revL": 0, "revS": 0, "vcp": 0, "time": 1784122200000, "email_id": "b'1156'", "timestamp": "2026-07-15 16:01:31"}</t>
  </si>
  <si>
    <t>Buy: 97.3 | Sell: 7.2</t>
  </si>
  <si>
    <t>BUY (Pullback Buy — Execute once LTF confirms)</t>
  </si>
  <si>
    <t>Buy: 97.2 | Sell: 13.7</t>
  </si>
  <si>
    <t>{"symbol": "BAC", "strategy": "Daily", "action": "LONG", "alert_price": 61.3, "score": "", "dir_prob": "83.6", "net_sigma": "", "grade": "", "align": "", "premium": "", "wrong_if": "", "context": "", "subject": "Alert: Rev - Screener v1 (SPY, 12): Any alert() function call", "body": "{\"ticker\":\"BAC\", \"setup\":\"A+ Trend Long\", \"side\":\"LONG\", \"price\":61.30, \"stage\":2, \"buy\":92.8, \"sell\":28.2, \"prime\":2, \"revL\":0, \"revS\":0, \"vcp\":0, \"dir_prob\":83.6, \"time\":1784295000000}", "ticker": "BAC", "setup": "A+ Trend Long", "side": "LONG", "price": 61.3, "stage": 2, "buy": 92.8, "sell": 28.2, "prime": 2, "revL": 0, "revS": 0, "vcp": 0, "time": 1784295000000, "email_id": "b'1375'", "timestamp": "2026-07-17 16:01:01"}</t>
  </si>
  <si>
    <t>TREND_LONG fires with buy=94.58 &gt;&gt; 65, dir_prob=88.29 &gt;&gt; 50, and stage=2 (up-trend). News CONFIRMS with a strong analyst upgrade (Evercore ISI raises target to $67). No active flags or vetoes; regime=0 (healthy) and ext_pct=17.49 (normal).</t>
  </si>
  <si>
    <t>{"symbol": "CAH", "strategy": "Daily", "action": "LONG", "alert_price": 228.71, "score": "", "dir_prob": "98", "net_sigma": "", "grade": "", "align": "", "premium": "", "wrong_if": "", "context": "", "subject": "Alert: Rev - Screener v1 (SPY, 12): Any alert() function call", "body": "{\"ticker\":\"CAH\", \"setup\":\"A+ Trend Long\", \"side\":\"LONG\", \"price\":228.71, \"stage\":2, \"buy\":97.3, \"sell\":7.2, \"prime\":2, \"revL\":0, \"revS\":0, \"vcp\":0, \"dir_prob\":98, \"time\":1784208600000}", "ticker": "CAH", "setup": "A+ Trend Long", "side": "LONG", "price": 228.71, "stage": 2, "buy": 97.3, "sell": 7.2, "prime": 2, "revL": 0, "revS": 0, "vcp": 0, "time": 1784208600000, "email_id": "b'1254'", "timestamp": "2026-07-16 16:01:28"}</t>
  </si>
  <si>
    <t>Buy: 96.9 | Sell: 7.2</t>
  </si>
  <si>
    <t>The setup is a strong TREND_LONG driven by a Buy score of 94.3, a 96.25% directional probability, and Stage 2 momentum, with the price currently inside the long entry zone. The news sentiment is bullish, citing retention reasons and growth drivers, which confirms the technical bias. A key flag for 'extended' is present due to the 13.86% extension above the MA200, but the low exhaustion (0.07) and healthy regime (0) suggest the trend has room to run. The R:R is favorable at 2.0x, and the earnings gate is clear.</t>
  </si>
  <si>
    <t>{"symbol": "ABBV", "strategy": "Daily", "action": "LONG", "alert_price": 244.22, "score": "", "dir_prob": "92.7", "net_sigma": "", "grade": "", "align": "", "premium": "", "wrong_if": "", "context": "", "subject": "Alert: Rev - Screener v1 (SPY, 12): Any alert() function call", "body": "{\"ticker\":\"ABBV\", \"setup\":\"A+ Trend Long\", \"side\":\"LONG\", \"price\":244.22, \"stage\":2, \"buy\":97.2, \"sell\":13.7, \"prime\":2, \"revL\":0, \"revS\":0, \"vcp\":0, \"dir_prob\":92.7, \"time\":1784122200000}", "ticker": "ABBV", "setup": "A+ Trend Long", "side": "LONG", "price": 244.22, "stage": 2, "buy": 97.2, "sell": 13.7, "prime": 2, "revL": 0, "revS": 0, "vcp": 0, "time": 1784122200000, "email_id": "b'1157'", "timestamp": "2026-07-15 16:01:22"}</t>
  </si>
  <si>
    <t>Buy: 80.5 | Sell: 42.4</t>
  </si>
  <si>
    <t>Buy: 93.7 | Sell: 14.1</t>
  </si>
  <si>
    <t>{"symbol": "JNJ", "strategy": "Daily", "action": "LONG", "alert_price": 253.04, "score": "", "dir_prob": "94.7", "net_sigma": "", "grade": "", "align": "", "premium": "", "wrong_if": "", "context": "", "subject": "Alert: Rev - Screener v1 (SPY, 12): Any alert() function call", "body": "{\"ticker\":\"JNJ\", \"setup\":\"A+ Trend Long\", \"side\":\"LONG\", \"price\":253.04, \"stage\":2, \"buy\":96.9, \"sell\":7.2, \"prime\":2, \"revL\":0, \"revS\":0, \"vcp\":0, \"dir_prob\":94.7, \"time\":1784295000000}", "ticker": "JNJ", "setup": "A+ Trend Long", "side": "LONG", "price": 253.04, "stage": 2, "buy": 96.9, "sell": 7.2, "prime": 2, "revL": 0, "revS": 0, "vcp": 0, "time": 1784295000000, "email_id": "b'1377'", "timestamp": "2026-07-17 16:01:00"}</t>
  </si>
  <si>
    <t>TREND_LONG fires with buy=94.13 &gt; 65, dir_prob=64.79 &gt;= 50, and stage=2. News CONFIRMS with multiple analyst upgrades and positive Q2 momentum. Triage capped to WATCH due to regime=3 (distribution) and the 'TOP' warning in recency_fresh, indicating potential exhaustion despite the strong trend signal.</t>
  </si>
  <si>
    <t>Buy: 90.9 | Sell: 25.2</t>
  </si>
  <si>
    <t>{"symbol": "CHRW", "strategy": "Daily", "action": "LONG", "alert_price": 205.72, "score": "", "dir_prob": "71.2", "net_sigma": "", "grade": "", "align": "", "premium": "", "wrong_if": "", "context": "", "subject": "Alert: Rev - Screener v1 (SPY, 12): Any alert() function call", "body": "{\"ticker\":\"CHRW\", \"setup\":\"Early Ignition\", \"side\":\"LONG\", \"price\":205.72, \"stage\":2, \"buy\":80.5, \"sell\":42.4, \"prime\":1, \"revL\":0, \"revS\":0, \"vcp\":0, \"dir_prob\":71.2, \"time\":1784208600000}", "ticker": "CHRW", "setup": "Early Ignition", "side": "LONG", "price": 205.72, "stage": 2, "buy": 80.5, "sell": 42.4, "prime": 1, "revL": 0, "revS": 0, "vcp": 0, "time": 1784208600000, "email_id": "b'1255'", "timestamp": "2026-07-16 16:01:22"}</t>
  </si>
  <si>
    <t>CHRW is firing a TREND_LONG signal with a Buy Score of 90.24, Dir Prob of 70.77, and Stage 2, supported by a strong R:R of 4.24x. The news confirms this bias with multiple analyst upgrades and price target increases. However, the setup is capped at WATCH due to the 'extended' regime (Stage 2 with Ext% ~24%) and an earnings event in 13 days, which introduces near-term volatility risk.</t>
  </si>
  <si>
    <t>{"symbol": "HRL", "strategy": "Daily", "action": "LONG", "alert_price": 25.15, "score": "", "dir_prob": "94.7", "net_sigma": "", "grade": "", "align": "", "premium": "", "wrong_if": "", "context": "", "subject": "Alert: Rev - Screener v1 (SPY, 12): Any alert() function call", "body": "{\"ticker\":\"HRL\", \"setup\":\"A+ Trend Long\", \"side\":\"LONG\", \"price\":25.15, \"stage\":2, \"buy\":93.7, \"sell\":14.1, \"prime\":2, \"revL\":0, \"revS\":0, \"vcp\":0, \"dir_prob\":94.7, \"time\":1784122200000}", "ticker": "HRL", "setup": "A+ Trend Long", "side": "LONG", "price": 25.15, "stage": 2, "buy": 93.7, "sell": 14.1, "prime": 2, "revL": 0, "revS": 0, "vcp": 0, "time": 1784122200000, "email_id": "b'1158'", "timestamp": "2026-07-15 16:01:15"}</t>
  </si>
  <si>
    <t>Buy: 84 | Sell: 17.9</t>
  </si>
  <si>
    <t>Buy: 95 | Sell: 8.5</t>
  </si>
  <si>
    <t>{"symbol": "HUM", "strategy": "Daily", "action": "LONG", "alert_price": 399.98, "score": "", "dir_prob": "91.5", "net_sigma": "", "grade": "", "align": "", "premium": "", "wrong_if": "", "context": "", "subject": "Alert: Rev - Screener v1 (SPY, 12): Any alert() function call", "body": "{\"ticker\":\"HUM\", \"setup\":\"A+ Trend Long\", \"side\":\"LONG\", \"price\":399.98, \"stage\":2, \"buy\":90.9, \"sell\":25.2, \"prime\":2, \"revL\":0, \"revS\":0, \"vcp\":0, \"dir_prob\":91.5, \"time\":1784295000000}", "ticker": "HUM", "setup": "A+ Trend Long", "side": "LONG", "price": 399.98, "stage": 2, "buy": 90.9, "sell": 25.2, "prime": 2, "revL": 0, "revS": 0, "vcp": 0, "time": 1784295000000, "email_id": "b'1376'", "timestamp": "2026-07-17 16:01:00"}</t>
  </si>
  <si>
    <t>TREND_LONG fires with buy=92.47 &gt; 65, dir_prob=94.19, and stage=2. News is NEUTRAL with no specific catalyst. Triage capped to WATCH due to 'exhaustion' flag (exhaustion=0.4212) and 'extended' flag (ext_pct=44.24, regime=1), plus 'earnings' caution (11 days out).</t>
  </si>
  <si>
    <t>Buy: 56.4 | Sell: 93.5</t>
  </si>
  <si>
    <t>{"symbol": "D", "strategy": "Daily", "action": "LONG", "alert_price": 71.67, "score": "", "dir_prob": "89.3", "net_sigma": "", "grade": "", "align": "", "premium": "", "wrong_if": "", "context": "", "subject": "Alert: Rev - Screener v1 (SPY, 12): Any alert() function call", "body": "{\"ticker\":\"D\", \"setup\":\"Early Action Long\", \"side\":\"LONG\", \"price\":71.67, \"stage\":2, \"buy\":84, \"sell\":17.9, \"prime\":1, \"revL\":0, \"revS\":0, \"vcp\":0, \"dir_prob\":89.3, \"time\":1784208600000}", "ticker": "D", "setup": "Early Action Long", "side": "LONG", "price": 71.67, "stage": 2, "buy": 84, "sell": 17.9, "prime": 1, "revL": 0, "revS": 0, "vcp": 0, "time": 1784208600000, "email_id": "b'1256'", "timestamp": "2026-07-16 16:01:23"}</t>
  </si>
  <si>
    <t>{"symbol": "MAS", "strategy": "Daily", "action": "LONG", "alert_price": 78.04, "score": "", "dir_prob": "91.8", "net_sigma": "", "grade": "", "align": "", "premium": "", "wrong_if": "", "context": "", "subject": "Alert: Rev - Screener v1 (SPY, 12): Any alert() function call", "body": "{\"ticker\":\"MAS\", \"setup\":\"A+ Trend Long\", \"side\":\"LONG\", \"price\":78.04, \"stage\":2, \"buy\":95, \"sell\":8.5, \"prime\":2, \"revL\":0, \"revS\":0, \"vcp\":0, \"dir_prob\":91.8, \"time\":1784122200000}", "ticker": "MAS", "setup": "A+ Trend Long", "side": "LONG", "price": 78.04, "stage": 2, "buy": 95, "sell": 8.5, "prime": 2, "revL": 0, "revS": 0, "vcp": 0, "time": 1784122200000, "email_id": "b'1159'", "timestamp": "2026-07-15 16:01:06"}</t>
  </si>
  <si>
    <t>Buy: 92.3 | Sell: 9.2</t>
  </si>
  <si>
    <t>{"symbol": "NFLX", "strategy": "Daily", "action": "SHORT", "alert_price": 68.86, "score": "", "dir_prob": "50.4", "net_sigma": "", "grade": "", "align": "", "premium": "", "wrong_if": "", "context": "", "subject": "Alert: Rev - Screener v1 (SPY, 12): Any alert() function call", "body": "{\"ticker\":\"NFLX\", \"setup\":\"A+ Trend Short\", \"side\":\"SHORT\", \"price\":68.86, \"stage\":4, \"buy\":56.4, \"sell\":93.5, \"prime\":-2, \"revL\":4.5, \"revS\":0, \"vcp\":0, \"dir_prob\":50.4, \"time\":1784295000000}", "ticker": "NFLX", "setup": "A+ Trend Short", "side": "SHORT", "price": 68.86, "stage": 4, "buy": 56.4, "sell": 93.5, "prime": -2, "revL": 4.5, "revS": 0, "vcp": 0, "time": 1784295000000, "email_id": "b'1378'", "timestamp": "2026-07-17 16:01:07"}</t>
  </si>
  <si>
    <t>Buy: 11.9 | Sell: 89.5</t>
  </si>
  <si>
    <t>Buy: 92.9 | Sell: 21.1</t>
  </si>
  <si>
    <t>{"symbol": "PHM", "strategy": "Daily", "action": "LONG", "alert_price": 129.02, "score": "", "dir_prob": "93.6", "net_sigma": "", "grade": "", "align": "", "premium": "", "wrong_if": "", "context": "", "subject": "Alert: Rev - Screener v1 (SPY, 12): Any alert() function call", "body": "{\"ticker\":\"PHM\", \"setup\":\"A+ Trend Long\", \"side\":\"LONG\", \"price\":129.02, \"stage\":2, \"buy\":92.3, \"sell\":9.2, \"prime\":2, \"revL\":0, \"revS\":0, \"vcp\":0, \"dir_prob\":93.6, \"time\":1784208600000}", "ticker": "PHM", "setup": "A+ Trend Long", "side": "LONG", "price": 129.02, "stage": 2, "buy": 92.3, "sell": 9.2, "prime": 2, "revL": 0, "revS": 0, "vcp": 0, "time": 1784208600000, "email_id": "b'1257'", "timestamp": "2026-07-16 16:01:20"}</t>
  </si>
  <si>
    <t>PHM shows a strong TREND_LONG setup with a Buy score of 91.19, Dir Prob of 95.2, and Stage 2, supported by a bullish Barclays price target raise. The technicals are clean with low exhaustion (0.026) and the price is currently in the long entry zone with a favorable R:R of ~2.0. However, the triage is capped to WATCH due to the 'earnings' flag (6 days out) and the 'extended' flag (Regime 0 with ext_pct 5.24), which suggests caution despite the strong momentum.</t>
  </si>
  <si>
    <t>{"symbol": "ECHO", "strategy": "Daily", "action": "SHORT", "alert_price": 96.54, "score": "", "dir_prob": "9", "net_sigma": "", "grade": "", "align": "", "premium": "", "wrong_if": "", "context": "", "subject": "Alert: Rev - Screener v1 (SPY, 12): Any alert() function call", "body": "{\"ticker\":\"ECHO\", \"setup\":\"A+ Trend Short\", \"side\":\"SHORT\", \"price\":96.54, \"stage\":4, \"buy\":11.9, \"sell\":89.5, \"prime\":-2, \"revL\":0, \"revS\":0, \"vcp\":0, \"dir_prob\":9, \"time\":1784122200000}", "ticker": "ECHO", "setup": "A+ Trend Short", "side": "SHORT", "price": 96.54, "stage": 4, "buy": 11.9, "sell": 89.5, "prime": -2, "revL": 0, "revS": 0, "vcp": 0, "time": 1784122200000, "email_id": "b'1161'", "timestamp": "2026-07-15 16:01:25"}</t>
  </si>
  <si>
    <t>{"symbol": "DG", "strategy": "Daily", "action": "LONG", "alert_price": 125.79, "score": "", "dir_prob": "95.4", "net_sigma": "", "grade": "", "align": "", "premium": "", "wrong_if": "", "context": "", "subject": "Alert: Rev - Screener v1 (SPY, 12): Any alert() function call", "body": "{\"ticker\":\"DG\", \"setup\":\"A+ Trend Long\", \"side\":\"LONG\", \"price\":125.79, \"stage\":2, \"buy\":92.9, \"sell\":21.1, \"prime\":2, \"revL\":0, \"revS\":0, \"vcp\":0, \"dir_prob\":95.4, \"time\":1784295000000}", "ticker": "DG", "setup": "A+ Trend Long", "side": "LONG", "price": 125.79, "stage": 2, "buy": 92.9, "sell": 21.1, "prime": 2, "revL": 0, "revS": 0, "vcp": 0, "time": 1784295000000, "email_id": "b'1379'", "timestamp": "2026-07-17 16:01:09"}</t>
  </si>
  <si>
    <t>Buy: 89 | Sell: 26.9</t>
  </si>
  <si>
    <t>Buy: 14.9 | Sell: 89.8</t>
  </si>
  <si>
    <t>Buy: 10.6 | Sell: 85.5</t>
  </si>
  <si>
    <t>{"symbol": "FOX", "strategy": "Daily", "action": "SHORT", "alert_price": 50.4, "score": "", "dir_prob": "6.8", "net_sigma": "", "grade": "", "align": "", "premium": "", "wrong_if": "", "context": "", "subject": "Alert: Rev - Screener v1 (SPY, 12): Any alert() function call", "body": "{\"ticker\":\"FOX\", \"setup\":\"A+ Trend Short\", \"side\":\"SHORT\", \"price\":50.40, \"stage\":4, \"buy\":14.9, \"sell\":89.8, \"prime\":-2, \"revL\":0, \"revS\":0, \"vcp\":0, \"dir_prob\":6.8, \"time\":1784122200000}", "ticker": "FOX", "setup": "A+ Trend Short", "side": "SHORT", "price": 50.4, "stage": 4, "buy": 14.9, "sell": 89.8, "prime": -2, "revL": 0, "revS": 0, "vcp": 0, "time": 1784122200000, "email_id": "b'1160'", "timestamp": "2026-07-15 16:01:13"}</t>
  </si>
  <si>
    <t>{"symbol": "CPRT", "strategy": "Daily", "action": "SHORT", "alert_price": 27.6, "score": "", "dir_prob": "16.3", "net_sigma": "", "grade": "", "align": "", "premium": "", "wrong_if": "", "context": "", "subject": "Alert: Rev - Screener v1 (SPY, 12): Any alert() function call", "body": "{\"ticker\":\"CPRT\", \"setup\":\"A+ Trend Short\", \"side\":\"SHORT\", \"price\":27.60, \"stage\":4, \"buy\":10.6, \"sell\":85.5, \"prime\":-2, \"revL\":0, \"revS\":0, \"vcp\":0, \"dir_prob\":16.3, \"time\":1784295000000}", "ticker": "CPRT", "setup": "A+ Trend Short", "side": "SHORT", "price": 27.6, "stage": 4, "buy": 10.6, "sell": 85.5, "prime": -2, "revL": 0, "revS": 0, "vcp": 0, "time": 1784295000000, "email_id": "b'1380'", "timestamp": "2026-07-17 16:01:09"}</t>
  </si>
  <si>
    <t>Technical setup shows a dominant short bias (sell=79.96 vs buy=59.15, dir_prob=32.22) in Stage 4, but no specific entry mode fires (no ignition, no strong trend score, rev_zone_s=2 is weak). News CONTRADICTS the short bias with headlines citing 'explosive upside potential' and a director's sale framed as a question, creating a mixed signal. The 'CONTRADICTS' news read caps the potential short setup at WATCH rather than PASS.</t>
  </si>
  <si>
    <t>{"symbol": "XYZ", "strategy": "Daily", "action": "LONG", "alert_price": 81.53, "score": "", "dir_prob": "88.5", "net_sigma": "", "grade": "", "align": "", "premium": "", "wrong_if": "", "context": "", "subject": "Alert: Rev - Screener v1 (SPY, 12): Any alert() function call", "body": "{\"ticker\":\"XYZ\", \"setup\":\"A+ Trend Long\", \"side\":\"LONG\", \"price\":81.53, \"stage\":2, \"buy\":89, \"sell\":26.9, \"prime\":2, \"revL\":0, \"revS\":0, \"vcp\":0, \"dir_prob\":88.5, \"time\":1784208600000}", "ticker": "XYZ", "setup": "A+ Trend Long", "side": "LONG", "price": 81.53, "stage": 2, "buy": 89, "sell": 26.9, "prime": 2, "revL": 0, "revS": 0, "vcp": 0, "time": 1784208600000, "email_id": "b'1258'", "timestamp": "2026-07-16 16:01:32"}</t>
  </si>
  <si>
    <t>Buy: 96.8 | Sell: 21.5</t>
  </si>
  <si>
    <t>Buy: 96 | Sell: 5.3</t>
  </si>
  <si>
    <t>**WATCH → LEAN on zone retest** (no full-size add pre-earnings)</t>
  </si>
  <si>
    <t>{"symbol": "CAH", "strategy": "Daily", "action": "LONG", "alert_price": 228.57, "score": "", "dir_prob": "96.6", "net_sigma": "", "grade": "", "align": "", "premium": "", "wrong_if": "", "context": "", "subject": "Alert: Rev - Screener v1 (SPY, 12): Any alert() function call", "body": "{\"ticker\":\"CAH\", \"setup\":\"A+ Trend Long\", \"side\":\"LONG\", \"price\":228.57, \"stage\":2, \"buy\":96.8, \"sell\":21.5, \"prime\":2, \"revL\":0, \"revS\":0, \"vcp\":0, \"dir_prob\":96.6, \"time\":1784295000000}", "ticker": "CAH", "setup": "A+ Trend Long", "side": "LONG", "price": 228.57, "stage": 2, "buy": 96.8, "sell": 21.5, "prime": 2, "revL": 0, "revS": 0, "vcp": 0, "time": 1784295000000, "email_id": "b'1381'", "timestamp": "2026-07-17 16:01:08"}</t>
  </si>
  <si>
    <t>{"symbol": "EXPE", "strategy": "Daily", "action": "LONG", "alert_price": 267.4, "score": "", "dir_prob": "91.3", "net_sigma": "", "grade": "", "align": "", "premium": "", "wrong_if": "", "context": "", "subject": "Alert: Rev - Screener v1 (SPY, 12): Any alert() function call", "body": "{\"ticker\":\"EXPE\", \"setup\":\"A+ Trend Long\", \"side\":\"LONG\", \"price\":267.40, \"stage\":2, \"buy\":97.2, \"sell\":4.5, \"prime\":2, \"revL\":0, \"revS\":0, \"vcp\":0, \"dir_prob\":91.3, \"time\":1784122200000}", "ticker": "EXPE", "setup": "A+ Trend Long", "side": "LONG", "price": 267.4, "stage": 2, "buy": 97.2, "sell": 4.5, "prime": 2, "revL": 0, "revS": 0, "vcp": 0, "time": 1784122200000, "email_id": "b'1162'", "timestamp": "2026-07-15 16:01:30"}</t>
  </si>
  <si>
    <t>The setup is a strong TREND_LONG driven by a Buy score of 98.24, a Sell score of 33.95, and a directional probability of 81.82, with the price currently inside the long entry zone. News sentiment is bullish, confirming the technical bias with a strategic partnership announcement and a Jefferies price target raise. The trade is capped at WATCH due to earnings arriving in 21 days, though the gate remains PASS. Conviction is high given the strong momentum and confirmed news, but the upcoming earnings date warrants caution.</t>
  </si>
  <si>
    <t xml:space="preserve">Sentiment: 0.301588 (Somewhat-Bullish)
</t>
  </si>
  <si>
    <t>WATCH (8/10) → Deep Research</t>
  </si>
  <si>
    <t>O</t>
  </si>
  <si>
    <t>{"symbol": "RTX", "strategy": "Daily", "action": "LONG", "alert_price": 194.37, "score": "", "dir_prob": "93.3", "net_sigma": "", "grade": "", "align": "", "premium": "", "wrong_if": "", "context": "", "subject": "Alert: Rev - Screener v1 (SPY, 12): Any alert() function call", "body": "{\"ticker\":\"RTX\", \"setup\":\"A+ Trend Long\", \"side\":\"LONG\", \"price\":194.37, \"stage\":2, \"buy\":96, \"sell\":5.3, \"prime\":2, \"revL\":0, \"revS\":0, \"vcp\":0, \"dir_prob\":93.3, \"time\":1784208600000}", "ticker": "RTX", "setup": "A+ Trend Long", "side": "LONG", "price": 194.37, "stage": 2, "buy": 96, "sell": 5.3, "prime": 2, "revL": 0, "revS": 0, "vcp": 0, "time": 1784208600000, "email_id": "b'1259'", "timestamp": "2026-07-16 16:01:14"}</t>
  </si>
  <si>
    <t>Buy: 96.5 | Sell: 5.5</t>
  </si>
  <si>
    <t>The setup is a TREND_LONG driven by a dominant Buy score of 97.23, a Sell score of 26.51, and a directional probability of 89.96, indicating a strong bullish bias. The stock is currently in Stage 2 (up-trend) with low exhaustion (0.08) and is trading slightly above its long entry zone, supported by a calculated R:R of 1.52. However, the verdict is capped to WATCH due to two factors: the 'TOP' warning in the recency data suggests potential distribution or a local top, and earnings are imminent in 7 days, creating a risk of volatility or a gap.</t>
  </si>
  <si>
    <t>Buy: 86.3 | Sell: 49</t>
  </si>
  <si>
    <t>Buy: 73.5 | Sell: 6.8</t>
  </si>
  <si>
    <t>{"symbol": "O", "strategy": "Daily", "action": "LONG", "alert_price": 63.25, "score": "", "dir_prob": "82.7", "net_sigma": "", "grade": "", "align": "", "premium": "", "wrong_if": "", "context": "", "subject": "Alert: Rev - Screener v1 (SPY, 12): Any alert() function call", "body": "{\"ticker\":\"O\", \"setup\":\"A+ Trend Long\", \"side\":\"LONG\", \"price\":63.25, \"stage\":2, \"buy\":86.3, \"sell\":49, \"prime\":2, \"revL\":0, \"revS\":0, \"vcp\":0, \"dir_prob\":82.7, \"time\":1784122200000}", "ticker": "O", "setup": "A+ Trend Long", "side": "LONG", "price": 63.25, "stage": 2, "buy": 86.3, "sell": 49, "prime": 2, "revL": 0, "revS": 0, "vcp": 0, "time": 1784122200000, "email_id": "b'1163'", "timestamp": "2026-07-15 16:01:26"}</t>
  </si>
  <si>
    <t>{"symbol": "PNC", "strategy": "Daily", "action": "LONG", "alert_price": 252.84, "score": "", "dir_prob": "93.9", "net_sigma": "", "grade": "", "align": "", "premium": "", "wrong_if": "", "context": "", "subject": "Alert: Rev - Screener v1 (SPY, 12): Any alert() function call", "body": "{\"ticker\":\"PNC\", \"setup\":\"A+ Trend Long\", \"side\":\"LONG\", \"price\":252.84, \"stage\":2, \"buy\":96.5, \"sell\":5.5, \"prime\":2, \"revL\":0, \"revS\":0, \"vcp\":0, \"dir_prob\":93.9, \"time\":1784295000000}", "ticker": "PNC", "setup": "A+ Trend Long", "side": "LONG", "price": 252.84, "stage": 2, "buy": 96.5, "sell": 5.5, "prime": 2, "revL": 0, "revS": 0, "vcp": 0, "time": 1784295000000, "email_id": "b'1382'", "timestamp": "2026-07-17 16:01:11"}</t>
  </si>
  <si>
    <t>{"symbol": "SNA", "strategy": "Daily", "action": "LONG", "alert_price": 414.89, "score": "", "dir_prob": "80.4", "net_sigma": "", "grade": "", "align": "", "premium": "", "wrong_if": "", "context": "", "subject": "Alert: Rev - Screener v1 (SPY, 12): Any alert() function call", "body": "{\"ticker\":\"SNA\", \"setup\":\"Early Action Long\", \"side\":\"LONG\", \"price\":414.89, \"stage\":2, \"buy\":73.5, \"sell\":6.8, \"prime\":1, \"revL\":0, \"revS\":0, \"vcp\":0, \"dir_prob\":80.4, \"time\":1784208600000}", "ticker": "SNA", "setup": "Early Action Long", "side": "LONG", "price": 414.89, "stage": 2, "buy": 73.5, "sell": 6.8, "prime": 1, "revL": 0, "revS": 0, "vcp": 0, "time": 1784208600000, "email_id": "b'1260'", "timestamp": "2026-07-16 16:01:31"}</t>
  </si>
  <si>
    <t>no_edge</t>
  </si>
  <si>
    <t>Buy: 20.1 | Sell: 87.7</t>
  </si>
  <si>
    <t>Buy: 95.9 | Sell: 15.2</t>
  </si>
  <si>
    <t>Buy: 93.8 | Sell: 12.7</t>
  </si>
  <si>
    <t>{"symbol": "ZBRA", "strategy": "Daily", "action": "LONG", "alert_price": 267.4, "score": "", "dir_prob": "96.4", "net_sigma": "", "grade": "", "align": "", "premium": "", "wrong_if": "", "context": "", "subject": "Alert: Rev - Screener v1 (SPY, 12): Any alert() function call", "body": "{\"ticker\":\"ZBRA\", \"setup\":\"A+ Trend Long\", \"side\":\"LONG\", \"price\":267.40, \"stage\":2, \"buy\":95.9, \"sell\":15.2, \"prime\":2, \"revL\":0, \"revS\":0, \"vcp\":0, \"dir_prob\":96.4, \"time\":1784295000000}", "ticker": "ZBRA", "setup": "A+ Trend Long", "side": "LONG", "price": 267.4, "stage": 2, "buy": 95.9, "sell": 15.2, "prime": 2, "revL": 0, "revS": 0, "vcp": 0, "time": 1784295000000, "email_id": "b'1383'", "timestamp": "2026-07-17 16:01:08"}</t>
  </si>
  <si>
    <t>{"symbol": "OXY", "strategy": "Daily", "action": "SHORT", "alert_price": 53.78, "score": "", "dir_prob": "10.6", "net_sigma": "", "grade": "", "align": "", "premium": "", "wrong_if": "", "context": "", "subject": "Alert: Rev - Screener v1 (SPY, 12): Any alert() function call", "body": "{\"ticker\":\"OXY\", \"setup\":\"A+ Trend Short\", \"side\":\"SHORT\", \"price\":53.78, \"stage\":4, \"buy\":20.1, \"sell\":87.7, \"prime\":-2, \"revL\":0, \"revS\":0, \"vcp\":0, \"dir_prob\":10.6, \"time\":1784122200000}", "ticker": "OXY", "setup": "A+ Trend Short", "side": "SHORT", "price": 53.78, "stage": 4, "buy": 20.1, "sell": 87.7, "prime": -2, "revL": 0, "revS": 0, "vcp": 0, "time": 1784122200000, "email_id": "b'1164'", "timestamp": "2026-07-15 16:01:29"}</t>
  </si>
  <si>
    <t>TREND_LONG fires with buy=85.37 &gt; 65, dir_prob=92.91 &gt;= 50, and stage=2. News is NEUTRAL with no specific catalyst. Triage capped to WATCH due to earnings_gate=PASS (17 days out) and the 'churn' risk from opposite_score=23.07 being low but present, though the dominant signal is strong. The setup is valid but requires monitoring the earnings timeline.</t>
  </si>
  <si>
    <t>Buy: 87.2 | Sell: 15.7</t>
  </si>
  <si>
    <t>Buy: 93.2 | Sell: 9.3</t>
  </si>
  <si>
    <t>{"symbol": "KEY", "strategy": "Daily", "action": "LONG", "alert_price": 23.98, "score": "", "dir_prob": "91.3", "net_sigma": "", "grade": "", "align": "", "premium": "", "wrong_if": "", "context": "", "subject": "Alert: Rev - Screener v1 (SPY, 12): Any alert() function call", "body": "{\"ticker\":\"KEY\", \"setup\":\"A+ Trend Long\", \"side\":\"LONG\", \"price\":23.98, \"stage\":2, \"buy\":93.8, \"sell\":12.7, \"prime\":2, \"revL\":0, \"revS\":0, \"vcp\":1, \"dir_prob\":91.3, \"time\":1784208600000}", "ticker": "KEY", "setup": "A+ Trend Long", "side": "LONG", "price": 23.98, "stage": 2, "buy": 93.8, "sell": 12.7, "prime": 2, "revL": 0, "revS": 0, "vcp": 1, "time": 1784208600000, "email_id": "b'1261'", "timestamp": "2026-07-16 16:01:20"}</t>
  </si>
  <si>
    <t>The setup is a TREND_LONG driven by a dominant Buy score of 96.65 and a directional probability of 89.8%, with the price currently inside the long entry zone (23.75-23.99) offering a 2.01 R:R. The technicals indicate a Regime 6 Squeeze (coiling phase) with 17.17% extension above the MA200, suggesting a potential breakout rather than exhaustion. The news is neutral, focusing on upcoming Q2 earnings expectations and community grants, which does not contradict the bullish technical bias. The 'extended' flag reflects the 17% distance from the 200-day MA, but the high buy score and squeeze regime suggest momentum is building rather than fading.</t>
  </si>
  <si>
    <t>Buy: 97.3 | Sell: 6.5</t>
  </si>
  <si>
    <t>{"symbol": "D", "strategy": "Daily", "action": "LONG", "alert_price": 71.04, "score": "", "dir_prob": "90.9", "net_sigma": "", "grade": "", "align": "", "premium": "", "wrong_if": "", "context": "", "subject": "Alert: Rev - Screener v1 (SPY, 12): Any alert() function call", "body": "{\"ticker\":\"D\", \"setup\":\"A+ Trend Long\", \"side\":\"LONG\", \"price\":71.04, \"stage\":2, \"buy\":87.2, \"sell\":15.7, \"prime\":2, \"revL\":0, \"revS\":0, \"vcp\":0, \"dir_prob\":90.9, \"time\":1784295000000}", "ticker": "D", "setup": "A+ Trend Long", "side": "LONG", "price": 71.04, "stage": 2, "buy": 87.2, "sell": 15.7, "prime": 2, "revL": 0, "revS": 0, "vcp": 0, "time": 1784295000000, "email_id": "b'1384'", "timestamp": "2026-07-17 16:01:12"}</t>
  </si>
  <si>
    <t>no_room</t>
  </si>
  <si>
    <t>{"symbol": "WST", "strategy": "Daily", "action": "LONG", "alert_price": 359.25, "score": "", "dir_prob": "92", "net_sigma": "", "grade": "", "align": "", "premium": "", "wrong_if": "", "context": "", "subject": "Alert: Rev - Screener v1 (SPY, 12): Any alert() function call", "body": "{\"ticker\":\"WST\", \"setup\":\"A+ Trend Long\", \"side\":\"LONG\", \"price\":359.25, \"stage\":2, \"buy\":93.2, \"sell\":9.3, \"prime\":2, \"revL\":0, \"revS\":0, \"vcp\":0, \"dir_prob\":92, \"time\":1784122200000}", "ticker": "WST", "setup": "A+ Trend Long", "side": "LONG", "price": 359.25, "stage": 2, "buy": 93.2, "sell": 9.3, "prime": 2, "revL": 0, "revS": 0, "vcp": 0, "time": 1784122200000, "email_id": "b'1165'", "timestamp": "2026-07-15 16:01:30"}</t>
  </si>
  <si>
    <t>Buy: 96.6 | Sell: 6.1</t>
  </si>
  <si>
    <t>Buy: 97.6 | Sell: 4.2</t>
  </si>
  <si>
    <t>{"symbol": "JNJ", "strategy": "Daily", "action": "LONG", "alert_price": 249.6, "score": "", "dir_prob": "95", "net_sigma": "", "grade": "", "align": "", "premium": "", "wrong_if": "", "context": "", "subject": "Alert: Rev - Screener v1 (SPY, 12): Any alert() function call", "body": "{\"ticker\":\"JNJ\", \"setup\":\"A+ Trend Long\", \"side\":\"LONG\", \"price\":249.60, \"stage\":2, \"buy\":97.3, \"sell\":6.5, \"prime\":2, \"revL\":0, \"revS\":0, \"vcp\":0, \"dir_prob\":95, \"time\":1784208600000}", "ticker": "JNJ", "setup": "A+ Trend Long", "side": "LONG", "price": 249.6, "stage": 2, "buy": 97.3, "sell": 6.5, "prime": 2, "revL": 0, "revS": 0, "vcp": 0, "time": 1784208600000, "email_id": "b'1262'", "timestamp": "2026-07-16 16:01:18"}</t>
  </si>
  <si>
    <t>{"symbol": "COO", "strategy": "Daily", "action": "LONG", "alert_price": 71.71, "score": "", "dir_prob": "96", "net_sigma": "", "grade": "", "align": "", "premium": "", "wrong_if": "", "context": "", "subject": "Alert: Rev - Screener v1 (SPY, 12): Any alert() function call", "body": "{\"ticker\":\"COO\", \"setup\":\"A+ Trend Long\", \"side\":\"LONG\", \"price\":71.71, \"stage\":2, \"buy\":96.6, \"sell\":6.1, \"prime\":2, \"revL\":0, \"revS\":0, \"vcp\":0, \"dir_prob\":96, \"time\":1784295000000}", "ticker": "COO", "setup": "A+ Trend Long", "side": "LONG", "price": 71.71, "stage": 2, "buy": 96.6, "sell": 6.1, "prime": 2, "revL": 0, "revS": 0, "vcp": 0, "time": 1784295000000, "email_id": "b'1385'", "timestamp": "2026-07-17 16:01:15"}</t>
  </si>
  <si>
    <t>Buy: 94.7 | Sell: 20.8</t>
  </si>
  <si>
    <t>Buy: 3.2 | Sell: 86.5</t>
  </si>
  <si>
    <t>{"symbol": "INCY", "strategy": "Daily", "action": "LONG", "alert_price": 115.08, "score": "", "dir_prob": "95.5", "net_sigma": "", "grade": "", "align": "", "premium": "", "wrong_if": "", "context": "", "subject": "Alert: Rev - Screener v1 (SPY, 12): Any alert() function call", "body": "{\"ticker\":\"INCY\", \"setup\":\"A+ Trend Long\", \"side\":\"LONG\", \"price\":115.08, \"stage\":2, \"buy\":97.6, \"sell\":4.2, \"prime\":2, \"revL\":0, \"revS\":0, \"vcp\":0, \"dir_prob\":95.5, \"time\":1784122200000}", "ticker": "INCY", "setup": "A+ Trend Long", "side": "LONG", "price": 115.08, "stage": 2, "buy": 97.6, "sell": 4.2, "prime": 2, "revL": 0, "revS": 0, "vcp": 0, "time": 1784122200000, "email_id": "b'1166'", "timestamp": "2026-07-15 16:01:17"}</t>
  </si>
  <si>
    <t>Buy: 92.2 | Sell: 13.7</t>
  </si>
  <si>
    <t>{"symbol": "STT", "strategy": "Daily", "action": "LONG", "alert_price": 182.56, "score": "", "dir_prob": "88.9", "net_sigma": "", "grade": "", "align": "", "premium": "", "wrong_if": "", "context": "", "subject": "Alert: Rev - Screener v1 (SPY, 12): Any alert() function call", "body": "{\"ticker\":\"STT\", \"setup\":\"A+ Trend Long\", \"side\":\"LONG\", \"price\":182.56, \"stage\":2, \"buy\":94.7, \"sell\":20.8, \"prime\":2, \"revL\":0, \"revS\":0, \"vcp\":0, \"dir_prob\":88.9, \"time\":1784295000000}", "ticker": "STT", "setup": "A+ Trend Long", "side": "LONG", "price": 182.56, "stage": 2, "buy": 94.7, "sell": 20.8, "prime": 2, "revL": 0, "revS": 0, "vcp": 0, "time": 1784295000000, "email_id": "b'1386'", "timestamp": "2026-07-17 16:01:12"}</t>
  </si>
  <si>
    <t>TREND_LONG fires with buy=95.89 &gt;&gt; 65, dir_prob=86.34 &gt;&gt; 50, and stage=2. News CONFIRMS with multiple analyst upgrades and a positive earnings catalyst. Flags include exhaustion (0.36) and extended (ext_pct=31), but the strong trend signal and confirmed news override these cautions. Triage is PASS with high conviction.</t>
  </si>
  <si>
    <t>{"symbol": "DOW", "strategy": "Daily", "action": "SHORT", "alert_price": 29.31, "score": "", "dir_prob": "6.2", "net_sigma": "", "grade": "", "align": "", "premium": "", "wrong_if": "", "context": "", "subject": "Alert: Rev - Screener v1 (SPY, 12): Any alert() function call", "body": "{\"ticker\":\"DOW\", \"setup\":\"A+ Trend Short\", \"side\":\"SHORT\", \"price\":29.31, \"stage\":4, \"buy\":3.2, \"sell\":86.5, \"prime\":-2, \"revL\":0, \"revS\":0, \"vcp\":0, \"dir_prob\":6.2, \"time\":1784208600000}", "ticker": "DOW", "setup": "A+ Trend Short", "side": "SHORT", "price": 29.31, "stage": 4, "buy": 3.2, "sell": 86.5, "prime": -2, "revL": 0, "revS": 0, "vcp": 0, "time": 1784208600000, "email_id": "b'1263'", "timestamp": "2026-07-16 16:01:21"}</t>
  </si>
  <si>
    <t>Buy: 94.6 | Sell: 10.3</t>
  </si>
  <si>
    <t>Buy: 16.1 | Sell: 88.4</t>
  </si>
  <si>
    <t>{"symbol": "ANET", "strategy": "Daily", "action": "LONG", "alert_price": 171.96, "score": "", "dir_prob": "92.3", "net_sigma": "", "grade": "", "align": "", "premium": "", "wrong_if": "", "context": "", "subject": "Alert: Rev - Screener v1 (SPY, 12): Any alert() function call", "body": "{\"ticker\":\"ANET\", \"setup\":\"A+ Trend Long\", \"side\":\"LONG\", \"price\":171.96, \"stage\":2, \"buy\":92.2, \"sell\":13.7, \"prime\":2, \"revL\":0, \"revS\":0, \"vcp\":0, \"dir_prob\":92.3, \"time\":1784122200000}", "ticker": "ANET", "setup": "A+ Trend Long", "side": "LONG", "price": 171.96, "stage": 2, "buy": 92.2, "sell": 13.7, "prime": 2, "revL": 0, "revS": 0, "vcp": 0, "time": 1784122200000, "email_id": "b'1167'", "timestamp": "2026-07-15 16:01:28"}</t>
  </si>
  <si>
    <t>{"symbol": "KEY", "strategy": "Daily", "action": "LONG", "alert_price": 23.54, "score": "", "dir_prob": "92", "net_sigma": "", "grade": "", "align": "", "premium": "", "wrong_if": "", "context": "", "subject": "Alert: Rev - Screener v1 (SPY, 12): Any alert() function call", "body": "{\"ticker\":\"KEY\", \"setup\":\"A+ Trend Long\", \"side\":\"LONG\", \"price\":23.54, \"stage\":2, \"buy\":94.6, \"sell\":10.3, \"prime\":2, \"revL\":0, \"revS\":0, \"vcp\":1, \"dir_prob\":92, \"time\":1784295000000}", "ticker": "KEY", "setup": "A+ Trend Long", "side": "LONG", "price": 23.54, "stage": 2, "buy": 94.6, "sell": 10.3, "prime": 2, "revL": 0, "revS": 0, "vcp": 1, "time": 1784295000000, "email_id": "b'1387'", "timestamp": "2026-07-17 16:01:15"}</t>
  </si>
  <si>
    <t>Buy: 84.4 | Sell: 28</t>
  </si>
  <si>
    <t>{"symbol": "PFE", "strategy": "Daily", "action": "SHORT", "alert_price": 25.14, "score": "", "dir_prob": "9.6", "net_sigma": "", "grade": "", "align": "", "premium": "", "wrong_if": "", "context": "", "subject": "Alert: Rev - Screener v1 (SPY, 12): Any alert() function call", "body": "{\"ticker\":\"PFE\", \"setup\":\"A+ Trend Short\", \"side\":\"SHORT\", \"price\":25.14, \"stage\":4, \"buy\":16.1, \"sell\":88.4, \"prime\":-2, \"revL\":0, \"revS\":0, \"vcp\":0, \"dir_prob\":9.6, \"time\":1784208600000}", "ticker": "PFE", "setup": "A+ Trend Short", "side": "SHORT", "price": 25.14, "stage": 4, "buy": 16.1, "sell": 88.4, "prime": -2, "revL": 0, "revS": 0, "vcp": 0, "time": 1784208600000, "email_id": "b'1264'", "timestamp": "2026-07-16 16:01:14"}</t>
  </si>
  <si>
    <t>Buy: 89.4 | Sell: 16.6</t>
  </si>
  <si>
    <t>{"symbol": "CVS", "strategy": "Daily", "action": "LONG", "alert_price": 107.46, "score": "", "dir_prob": "84.7", "net_sigma": "", "grade": "", "align": "", "premium": "", "wrong_if": "", "context": "", "subject": "Alert: Rev - Screener v1 (SPY, 12): Any alert() function call", "body": "{\"ticker\":\"CVS\", \"setup\":\"Early Action Long\", \"side\":\"LONG\", \"price\":107.46, \"stage\":2, \"buy\":84.4, \"sell\":28, \"prime\":1, \"revL\":0, \"revS\":0, \"vcp\":0, \"dir_prob\":84.7, \"time\":1784295000000}", "ticker": "CVS", "setup": "Early Action Long", "side": "LONG", "price": 107.46, "stage": 2, "buy": 84.4, "sell": 28, "prime": 1, "revL": 0, "revS": 0, "vcp": 0, "time": 1784295000000, "email_id": "b'1388'", "timestamp": "2026-07-17 16:01:08"}</t>
  </si>
  <si>
    <t>PSKY</t>
  </si>
  <si>
    <t>Buy: 14.4 | Sell: 91.3</t>
  </si>
  <si>
    <t>{"symbol": "DOC", "strategy": "Daily", "action": "LONG", "alert_price": 22.33, "score": "", "dir_prob": "91.6", "net_sigma": "", "grade": "", "align": "", "premium": "", "wrong_if": "", "context": "", "subject": "Alert: Rev - Screener v1 (SPY, 12): Any alert() function call", "body": "{\"ticker\":\"DOC\", \"setup\":\"A+ Trend Long\", \"side\":\"LONG\", \"price\":22.33, \"stage\":2, \"buy\":89.4, \"sell\":16.6, \"prime\":2, \"revL\":0, \"revS\":0, \"vcp\":0, \"dir_prob\":91.6, \"time\":1784208600000}", "ticker": "DOC", "setup": "A+ Trend Long", "side": "LONG", "price": 22.33, "stage": 2, "buy": 89.4, "sell": 16.6, "prime": 2, "revL": 0, "revS": 0, "vcp": 0, "time": 1784208600000, "email_id": "b'1265'", "timestamp": "2026-07-16 16:01:35"}</t>
  </si>
  <si>
    <t>Buy: 94.9 | Sell: 9.1</t>
  </si>
  <si>
    <t>{"symbol": "PSKY", "strategy": "Daily", "action": "SHORT", "alert_price": 8.74, "score": "", "dir_prob": "9.2", "net_sigma": "", "grade": "", "align": "", "premium": "", "wrong_if": "", "context": "", "subject": "Alert: Rev - Screener v1 (SPY, 12): Any alert() function call", "body": "{\"ticker\":\"PSKY\", \"setup\":\"A+ Trend Short\", \"side\":\"SHORT\", \"price\":8.74, \"stage\":4, \"buy\":14.4, \"sell\":91.3, \"prime\":-2, \"revL\":0, \"revS\":0, \"vcp\":0, \"dir_prob\":9.2, \"time\":1784295000000}", "ticker": "PSKY", "setup": "A+ Trend Short", "side": "SHORT", "price": 8.74, "stage": 4, "buy": 14.4, "sell": 91.3, "prime": -2, "revL": 0, "revS": 0, "vcp": 0, "time": 1784295000000, "email_id": "b'1389'", "timestamp": "2026-07-17 16:01:17"}</t>
  </si>
  <si>
    <t>Buy: 92 | Sell: 36.4</t>
  </si>
  <si>
    <t>{"symbol": "MAS", "strategy": "Daily", "action": "LONG", "alert_price": 80.14, "score": "", "dir_prob": "91.7", "net_sigma": "", "grade": "", "align": "", "premium": "", "wrong_if": "", "context": "", "subject": "Alert: Rev - Screener v1 (SPY, 12): Any alert() function call", "body": "{\"ticker\":\"MAS\", \"setup\":\"A+ Trend Long\", \"side\":\"LONG\", \"price\":80.14, \"stage\":2, \"buy\":94.9, \"sell\":9.1, \"prime\":2, \"revL\":0, \"revS\":0, \"vcp\":0, \"dir_prob\":91.7, \"time\":1784208600000}", "ticker": "MAS", "setup": "A+ Trend Long", "side": "LONG", "price": 80.14, "stage": 2, "buy": 94.9, "sell": 9.1, "prime": 2, "revL": 0, "revS": 0, "vcp": 0, "time": 1784208600000, "email_id": "b'1266'", "timestamp": "2026-07-16 16:01:28"}</t>
  </si>
  <si>
    <t>Buy: 96 | Sell: 7</t>
  </si>
  <si>
    <t>{"symbol": "GL", "strategy": "Daily", "action": "LONG", "alert_price": 184.77, "score": "", "dir_prob": "76", "net_sigma": "", "grade": "", "align": "", "premium": "", "wrong_if": "", "context": "", "subject": "Alert: Rev - Screener v1 (SPY, 12): Any alert() function call", "body": "{\"ticker\":\"GL\", \"setup\":\"A+ Trend Long\", \"side\":\"LONG\", \"price\":184.77, \"stage\":2, \"buy\":92, \"sell\":36.4, \"prime\":2, \"revL\":0, \"revS\":0, \"vcp\":0, \"dir_prob\":76, \"time\":1784295000000}", "ticker": "GL", "setup": "A+ Trend Long", "side": "LONG", "price": 184.77, "stage": 2, "buy": 92, "sell": 36.4, "prime": 2, "revL": 0, "revS": 0, "vcp": 0, "time": 1784295000000, "email_id": "b'1390'", "timestamp": "2026-07-17 16:01:18"}</t>
  </si>
  <si>
    <t>No active entry mode fires: buy=94.9 is high but ignition_long=0 and rev_zone_l=0, so it does not meet TREND_LONG (requires buy&gt;=65 AND dir_prob&gt;=50, which it does, but the pipeline logic prioritizes ignition/rev for specific modes; however, strictly following the rules, buy=94.9 &gt;= 65 and dir_prob=92.76 &gt;= 50 should trigger TREND_LONG. Wait, re-evaluating Step 2A: buy=94.9 &gt;= 65 and dir_prob=92.76 &gt;= 50 -&gt; TREND_LONG fires. Why did I say NONE? Ah, the prompt says 'first match'. Let's re-read Step 2A. 1. Reversion? No. 2. Breakout? No. 3. Trend Short? No. 4. Trend Long? buy&gt;=65 AND dir_prob&gt;=50. Yes. So entry_mode is TREND_LONG. But wait, the input has 'news_sentiment': 'NEUTRAL' and 'earnings_gate': 'CAUTION'. The earnings gate is a VETO overlay (Step 2C) which caps PASS to WATCH. So entry_mode is TREND_LONG. Let's correct the reasoning.</t>
  </si>
  <si>
    <t>{"symbol": "VRTX", "strategy": "Daily", "action": "LONG", "alert_price": 486.0, "score": "", "dir_prob": "93.1", "net_sigma": "", "grade": "", "align": "", "premium": "", "wrong_if": "", "context": "", "subject": "Alert: Rev - Screener v1 (SPY, 12): Any alert() function call", "body": "{\"ticker\":\"VRTX\", \"setup\":\"A+ Trend Long\", \"side\":\"LONG\", \"price\":486.00, \"stage\":2, \"buy\":96, \"sell\":7, \"prime\":2, \"revL\":0, \"revS\":0, \"vcp\":0, \"dir_prob\":93.1, \"time\":1784208600000}", "ticker": "VRTX", "setup": "A+ Trend Long", "side": "LONG", "price": 486.0, "stage": 2, "buy": 96, "sell": 7, "prime": 2, "revL": 0, "revS": 0, "vcp": 0, "time": 1784208600000, "email_id": "b'1267'", "timestamp": "2026-07-16 16:01:25"}</t>
  </si>
  <si>
    <t>VRTX is firing a TREND_LONG signal with a dominant Buy score of 90.9 and a 93.65% directional probability in Stage 2. The news confirms this bullish bias with a UBS price target raise, though the catalyst field remains 'none' per the input data. The setup is capped to WATCH due to the 'extended' regime (ext_pct 7.36) and an earnings event in 18 days, despite the strong technicals.</t>
  </si>
  <si>
    <t>Buy: 80.6 | Sell: 45.3</t>
  </si>
  <si>
    <t>Buy: 89.1 | Sell: 6.3</t>
  </si>
  <si>
    <t>{"symbol": "DE", "strategy": "Daily", "action": "LONG", "alert_price": 597.13, "score": "", "dir_prob": "84.2", "net_sigma": "", "grade": "", "align": "", "premium": "", "wrong_if": "", "context": "", "subject": "Alert: Rev - Screener v1 (SPY, 12): Any alert() function call", "body": "{\"ticker\":\"DE\", \"setup\":\"Early Action Long\", \"side\":\"LONG\", \"price\":597.13, \"stage\":2, \"buy\":80.6, \"sell\":45.3, \"prime\":1, \"revL\":0, \"revS\":0, \"vcp\":0, \"dir_prob\":84.2, \"time\":1784295000000}", "ticker": "DE", "setup": "Early Action Long", "side": "LONG", "price": 597.13, "stage": 2, "buy": 80.6, "sell": 45.3, "prime": 1, "revL": 0, "revS": 0, "vcp": 0, "time": 1784295000000, "email_id": "b'1391'", "timestamp": "2026-07-17 16:01:14"}</t>
  </si>
  <si>
    <t>OMC</t>
  </si>
  <si>
    <t>Buy: 87.3 | Sell: 7.7</t>
  </si>
  <si>
    <t>{"symbol": "AWK", "strategy": "Daily", "action": "LONG", "alert_price": 134.31, "score": "", "dir_prob": "97.6", "net_sigma": "", "grade": "", "align": "", "premium": "", "wrong_if": "", "context": "", "subject": "Alert: Rev - Screener v1 (SPY, 12): Any alert() function call", "body": "{\"ticker\":\"AWK\", \"setup\":\"A+ Trend Long\", \"side\":\"LONG\", \"price\":134.31, \"stage\":2, \"buy\":89.1, \"sell\":6.3, \"prime\":2, \"revL\":0, \"revS\":0, \"vcp\":0, \"dir_prob\":97.6, \"time\":1784208600000}", "ticker": "AWK", "setup": "A+ Trend Long", "side": "LONG", "price": 134.31, "stage": 2, "buy": 89.1, "sell": 6.3, "prime": 2, "revL": 0, "revS": 0, "vcp": 0, "time": 1784208600000, "email_id": "b'1268'", "timestamp": "2026-07-16 16:01:21"}</t>
  </si>
  <si>
    <t>Buy: 93.2 | Sell: 5.7</t>
  </si>
  <si>
    <t>{"symbol": "OMC", "strategy": "Daily", "action": "LONG", "alert_price": 81.75, "score": "", "dir_prob": "92.6", "net_sigma": "", "grade": "", "align": "", "premium": "", "wrong_if": "", "context": "", "subject": "Alert: Rev - Screener v1 (SPY, 12): Any alert() function call", "body": "{\"ticker\":\"OMC\", \"setup\":\"A+ Trend Long\", \"side\":\"LONG\", \"price\":81.75, \"stage\":2, \"buy\":87.3, \"sell\":7.7, \"prime\":2, \"revL\":0, \"revS\":0, \"vcp\":0, \"dir_prob\":92.6, \"time\":1784295000000}", "ticker": "OMC", "setup": "A+ Trend Long", "side": "LONG", "price": 81.75, "stage": 2, "buy": 87.3, "sell": 7.7, "prime": 2, "revL": 0, "revS": 0, "vcp": 0, "time": 1784295000000, "email_id": "b'1392'", "timestamp": "2026-07-17 16:01:51"}</t>
  </si>
  <si>
    <t>Buy: 96 | Sell: 11.7</t>
  </si>
  <si>
    <t>{"symbol": "PANW", "strategy": "Daily", "action": "LONG", "alert_price": 354.0, "score": "", "dir_prob": "94", "net_sigma": "", "grade": "", "align": "", "premium": "", "wrong_if": "", "context": "", "subject": "Alert: Rev - Screener v1 (SPY, 12): Any alert() function call", "body": "{\"ticker\":\"PANW\", \"setup\":\"A+ Trend Long\", \"side\":\"LONG\", \"price\":354.00, \"stage\":2, \"buy\":93.2, \"sell\":5.7, \"prime\":2, \"revL\":0, \"revS\":0, \"vcp\":0, \"dir_prob\":94, \"time\":1784208600000}", "ticker": "PANW", "setup": "A+ Trend Long", "side": "LONG", "price": 354.0, "stage": 2, "buy": 93.2, "sell": 5.7, "prime": 2, "revL": 0, "revS": 0, "vcp": 0, "time": 1784208600000, "email_id": "b'1269'", "timestamp": "2026-07-16 16:01:35"}</t>
  </si>
  <si>
    <t>Buy: 93.3 | Sell: 11.9</t>
  </si>
  <si>
    <t>{"symbol": "COF", "strategy": "Daily", "action": "LONG", "alert_price": 208.06, "score": "", "dir_prob": "96.8", "net_sigma": "", "grade": "", "align": "", "premium": "", "wrong_if": "", "context": "", "subject": "Alert: Rev - Screener v1 (SPY, 12): Any alert() function call", "body": "{\"ticker\":\"COF\", \"setup\":\"A+ Trend Long\", \"side\":\"LONG\", \"price\":208.06, \"stage\":2, \"buy\":96, \"sell\":11.7, \"prime\":2, \"revL\":0, \"revS\":0, \"vcp\":1, \"dir_prob\":96.8, \"time\":1784295000000}", "ticker": "COF", "setup": "A+ Trend Long", "side": "LONG", "price": 208.06, "stage": 2, "buy": 96, "sell": 11.7, "prime": 2, "revL": 0, "revS": 0, "vcp": 1, "time": 1784295000000, "email_id": "b'1393'", "timestamp": "2026-07-17 16:01:13"}</t>
  </si>
  <si>
    <t>Buy: 90.3 | Sell: 32.1</t>
  </si>
  <si>
    <t>{"symbol": "LLY", "strategy": "Daily", "action": "LONG", "alert_price": 1169.69, "score": "", "dir_prob": "91.7", "net_sigma": "", "grade": "", "align": "", "premium": "", "wrong_if": "", "context": "", "subject": "Alert: Rev - Screener v1 (SPY, 12): Any alert() function call", "body": "{\"ticker\":\"LLY\", \"setup\":\"A+ Trend Long\", \"side\":\"LONG\", \"price\":1169.69, \"stage\":2, \"buy\":93.3, \"sell\":11.9, \"prime\":2, \"revL\":0, \"revS\":0, \"vcp\":0, \"dir_prob\":91.7, \"time\":1784208600000}", "ticker": "LLY", "setup": "A+ Trend Long", "side": "LONG", "price": 1169.69, "stage": 2, "buy": 93.3, "sell": 11.9, "prime": 2, "revL": 0, "revS": 0, "vcp": 0, "time": 1784208600000, "email_id": "b'1270'", "timestamp": "2026-07-16 16:01:35"}</t>
  </si>
  <si>
    <t>Buy: 95.4 | Sell: 5.6</t>
  </si>
  <si>
    <t>{"symbol": "ERIE", "strategy": "Daily", "action": "LONG", "alert_price": 227.14, "score": "", "dir_prob": "97.4", "net_sigma": "", "grade": "", "align": "", "premium": "", "wrong_if": "", "context": "", "subject": "Alert: Rev - Screener v1 (SPY, 12): Any alert() function call", "body": "{\"ticker\":\"ERIE\", \"setup\":\"A+ Trend Long\", \"side\":\"LONG\", \"price\":227.14, \"stage\":2, \"buy\":90.3, \"sell\":32.1, \"prime\":2, \"revL\":0, \"revS\":0, \"vcp\":0, \"dir_prob\":97.4, \"time\":1784295000000}", "ticker": "ERIE", "setup": "A+ Trend Long", "side": "LONG", "price": 227.14, "stage": 2, "buy": 90.3, "sell": 32.1, "prime": 2, "revL": 0, "revS": 0, "vcp": 0, "time": 1784295000000, "email_id": "b'1394'", "timestamp": "2026-07-17 16:01:20"}</t>
  </si>
  <si>
    <t>Buy: 29.3 | Sell: 96.6</t>
  </si>
  <si>
    <t>{"symbol": "IRM", "strategy": "Daily", "action": "SHORT", "alert_price": 123.78, "score": "", "dir_prob": "13.7", "net_sigma": "", "grade": "", "align": "", "premium": "", "wrong_if": "", "context": "", "subject": "Alert: Rev - Screener v1 (SPY, 12): Any alert() function call", "body": "{\"ticker\":\"IRM\", \"setup\":\"A+ Trend Short\", \"side\":\"SHORT\", \"price\":123.78, \"stage\":4, \"buy\":29.3, \"sell\":96.6, \"prime\":-2, \"revL\":0, \"revS\":0, \"vcp\":0, \"dir_prob\":13.7, \"time\":1784295000000}", "ticker": "IRM", "setup": "A+ Trend Short", "side": "SHORT", "price": 123.78, "stage": 4, "buy": 29.3, "sell": 96.6, "prime": -2, "revL": 0, "revS": 0, "vcp": 0, "time": 1784295000000, "email_id": "b'1395'", "timestamp": "2026-07-17 16:01:19"}</t>
  </si>
  <si>
    <t>Buy: 7.2 | Sell: 92.1</t>
  </si>
  <si>
    <t>{"symbol": "HOOD", "strategy": "Daily", "action": "LONG", "alert_price": 106.06, "score": "", "dir_prob": "93.5", "net_sigma": "", "grade": "", "align": "", "premium": "", "wrong_if": "", "context": "", "subject": "Alert: Rev - Screener v1 (SPY, 12): Any alert() function call", "body": "{\"ticker\":\"HOOD\", \"setup\":\"A+ Trend Long\", \"side\":\"LONG\", \"price\":106.06, \"stage\":2, \"buy\":95.4, \"sell\":5.6, \"prime\":2, \"revL\":0, \"revS\":0, \"vcp\":0, \"dir_prob\":93.5, \"time\":1784208600000}", "ticker": "HOOD", "setup": "A+ Trend Long", "side": "LONG", "price": 106.06, "stage": 2, "buy": 95.4, "sell": 5.6, "prime": 2, "revL": 0, "revS": 0, "vcp": 0, "time": 1784208600000, "email_id": "b'1271'", "timestamp": "2026-07-16 16:01:29"}</t>
  </si>
  <si>
    <t>Buy: 10 | Sell: 91.9</t>
  </si>
  <si>
    <t>{"symbol": "AMT", "strategy": "Daily", "action": "SHORT", "alert_price": 170.02, "score": "", "dir_prob": "10.1", "net_sigma": "", "grade": "", "align": "", "premium": "", "wrong_if": "", "context": "", "subject": "Alert: Rev - Screener v1 (SPY, 12): Any alert() function call", "body": "{\"ticker\":\"AMT\", \"setup\":\"A+ Trend Short\", \"side\":\"SHORT\", \"price\":170.02, \"stage\":4, \"buy\":7.2, \"sell\":92.1, \"prime\":-2, \"revL\":0, \"revS\":0, \"vcp\":0, \"dir_prob\":10.1, \"time\":1784295000000}", "ticker": "AMT", "setup": "A+ Trend Short", "side": "SHORT", "price": 170.02, "stage": 4, "buy": 7.2, "sell": 92.1, "prime": -2, "revL": 0, "revS": 0, "vcp": 0, "time": 1784295000000, "email_id": "b'1396'", "timestamp": "2026-07-17 16:01:01"}</t>
  </si>
  <si>
    <t>Buy: 96 | Sell: 15</t>
  </si>
  <si>
    <t>{"symbol": "HAL", "strategy": "Daily", "action": "SHORT", "alert_price": 35.03, "score": "", "dir_prob": "1.2", "net_sigma": "", "grade": "", "align": "", "premium": "", "wrong_if": "", "context": "", "subject": "Alert: Rev - Screener v1 (SPY, 12): Any alert() function call", "body": "{\"ticker\":\"HAL\", \"setup\":\"A+ Trend Short\", \"side\":\"SHORT\", \"price\":35.03, \"stage\":4, \"buy\":10, \"sell\":91.9, \"prime\":-2, \"revL\":0, \"revS\":0, \"vcp\":0, \"dir_prob\":1.2, \"time\":1784208600000}", "ticker": "HAL", "setup": "A+ Trend Short", "side": "SHORT", "price": 35.03, "stage": 4, "buy": 10, "sell": 91.9, "prime": -2, "revL": 0, "revS": 0, "vcp": 0, "time": 1784208600000, "email_id": "b'1272'", "timestamp": "2026-07-16 16:01:19"}</t>
  </si>
  <si>
    <t>Buy: 92 | Sell: 9.2</t>
  </si>
  <si>
    <t>{"symbol": "WFC", "strategy": "Daily", "action": "LONG", "alert_price": 87.53, "score": "", "dir_prob": "93.2", "net_sigma": "", "grade": "", "align": "", "premium": "", "wrong_if": "", "context": "", "subject": "Alert: Rev - Screener v1 (SPY, 12): Any alert() function call", "body": "{\"ticker\":\"WFC\", \"setup\":\"A+ Trend Long\", \"side\":\"LONG\", \"price\":87.53, \"stage\":2, \"buy\":96, \"sell\":15, \"prime\":2, \"revL\":0, \"revS\":0, \"vcp\":0, \"dir_prob\":93.2, \"time\":1784295000000}", "ticker": "WFC", "setup": "A+ Trend Long", "side": "LONG", "price": 87.53, "stage": 2, "buy": 96, "sell": 15, "prime": 2, "revL": 0, "revS": 0, "vcp": 0, "time": 1784295000000, "email_id": "b'1397'", "timestamp": "2026-07-17 16:01:23"}</t>
  </si>
  <si>
    <t>Buy: 96.3 | Sell: 24.8</t>
  </si>
  <si>
    <t>{"symbol": "JPM", "strategy": "Daily", "action": "LONG", "alert_price": 343.09, "score": "", "dir_prob": "93.2", "net_sigma": "", "grade": "", "align": "", "premium": "", "wrong_if": "", "context": "", "subject": "Alert: Rev - Screener v1 (SPY, 12): Any alert() function call", "body": "{\"ticker\":\"JPM\", \"setup\":\"A+ Trend Long\", \"side\":\"LONG\", \"price\":343.09, \"stage\":2, \"buy\":92, \"sell\":9.2, \"prime\":2, \"revL\":0, \"revS\":0, \"vcp\":1, \"dir_prob\":93.2, \"time\":1784208600000}", "ticker": "JPM", "setup": "A+ Trend Long", "side": "LONG", "price": 343.09, "stage": 2, "buy": 92, "sell": 9.2, "prime": 2, "revL": 0, "revS": 0, "vcp": 1, "time": 1784208600000, "email_id": "b'1273'", "timestamp": "2026-07-16 16:01:38"}</t>
  </si>
  <si>
    <t>Buy: 3.3 | Sell: 91.8</t>
  </si>
  <si>
    <t>{"symbol": "LH", "strategy": "Daily", "action": "LONG", "alert_price": 283.58, "score": "", "dir_prob": "92.1", "net_sigma": "", "grade": "", "align": "", "premium": "", "wrong_if": "", "context": "", "subject": "Alert: Rev - Screener v1 (SPY, 12): Any alert() function call", "body": "{\"ticker\":\"LH\", \"setup\":\"A+ Trend Long\", \"side\":\"LONG\", \"price\":283.58, \"stage\":2, \"buy\":96.3, \"sell\":24.8, \"prime\":2, \"revL\":0, \"revS\":0, \"vcp\":0, \"dir_prob\":92.1, \"time\":1784295000000}", "ticker": "LH", "setup": "A+ Trend Long", "side": "LONG", "price": 283.58, "stage": 2, "buy": 96.3, "sell": 24.8, "prime": 2, "revL": 0, "revS": 0, "vcp": 0, "time": 1784295000000, "email_id": "b'1398'", "timestamp": "2026-07-17 16:01:10"}</t>
  </si>
  <si>
    <t>Buy: 95.8 | Sell: 12.6</t>
  </si>
  <si>
    <t>{"symbol": "SLB", "strategy": "Daily", "action": "SHORT", "alert_price": 47.09, "score": "", "dir_prob": "3.3", "net_sigma": "", "grade": "", "align": "", "premium": "", "wrong_if": "", "context": "", "subject": "Alert: Rev - Screener v1 (SPY, 12): Any alert() function call", "body": "{\"ticker\":\"SLB\", \"setup\":\"A+ Trend Short\", \"side\":\"SHORT\", \"price\":47.09, \"stage\":4, \"buy\":3.3, \"sell\":91.8, \"prime\":-2, \"revL\":4, \"revS\":0, \"vcp\":0, \"dir_prob\":3.3, \"time\":1784208600000}", "ticker": "SLB", "setup": "A+ Trend Short", "side": "SHORT", "price": 47.09, "stage": 4, "buy": 3.3, "sell": 91.8, "prime": -2, "revL": 4, "revS": 0, "vcp": 0, "time": 1784208600000, "email_id": "b'1274'", "timestamp": "2026-07-16 16:01:39"}</t>
  </si>
  <si>
    <t>Buy: 95.3 | Sell: 10.1</t>
  </si>
  <si>
    <t>{"symbol": "DLTR", "strategy": "Daily", "action": "LONG", "alert_price": 125.96, "score": "", "dir_prob": "95.6", "net_sigma": "", "grade": "", "align": "", "premium": "", "wrong_if": "", "context": "", "subject": "Alert: Rev - Screener v1 (SPY, 12): Any alert() function call", "body": "{\"ticker\":\"DLTR\", \"setup\":\"A+ Trend Long\", \"side\":\"LONG\", \"price\":125.96, \"stage\":2, \"buy\":95.8, \"sell\":12.6, \"prime\":2, \"revL\":0, \"revS\":0, \"vcp\":0, \"dir_prob\":95.6, \"time\":1784295000000}", "ticker": "DLTR", "setup": "A+ Trend Long", "side": "LONG", "price": 125.96, "stage": 2, "buy": 95.8, "sell": 12.6, "prime": 2, "revL": 0, "revS": 0, "vcp": 0, "time": 1784295000000, "email_id": "b'1399'", "timestamp": "2026-07-17 16:01:19"}</t>
  </si>
  <si>
    <t>Buy: 9.3 | Sell: 91.3</t>
  </si>
  <si>
    <t>{"symbol": "HIG", "strategy": "Daily", "action": "LONG", "alert_price": 136.64, "score": "", "dir_prob": "93.8", "net_sigma": "", "grade": "", "align": "", "premium": "", "wrong_if": "", "context": "", "subject": "Alert: Rev - Screener v1 (SPY, 12): Any alert() function call", "body": "{\"ticker\":\"HIG\", \"setup\":\"A+ Trend Long\", \"side\":\"LONG\", \"price\":136.64, \"stage\":2, \"buy\":95.3, \"sell\":10.1, \"prime\":2, \"revL\":0, \"revS\":0, \"vcp\":0, \"dir_prob\":93.8, \"time\":1784208600000}", "ticker": "HIG", "setup": "A+ Trend Long", "side": "LONG", "price": 136.64, "stage": 2, "buy": 95.3, "sell": 10.1, "prime": 2, "revL": 0, "revS": 0, "vcp": 0, "time": 1784208600000, "email_id": "b'1275'", "timestamp": "2026-07-16 16:01:28"}</t>
  </si>
  <si>
    <t>Buy: 97.3 | Sell: 18</t>
  </si>
  <si>
    <t>{"symbol": "HAL", "strategy": "Daily", "action": "SHORT", "alert_price": 35.22, "score": "", "dir_prob": "1.3", "net_sigma": "", "grade": "", "align": "", "premium": "", "wrong_if": "", "context": "", "subject": "Alert: Rev - Screener v1 (SPY, 12): Any alert() function call", "body": "{\"ticker\":\"HAL\", \"setup\":\"A+ Trend Short\", \"side\":\"SHORT\", \"price\":35.22, \"stage\":4, \"buy\":9.3, \"sell\":91.3, \"prime\":-2, \"revL\":0, \"revS\":0, \"vcp\":1, \"dir_prob\":1.3, \"time\":1784295000000}", "ticker": "HAL", "setup": "A+ Trend Short", "side": "SHORT", "price": 35.22, "stage": 4, "buy": 9.3, "sell": 91.3, "prime": -2, "revL": 0, "revS": 0, "vcp": 1, "time": 1784295000000, "email_id": "b'1400'", "timestamp": "2026-07-17 16:01:20"}</t>
  </si>
  <si>
    <t>negative_ev</t>
  </si>
  <si>
    <t>Buy: 97.3 | Sell: 7.1</t>
  </si>
  <si>
    <t>{"symbol": "KMB", "strategy": "Daily", "action": "LONG", "alert_price": 108.97, "score": "", "dir_prob": "98.1", "net_sigma": "", "grade": "", "align": "", "premium": "", "wrong_if": "", "context": "", "subject": "Alert: Rev - Screener v1 (SPY, 12): Any alert() function call", "body": "{\"ticker\":\"KMB\", \"setup\":\"A+ Trend Long\", \"side\":\"LONG\", \"price\":108.97, \"stage\":2, \"buy\":97.3, \"sell\":18, \"prime\":2, \"revL\":0, \"revS\":0, \"vcp\":0, \"dir_prob\":98.1, \"time\":1784208600000}", "ticker": "KMB", "setup": "A+ Trend Long", "side": "LONG", "price": 108.97, "stage": 2, "buy": 97.3, "sell": 18, "prime": 2, "revL": 0, "revS": 0, "vcp": 0, "time": 1784208600000, "email_id": "b'1276'", "timestamp": "2026-07-16 16:01:40"}</t>
  </si>
  <si>
    <t>Buy: 85.7 | Sell: 23.2</t>
  </si>
  <si>
    <t>{"symbol": "BAC", "strategy": "Daily", "action": "LONG", "alert_price": 61.51, "score": "", "dir_prob": "82.6", "net_sigma": "", "grade": "", "align": "", "premium": "", "wrong_if": "", "context": "", "subject": "Alert: Rev - Screener v1 (SPY, 12): Any alert() function call", "body": "{\"ticker\":\"BAC\", \"setup\":\"A+ Trend Long\", \"side\":\"LONG\", \"price\":61.51, \"stage\":2, \"buy\":85.7, \"sell\":23.2, \"prime\":2, \"revL\":0, \"revS\":0, \"vcp\":0, \"dir_prob\":82.6, \"time\":1784208600000}", "ticker": "BAC", "setup": "A+ Trend Long", "side": "LONG", "price": 61.51, "stage": 2, "buy": 85.7, "sell": 23.2, "prime": 2, "revL": 0, "revS": 0, "vcp": 0, "time": 1784208600000, "email_id": "b'1277'", "timestamp": "2026-07-16 16:01:33"}</t>
  </si>
  <si>
    <t>BAC is firing a TREND_LONG signal with a Buy score of 71.61, Dir Prob of 79.07, and Stage 2, indicating a strong bullish trend. The news confirms this bias with a positive catalyst (Baird raising the price target), while the 'SWEEP_BEAR' and 'FAILSWEEP_BEAR' chart labels from 10 bars ago suggest recent bearish traps that failed. The stock is currently 'in_zone' with a healthy exhaustion level of 0.17, supporting a standard trend continuation play rather than a high-risk counter-trend setup.</t>
  </si>
  <si>
    <t>{"symbol": "CB", "strategy": "Daily", "action": "LONG", "alert_price": 352.16, "score": "", "dir_prob": "95.3", "net_sigma": "", "grade": "", "align": "", "premium": "", "wrong_if": "", "context": "", "subject": "Alert: Rev - Screener v1 (SPY, 12): Any alert() function call", "body": "{\"ticker\":\"CB\", \"setup\":\"A+ Trend Long\", \"side\":\"LONG\", \"price\":352.16, \"stage\":2, \"buy\":97.3, \"sell\":7.1, \"prime\":2, \"revL\":0, \"revS\":0, \"vcp\":0, \"dir_prob\":95.3, \"time\":1784295000000}", "ticker": "CB", "setup": "A+ Trend Long", "side": "LONG", "price": 352.16, "stage": 2, "buy": 97.3, "sell": 7.1, "prime": 2, "revL": 0, "revS": 0, "vcp": 0, "time": 1784295000000, "email_id": "b'1401'", "timestamp": "2026-07-17 16:01:22"}</t>
  </si>
  <si>
    <t>TREND_LONG fires with buy=97.22 &gt;&gt; 65, dir_prob=84.05, and stage=2. News CONFIRMS the bullish bias with a major acquisition announcement. Triage is capped to WATCH due to the CAUTION earnings gate (3 days out) and the 'TOP' warning in recency, despite the strong technical setup.</t>
  </si>
  <si>
    <t>FE</t>
  </si>
  <si>
    <t>Buy: 90.4 | Sell: 46.6</t>
  </si>
  <si>
    <t>Buy: 90.4 | Sell: 35.8</t>
  </si>
  <si>
    <t>{"symbol": "WAT", "strategy": "Daily", "action": "LONG", "alert_price": 377.74, "score": "", "dir_prob": "83.2", "net_sigma": "", "grade": "", "align": "", "premium": "", "wrong_if": "", "context": "", "subject": "Alert: Rev - Screener v1 (SPY, 12): Any alert() function call", "body": "{\"ticker\":\"WAT\", \"setup\":\"A+ Trend Long\", \"side\":\"LONG\", \"price\":377.74, \"stage\":2, \"buy\":90.4, \"sell\":46.6, \"prime\":2, \"revL\":0, \"revS\":0, \"vcp\":1, \"dir_prob\":83.2, \"time\":1784208600000}", "ticker": "WAT", "setup": "A+ Trend Long", "side": "LONG", "price": 377.74, "stage": 2, "buy": 90.4, "sell": 46.6, "prime": 2, "revL": 0, "revS": 0, "vcp": 1, "time": 1784208600000, "email_id": "b'1278'", "timestamp": "2026-07-16 16:01:21"}</t>
  </si>
  <si>
    <t>{"symbol": "FE", "strategy": "Daily", "action": "LONG", "alert_price": 48.54, "score": "", "dir_prob": "84.1", "net_sigma": "", "grade": "", "align": "", "premium": "", "wrong_if": "", "context": "", "subject": "Alert: Rev - Screener v1 (SPY, 12): Any alert() function call", "body": "{\"ticker\":\"FE\", \"setup\":\"A+ Trend Long\", \"side\":\"LONG\", \"price\":48.54, \"stage\":2, \"buy\":90.4, \"sell\":35.8, \"prime\":2, \"revL\":0, \"revS\":0, \"vcp\":0, \"dir_prob\":84.1, \"time\":1784295000000}", "ticker": "FE", "setup": "A+ Trend Long", "side": "LONG", "price": 48.54, "stage": 2, "buy": 90.4, "sell": 35.8, "prime": 2, "revL": 0, "revS": 0, "vcp": 0, "time": 1784295000000, "email_id": "b'1402'", "timestamp": "2026-07-17 16:01:14"}</t>
  </si>
  <si>
    <t>Buy: 97.2 | Sell: 6.5</t>
  </si>
  <si>
    <t>Buy: 96.6 | Sell: 19.7</t>
  </si>
  <si>
    <t>{"symbol": "LH", "strategy": "Daily", "action": "LONG", "alert_price": 282.11, "score": "", "dir_prob": "93.2", "net_sigma": "", "grade": "", "align": "", "premium": "", "wrong_if": "", "context": "", "subject": "Alert: Rev - Screener v1 (SPY, 12): Any alert() function call", "body": "{\"ticker\":\"LH\", \"setup\":\"A+ Trend Long\", \"side\":\"LONG\", \"price\":282.11, \"stage\":2, \"buy\":96.6, \"sell\":19.7, \"prime\":2, \"revL\":0, \"revS\":0, \"vcp\":0, \"dir_prob\":93.2, \"time\":1784208600000}", "ticker": "LH", "setup": "A+ Trend Long", "side": "LONG", "price": 282.11, "stage": 2, "buy": 96.6, "sell": 19.7, "prime": 2, "revL": 0, "revS": 0, "vcp": 0, "time": 1784208600000, "email_id": "b'1279'", "timestamp": "2026-07-16 16:01:28"}</t>
  </si>
  <si>
    <t>{"symbol": "WRB", "strategy": "Daily", "action": "LONG", "alert_price": 71.64, "score": "", "dir_prob": "96.9", "net_sigma": "", "grade": "", "align": "", "premium": "", "wrong_if": "", "context": "", "subject": "Alert: Rev - Screener v1 (SPY, 12): Any alert() function call", "body": "{\"ticker\":\"WRB\", \"setup\":\"A+ Trend Long\", \"side\":\"LONG\", \"price\":71.64, \"stage\":2, \"buy\":97.2, \"sell\":6.5, \"prime\":2, \"revL\":0, \"revS\":0, \"vcp\":0, \"dir_prob\":96.9, \"time\":1784295000000}", "ticker": "WRB", "setup": "A+ Trend Long", "side": "LONG", "price": 71.64, "stage": 2, "buy": 97.2, "sell": 6.5, "prime": 2, "revL": 0, "revS": 0, "vcp": 0, "time": 1784295000000, "email_id": "b'1403'", "timestamp": "2026-07-17 16:01:01"}</t>
  </si>
  <si>
    <t>Buy: 91.2 | Sell: 48.6</t>
  </si>
  <si>
    <t>TREND_LONG fires with buy=98.93 and dir_prob=96.8, but the news CONTRADICTS with a downgrade and lowered target. The FAIL earnings gate (2 days out) and negative sentiment cap the setup at WATCH. Despite strong technicals, the imminent earnings risk and bearish catalyst prevent a PASS.</t>
  </si>
  <si>
    <t>Buy: 92.9 | Sell: 12</t>
  </si>
  <si>
    <t>{"symbol": "EA", "strategy": "Daily", "action": "LONG", "alert_price": 207.81, "score": "", "dir_prob": "78", "net_sigma": "", "grade": "", "align": "", "premium": "", "wrong_if": "", "context": "", "subject": "Alert: Rev - Screener v1 (SPY, 12): Any alert() function call", "body": "{\"ticker\":\"EA\", \"setup\":\"A+ Trend Long\", \"side\":\"LONG\", \"price\":207.81, \"stage\":2, \"buy\":91.2, \"sell\":48.6, \"prime\":2, \"revL\":0, \"revS\":0, \"vcp\":0, \"dir_prob\":78, \"time\":1784208600000}", "ticker": "EA", "setup": "A+ Trend Long", "side": "LONG", "price": 207.81, "stage": 2, "buy": 91.2, "sell": 48.6, "prime": 2, "revL": 0, "revS": 0, "vcp": 0, "time": 1784208600000, "email_id": "b'1280'", "timestamp": "2026-07-16 16:01:29"}</t>
  </si>
  <si>
    <t>{"symbol": "EIX", "strategy": "Daily", "action": "LONG", "alert_price": 77.64, "score": "", "dir_prob": "87.7", "net_sigma": "", "grade": "", "align": "", "premium": "", "wrong_if": "", "context": "", "subject": "Alert: Rev - Screener v1 (SPY, 12): Any alert() function call", "body": "{\"ticker\":\"EIX\", \"setup\":\"A+ Trend Long\", \"side\":\"LONG\", \"price\":77.64, \"stage\":2, \"buy\":92.9, \"sell\":12, \"prime\":2, \"revL\":0, \"revS\":0, \"vcp\":0, \"dir_prob\":87.7, \"time\":1784295000000}", "ticker": "EIX", "setup": "A+ Trend Long", "side": "LONG", "price": 77.64, "stage": 2, "buy": 92.9, "sell": 12, "prime": 2, "revL": 0, "revS": 0, "vcp": 0, "time": 1784295000000, "email_id": "b'1404'", "timestamp": "2026-07-17 16:01:17"}</t>
  </si>
  <si>
    <t>Buy: 93.8 | Sell: 9.4</t>
  </si>
  <si>
    <t>Buy: 13.4 | Sell: 95.3</t>
  </si>
  <si>
    <t>{"symbol": "AFL", "strategy": "Daily", "action": "LONG", "alert_price": 123.0, "score": "", "dir_prob": "90.6", "net_sigma": "", "grade": "", "align": "", "premium": "", "wrong_if": "", "context": "", "subject": "Alert: Rev - Screener v1 (SPY, 12): Any alert() function call", "body": "{\"ticker\":\"AFL\", \"setup\":\"A+ Trend Long\", \"side\":\"LONG\", \"price\":123.00, \"stage\":2, \"buy\":93.8, \"sell\":9.4, \"prime\":2, \"revL\":0, \"revS\":0, \"vcp\":0, \"dir_prob\":90.6, \"time\":1784208600000}", "ticker": "AFL", "setup": "A+ Trend Long", "side": "LONG", "price": 123.0, "stage": 2, "buy": 93.8, "sell": 9.4, "prime": 2, "revL": 0, "revS": 0, "vcp": 0, "time": 1784208600000, "email_id": "b'1281'", "timestamp": "2026-07-16 16:01:29"}</t>
  </si>
  <si>
    <t>The technicals show a strong long bias with a Buy score of 82.37, Dir Prob of 81.7, and Stage 2, triggering a TREND_LONG entry mode. However, the news explicitly contradicts this bullish setup by citing confirmed underperformance and a projected 2026 earnings drop. This news contradiction caps the triage at WATCH rather than PASS. Additionally, the 'TOP' warning in recency and the 21-day earnings gate add caution, while the Buy/Sell score gap suggests potential churn.</t>
  </si>
  <si>
    <t>{"symbol": "STLD", "strategy": "Daily", "action": "SHORT", "alert_price": 235.34, "score": "", "dir_prob": "5.5", "net_sigma": "", "grade": "", "align": "", "premium": "", "wrong_if": "", "context": "", "subject": "Alert: Rev - Screener v1 (SPY, 12): Any alert() function call", "body": "{\"ticker\":\"STLD\", \"setup\":\"A+ Trend Short\", \"side\":\"SHORT\", \"price\":235.34, \"stage\":4, \"buy\":13.4, \"sell\":95.3, \"prime\":-2, \"revL\":0, \"revS\":0, \"vcp\":0, \"dir_prob\":5.5, \"time\":1784295000000}", "ticker": "STLD", "setup": "A+ Trend Short", "side": "SHORT", "price": 235.34, "stage": 4, "buy": 13.4, "sell": 95.3, "prime": -2, "revL": 0, "revS": 0, "vcp": 0, "time": 1784295000000, "email_id": "b'1405'", "timestamp": "2026-07-17 16:01:24"}</t>
  </si>
  <si>
    <t>Buy: 87.1 | Sell: 20.1</t>
  </si>
  <si>
    <t>No active entry mode fires: buy (75.57) &lt; sell (82.32) and dir_prob (24.17) &lt; 50, failing TREND_SHORT thresholds. The 'churn' flag indicates conflicting momentum. Triage is CUT due to the 'earnings_gate: FAIL' (earnings in 2 days) and lack of a clean technical setup.</t>
  </si>
  <si>
    <t>Buy: 70.9 | Sell: 48.4</t>
  </si>
  <si>
    <t>{"symbol": "CVS", "strategy": "Daily", "action": "LONG", "alert_price": 106.48, "score": "", "dir_prob": "88.5", "net_sigma": "", "grade": "", "align": "", "premium": "", "wrong_if": "", "context": "", "subject": "Alert: Rev - Screener v1 (SPY, 12): Any alert() function call", "body": "{\"ticker\":\"CVS\", \"setup\":\"A+ Trend Long\", \"side\":\"LONG\", \"price\":106.48, \"stage\":2, \"buy\":87.1, \"sell\":20.1, \"prime\":2, \"revL\":0, \"revS\":0, \"vcp\":0, \"dir_prob\":88.5, \"time\":1784208600000}", "ticker": "CVS", "setup": "A+ Trend Long", "side": "LONG", "price": 106.48, "stage": 2, "buy": 87.1, "sell": 20.1, "prime": 2, "revL": 0, "revS": 0, "vcp": 0, "time": 1784208600000, "email_id": "b'1282'", "timestamp": "2026-07-16 16:01:34"}</t>
  </si>
  <si>
    <t>Buy: 90.8 | Sell: 16.9</t>
  </si>
  <si>
    <t>{"symbol": "CHRW", "strategy": "Daily", "action": "LONG", "alert_price": 208.42, "score": "", "dir_prob": "59.2", "net_sigma": "", "grade": "", "align": "", "premium": "", "wrong_if": "", "context": "", "subject": "Alert: Rev - Screener v1 (SPY, 12): Any alert() function call", "body": "{\"ticker\":\"CHRW\", \"setup\":\"Early Action Long\", \"side\":\"LONG\", \"price\":208.42, \"stage\":2, \"buy\":70.9, \"sell\":48.4, \"prime\":1, \"revL\":0, \"revS\":0, \"vcp\":0, \"dir_prob\":59.2, \"time\":1784295000000}", "ticker": "CHRW", "setup": "Early Action Long", "side": "LONG", "price": 208.42, "stage": 2, "buy": 70.9, "sell": 48.4, "prime": 1, "revL": 0, "revS": 0, "vcp": 0, "time": 1784295000000, "email_id": "b'1406'", "timestamp": "2026-07-17 16:01:01"}</t>
  </si>
  <si>
    <t>TREND_LONG fires with buy=82.5 &gt; 65, dir_prob=73.85 &gt;= 50, and stage=2 (up-trend). News is NEUTRAL (headlines discuss risk/run-up but no specific catalyst). Triage capped to WATCH due to 'earnings' flag (earnings_days=11) and 'extended' context (ext_pct=25.32, regime=0).</t>
  </si>
  <si>
    <t>Buy: 71.9 | Sell: 15.7</t>
  </si>
  <si>
    <t>{"symbol": "DDOG", "strategy": "Daily", "action": "LONG", "alert_price": 262.35, "score": "", "dir_prob": "94.1", "net_sigma": "", "grade": "", "align": "", "premium": "", "wrong_if": "", "context": "", "subject": "Alert: Rev - Screener v1 (SPY, 12): Any alert() function call", "body": "{\"ticker\":\"DDOG\", \"setup\":\"A+ Trend Long\", \"side\":\"LONG\", \"price\":262.35, \"stage\":2, \"buy\":90.8, \"sell\":16.9, \"prime\":2, \"revL\":0, \"revS\":0, \"vcp\":0, \"dir_prob\":94.1, \"time\":1784208600000}", "ticker": "DDOG", "setup": "A+ Trend Long", "side": "LONG", "price": 262.35, "stage": 2, "buy": 90.8, "sell": 16.9, "prime": 2, "revL": 0, "revS": 0, "vcp": 0, "time": 1784208600000, "email_id": "b'1283'", "timestamp": "2026-07-16 16:01:28"}</t>
  </si>
  <si>
    <t>DDOG is firing a TREND_LONG signal with a dominant Buy score of 94.86 and a directional probability of 87.26, supported by a strong R:R of 2.41. The technicals are confirmed by fresh bullish news where UBS, Keybanc, and Mizuho raised price targets, aligning with the long bias. However, the triage is capped to WATCH due to the 'earnings_gate' being FAIL (earnings imminent) and the 'extended' flag (ext_pct &gt; 50), indicating the stock is already significantly above its MA200.</t>
  </si>
  <si>
    <t>{"symbol": "XYL", "strategy": "Daily", "action": "LONG", "alert_price": 122.8, "score": "", "dir_prob": "93.3", "net_sigma": "", "grade": "", "align": "", "premium": "", "wrong_if": "", "context": "", "subject": "Alert: Rev - Screener v1 (SPY, 12): Any alert() function call", "body": "{\"ticker\":\"XYL\", \"setup\":\"Early Action Long\", \"side\":\"LONG\", \"price\":122.80, \"stage\":2, \"buy\":71.9, \"sell\":15.7, \"prime\":1, \"revL\":0, \"revS\":0, \"vcp\":0, \"dir_prob\":93.3, \"time\":1784295000000}", "ticker": "XYL", "setup": "Early Action Long", "side": "LONG", "price": 122.8, "stage": 2, "buy": 71.9, "sell": 15.7, "prime": 1, "revL": 0, "revS": 0, "vcp": 0, "time": 1784295000000, "email_id": "b'1407'", "timestamp": "2026-07-17 16:01:00"}</t>
  </si>
  <si>
    <t>Buy: 7.6 | Sell: 90.8</t>
  </si>
  <si>
    <t>Buy: 89.8 | Sell: 30.6</t>
  </si>
  <si>
    <t>{"symbol": "BKR", "strategy": "Daily", "action": "SHORT", "alert_price": 56.53, "score": "", "dir_prob": "3.8", "net_sigma": "", "grade": "", "align": "", "premium": "", "wrong_if": "", "context": "", "subject": "Alert: Rev - Screener v1 (SPY, 12): Any alert() function call", "body": "{\"ticker\":\"BKR\", \"setup\":\"A+ Trend Short\", \"side\":\"SHORT\", \"price\":56.53, \"stage\":4, \"buy\":7.6, \"sell\":90.8, \"prime\":-2, \"revL\":0, \"revS\":0, \"vcp\":0, \"dir_prob\":3.8, \"time\":1784208600000}", "ticker": "BKR", "setup": "A+ Trend Short", "side": "SHORT", "price": 56.53, "stage": 4, "buy": 7.6, "sell": 90.8, "prime": -2, "revL": 0, "revS": 0, "vcp": 0, "time": 1784208600000, "email_id": "b'1284'", "timestamp": "2026-07-16 16:01:28"}</t>
  </si>
  <si>
    <t>{"symbol": "WSM", "strategy": "Daily", "action": "LONG", "alert_price": 228.4, "score": "", "dir_prob": "87.3", "net_sigma": "", "grade": "", "align": "", "premium": "", "wrong_if": "", "context": "", "subject": "Alert: Rev - Screener v1 (SPY, 12): Any alert() function call", "body": "{\"ticker\":\"WSM\", \"setup\":\"A+ Trend Long\", \"side\":\"LONG\", \"price\":228.40, \"stage\":2, \"buy\":89.8, \"sell\":30.6, \"prime\":2, \"revL\":0, \"revS\":0, \"vcp\":0, \"dir_prob\":87.3, \"time\":1784295000000}", "ticker": "WSM", "setup": "A+ Trend Long", "side": "LONG", "price": 228.4, "stage": 2, "buy": 89.8, "sell": 30.6, "prime": 2, "revL": 0, "revS": 0, "vcp": 0, "time": 1784295000000, "email_id": "b'1408'", "timestamp": "2026-07-17 16:01:08"}</t>
  </si>
  <si>
    <t>BREAKOUT_LONG fires with ignition_long=1, though buy=97.19 is exceptionally high (expected for ignition). Regime=3 (Distribution) and the 'TOP' warning in recency suggest caution. News is NEUTRAL with no catalyst. Triage capped to WATCH due to regime distribution context and fresh top warning.</t>
  </si>
  <si>
    <t>Buy: 97.3 | Sell: 7.3</t>
  </si>
  <si>
    <t>{"symbol": "IQV", "strategy": "Daily", "action": "LONG", "alert_price": 206.28, "score": "", "dir_prob": "93.3", "net_sigma": "", "grade": "", "align": "", "premium": "", "wrong_if": "", "context": "", "subject": "Alert: Rev - Screener v1 (SPY, 12): Any alert() function call", "body": "{\"ticker\":\"IQV\", \"setup\":\"A+ Trend Long\", \"side\":\"LONG\", \"price\":206.28, \"stage\":2, \"buy\":96.8, \"sell\":5.2, \"prime\":2, \"revL\":0, \"revS\":0, \"vcp\":0, \"dir_prob\":93.3, \"time\":1784295000000}", "ticker": "IQV", "setup": "A+ Trend Long", "side": "LONG", "price": 206.28, "stage": 2, "buy": 96.8, "sell": 5.2, "prime": 2, "revL": 0, "revS": 0, "vcp": 0, "time": 1784295000000, "email_id": "b'1409'", "timestamp": "2026-07-17 16:01:24"}</t>
  </si>
  <si>
    <t>{"symbol": "SYY", "strategy": "Daily", "action": "LONG", "alert_price": 82.24, "score": "", "dir_prob": "96.6", "net_sigma": "", "grade": "", "align": "", "premium": "", "wrong_if": "", "context": "", "subject": "Alert: Rev - Screener v1 (SPY, 12): Any alert() function call", "body": "{\"ticker\":\"SYY\", \"setup\":\"A+ Trend Long\", \"side\":\"LONG\", \"price\":82.24, \"stage\":2, \"buy\":97.3, \"sell\":7.3, \"prime\":2, \"revL\":0, \"revS\":0, \"vcp\":0, \"dir_prob\":96.6, \"time\":1784208600000}", "ticker": "SYY", "setup": "A+ Trend Long", "side": "LONG", "price": 82.24, "stage": 2, "buy": 97.3, "sell": 7.3, "prime": 2, "revL": 0, "revS": 0, "vcp": 0, "time": 1784208600000, "email_id": "b'1285'", "timestamp": "2026-07-16 16:01:25"}</t>
  </si>
  <si>
    <t>The setup is a strong TREND_LONG driven by a Buy score of 97.9 and a Direction Probability of 94.88, with the price currently inside the long entry zone. The news confirms the bullish bias as Morgan Stanley raised the price target to $88, supporting the dominant long side. However, the triage is capped to WATCH due to the 'earnings' flag, as earnings are in 19 days, and the R:R from current price (0.76) is below the ideal 1.0 threshold for a clean entry.</t>
  </si>
  <si>
    <t>Buy: 81.3 | Sell: 6.8</t>
  </si>
  <si>
    <t>Buy: 93.9 | Sell: 10.6</t>
  </si>
  <si>
    <t>{"symbol": "BNY", "strategy": "Daily", "action": "LONG", "alert_price": 157.15, "score": "", "dir_prob": "83.9", "net_sigma": "", "grade": "", "align": "", "premium": "", "wrong_if": "", "context": "", "subject": "Alert: Rev - Screener v1 (SPY, 12): Any alert() function call", "body": "{\"ticker\":\"BNY\", \"setup\":\"Early Action Long\", \"side\":\"LONG\", \"price\":157.15, \"stage\":2, \"buy\":81.3, \"sell\":6.8, \"prime\":1, \"revL\":0, \"revS\":0, \"vcp\":0, \"dir_prob\":83.9, \"time\":1784295000000}", "ticker": "BNY", "setup": "Early Action Long", "side": "LONG", "price": 157.15, "stage": 2, "buy": 81.3, "sell": 6.8, "prime": 1, "revL": 0, "revS": 0, "vcp": 0, "time": 1784295000000, "email_id": "b'1411'", "timestamp": "2026-07-17 16:01:21"}</t>
  </si>
  <si>
    <t>Buy: 92.4 | Sell: 40.2</t>
  </si>
  <si>
    <t>{"symbol": "SPG", "strategy": "Daily", "action": "LONG", "alert_price": 228.5, "score": "", "dir_prob": "87", "net_sigma": "", "grade": "", "align": "", "premium": "", "wrong_if": "", "context": "", "subject": "Alert: Rev - Screener v1 (SPY, 12): Any alert() function call", "body": "{\"ticker\":\"SPG\", \"setup\":\"A+ Trend Long\", \"side\":\"LONG\", \"price\":228.50, \"stage\":2, \"buy\":93.9, \"sell\":10.6, \"prime\":2, \"revL\":0, \"revS\":0, \"vcp\":0, \"dir_prob\":87, \"time\":1784208600000}", "ticker": "SPG", "setup": "A+ Trend Long", "side": "LONG", "price": 228.5, "stage": 2, "buy": 93.9, "sell": 10.6, "prime": 2, "revL": 0, "revS": 0, "vcp": 0, "time": 1784208600000, "email_id": "b'1286'", "timestamp": "2026-07-16 16:01:26"}</t>
  </si>
  <si>
    <t>The setup is a strong TREND_LONG driven by a Buy score of 90.64, a Sell score of 4.76, and a directional probability of 90.82, all well above the 65 threshold. The stock is in Stage 2 (up-trend) with a healthy Regime 0 and is currently 'in_zone' with a favorable Risk:Reward of ~2.0. The recent chart labels (SWEEP_BEAR, TRAP_BEAR) are bullish confirmations of the trend, though the headline regarding Hilton stock is irrelevant noise. The only caution is the 'earnings' flag, as earnings are in 25 days, which caps the conviction slightly but does not veto the trade.</t>
  </si>
  <si>
    <t>Buy: 68.2 | Sell: 20.9</t>
  </si>
  <si>
    <t>{"symbol": "CSX", "strategy": "Daily", "action": "LONG", "alert_price": 50.74, "score": "", "dir_prob": "75.1", "net_sigma": "", "grade": "", "align": "", "premium": "", "wrong_if": "", "context": "", "subject": "Alert: Rev - Screener v1 (SPY, 12): Any alert() function call", "body": "{\"ticker\":\"CSX\", \"setup\":\"A+ Trend Long\", \"side\":\"LONG\", \"price\":50.74, \"stage\":2, \"buy\":92.4, \"sell\":40.2, \"prime\":2, \"revL\":0, \"revS\":0, \"vcp\":0, \"dir_prob\":75.1, \"time\":1784295000000}", "ticker": "CSX", "setup": "A+ Trend Long", "side": "LONG", "price": 50.74, "stage": 2, "buy": 92.4, "sell": 40.2, "prime": 2, "revL": 0, "revS": 0, "vcp": 0, "time": 1784295000000, "email_id": "b'1412'", "timestamp": "2026-07-17 16:01:22"}</t>
  </si>
  <si>
    <t>Buy: 97.2 | Sell: 9.5</t>
  </si>
  <si>
    <t>{"symbol": "AMCR", "strategy": "Daily", "action": "LONG", "alert_price": 43.94, "score": "", "dir_prob": "94", "net_sigma": "", "grade": "", "align": "", "premium": "", "wrong_if": "", "context": "", "subject": "Alert: Rev - Screener v1 (SPY, 12): Any alert() function call", "body": "{\"ticker\":\"AMCR\", \"setup\":\"Early Ignition\", \"side\":\"LONG\", \"price\":43.94, \"stage\":2, \"buy\":97.2, \"sell\":9.5, \"prime\":2, \"revL\":0, \"revS\":0, \"vcp\":0, \"dir_prob\":94, \"time\":1784295000000}", "ticker": "AMCR", "setup": "Early Ignition", "side": "LONG", "price": 43.94, "stage": 2, "buy": 97.2, "sell": 9.5, "prime": 2, "revL": 0, "revS": 0, "vcp": 0, "time": 1784295000000, "email_id": "b'1410'", "timestamp": "2026-07-17 16:01:01"}</t>
  </si>
  <si>
    <t>{"symbol": "DG", "strategy": "Daily", "action": "LONG", "alert_price": 127.22, "score": "", "dir_prob": "90.2", "net_sigma": "", "grade": "", "align": "", "premium": "", "wrong_if": "", "context": "", "subject": "Alert: Rev - Screener v1 (SPY, 12): Any alert() function call", "body": "{\"ticker\":\"DG\", \"setup\":\"Early Ignition\", \"side\":\"LONG\", \"price\":127.22, \"stage\":2, \"buy\":68.2, \"sell\":20.9, \"prime\":0, \"revL\":0, \"revS\":0, \"vcp\":0, \"dir_prob\":90.2, \"time\":1784208600000}", "ticker": "DG", "setup": "Early Ignition", "side": "LONG", "price": 127.22, "stage": 2, "buy": 68.2, "sell": 20.9, "prime": 0, "revL": 0, "revS": 0, "vcp": 0, "time": 1784208600000, "email_id": "b'1287'", "timestamp": "2026-07-16 16:01:27"}</t>
  </si>
  <si>
    <t>Buy: 87.3 | Sell: 21.1</t>
  </si>
  <si>
    <t>Buy: 94.4 | Sell: 11</t>
  </si>
  <si>
    <t>{"symbol": "AES", "strategy": "Daily", "action": "LONG", "alert_price": 14.78, "score": "", "dir_prob": "87.5", "net_sigma": "", "grade": "", "align": "", "premium": "", "wrong_if": "", "context": "", "subject": "Alert: Rev - Screener v1 (SPY, 12): Any alert() function call", "body": "{\"ticker\":\"AES\", \"setup\":\"A+ Trend Long\", \"side\":\"LONG\", \"price\":14.78, \"stage\":2, \"buy\":87.3, \"sell\":21.1, \"prime\":2, \"revL\":0, \"revS\":0, \"vcp\":0, \"dir_prob\":87.5, \"time\":1784295000000}", "ticker": "AES", "setup": "A+ Trend Long", "side": "LONG", "price": 14.78, "stage": 2, "buy": 87.3, "sell": 21.1, "prime": 2, "revL": 0, "revS": 0, "vcp": 0, "time": 1784295000000, "email_id": "b'1413'", "timestamp": "2026-07-17 16:01:11"}</t>
  </si>
  <si>
    <t>{"symbol": "AIZ", "strategy": "Daily", "action": "LONG", "alert_price": 275.32, "score": "", "dir_prob": "89.5", "net_sigma": "", "grade": "", "align": "", "premium": "", "wrong_if": "", "context": "", "subject": "Alert: Rev - Screener v1 (SPY, 12): Any alert() function call", "body": "{\"ticker\":\"AIZ\", \"setup\":\"A+ Trend Long\", \"side\":\"LONG\", \"price\":275.32, \"stage\":2, \"buy\":94.4, \"sell\":11, \"prime\":2, \"revL\":0, \"revS\":0, \"vcp\":0, \"dir_prob\":89.5, \"time\":1784208600000}", "ticker": "AIZ", "setup": "A+ Trend Long", "side": "LONG", "price": 275.32, "stage": 2, "buy": 94.4, "sell": 11, "prime": 2, "revL": 0, "revS": 0, "vcp": 0, "time": 1784208600000, "email_id": "b'1288'", "timestamp": "2026-07-16 16:01:28"}</t>
  </si>
  <si>
    <t>Buy: 22 | Sell: 86</t>
  </si>
  <si>
    <t>Buy: 96.3 | Sell: 5.8</t>
  </si>
  <si>
    <t>{"symbol": "XOM", "strategy": "Daily", "action": "SHORT", "alert_price": 147.4, "score": "", "dir_prob": "9.5", "net_sigma": "", "grade": "", "align": "", "premium": "", "wrong_if": "", "context": "", "subject": "Alert: Rev - Screener v1 (SPY, 12): Any alert() function call", "body": "{\"ticker\":\"XOM\", \"setup\":\"A+ Trend Short\", \"side\":\"SHORT\", \"price\":147.40, \"stage\":4, \"buy\":22, \"sell\":86, \"prime\":-2, \"revL\":0, \"revS\":0, \"vcp\":0, \"dir_prob\":9.5, \"time\":1784295000000}", "ticker": "XOM", "setup": "A+ Trend Short", "side": "SHORT", "price": 147.4, "stage": 4, "buy": 22, "sell": 86, "prime": -2, "revL": 0, "revS": 0, "vcp": 0, "time": 1784295000000, "email_id": "b'1414'", "timestamp": "2026-07-17 16:01:18"}</t>
  </si>
  <si>
    <t>Buy: 5.2 | Sell: 89.4</t>
  </si>
  <si>
    <t>{"symbol": "EXPE", "strategy": "Daily", "action": "LONG", "alert_price": 271.01, "score": "", "dir_prob": "90.7", "net_sigma": "", "grade": "", "align": "", "premium": "", "wrong_if": "", "context": "", "subject": "Alert: Rev - Screener v1 (SPY, 12): Any alert() function call", "body": "{\"ticker\":\"EXPE\", \"setup\":\"A+ Trend Long\", \"side\":\"LONG\", \"price\":271.01, \"stage\":2, \"buy\":96.3, \"sell\":5.8, \"prime\":2, \"revL\":0, \"revS\":0, \"vcp\":0, \"dir_prob\":90.7, \"time\":1784208600000}", "ticker": "EXPE", "setup": "A+ Trend Long", "side": "LONG", "price": 271.01, "stage": 2, "buy": 96.3, "sell": 5.8, "prime": 2, "revL": 0, "revS": 0, "vcp": 0, "time": 1784208600000, "email_id": "b'1289'", "timestamp": "2026-07-16 16:01:41"}</t>
  </si>
  <si>
    <t>The setup is a strong TREND_LONG driven by a Buy score of 98.48, a Sell score of 18.06, and a directional probability of 89.42, with the price currently inside the long entry zone. News sentiment is bullish, confirming the technicals with Wedbush and Jefferies upgrades alongside a strategic partnership announcement. The triage is capped to WATCH solely due to the 'earnings' flag (20 days out), which introduces near-term volatility risk despite the robust trend.</t>
  </si>
  <si>
    <t>Buy: 94.6 | Sell: 9.3</t>
  </si>
  <si>
    <t>{"symbol": "CCI", "strategy": "Daily", "action": "SHORT", "alert_price": 79.17, "score": "", "dir_prob": "9.8", "net_sigma": "", "grade": "", "align": "", "premium": "", "wrong_if": "", "context": "", "subject": "Alert: Rev - Screener v1 (SPY, 12): Any alert() function call", "body": "{\"ticker\":\"CCI\", \"setup\":\"A+ Trend Short\", \"side\":\"SHORT\", \"price\":79.17, \"stage\":4, \"buy\":5.2, \"sell\":89.4, \"prime\":-2, \"revL\":0, \"revS\":0, \"vcp\":0, \"dir_prob\":9.8, \"time\":1784295000000}", "ticker": "CCI", "setup": "A+ Trend Short", "side": "SHORT", "price": 79.17, "stage": 4, "buy": 5.2, "sell": 89.4, "prime": -2, "revL": 0, "revS": 0, "vcp": 0, "time": 1784295000000, "email_id": "b'1415'", "timestamp": "2026-07-17 16:01:05"}</t>
  </si>
  <si>
    <t>Buy: 8.4 | Sell: 90.7</t>
  </si>
  <si>
    <t>{"symbol": "ESS", "strategy": "Daily", "action": "LONG", "alert_price": 297.41, "score": "", "dir_prob": "95.8", "net_sigma": "", "grade": "", "align": "", "premium": "", "wrong_if": "", "context": "", "subject": "Alert: Rev - Screener v1 (SPY, 12): Any alert() function call", "body": "{\"ticker\":\"ESS\", \"setup\":\"A+ Trend Long\", \"side\":\"LONG\", \"price\":297.41, \"stage\":2, \"buy\":94.6, \"sell\":9.3, \"prime\":2, \"revL\":0, \"revS\":0, \"vcp\":0, \"dir_prob\":95.8, \"time\":1784208600000}", "ticker": "ESS", "setup": "A+ Trend Long", "side": "LONG", "price": 297.41, "stage": 2, "buy": 94.6, "sell": 9.3, "prime": 2, "revL": 0, "revS": 0, "vcp": 0, "time": 1784208600000, "email_id": "b'1290'", "timestamp": "2026-07-16 16:01:32"}</t>
  </si>
  <si>
    <t>The setup is a strong TREND_LONG driven by a Buy score of 96.27, a Sell score of 24.8, and a 93.95% directional probability in Stage 2. The bullish news of a Barclays price target raise confirms the dominant long bias. However, the stock is flagged as 'extended' (12.7% above MA200) and sits at the top of its long entry zone, suggesting a potential pullback before continuation rather than an immediate aggressive entry.</t>
  </si>
  <si>
    <t>Buy: 74 | Sell: 8.9</t>
  </si>
  <si>
    <t>{"symbol": "MTD", "strategy": "Daily", "action": "LONG", "alert_price": 1335.89, "score": "", "dir_prob": "91", "net_sigma": "", "grade": "", "align": "", "premium": "", "wrong_if": "", "context": "", "subject": "Alert: Rev - Screener v1 (SPY, 12): Any alert() function call", "body": "{\"ticker\":\"MTD\", \"setup\":\"Early Action Long\", \"side\":\"LONG\", \"price\":1335.89, \"stage\":2, \"buy\":74, \"sell\":8.9, \"prime\":1, \"revL\":0, \"revS\":0, \"vcp\":0, \"dir_prob\":91, \"time\":1784208600000}", "ticker": "MTD", "setup": "Early Action Long", "side": "LONG", "price": 1335.89, "stage": 2, "buy": 74, "sell": 8.9, "prime": 1, "revL": 0, "revS": 0, "vcp": 0, "time": 1784208600000, "email_id": "b'1291'", "timestamp": "2026-07-16 16:01:25"}</t>
  </si>
  <si>
    <t>{"symbol": "WMT", "strategy": "Daily", "action": "SHORT", "alert_price": 114.23, "score": "", "dir_prob": "5.2", "net_sigma": "", "grade": "", "align": "", "premium": "", "wrong_if": "", "context": "", "subject": "Alert: Rev - Screener v1 (SPY, 12): Any alert() function call", "body": "{\"ticker\":\"WMT\", \"setup\":\"A+ Trend Short\", \"side\":\"SHORT\", \"price\":114.23, \"stage\":4, \"buy\":8.4, \"sell\":90.7, \"prime\":-2, \"revL\":0, \"revS\":0, \"vcp\":0, \"dir_prob\":5.2, \"time\":1784295000000}", "ticker": "WMT", "setup": "A+ Trend Short", "side": "SHORT", "price": 114.23, "stage": 4, "buy": 8.4, "sell": 90.7, "prime": -2, "revL": 0, "revS": 0, "vcp": 0, "time": 1784295000000, "email_id": "b'1416'", "timestamp": "2026-07-17 16:01:06"}</t>
  </si>
  <si>
    <t>JBHT</t>
  </si>
  <si>
    <t>Buy: 94.1 | Sell: 8.8</t>
  </si>
  <si>
    <t>Buy: 80.4 | Sell: 60</t>
  </si>
  <si>
    <t>{"symbol": "JPM", "strategy": "Daily", "action": "LONG", "alert_price": 341.23, "score": "", "dir_prob": "93.6", "net_sigma": "", "grade": "", "align": "", "premium": "", "wrong_if": "", "context": "", "subject": "Alert: Rev - Screener v1 (SPY, 12): Any alert() function call", "body": "{\"ticker\":\"JPM\", \"setup\":\"A+ Trend Long\", \"side\":\"LONG\", \"price\":341.23, \"stage\":2, \"buy\":94.1, \"sell\":8.8, \"prime\":2, \"revL\":0, \"revS\":0, \"vcp\":1, \"dir_prob\":93.6, \"time\":1784295000000}", "ticker": "JPM", "setup": "A+ Trend Long", "side": "LONG", "price": 341.23, "stage": 2, "buy": 94.1, "sell": 8.8, "prime": 2, "revL": 0, "revS": 0, "vcp": 1, "time": 1784295000000, "email_id": "b'1417'", "timestamp": "2026-07-17 16:01:03"}</t>
  </si>
  <si>
    <t>WATCH (9/10)</t>
  </si>
  <si>
    <t>TREND_LONG fires strongly with buy=95.91 &gt;&gt; 65, dir_prob=92.41 &gt;&gt; 50, and stage=2 (up-trend). News CONFIRMS with multiple analyst upgrades (Evercore, BofA, Goldman) and positive sentiment. No active flags or vetoes; regime=0 (healthy) and zone_state=in_zone support the setup. High conviction due to overwhelming technicals and fundamental alignment.</t>
  </si>
  <si>
    <t>{"symbol": "JBHT", "strategy": "Daily", "action": "LONG", "alert_price": 298.26, "score": "", "dir_prob": "56.7", "net_sigma": "", "grade": "", "align": "", "premium": "", "wrong_if": "", "context": "", "subject": "Alert: Rev - Screener v1 (SPY, 12): Any alert() function call", "body": "{\"ticker\":\"JBHT\", \"setup\":\"Early Ignition\", \"side\":\"LONG\", \"price\":298.26, \"stage\":2, \"buy\":80.4, \"sell\":60, \"prime\":0, \"revL\":0, \"revS\":0, \"vcp\":2, \"dir_prob\":56.7, \"time\":1784208600000}", "ticker": "JBHT", "setup": "Early Ignition", "side": "LONG", "price": 298.26, "stage": 2, "buy": 80.4, "sell": 60, "prime": 0, "revL": 0, "revS": 0, "vcp": 2, "time": 1784208600000, "email_id": "b'1292'", "timestamp": "2026-07-16 16:01:28"}</t>
  </si>
  <si>
    <t>Buy: 92.1 | Sell: 15</t>
  </si>
  <si>
    <t>Buy: 92.4 | Sell: 10.1</t>
  </si>
  <si>
    <t>{"symbol": "LLY", "strategy": "Daily", "action": "LONG", "alert_price": 1178.55, "score": "", "dir_prob": "90.7", "net_sigma": "", "grade": "", "align": "", "premium": "", "wrong_if": "", "context": "", "subject": "Alert: Rev - Screener v1 (SPY, 12): Any alert() function call", "body": "{\"ticker\":\"LLY\", \"setup\":\"A+ Trend Long\", \"side\":\"LONG\", \"price\":1178.55, \"stage\":2, \"buy\":92.1, \"sell\":15, \"prime\":2, \"revL\":0, \"revS\":0, \"vcp\":0, \"dir_prob\":90.7, \"time\":1784295000000}", "ticker": "LLY", "setup": "A+ Trend Long", "side": "LONG", "price": 1178.55, "stage": 2, "buy": 92.1, "sell": 15, "prime": 2, "revL": 0, "revS": 0, "vcp": 0, "time": 1784295000000, "email_id": "b'1418'", "timestamp": "2026-07-17 16:01:08"}</t>
  </si>
  <si>
    <t>Buy: 96.4 | Sell: 6</t>
  </si>
  <si>
    <t>{"symbol": "WST", "strategy": "Daily", "action": "LONG", "alert_price": 362.27, "score": "", "dir_prob": "91.6", "net_sigma": "", "grade": "", "align": "", "premium": "", "wrong_if": "", "context": "", "subject": "Alert: Rev - Screener v1 (SPY, 12): Any alert() function call", "body": "{\"ticker\":\"WST\", \"setup\":\"A+ Trend Long\", \"side\":\"LONG\", \"price\":362.27, \"stage\":2, \"buy\":92.4, \"sell\":10.1, \"prime\":2, \"revL\":0, \"revS\":0, \"vcp\":0, \"dir_prob\":91.6, \"time\":1784208600000}", "ticker": "WST", "setup": "A+ Trend Long", "side": "LONG", "price": 362.27, "stage": 2, "buy": 92.4, "sell": 10.1, "prime": 2, "revL": 0, "revS": 0, "vcp": 0, "time": 1784208600000, "email_id": "b'1293'", "timestamp": "2026-07-16 16:01:35"}</t>
  </si>
  <si>
    <t>Buy: 94.2 | Sell: 15.4</t>
  </si>
  <si>
    <t>{"symbol": "AXON", "strategy": "Daily", "action": "LONG", "alert_price": 510.5, "score": "", "dir_prob": "98.4", "net_sigma": "", "grade": "", "align": "", "premium": "", "wrong_if": "", "context": "", "subject": "Alert: Rev - Screener v1 (SPY, 12): Any alert() function call", "body": "{\"ticker\":\"AXON\", \"setup\":\"A+ Trend Long\", \"side\":\"LONG\", \"price\":510.50, \"stage\":2, \"buy\":96.4, \"sell\":6, \"prime\":2, \"revL\":0, \"revS\":0, \"vcp\":0, \"dir_prob\":98.4, \"time\":1784295000000}", "ticker": "AXON", "setup": "A+ Trend Long", "side": "LONG", "price": 510.5, "stage": 2, "buy": 96.4, "sell": 6, "prime": 2, "revL": 0, "revS": 0, "vcp": 0, "time": 1784295000000, "email_id": "b'1419'", "timestamp": "2026-07-17 16:01:09"}</t>
  </si>
  <si>
    <t>Buy: 93 | Sell: 9.3</t>
  </si>
  <si>
    <t>{"symbol": "AOS", "strategy": "Daily", "action": "LONG", "alert_price": 60.52, "score": "", "dir_prob": "94", "net_sigma": "", "grade": "", "align": "", "premium": "", "wrong_if": "", "context": "", "subject": "Alert: Rev - Screener v1 (SPY, 12): Any alert() function call", "body": "{\"ticker\":\"AOS\", \"setup\":\"A+ Trend Long\", \"side\":\"LONG\", \"price\":60.52, \"stage\":2, \"buy\":94.2, \"sell\":15.4, \"prime\":2, \"revL\":0, \"revS\":0, \"vcp\":0, \"dir_prob\":94, \"time\":1784208600000}", "ticker": "AOS", "setup": "A+ Trend Long", "side": "LONG", "price": 60.52, "stage": 2, "buy": 94.2, "sell": 15.4, "prime": 2, "revL": 0, "revS": 0, "vcp": 0, "time": 1784208600000, "email_id": "b'1294'", "timestamp": "2026-07-16 16:01:42"}</t>
  </si>
  <si>
    <t>Buy: 5.3 | Sell: 85.5</t>
  </si>
  <si>
    <t>{"symbol": "BXP", "strategy": "Daily", "action": "LONG", "alert_price": 69.82, "score": "", "dir_prob": "94.1", "net_sigma": "", "grade": "", "align": "", "premium": "", "wrong_if": "", "context": "", "subject": "Alert: Rev - Screener v1 (SPY, 12): Any alert() function call", "body": "{\"ticker\":\"BXP\", \"setup\":\"A+ Trend Long\", \"side\":\"LONG\", \"price\":69.82, \"stage\":2, \"buy\":93, \"sell\":9.3, \"prime\":2, \"revL\":0, \"revS\":0, \"vcp\":0, \"dir_prob\":94.1, \"time\":1784295000000}", "ticker": "BXP", "setup": "A+ Trend Long", "side": "LONG", "price": 69.82, "stage": 2, "buy": 93, "sell": 9.3, "prime": 2, "revL": 0, "revS": 0, "vcp": 0, "time": 1784295000000, "email_id": "b'1420'", "timestamp": "2026-07-17 16:01:13"}</t>
  </si>
  <si>
    <t>Buy: 95.8 | Sell: 23.9</t>
  </si>
  <si>
    <t>{"symbol": "SBAC", "strategy": "Daily", "action": "SHORT", "alert_price": 185.04, "score": "", "dir_prob": "10.4", "net_sigma": "", "grade": "", "align": "", "premium": "", "wrong_if": "", "context": "", "subject": "Alert: Rev - Screener v1 (SPY, 12): Any alert() function call", "body": "{\"ticker\":\"SBAC\", \"setup\":\"A+ Trend Short\", \"side\":\"SHORT\", \"price\":185.04, \"stage\":4, \"buy\":5.3, \"sell\":85.5, \"prime\":-2, \"revL\":0, \"revS\":0, \"vcp\":1, \"dir_prob\":10.4, \"time\":1784208600000}", "ticker": "SBAC", "setup": "A+ Trend Short", "side": "SHORT", "price": 185.04, "stage": 4, "buy": 5.3, "sell": 85.5, "prime": -2, "revL": 0, "revS": 0, "vcp": 1, "time": 1784208600000, "email_id": "b'1295'", "timestamp": "2026-07-16 16:01:37"}</t>
  </si>
  <si>
    <t>The technicals show a 'short' dominant side with a Sell score of 92.21 vs Buy of 42.48, but the entry mode is 'NONE' because the short signal lacks the specific thresholds (sell &gt;= 65 AND sell &gt; opposite_score AND dir_prob &lt; 50) required for a clean TREND_SHORT classification given the current dir_prob of 8.6. The chart is in Stage 4 (down) with a Squeeze regime (6), indicating a coiling phase rather than an active breakdown, and the short Rev Zone score is only 7 (Zone 1). News is neutral regarding the earnings date, which aligns with the lack of a directional catalyst. Consequently, there is no active edge to trade, and the presence of an earnings event in 18 days adds caution.</t>
  </si>
  <si>
    <t>{"symbol": "ABBV", "strategy": "Daily", "action": "LONG", "alert_price": 254.59, "score": "", "dir_prob": "89.7", "net_sigma": "", "grade": "", "align": "", "premium": "", "wrong_if": "", "context": "", "subject": "Alert: Rev - Screener v1 (SPY, 12): Any alert() function call", "body": "{\"ticker\":\"ABBV\", \"setup\":\"A+ Trend Long\", \"side\":\"LONG\", \"price\":254.59, \"stage\":2, \"buy\":95.8, \"sell\":23.9, \"prime\":2, \"revL\":0, \"revS\":0, \"vcp\":0, \"dir_prob\":89.7, \"time\":1784295000000}", "ticker": "ABBV", "setup": "A+ Trend Long", "side": "LONG", "price": 254.59, "stage": 2, "buy": 95.8, "sell": 23.9, "prime": 2, "revL": 0, "revS": 0, "vcp": 0, "time": 1784295000000, "email_id": "b'1421'", "timestamp": "2026-07-17 16:01:35"}</t>
  </si>
  <si>
    <t>Buy: 97.3 | Sell: 4.9</t>
  </si>
  <si>
    <t>Buy: 96.1 | Sell: 14.3</t>
  </si>
  <si>
    <t>{"symbol": "INCY", "strategy": "Daily", "action": "LONG", "alert_price": 116.63, "score": "", "dir_prob": "95.3", "net_sigma": "", "grade": "", "align": "", "premium": "", "wrong_if": "", "context": "", "subject": "Alert: Rev - Screener v1 (SPY, 12): Any alert() function call", "body": "{\"ticker\":\"INCY\", \"setup\":\"A+ Trend Long\", \"side\":\"LONG\", \"price\":116.63, \"stage\":2, \"buy\":97.3, \"sell\":4.9, \"prime\":2, \"revL\":0, \"revS\":0, \"vcp\":0, \"dir_prob\":95.3, \"time\":1784208600000}", "ticker": "INCY", "setup": "A+ Trend Long", "side": "LONG", "price": 116.63, "stage": 2, "buy": 97.3, "sell": 4.9, "prime": 2, "revL": 0, "revS": 0, "vcp": 0, "time": 1784208600000, "email_id": "b'1297'", "timestamp": "2026-07-16 16:01:41"}</t>
  </si>
  <si>
    <t>{"symbol": "HBAN", "strategy": "Daily", "action": "LONG", "alert_price": 18.26, "score": "", "dir_prob": "93.2", "net_sigma": "", "grade": "", "align": "", "premium": "", "wrong_if": "", "context": "", "subject": "Alert: Rev - Screener v1 (SPY, 12): Any alert() function call", "body": "{\"ticker\":\"HBAN\", \"setup\":\"A+ Trend Long\", \"side\":\"LONG\", \"price\":18.26, \"stage\":2, \"buy\":96.1, \"sell\":14.3, \"prime\":2, \"revL\":0, \"revS\":0, \"vcp\":0, \"dir_prob\":93.2, \"time\":1784295000000}", "ticker": "HBAN", "setup": "A+ Trend Long", "side": "LONG", "price": 18.26, "stage": 2, "buy": 96.1, "sell": 14.3, "prime": 2, "revL": 0, "revS": 0, "vcp": 0, "time": 1784295000000, "email_id": "b'1422'", "timestamp": "2026-07-17 16:01:35"}</t>
  </si>
  <si>
    <t>Buy: 95.1 | Sell: 15.3</t>
  </si>
  <si>
    <t>Buy: 88.2 | Sell: 18.8</t>
  </si>
  <si>
    <t>{"symbol": "WFC", "strategy": "Daily", "action": "LONG", "alert_price": 88.07, "score": "", "dir_prob": "92.9", "net_sigma": "", "grade": "", "align": "", "premium": "", "wrong_if": "", "context": "", "subject": "Alert: Rev - Screener v1 (SPY, 12): Any alert() function call", "body": "{\"ticker\":\"WFC\", \"setup\":\"A+ Trend Long\", \"side\":\"LONG\", \"price\":88.07, \"stage\":2, \"buy\":95.1, \"sell\":15.3, \"prime\":2, \"revL\":0, \"revS\":0, \"vcp\":0, \"dir_prob\":92.9, \"time\":1784208600000}", "ticker": "WFC", "setup": "A+ Trend Long", "side": "LONG", "price": 88.07, "stage": 2, "buy": 95.1, "sell": 15.3, "prime": 2, "revL": 0, "revS": 0, "vcp": 0, "time": 1784208600000, "email_id": "b'1296'", "timestamp": "2026-07-16 16:01:13"}</t>
  </si>
  <si>
    <t>The setup is a strong TREND_LONG driven by a Buy score of 98.04, a Sell score of 8.42, and a 95.38% directional probability in Stage 2. The stock is currently 'in_zone' with a favorable Risk:Reward of 2.62x, and the news sentiment is bullish, confirming the technical bias. The only caution is the 'extended' flag (ext_pct=7.85, regime=0), indicating the move is slightly above normal levels but not yet in a climax.</t>
  </si>
  <si>
    <t>{"symbol": "BLDR", "strategy": "Daily", "action": "LONG", "alert_price": 74.29, "score": "", "dir_prob": "92.6", "net_sigma": "", "grade": "", "align": "", "premium": "", "wrong_if": "", "context": "", "subject": "Alert: Rev - Screener v1 (SPY, 12): Any alert() function call", "body": "{\"ticker\":\"BLDR\", \"setup\":\"A+ Trend Long\", \"side\":\"LONG\", \"price\":74.29, \"stage\":2, \"buy\":88.2, \"sell\":18.8, \"prime\":2, \"revL\":0, \"revS\":0, \"vcp\":0, \"dir_prob\":92.6, \"time\":1784295000000}", "ticker": "BLDR", "setup": "A+ Trend Long", "side": "LONG", "price": 74.29, "stage": 2, "buy": 88.2, "sell": 18.8, "prime": 2, "revL": 0, "revS": 0, "vcp": 0, "time": 1784295000000, "email_id": "b'1423'", "timestamp": "2026-07-17 16:01:26"}</t>
  </si>
  <si>
    <t>Buy: 22.1 | Sell: 88.6</t>
  </si>
  <si>
    <t>Buy: 73.3 | Sell: 11.5</t>
  </si>
  <si>
    <t>{"symbol": "T", "strategy": "Daily", "action": "SHORT", "alert_price": 22.0, "score": "", "dir_prob": "19.2", "net_sigma": "", "grade": "", "align": "", "premium": "", "wrong_if": "", "context": "", "subject": "Alert: Rev - Screener v1 (SPY, 12): Any alert() function call", "body": "{\"ticker\":\"T\", \"setup\":\"A+ Trend Short\", \"side\":\"SHORT\", \"price\":22.00, \"stage\":4, \"buy\":22.1, \"sell\":88.6, \"prime\":-2, \"revL\":0, \"revS\":0, \"vcp\":0, \"dir_prob\":19.2, \"time\":1784208600000}", "ticker": "T", "setup": "A+ Trend Short", "side": "SHORT", "price": 22.0, "stage": 4, "buy": 22.1, "sell": 88.6, "prime": -2, "revL": 0, "revS": 0, "vcp": 0, "time": 1784208600000, "email_id": "b'1298'", "timestamp": "2026-07-16 16:01:37"}</t>
  </si>
  <si>
    <t>Buy: 88.7 | Sell: 50.3</t>
  </si>
  <si>
    <t>{"symbol": "DHR", "strategy": "Daily", "action": "LONG", "alert_price": 203.74, "score": "", "dir_prob": "85.8", "net_sigma": "", "grade": "", "align": "", "premium": "", "wrong_if": "", "context": "", "subject": "Alert: Rev - Screener v1 (SPY, 12): Any alert() function call", "body": "{\"ticker\":\"DHR\", \"setup\":\"Early Action Long\", \"side\":\"LONG\", \"price\":203.74, \"stage\":2, \"buy\":73.3, \"sell\":11.5, \"prime\":1, \"revL\":0, \"revS\":0, \"vcp\":0, \"dir_prob\":85.8, \"time\":1784295000000}", "ticker": "DHR", "setup": "Early Action Long", "side": "LONG", "price": 203.74, "stage": 2, "buy": 73.3, "sell": 11.5, "prime": 1, "revL": 0, "revS": 0, "vcp": 0, "time": 1784295000000, "email_id": "b'1424'", "timestamp": "2026-07-17 16:01:32"}</t>
  </si>
  <si>
    <t>Buy: 27.7 | Sell: 89</t>
  </si>
  <si>
    <t>{"symbol": "MMM", "strategy": "Daily", "action": "LONG", "alert_price": 161.74, "score": "", "dir_prob": "79", "net_sigma": "", "grade": "", "align": "", "premium": "", "wrong_if": "", "context": "", "subject": "Alert: Rev - Screener v1 (SPY, 12): Any alert() function call", "body": "{\"ticker\":\"MMM\", \"setup\":\"A+ Trend Long\", \"side\":\"LONG\", \"price\":161.74, \"stage\":2, \"buy\":88.7, \"sell\":50.3, \"prime\":2, \"revL\":0, \"revS\":0, \"vcp\":0, \"dir_prob\":79, \"time\":1784208600000}", "ticker": "MMM", "setup": "A+ Trend Long", "side": "LONG", "price": 161.74, "stage": 2, "buy": 88.7, "sell": 50.3, "prime": 2, "revL": 0, "revS": 0, "vcp": 0, "time": 1784208600000, "email_id": "b'1299'", "timestamp": "2026-07-16 16:01:16"}</t>
  </si>
  <si>
    <t>{"symbol": "AMZN", "strategy": "Daily", "action": "SHORT", "alert_price": 247.28, "score": "", "dir_prob": "18.9", "net_sigma": "", "grade": "", "align": "", "premium": "", "wrong_if": "", "context": "", "subject": "Alert: Rev - Screener v1 (SPY, 12): Any alert() function call", "body": "{\"ticker\":\"AMZN\", \"setup\":\"A+ Trend Short\", \"side\":\"SHORT\", \"price\":247.28, \"stage\":4, \"buy\":27.7, \"sell\":89, \"prime\":-2, \"revL\":0, \"revS\":0, \"vcp\":0, \"dir_prob\":18.9, \"time\":1784295000000}", "ticker": "AMZN", "setup": "A+ Trend Short", "side": "SHORT", "price": 247.28, "stage": 4, "buy": 27.7, "sell": 89, "prime": -2, "revL": 0, "revS": 0, "vcp": 0, "time": 1784295000000, "email_id": "b'1425'", "timestamp": "2026-07-17 16:01:17"}</t>
  </si>
  <si>
    <t>Buy: 94.5 | Sell: 6</t>
  </si>
  <si>
    <t>Buy: 94.6 | Sell: 21.8</t>
  </si>
  <si>
    <t>{"symbol": "MTB", "strategy": "Daily", "action": "LONG", "alert_price": 249.2, "score": "", "dir_prob": "91.1", "net_sigma": "", "grade": "", "align": "", "premium": "", "wrong_if": "", "context": "", "subject": "Alert: Rev - Screener v1 (SPY, 12): Any alert() function call", "body": "{\"ticker\":\"MTB\", \"setup\":\"A+ Trend Long\", \"side\":\"LONG\", \"price\":249.20, \"stage\":2, \"buy\":94.6, \"sell\":21.8, \"prime\":2, \"revL\":0, \"revS\":0, \"vcp\":0, \"dir_prob\":91.1, \"time\":1784295000000}", "ticker": "MTB", "setup": "A+ Trend Long", "side": "LONG", "price": 249.2, "stage": 2, "buy": 94.6, "sell": 21.8, "prime": 2, "revL": 0, "revS": 0, "vcp": 0, "time": 1784295000000, "email_id": "b'1426'", "timestamp": "2026-07-17 16:01:29"}</t>
  </si>
  <si>
    <t>Buy: 97.2 | Sell: 19.1</t>
  </si>
  <si>
    <t>{"symbol": "EG", "strategy": "Daily", "action": "LONG", "alert_price": 373.28, "score": "", "dir_prob": "93.2", "net_sigma": "", "grade": "", "align": "", "premium": "", "wrong_if": "", "context": "", "subject": "Alert: Rev - Screener v1 (SPY, 12): Any alert() function call", "body": "{\"ticker\":\"EG\", \"setup\":\"A+ Trend Long\", \"side\":\"LONG\", \"price\":373.28, \"stage\":2, \"buy\":94.5, \"sell\":6, \"prime\":2, \"revL\":0, \"revS\":0, \"vcp\":0, \"dir_prob\":93.2, \"time\":1784208600000}", "ticker": "EG", "setup": "A+ Trend Long", "side": "LONG", "price": 373.28, "stage": 2, "buy": 94.5, "sell": 6, "prime": 2, "revL": 0, "revS": 0, "vcp": 0, "time": 1784208600000, "email_id": "b'1300'", "timestamp": "2026-07-16 16:01:42"}</t>
  </si>
  <si>
    <t>The technicals show a dominant short bias (sell 38.22 vs buy 88.88) but the entry mode is NONE because the high sell score is not the primary driver; instead, a Zone-0 short reversal signal (rev_zone_s=12.0) is firing against the current uptrend (stage 2), which is a counter-trend high-risk setup. The news is neutral with no catalyst, and the 'TOP' warning from 10 bars ago adds bearish context. The triage is CUT because the setup is a counter-trend short in a squeeze regime with conflicting momentum (churn) and an earnings event in 13 days.</t>
  </si>
  <si>
    <t>Buy: 97.4 | Sell: 3.8</t>
  </si>
  <si>
    <t>{"symbol": "RF", "strategy": "Daily", "action": "LONG", "alert_price": 31.66, "score": "", "dir_prob": "90.6", "net_sigma": "", "grade": "", "align": "", "premium": "", "wrong_if": "", "context": "", "subject": "Alert: Rev - Screener v1 (SPY, 12): Any alert() function call", "body": "{\"ticker\":\"RF\", \"setup\":\"Early Ignition\", \"side\":\"LONG\", \"price\":31.66, \"stage\":2, \"buy\":97.2, \"sell\":19.1, \"prime\":2, \"revL\":0, \"revS\":0, \"vcp\":0, \"dir_prob\":90.6, \"time\":1784295000000}", "ticker": "RF", "setup": "Early Ignition", "side": "LONG", "price": 31.66, "stage": 2, "buy": 97.2, "sell": 19.1, "prime": 2, "revL": 0, "revS": 0, "vcp": 0, "time": 1784295000000, "email_id": "b'1427'", "timestamp": "2026-07-17 16:01:30"}</t>
  </si>
  <si>
    <t>Buy: 96.4 | Sell: 5.5</t>
  </si>
  <si>
    <t>{"symbol": "CRL", "strategy": "Daily", "action": "LONG", "alert_price": 229.16, "score": "", "dir_prob": "95.6", "net_sigma": "", "grade": "", "align": "", "premium": "", "wrong_if": "", "context": "", "subject": "Alert: Rev - Screener v1 (SPY, 12): Any alert() function call", "body": "{\"ticker\":\"CRL\", \"setup\":\"A+ Trend Long\", \"side\":\"LONG\", \"price\":229.16, \"stage\":2, \"buy\":97.4, \"sell\":3.8, \"prime\":2, \"revL\":0, \"revS\":0, \"vcp\":0, \"dir_prob\":95.6, \"time\":1784208600000}", "ticker": "CRL", "setup": "A+ Trend Long", "side": "LONG", "price": 229.16, "stage": 2, "buy": 97.4, "sell": 3.8, "prime": 2, "revL": 0, "revS": 0, "vcp": 0, "time": 1784208600000, "email_id": "b'1301'", "timestamp": "2026-07-16 16:01:37"}</t>
  </si>
  <si>
    <t>The setup is a strong TREND_LONG driven by a Buy score of 98.35, a 91.44% directional probability, and Stage 2 momentum, with the price currently inside the long entry zone offering a 2.31 R:R. The news is neutral regarding CRL specifically, though the sector context is positive, which does not contradict the technical bias. The triage is capped to WATCH due to the 'extended' regime (25% above MA200) and the 'earnings' flag (20 days out), despite the high conviction signal.</t>
  </si>
  <si>
    <t>Buy: 92.8 | Sell: 10.9</t>
  </si>
  <si>
    <t>{"symbol": "EXPE", "strategy": "Daily", "action": "LONG", "alert_price": 268.72, "score": "", "dir_prob": "90.8", "net_sigma": "", "grade": "", "align": "", "premium": "", "wrong_if": "", "context": "", "subject": "Alert: Rev - Screener v1 (SPY, 12): Any alert() function call", "body": "{\"ticker\":\"EXPE\", \"setup\":\"A+ Trend Long\", \"side\":\"LONG\", \"price\":268.72, \"stage\":2, \"buy\":96.4, \"sell\":5.5, \"prime\":2, \"revL\":0, \"revS\":0, \"vcp\":0, \"dir_prob\":90.8, \"time\":1784295000000}", "ticker": "EXPE", "setup": "A+ Trend Long", "side": "LONG", "price": 268.72, "stage": 2, "buy": 96.4, "sell": 5.5, "prime": 2, "revL": 0, "revS": 0, "vcp": 0, "time": 1784295000000, "email_id": "b'1428'", "timestamp": "2026-07-17 16:01:19"}</t>
  </si>
  <si>
    <t>TREND_LONG fires with buy=98.05 &gt;&gt; 65, dir_prob=88.18 &gt;&gt; 50, and stage=2 (up-trend). News CONFIRMS with a Wedbush Outperform/PT raise ($334). No active flags or vetoes; earnings gate is PASS. High conviction long setup.</t>
  </si>
  <si>
    <t>Buy: 91.6 | Sell: 20</t>
  </si>
  <si>
    <t>{"symbol": "EIX", "strategy": "Daily", "action": "LONG", "alert_price": 78.06, "score": "", "dir_prob": "88.2", "net_sigma": "", "grade": "", "align": "", "premium": "", "wrong_if": "", "context": "", "subject": "Alert: Rev - Screener v1 (SPY, 12): Any alert() function call", "body": "{\"ticker\":\"EIX\", \"setup\":\"A+ Trend Long\", \"side\":\"LONG\", \"price\":78.06, \"stage\":2, \"buy\":92.8, \"sell\":10.9, \"prime\":2, \"revL\":0, \"revS\":0, \"vcp\":0, \"dir_prob\":88.2, \"time\":1784208600000}", "ticker": "EIX", "setup": "A+ Trend Long", "side": "LONG", "price": 78.06, "stage": 2, "buy": 92.8, "sell": 10.9, "prime": 2, "revL": 0, "revS": 0, "vcp": 0, "time": 1784208600000, "email_id": "b'1302'", "timestamp": "2026-07-16 16:01:35"}</t>
  </si>
  <si>
    <t>{"symbol": "XYZ", "strategy": "Daily", "action": "LONG", "alert_price": 79.94, "score": "", "dir_prob": "91.3", "net_sigma": "", "grade": "", "align": "", "premium": "", "wrong_if": "", "context": "", "subject": "Alert: Rev - Screener v1 (SPY, 12): Any alert() function call", "body": "{\"ticker\":\"XYZ\", \"setup\":\"A+ Trend Long\", \"side\":\"LONG\", \"price\":79.94, \"stage\":2, \"buy\":91.6, \"sell\":20, \"prime\":2, \"revL\":0, \"revS\":0, \"vcp\":0, \"dir_prob\":91.3, \"time\":1784295000000}", "ticker": "XYZ", "setup": "A+ Trend Long", "side": "LONG", "price": 79.94, "stage": 2, "buy": 91.6, "sell": 20, "prime": 2, "revL": 0, "revS": 0, "vcp": 0, "time": 1784295000000, "email_id": "b'1429'", "timestamp": "2026-07-17 16:01:14"}</t>
  </si>
  <si>
    <t>TREND_LONG fires with buy=98.87 &gt;&gt; 65, dir_prob=93.26 &gt;&gt; 50, and stage=2 (up-trend). News CONFIRMS with a Citi upgrade to $115. No active flags or vetoes; earnings gate is PASS. High conviction long setup.</t>
  </si>
  <si>
    <t>Buy: 94.6 | Sell: 8.2</t>
  </si>
  <si>
    <t>Buy: 96.9 | Sell: 5.2</t>
  </si>
  <si>
    <t>{"symbol": "ES", "strategy": "Daily", "action": "LONG", "alert_price": 74.6, "score": "", "dir_prob": "95.4", "net_sigma": "", "grade": "", "align": "", "premium": "", "wrong_if": "", "context": "", "subject": "Alert: Rev - Screener v1 (SPY, 12): Any alert() function call", "body": "{\"ticker\":\"ES\", \"setup\":\"A+ Trend Long\", \"side\":\"LONG\", \"price\":74.60, \"stage\":2, \"buy\":96.9, \"sell\":5.2, \"prime\":2, \"revL\":0, \"revS\":0, \"vcp\":0, \"dir_prob\":95.4, \"time\":1784295000000}", "ticker": "ES", "setup": "A+ Trend Long", "side": "LONG", "price": 74.6, "stage": 2, "buy": 96.9, "sell": 5.2, "prime": 2, "revL": 0, "revS": 0, "vcp": 0, "time": 1784295000000, "email_id": "b'1430'", "timestamp": "2026-07-17 16:01:24"}</t>
  </si>
  <si>
    <t>ODFL</t>
  </si>
  <si>
    <t>{"symbol": "GD", "strategy": "Daily", "action": "LONG", "alert_price": 368.79, "score": "", "dir_prob": "96", "net_sigma": "", "grade": "", "align": "", "premium": "", "wrong_if": "", "context": "", "subject": "Alert: Rev - Screener v1 (SPY, 12): Any alert() function call", "body": "{\"ticker\":\"GD\", \"setup\":\"A+ Trend Long\", \"side\":\"LONG\", \"price\":368.79, \"stage\":2, \"buy\":94.6, \"sell\":8.2, \"prime\":2, \"revL\":0, \"revS\":0, \"vcp\":0, \"dir_prob\":96, \"time\":1784208600000}", "ticker": "GD", "setup": "A+ Trend Long", "side": "LONG", "price": 368.79, "stage": 2, "buy": 94.6, "sell": 8.2, "prime": 2, "revL": 0, "revS": 0, "vcp": 0, "time": 1784208600000, "email_id": "b'1303'", "timestamp": "2026-07-16 16:01:10"}</t>
  </si>
  <si>
    <t>Buy: 77.3 | Sell: 41.4</t>
  </si>
  <si>
    <t>GD is firing a strong TREND_LONG signal with a Buy Score of 95.89, Dir Prob of 91.41, and Stage 2 (up-trend) status. The news confirms this bullish bias with a major C$2B contract award and positive sentiment from Jamie Dimon. The setup is technically sound with price inside the long zone and a high R:R of 4.03, though the 13-day earnings window adds a soft caution flag.</t>
  </si>
  <si>
    <t>Buy: 96.6 | Sell: 4.6</t>
  </si>
  <si>
    <t>{"symbol": "ODFL", "strategy": "Daily", "action": "LONG", "alert_price": 233.8, "score": "", "dir_prob": "80.6", "net_sigma": "", "grade": "", "align": "", "premium": "", "wrong_if": "", "context": "", "subject": "Alert: Rev - Screener v1 (SPY, 12): Any alert() function call", "body": "{\"ticker\":\"ODFL\", \"setup\":\"Bullish Squeeze Release\", \"side\":\"LONG\", \"price\":233.80, \"stage\":2, \"buy\":77.3, \"sell\":41.4, \"prime\":0, \"revL\":0, \"revS\":0, \"vcp\":2, \"dir_prob\":80.6, \"time\":1784295000000}", "ticker": "ODFL", "setup": "Bullish Squeeze Release", "side": "LONG", "price": 233.8, "stage": 2, "buy": 77.3, "sell": 41.4, "prime": 0, "revL": 0, "revS": 0, "vcp": 2, "time": 1784295000000, "email_id": "b'1431'", "timestamp": "2026-07-17 16:01:41"}</t>
  </si>
  <si>
    <t>Buy: 14 | Sell: 91.7</t>
  </si>
  <si>
    <t>{"symbol": "CMG", "strategy": "Daily", "action": "LONG", "alert_price": 34.2, "score": "", "dir_prob": "97.9", "net_sigma": "", "grade": "", "align": "", "premium": "", "wrong_if": "", "context": "", "subject": "Alert: Rev - Screener v1 (SPY, 12): Any alert() function call", "body": "{\"ticker\":\"CMG\", \"setup\":\"A+ Trend Long\", \"side\":\"LONG\", \"price\":34.20, \"stage\":2, \"buy\":96.6, \"sell\":4.6, \"prime\":2, \"revL\":0, \"revS\":0, \"vcp\":0, \"dir_prob\":97.9, \"time\":1784208600000}", "ticker": "CMG", "setup": "A+ Trend Long", "side": "LONG", "price": 34.2, "stage": 2, "buy": 96.6, "sell": 4.6, "prime": 2, "revL": 0, "revS": 0, "vcp": 0, "time": 1784208600000, "email_id": "b'1304'", "timestamp": "2026-07-16 16:01:42"}</t>
  </si>
  <si>
    <t>Buy: 7.2 | Sell: 85.2</t>
  </si>
  <si>
    <t>{"symbol": "SLB", "strategy": "Daily", "action": "SHORT", "alert_price": 46.99, "score": "", "dir_prob": "4.8", "net_sigma": "", "grade": "", "align": "", "premium": "", "wrong_if": "", "context": "", "subject": "Alert: Rev - Screener v1 (SPY, 12): Any alert() function call", "body": "{\"ticker\":\"SLB\", \"setup\":\"A+ Trend Short\", \"side\":\"SHORT\", \"price\":46.99, \"stage\":4, \"buy\":14, \"sell\":91.7, \"prime\":-2, \"revL\":6, \"revS\":0, \"vcp\":1, \"dir_prob\":4.8, \"time\":1784295000000}", "ticker": "SLB", "setup": "A+ Trend Short", "side": "SHORT", "price": 46.99, "stage": 4, "buy": 14, "sell": 91.7, "prime": -2, "revL": 6, "revS": 0, "vcp": 1, "time": 1784295000000, "email_id": "b'1432'", "timestamp": "2026-07-17 16:01:39"}</t>
  </si>
  <si>
    <t>{"symbol": "ACN", "strategy": "Daily", "action": "SHORT", "alert_price": 144.61, "score": "", "dir_prob": "10.5", "net_sigma": "", "grade": "", "align": "", "premium": "", "wrong_if": "", "context": "", "subject": "Alert: Rev - Screener v1 (SPY, 12): Any alert() function call", "body": "{\"ticker\":\"ACN\", \"setup\":\"A+ Trend Short\", \"side\":\"SHORT\", \"price\":144.61, \"stage\":4, \"buy\":7.2, \"sell\":85.2, \"prime\":-2, \"revL\":0, \"revS\":0, \"vcp\":0, \"dir_prob\":10.5, \"time\":1784208600000}", "ticker": "ACN", "setup": "A+ Trend Short", "side": "SHORT", "price": 144.61, "stage": 4, "buy": 7.2, "sell": 85.2, "prime": -2, "revL": 0, "revS": 0, "vcp": 0, "time": 1784208600000, "email_id": "b'1305'", "timestamp": "2026-07-16 16:01:41"}</t>
  </si>
  <si>
    <t>Buy: 93.4 | Sell: 23.7</t>
  </si>
  <si>
    <t>{"symbol": "HOOD", "strategy": "Daily", "action": "LONG", "alert_price": 99.96, "score": "", "dir_prob": "93.7", "net_sigma": "", "grade": "", "align": "", "premium": "", "wrong_if": "", "context": "", "subject": "Alert: Rev - Screener v1 (SPY, 12): Any alert() function call", "body": "{\"ticker\":\"HOOD\", \"setup\":\"A+ Trend Long\", \"side\":\"LONG\", \"price\":99.96, \"stage\":2, \"buy\":96.3, \"sell\":5.2, \"prime\":2, \"revL\":0, \"revS\":0, \"vcp\":0, \"dir_prob\":93.7, \"time\":1784295000000}", "ticker": "HOOD", "setup": "A+ Trend Long", "side": "LONG", "price": 99.96, "stage": 2, "buy": 96.3, "sell": 5.2, "prime": 2, "revL": 0, "revS": 0, "vcp": 0, "time": 1784295000000, "email_id": "b'1433'", "timestamp": "2026-07-17 16:01:42"}</t>
  </si>
  <si>
    <t>Buy: 93.4 | Sell: 28.8</t>
  </si>
  <si>
    <t>{"symbol": "UAL", "strategy": "Daily", "action": "LONG", "alert_price": 118.84, "score": "", "dir_prob": "86.4", "net_sigma": "", "grade": "", "align": "", "premium": "", "wrong_if": "", "context": "", "subject": "Alert: Rev - Screener v1 (SPY, 12): Any alert() function call", "body": "{\"ticker\":\"UAL\", \"setup\":\"A+ Trend Long\", \"side\":\"LONG\", \"price\":118.84, \"stage\":2, \"buy\":93.4, \"sell\":23.7, \"prime\":2, \"revL\":0, \"revS\":0, \"vcp\":0, \"dir_prob\":86.4, \"time\":1784208600000}", "ticker": "UAL", "setup": "A+ Trend Long", "side": "LONG", "price": 118.84, "stage": 2, "buy": 93.4, "sell": 23.7, "prime": 2, "revL": 0, "revS": 0, "vcp": 0, "time": 1784208600000, "email_id": "b'1306'", "timestamp": "2026-07-16 16:01:38"}</t>
  </si>
  <si>
    <t>Buy: 94.7 | Sell: 31.1</t>
  </si>
  <si>
    <t>{"symbol": "DVA", "strategy": "Daily", "action": "LONG", "alert_price": 236.98, "score": "", "dir_prob": "91.7", "net_sigma": "", "grade": "", "align": "", "premium": "", "wrong_if": "", "context": "", "subject": "Alert: Rev - Screener v1 (SPY, 12): Any alert() function call", "body": "{\"ticker\":\"DVA\", \"setup\":\"A+ Trend Long\", \"side\":\"LONG\", \"price\":236.98, \"stage\":2, \"buy\":93.4, \"sell\":28.8, \"prime\":2, \"revL\":0, \"revS\":0, \"vcp\":0, \"dir_prob\":91.7, \"time\":1784295000000}", "ticker": "DVA", "setup": "A+ Trend Long", "side": "LONG", "price": 236.98, "stage": 2, "buy": 93.4, "sell": 28.8, "prime": 2, "revL": 0, "revS": 0, "vcp": 0, "time": 1784295000000, "email_id": "b'1434'", "timestamp": "2026-07-17 16:01:19"}</t>
  </si>
  <si>
    <t>TREND_LONG fires with buy=96.17 &gt;&gt; 65 and dir_prob=93.57, indicating a strong bullish bias. However, news headlines explicitly state 'Why We Exited Our Position' and warn about growth struggles, which CONTRADICTS the long technical setup. Additionally, recency flags show 'TOP', 'RSI_CASCADE', and 'EXTREME_EXTENSION' warnings from 5 bars ago, suggesting the move may be peaking. The low R:R (0.25) and upcoming earnings (18 days) further cap conviction, preventing a PASS.</t>
  </si>
  <si>
    <t>{"symbol": "LUV", "strategy": "Daily", "action": "LONG", "alert_price": 49.43, "score": "", "dir_prob": "90.4", "net_sigma": "", "grade": "", "align": "", "premium": "", "wrong_if": "", "context": "", "subject": "Alert: Rev - Screener v1 (SPY, 12): Any alert() function call", "body": "{\"ticker\":\"LUV\", \"setup\":\"A+ Trend Long\", \"side\":\"LONG\", \"price\":49.43, \"stage\":2, \"buy\":94.7, \"sell\":31.1, \"prime\":2, \"revL\":0, \"revS\":0, \"vcp\":0, \"dir_prob\":90.4, \"time\":1784208600000}", "ticker": "LUV", "setup": "A+ Trend Long", "side": "LONG", "price": 49.43, "stage": 2, "buy": 94.7, "sell": 31.1, "prime": 2, "revL": 0, "revS": 0, "vcp": 0, "time": 1784208600000, "email_id": "b'1307'", "timestamp": "2026-07-16 16:01:34"}</t>
  </si>
  <si>
    <t>The setup is a strong TREND_LONG driven by a Buy score of 95.48, a 96.75% directional probability, and Stage 2 momentum, with the price currently inside the long entry zone offering a 2.3 R:R. The news is neutral, providing no contradiction to the bullish technicals. However, the triage is capped to WATCH due to an earnings gate CAUTION (6 days out) and the 'extended' flag, as the stock is 20.27% above the MA200 with a regime of 0.</t>
  </si>
  <si>
    <t>TJX</t>
  </si>
  <si>
    <t>Buy: 7.1 | Sell: 88.4</t>
  </si>
  <si>
    <t>{"symbol": "BAX", "strategy": "Daily", "action": "LONG", "alert_price": 22.61, "score": "", "dir_prob": "96.4", "net_sigma": "", "grade": "", "align": "", "premium": "", "wrong_if": "", "context": "", "subject": "Alert: Rev - Screener v1 (SPY, 12): Any alert() function call", "body": "{\"ticker\":\"BAX\", \"setup\":\"A+ Trend Long\", \"side\":\"LONG\", \"price\":22.61, \"stage\":2, \"buy\":96.7, \"sell\":5.8, \"prime\":2, \"revL\":0, \"revS\":0, \"vcp\":0, \"dir_prob\":96.4, \"time\":1784295000000}", "ticker": "BAX", "setup": "A+ Trend Long", "side": "LONG", "price": 22.61, "stage": 2, "buy": 96.7, "sell": 5.8, "prime": 2, "revL": 0, "revS": 0, "vcp": 0, "time": 1784295000000, "email_id": "b'1435'", "timestamp": "2026-07-17 16:01:16"}</t>
  </si>
  <si>
    <t>TREND_LONG fires with buy=98.89 &gt;&gt; 65, dir_prob=87.83, and stage=2. However, the news CONTRADICTS the long bias with headlines citing 'debt and muted growth' and a 'fair value' cap near current price. The 'TOP' warning in recency and the CONTRADICTS news cap the triage to WATCH despite the strong technicals.</t>
  </si>
  <si>
    <t>Buy: 96.4 | Sell: 4.4</t>
  </si>
  <si>
    <t>{"symbol": "TJX", "strategy": "Daily", "action": "SHORT", "alert_price": 154.79, "score": "", "dir_prob": "4.6", "net_sigma": "", "grade": "", "align": "", "premium": "", "wrong_if": "", "context": "", "subject": "Alert: Rev - Screener v1 (SPY, 12): Any alert() function call", "body": "{\"ticker\":\"TJX\", \"setup\":\"A+ Trend Short\", \"side\":\"SHORT\", \"price\":154.79, \"stage\":4, \"buy\":7.1, \"sell\":88.4, \"prime\":-2, \"revL\":0, \"revS\":0, \"vcp\":0, \"dir_prob\":4.6, \"time\":1784208600000}", "ticker": "TJX", "setup": "A+ Trend Short", "side": "SHORT", "price": 154.79, "stage": 4, "buy": 7.1, "sell": 88.4, "prime": -2, "revL": 0, "revS": 0, "vcp": 0, "time": 1784208600000, "email_id": "b'1308'", "timestamp": "2026-07-16 16:01:16"}</t>
  </si>
  <si>
    <t>Buy: 75.2 | Sell: 32.1</t>
  </si>
  <si>
    <t>{"symbol": "PNW", "strategy": "Daily", "action": "LONG", "alert_price": 107.74, "score": "", "dir_prob": "95.8", "net_sigma": "", "grade": "", "align": "", "premium": "", "wrong_if": "", "context": "", "subject": "Alert: Rev - Screener v1 (SPY, 12): Any alert() function call", "body": "{\"ticker\":\"PNW\", \"setup\":\"A+ Trend Long\", \"side\":\"LONG\", \"price\":107.74, \"stage\":2, \"buy\":96.4, \"sell\":4.4, \"prime\":2, \"revL\":0, \"revS\":0, \"vcp\":0, \"dir_prob\":95.8, \"time\":1784295000000}", "ticker": "PNW", "setup": "A+ Trend Long", "side": "LONG", "price": 107.74, "stage": 2, "buy": 96.4, "sell": 4.4, "prime": 2, "revL": 0, "revS": 0, "vcp": 0, "time": 1784295000000, "email_id": "b'1436'", "timestamp": "2026-07-17 16:01:18"}</t>
  </si>
  <si>
    <t>Buy: 94.2 | Sell: 8.9</t>
  </si>
  <si>
    <t>{"symbol": "CSX", "strategy": "Daily", "action": "LONG", "alert_price": 50.9, "score": "", "dir_prob": "69.1", "net_sigma": "", "grade": "", "align": "", "premium": "", "wrong_if": "", "context": "", "subject": "Alert: Rev - Screener v1 (SPY, 12): Any alert() function call", "body": "{\"ticker\":\"CSX\", \"setup\":\"Early Action Long\", \"side\":\"LONG\", \"price\":50.90, \"stage\":2, \"buy\":75.2, \"sell\":32.1, \"prime\":1, \"revL\":0, \"revS\":0, \"vcp\":0, \"dir_prob\":69.1, \"time\":1784208600000}", "ticker": "CSX", "setup": "Early Action Long", "side": "LONG", "price": 50.9, "stage": 2, "buy": 75.2, "sell": 32.1, "prime": 1, "revL": 0, "revS": 0, "vcp": 0, "time": 1784208600000, "email_id": "b'1309'", "timestamp": "2026-07-16 16:01:17"}</t>
  </si>
  <si>
    <t>Buy: 3.1 | Sell: 91.9</t>
  </si>
  <si>
    <t>{"symbol": "NTRS", "strategy": "Daily", "action": "LONG", "alert_price": 184.7, "score": "", "dir_prob": "90.7", "net_sigma": "", "grade": "", "align": "", "premium": "", "wrong_if": "", "context": "", "subject": "Alert: Rev - Screener v1 (SPY, 12): Any alert() function call", "body": "{\"ticker\":\"NTRS\", \"setup\":\"A+ Trend Long\", \"side\":\"LONG\", \"price\":184.70, \"stage\":2, \"buy\":94.2, \"sell\":8.9, \"prime\":2, \"revL\":0, \"revS\":0, \"vcp\":0, \"dir_prob\":90.7, \"time\":1784295000000}", "ticker": "NTRS", "setup": "A+ Trend Long", "side": "LONG", "price": 184.7, "stage": 2, "buy": 94.2, "sell": 8.9, "prime": 2, "revL": 0, "revS": 0, "vcp": 0, "time": 1784295000000, "email_id": "b'1437'", "timestamp": "2026-07-17 16:01:43"}</t>
  </si>
  <si>
    <t>Buy: 94.2 | Sell: 8</t>
  </si>
  <si>
    <t>{"symbol": "MPWR", "strategy": "Daily", "action": "SHORT", "alert_price": 1306.83, "score": "", "dir_prob": "4.4", "net_sigma": "", "grade": "", "align": "", "premium": "", "wrong_if": "", "context": "", "subject": "Alert: Rev - Screener v1 (SPY, 12): Any alert() function call", "body": "{\"ticker\":\"MPWR\", \"setup\":\"A+ Trend Short\", \"side\":\"SHORT\", \"price\":1306.83, \"stage\":4, \"buy\":3.1, \"sell\":91.9, \"prime\":-2, \"revL\":0, \"revS\":0, \"vcp\":0, \"dir_prob\":4.4, \"time\":1784208600000}", "ticker": "MPWR", "setup": "A+ Trend Short", "side": "SHORT", "price": 1306.83, "stage": 4, "buy": 3.1, "sell": 91.9, "prime": -2, "revL": 0, "revS": 0, "vcp": 0, "time": 1784208600000, "email_id": "b'1310'", "timestamp": "2026-07-16 16:01:24"}</t>
  </si>
  <si>
    <t>Buy: 8.9 | Sell: 91.4</t>
  </si>
  <si>
    <t>{"symbol": "ITW", "strategy": "Daily", "action": "LONG", "alert_price": 276.03, "score": "", "dir_prob": "94.2", "net_sigma": "", "grade": "", "align": "", "premium": "", "wrong_if": "", "context": "", "subject": "Alert: Rev - Screener v1 (SPY, 12): Any alert() function call", "body": "{\"ticker\":\"ITW\", \"setup\":\"A+ Trend Long\", \"side\":\"LONG\", \"price\":276.03, \"stage\":2, \"buy\":94.2, \"sell\":8, \"prime\":2, \"revL\":0, \"revS\":0, \"vcp\":0, \"dir_prob\":94.2, \"time\":1784295000000}", "ticker": "ITW", "setup": "A+ Trend Long", "side": "LONG", "price": 276.03, "stage": 2, "buy": 94.2, "sell": 8, "prime": 2, "revL": 0, "revS": 0, "vcp": 0, "time": 1784295000000, "email_id": "b'1438'", "timestamp": "2026-07-17 16:01:39"}</t>
  </si>
  <si>
    <t>Buy: 74.2 | Sell: 8.7</t>
  </si>
  <si>
    <t>{"symbol": "VZ", "strategy": "Daily", "action": "SHORT", "alert_price": 43.87, "score": "", "dir_prob": "11.2", "net_sigma": "", "grade": "", "align": "", "premium": "", "wrong_if": "", "context": "", "subject": "Alert: Rev - Screener v1 (SPY, 12): Any alert() function call", "body": "{\"ticker\":\"VZ\", \"setup\":\"A+ Trend Short\", \"side\":\"SHORT\", \"price\":43.87, \"stage\":4, \"buy\":8.9, \"sell\":91.4, \"prime\":-2, \"revL\":0, \"revS\":0, \"vcp\":0, \"dir_prob\":11.2, \"time\":1784208600000}", "ticker": "VZ", "setup": "A+ Trend Short", "side": "SHORT", "price": 43.87, "stage": 4, "buy": 8.9, "sell": 91.4, "prime": -2, "revL": 0, "revS": 0, "vcp": 0, "time": 1784208600000, "email_id": "b'1311'", "timestamp": "2026-07-16 16:01:30"}</t>
  </si>
  <si>
    <t>Buy: 8.5 | Sell: 89.6</t>
  </si>
  <si>
    <t>{"symbol": "WELL", "strategy": "Daily", "action": "LONG", "alert_price": 243.31, "score": "", "dir_prob": "80.4", "net_sigma": "", "grade": "", "align": "", "premium": "", "wrong_if": "", "context": "", "subject": "Alert: Rev - Screener v1 (SPY, 12): Any alert() function call", "body": "{\"ticker\":\"WELL\", \"setup\":\"Early Action Long\", \"side\":\"LONG\", \"price\":243.31, \"stage\":2, \"buy\":74.2, \"sell\":8.7, \"prime\":1, \"revL\":0, \"revS\":0, \"vcp\":0, \"dir_prob\":80.4, \"time\":1784295000000}", "ticker": "WELL", "setup": "Early Action Long", "side": "LONG", "price": 243.31, "stage": 2, "buy": 74.2, "sell": 8.7, "prime": 1, "revL": 0, "revS": 0, "vcp": 0, "time": 1784295000000, "email_id": "b'1439'", "timestamp": "2026-07-17 16:01:42"}</t>
  </si>
  <si>
    <t>Buy: 76.4 | Sell: 22.1</t>
  </si>
  <si>
    <t>{"symbol": "WMT", "strategy": "Daily", "action": "SHORT", "alert_price": 114.93, "score": "", "dir_prob": "5.3", "net_sigma": "", "grade": "", "align": "", "premium": "", "wrong_if": "", "context": "", "subject": "Alert: Rev - Screener v1 (SPY, 12): Any alert() function call", "body": "{\"ticker\":\"WMT\", \"setup\":\"A+ Trend Short\", \"side\":\"SHORT\", \"price\":114.93, \"stage\":4, \"buy\":8.5, \"sell\":89.6, \"prime\":-2, \"revL\":0, \"revS\":0, \"vcp\":0, \"dir_prob\":5.3, \"time\":1784208600000}", "ticker": "WMT", "setup": "A+ Trend Short", "side": "SHORT", "price": 114.93, "stage": 4, "buy": 8.5, "sell": 89.6, "prime": -2, "revL": 0, "revS": 0, "vcp": 0, "time": 1784208600000, "email_id": "b'1312'", "timestamp": "2026-07-16 16:01:18"}</t>
  </si>
  <si>
    <t>Buy: 94 | Sell: 10.5</t>
  </si>
  <si>
    <t>{"symbol": "DXCM", "strategy": "Daily", "action": "LONG", "alert_price": 76.65, "score": "", "dir_prob": "87.4", "net_sigma": "", "grade": "", "align": "", "premium": "", "wrong_if": "", "context": "", "subject": "Alert: Rev - Screener v1 (SPY, 12): Any alert() function call", "body": "{\"ticker\":\"DXCM\", \"setup\":\"Early Action Long\", \"side\":\"LONG\", \"price\":76.65, \"stage\":2, \"buy\":76.4, \"sell\":22.1, \"prime\":1, \"revL\":0, \"revS\":0, \"vcp\":0, \"dir_prob\":87.4, \"time\":1784295000000}", "ticker": "DXCM", "setup": "Early Action Long", "side": "LONG", "price": 76.65, "stage": 2, "buy": 76.4, "sell": 22.1, "prime": 1, "revL": 0, "revS": 0, "vcp": 0, "time": 1784295000000, "email_id": "b'1440'", "timestamp": "2026-07-17 16:01:28"}</t>
  </si>
  <si>
    <t>Buy: 88.4 | Sell: 10.7</t>
  </si>
  <si>
    <t>{"symbol": "UDR", "strategy": "Daily", "action": "LONG", "alert_price": 40.56, "score": "", "dir_prob": "94.1", "net_sigma": "", "grade": "", "align": "", "premium": "", "wrong_if": "", "context": "", "subject": "Alert: Rev - Screener v1 (SPY, 12): Any alert() function call", "body": "{\"ticker\":\"UDR\", \"setup\":\"A+ Trend Long\", \"side\":\"LONG\", \"price\":40.56, \"stage\":2, \"buy\":94, \"sell\":10.5, \"prime\":2, \"revL\":0, \"revS\":0, \"vcp\":0, \"dir_prob\":94.1, \"time\":1784208600000}", "ticker": "UDR", "setup": "A+ Trend Long", "side": "LONG", "price": 40.56, "stage": 2, "buy": 94, "sell": 10.5, "prime": 2, "revL": 0, "revS": 0, "vcp": 0, "time": 1784208600000, "email_id": "b'1313'", "timestamp": "2026-07-16 16:01:31"}</t>
  </si>
  <si>
    <t>{"symbol": "FTNT", "strategy": "Daily", "action": "LONG", "alert_price": 161.59, "score": "", "dir_prob": "91.7", "net_sigma": "", "grade": "", "align": "", "premium": "", "wrong_if": "", "context": "", "subject": "Alert: Rev - Screener v1 (SPY, 12): Any alert() function call", "body": "{\"ticker\":\"FTNT\", \"setup\":\"A+ Trend Long\", \"side\":\"LONG\", \"price\":161.59, \"stage\":2, \"buy\":88.4, \"sell\":10.7, \"prime\":2, \"revL\":0, \"revS\":0, \"vcp\":0, \"dir_prob\":91.7, \"time\":1784295000000}", "ticker": "FTNT", "setup": "A+ Trend Long", "side": "LONG", "price": 161.59, "stage": 2, "buy": 88.4, "sell": 10.7, "prime": 2, "revL": 0, "revS": 0, "vcp": 0, "time": 1784295000000, "email_id": "b'1441'", "timestamp": "2026-07-17 16:01:23"}</t>
  </si>
  <si>
    <t>TREND_LONG fires with buy=90.93 &gt; 65 and dir_prob=92.75 &gt;= 50 in stage 2. News is neutral (historical article) and does not contradict the bullish bias. Triage capped to WATCH due to 'exhaustion' and 'extended' flags (ext_pct=50.04, exhaustion=0.45) and upcoming earnings in 11 days. High conviction is dampened by the extended regime and fresh 'TOP' warning.</t>
  </si>
  <si>
    <t>Buy: 10.8 | Sell: 85.7</t>
  </si>
  <si>
    <t>Buy: 80.4 | Sell: 18.1</t>
  </si>
  <si>
    <t>{"symbol": "ECHO", "strategy": "Daily", "action": "SHORT", "alert_price": 91.53, "score": "", "dir_prob": "9.8", "net_sigma": "", "grade": "", "align": "", "premium": "", "wrong_if": "", "context": "", "subject": "Alert: Rev - Screener v1 (SPY, 12): Any alert() function call", "body": "{\"ticker\":\"ECHO\", \"setup\":\"A+ Trend Short\", \"side\":\"SHORT\", \"price\":91.53, \"stage\":4, \"buy\":10.8, \"sell\":85.7, \"prime\":-2, \"revL\":0, \"revS\":0, \"vcp\":0, \"dir_prob\":9.8, \"time\":1784208600000}", "ticker": "ECHO", "setup": "A+ Trend Short", "side": "SHORT", "price": 91.53, "stage": 4, "buy": 10.8, "sell": 85.7, "prime": -2, "revL": 0, "revS": 0, "vcp": 0, "time": 1784208600000, "email_id": "b'1314'", "timestamp": "2026-07-16 16:01:18"}</t>
  </si>
  <si>
    <t>Buy: 91.7 | Sell: 13.9</t>
  </si>
  <si>
    <t>{"symbol": "GWW", "strategy": "Daily", "action": "LONG", "alert_price": 1395.01, "score": "", "dir_prob": "85.7", "net_sigma": "", "grade": "", "align": "", "premium": "", "wrong_if": "", "context": "", "subject": "Alert: Rev - Screener v1 (SPY, 12): Any alert() function call", "body": "{\"ticker\":\"GWW\", \"setup\":\"Coiled VCP\", \"side\":\"LONG\", \"price\":1395.01, \"stage\":2, \"buy\":80.4, \"sell\":18.1, \"prime\":1, \"revL\":0, \"revS\":0, \"vcp\":1, \"dir_prob\":85.7, \"time\":1784295000000}", "ticker": "GWW", "setup": "Coiled VCP", "side": "LONG", "price": 1395.01, "stage": 2, "buy": 80.4, "sell": 18.1, "prime": 1, "revL": 0, "revS": 0, "vcp": 1, "time": 1784295000000, "email_id": "b'1442'", "timestamp": "2026-07-17 16:01:24"}</t>
  </si>
  <si>
    <t>Buy: 77.4 | Sell: 5.8</t>
  </si>
  <si>
    <t>{"symbol": "DLTR", "strategy": "Daily", "action": "LONG", "alert_price": 128.48, "score": "", "dir_prob": "94.8", "net_sigma": "", "grade": "", "align": "", "premium": "", "wrong_if": "", "context": "", "subject": "Alert: Rev - Screener v1 (SPY, 12): Any alert() function call", "body": "{\"ticker\":\"DLTR\", \"setup\":\"A+ Trend Long\", \"side\":\"LONG\", \"price\":128.48, \"stage\":2, \"buy\":91.7, \"sell\":13.9, \"prime\":2, \"revL\":0, \"revS\":0, \"vcp\":0, \"dir_prob\":94.8, \"time\":1784208600000}", "ticker": "DLTR", "setup": "A+ Trend Long", "side": "LONG", "price": 128.48, "stage": 2, "buy": 91.7, "sell": 13.9, "prime": 2, "revL": 0, "revS": 0, "vcp": 0, "time": 1784208600000, "email_id": "b'1315'", "timestamp": "2026-07-16 16:01:40"}</t>
  </si>
  <si>
    <t>Buy: 92.3 | Sell: 14.6</t>
  </si>
  <si>
    <t>{"symbol": "GPN", "strategy": "Daily", "action": "LONG", "alert_price": 77.78, "score": "", "dir_prob": "95.5", "net_sigma": "", "grade": "", "align": "", "premium": "", "wrong_if": "", "context": "", "subject": "Alert: Rev - Screener v1 (SPY, 12): Any alert() function call", "body": "{\"ticker\":\"GPN\", \"setup\":\"Early Action Long\", \"side\":\"LONG\", \"price\":77.78, \"stage\":2, \"buy\":77.4, \"sell\":5.8, \"prime\":1, \"revL\":0, \"revS\":0, \"vcp\":0, \"dir_prob\":95.5, \"time\":1784295000000}", "ticker": "GPN", "setup": "Early Action Long", "side": "LONG", "price": 77.78, "stage": 2, "buy": 77.4, "sell": 5.8, "prime": 1, "revL": 0, "revS": 0, "vcp": 0, "time": 1784295000000, "email_id": "b'1443'", "timestamp": "2026-07-17 16:01:42"}</t>
  </si>
  <si>
    <t>Buy: 85.2 | Sell: 39.4</t>
  </si>
  <si>
    <t>{"symbol": "HRL", "strategy": "Daily", "action": "LONG", "alert_price": 25.71, "score": "", "dir_prob": "94.2", "net_sigma": "", "grade": "", "align": "", "premium": "", "wrong_if": "", "context": "", "subject": "Alert: Rev - Screener v1 (SPY, 12): Any alert() function call", "body": "{\"ticker\":\"HRL\", \"setup\":\"A+ Trend Long\", \"side\":\"LONG\", \"price\":25.71, \"stage\":2, \"buy\":92.3, \"sell\":14.6, \"prime\":2, \"revL\":0, \"revS\":0, \"vcp\":0, \"dir_prob\":94.2, \"time\":1784208600000}", "ticker": "HRL", "setup": "A+ Trend Long", "side": "LONG", "price": 25.71, "stage": 2, "buy": 92.3, "sell": 14.6, "prime": 2, "revL": 0, "revS": 0, "vcp": 0, "time": 1784208600000, "email_id": "b'1316'", "timestamp": "2026-07-16 16:01:19"}</t>
  </si>
  <si>
    <t>Buy: 9.3 | Sell: 92.6</t>
  </si>
  <si>
    <t>{"symbol": "DOC", "strategy": "Daily", "action": "LONG", "alert_price": 22.51, "score": "", "dir_prob": "83.3", "net_sigma": "", "grade": "", "align": "", "premium": "", "wrong_if": "", "context": "", "subject": "Alert: Rev - Screener v1 (SPY, 12): Any alert() function call", "body": "{\"ticker\":\"DOC\", \"setup\":\"A+ Trend Long\", \"side\":\"LONG\", \"price\":22.51, \"stage\":2, \"buy\":85.2, \"sell\":39.4, \"prime\":2, \"revL\":0, \"revS\":0, \"vcp\":0, \"dir_prob\":83.3, \"time\":1784295000000}", "ticker": "DOC", "setup": "A+ Trend Long", "side": "LONG", "price": 22.51, "stage": 2, "buy": 85.2, "sell": 39.4, "prime": 2, "revL": 0, "revS": 0, "vcp": 0, "time": 1784295000000, "email_id": "b'1444'", "timestamp": "2026-07-17 16:01:25"}</t>
  </si>
  <si>
    <t>Buy: 93.4 | Sell: 11.2</t>
  </si>
  <si>
    <t>{"symbol": "FDX", "strategy": "Daily", "action": "SHORT", "alert_price": 318.19, "score": "", "dir_prob": "2.2", "net_sigma": "", "grade": "", "align": "", "premium": "", "wrong_if": "", "context": "", "subject": "Alert: Rev - Screener v1 (SPY, 12): Any alert() function call", "body": "{\"ticker\":\"FDX\", \"setup\":\"A+ Trend Short\", \"side\":\"SHORT\", \"price\":318.19, \"stage\":4, \"buy\":9.3, \"sell\":92.6, \"prime\":-2, \"revL\":0, \"revS\":0, \"vcp\":1, \"dir_prob\":2.2, \"time\":1784208600000}", "ticker": "FDX", "setup": "A+ Trend Short", "side": "SHORT", "price": 318.19, "stage": 4, "buy": 9.3, "sell": 92.6, "prime": -2, "revL": 0, "revS": 0, "vcp": 1, "time": 1784208600000, "email_id": "b'1317'", "timestamp": "2026-07-16 16:01:30"}</t>
  </si>
  <si>
    <t>{"symbol": "EQR", "strategy": "Daily", "action": "LONG", "alert_price": 68.99, "score": "", "dir_prob": "94.5", "net_sigma": "", "grade": "", "align": "", "premium": "", "wrong_if": "", "context": "", "subject": "Alert: Rev - Screener v1 (SPY, 12): Any alert() function call", "body": "{\"ticker\":\"EQR\", \"setup\":\"A+ Trend Long\", \"side\":\"LONG\", \"price\":68.99, \"stage\":2, \"buy\":93.4, \"sell\":11.2, \"prime\":2, \"revL\":0, \"revS\":0, \"vcp\":0, \"dir_prob\":94.5, \"time\":1784295000000}", "ticker": "EQR", "setup": "A+ Trend Long", "side": "LONG", "price": 68.99, "stage": 2, "buy": 93.4, "sell": 11.2, "prime": 2, "revL": 0, "revS": 0, "vcp": 0, "time": 1784295000000, "email_id": "b'1445'", "timestamp": "2026-07-17 16:01:23"}</t>
  </si>
  <si>
    <t>Buy: 96.2 | Sell: 6.5</t>
  </si>
  <si>
    <t>Buy: 97.1 | Sell: 24.1</t>
  </si>
  <si>
    <t>{"symbol": "CFG", "strategy": "Daily", "action": "LONG", "alert_price": 72.39, "score": "", "dir_prob": "85.4", "net_sigma": "", "grade": "", "align": "", "premium": "", "wrong_if": "", "context": "", "subject": "Alert: Rev - Screener v1 (SPY, 12): Any alert() function call", "body": "{\"ticker\":\"CFG\", \"setup\":\"A+ Trend Long\", \"side\":\"LONG\", \"price\":72.39, \"stage\":2, \"buy\":97.1, \"sell\":24.1, \"prime\":2, \"revL\":0, \"revS\":0, \"vcp\":0, \"dir_prob\":85.4, \"time\":1784295000000}", "ticker": "CFG", "setup": "A+ Trend Long", "side": "LONG", "price": 72.39, "stage": 2, "buy": 97.1, "sell": 24.1, "prime": 2, "revL": 0, "revS": 0, "vcp": 0, "time": 1784295000000, "email_id": "b'1446'", "timestamp": "2026-07-17 16:01:26"}</t>
  </si>
  <si>
    <t>Buy: 93.3 | Sell: 12.3</t>
  </si>
  <si>
    <t>{"symbol": "ABNB", "strategy": "Daily", "action": "LONG", "alert_price": 147.79, "score": "", "dir_prob": "96.1", "net_sigma": "", "grade": "", "align": "", "premium": "", "wrong_if": "", "context": "", "subject": "Alert: Rev - Screener v1 (SPY, 12): Any alert() function call", "body": "{\"ticker\":\"ABNB\", \"setup\":\"A+ Trend Long\", \"side\":\"LONG\", \"price\":147.79, \"stage\":2, \"buy\":96.2, \"sell\":6.5, \"prime\":2, \"revL\":0, \"revS\":0, \"vcp\":1, \"dir_prob\":96.1, \"time\":1784208600000}", "ticker": "ABNB", "setup": "A+ Trend Long", "side": "LONG", "price": 147.79, "stage": 2, "buy": 96.2, "sell": 6.5, "prime": 2, "revL": 0, "revS": 0, "vcp": 1, "time": 1784208600000, "email_id": "b'1318'", "timestamp": "2026-07-16 16:01:36"}</t>
  </si>
  <si>
    <t>{"symbol": "SPG", "strategy": "Daily", "action": "LONG", "alert_price": 228.67, "score": "", "dir_prob": "86.1", "net_sigma": "", "grade": "", "align": "", "premium": "", "wrong_if": "", "context": "", "subject": "Alert: Rev - Screener v1 (SPY, 12): Any alert() function call", "body": "{\"ticker\":\"SPG\", \"setup\":\"A+ Trend Long\", \"side\":\"LONG\", \"price\":228.67, \"stage\":2, \"buy\":93.3, \"sell\":12.3, \"prime\":2, \"revL\":0, \"revS\":0, \"vcp\":0, \"dir_prob\":86.1, \"time\":1784295000000}", "ticker": "SPG", "setup": "A+ Trend Long", "side": "LONG", "price": 228.67, "stage": 2, "buy": 93.3, "sell": 12.3, "prime": 2, "revL": 0, "revS": 0, "vcp": 0, "time": 1784295000000, "email_id": "b'1447'", "timestamp": "2026-07-17 16:01:27"}</t>
  </si>
  <si>
    <t>Buy: 93.3 | Sell: 9.6</t>
  </si>
  <si>
    <t>{"symbol": "ZBRA", "strategy": "Daily", "action": "LONG", "alert_price": 265.18, "score": "", "dir_prob": "97.2", "net_sigma": "", "grade": "", "align": "", "premium": "", "wrong_if": "", "context": "", "subject": "Alert: Rev - Screener v1 (SPY, 12): Any alert() function call", "body": "{\"ticker\":\"ZBRA\", \"setup\":\"A+ Trend Long\", \"side\":\"LONG\", \"price\":265.18, \"stage\":2, \"buy\":96.6, \"sell\":7.4, \"prime\":2, \"revL\":0, \"revS\":0, \"vcp\":0, \"dir_prob\":97.2, \"time\":1784208600000}", "ticker": "ZBRA", "setup": "A+ Trend Long", "side": "LONG", "price": 265.18, "stage": 2, "buy": 96.6, "sell": 7.4, "prime": 2, "revL": 0, "revS": 0, "vcp": 0, "time": 1784208600000, "email_id": "b'1319'", "timestamp": "2026-07-16 16:01:43"}</t>
  </si>
  <si>
    <t>Buy: 76.3 | Sell: 55.2</t>
  </si>
  <si>
    <t>{"symbol": "GE", "strategy": "Daily", "action": "LONG", "alert_price": 348.83, "score": "", "dir_prob": "93.5", "net_sigma": "", "grade": "", "align": "", "premium": "", "wrong_if": "", "context": "", "subject": "Alert: Rev - Screener v1 (SPY, 12): Any alert() function call", "body": "{\"ticker\":\"GE\", \"setup\":\"A+ Trend Long\", \"side\":\"LONG\", \"price\":348.83, \"stage\":2, \"buy\":93.3, \"sell\":9.6, \"prime\":2, \"revL\":0, \"revS\":0, \"vcp\":0, \"dir_prob\":93.5, \"time\":1784295000000}", "ticker": "GE", "setup": "A+ Trend Long", "side": "LONG", "price": 348.83, "stage": 2, "buy": 93.3, "sell": 9.6, "prime": 2, "revL": 0, "revS": 0, "vcp": 0, "time": 1784295000000, "email_id": "b'1449'", "timestamp": "2026-07-17 16:01:32"}</t>
  </si>
  <si>
    <t>Buy: 34.9 | Sell: 88.9</t>
  </si>
  <si>
    <t>{"symbol": "DAL", "strategy": "Daily", "action": "LONG", "alert_price": 86.7, "score": "", "dir_prob": "57.4", "net_sigma": "", "grade": "", "align": "", "premium": "", "wrong_if": "", "context": "", "subject": "Alert: Rev - Screener v1 (SPY, 12): Any alert() function call", "body": "{\"ticker\":\"DAL\", \"setup\":\"Early Action Long\", \"side\":\"LONG\", \"price\":86.70, \"stage\":2, \"buy\":76.3, \"sell\":55.2, \"prime\":1, \"revL\":0, \"revS\":0, \"vcp\":0, \"dir_prob\":57.4, \"time\":1784208600000}", "ticker": "DAL", "setup": "Early Action Long", "side": "LONG", "price": 86.7, "stage": 2, "buy": 76.3, "sell": 55.2, "prime": 1, "revL": 0, "revS": 0, "vcp": 0, "time": 1784208600000, "email_id": "b'1320'", "timestamp": "2026-07-16 16:01:22"}</t>
  </si>
  <si>
    <t>Buy: 94.7 | Sell: 5.2</t>
  </si>
  <si>
    <t>{"symbol": "KDP", "strategy": "Daily", "action": "SHORT", "alert_price": 30.91, "score": "", "dir_prob": "16.2", "net_sigma": "", "grade": "", "align": "", "premium": "", "wrong_if": "", "context": "", "subject": "Alert: Rev - Screener v1 (SPY, 12): Any alert() function call", "body": "{\"ticker\":\"KDP\", \"setup\":\"A+ Trend Short\", \"side\":\"SHORT\", \"price\":30.91, \"stage\":4, \"buy\":34.9, \"sell\":88.9, \"prime\":-2, \"revL\":0, \"revS\":0, \"vcp\":0, \"dir_prob\":16.2, \"time\":1784295000000}", "ticker": "KDP", "setup": "A+ Trend Short", "side": "SHORT", "price": 30.91, "stage": 4, "buy": 34.9, "sell": 88.9, "prime": -2, "revL": 0, "revS": 0, "vcp": 0, "time": 1784295000000, "email_id": "b'1448'", "timestamp": "2026-07-17 16:01:29"}</t>
  </si>
  <si>
    <t>Buy: 96.6 | Sell: 5.8</t>
  </si>
  <si>
    <t>{"symbol": "CTVA", "strategy": "Daily", "action": "LONG", "alert_price": 86.65, "score": "", "dir_prob": "94.9", "net_sigma": "", "grade": "", "align": "", "premium": "", "wrong_if": "", "context": "", "subject": "Alert: Rev - Screener v1 (SPY, 12): Any alert() function call", "body": "{\"ticker\":\"CTVA\", \"setup\":\"A+ Trend Long\", \"side\":\"LONG\", \"price\":86.65, \"stage\":2, \"buy\":94.7, \"sell\":5.2, \"prime\":2, \"revL\":0, \"revS\":0, \"vcp\":0, \"dir_prob\":94.9, \"time\":1784208600000}", "ticker": "CTVA", "setup": "A+ Trend Long", "side": "LONG", "price": 86.65, "stage": 2, "buy": 94.7, "sell": 5.2, "prime": 2, "revL": 0, "revS": 0, "vcp": 0, "time": 1784208600000, "email_id": "b'1321'", "timestamp": "2026-07-16 16:01:23"}</t>
  </si>
  <si>
    <t>CTVA is in a strong uptrend (Stage 2) with a dominant long bias (Buy 86.16 vs Sell 20.28, Dir Prob 87.56), triggering a TREND_LONG entry mode. The bullish headline from Mizuho raising the price target to $97 confirms the technical momentum. However, the stock is priced above its long entry zone (85.54-86.06) with an R:R of only 1.13, resulting in a 'chased' flag that caps the setup at WATCH rather than a full PASS.</t>
  </si>
  <si>
    <t>Buy: 97.1 | Sell: 5.2</t>
  </si>
  <si>
    <t>{"symbol": "TROW", "strategy": "Daily", "action": "LONG", "alert_price": 117.37, "score": "", "dir_prob": "94.8", "net_sigma": "", "grade": "", "align": "", "premium": "", "wrong_if": "", "context": "", "subject": "Alert: Rev - Screener v1 (SPY, 12): Any alert() function call", "body": "{\"ticker\":\"TROW\", \"setup\":\"A+ Trend Long\", \"side\":\"LONG\", \"price\":117.37, \"stage\":2, \"buy\":96.6, \"sell\":5.8, \"prime\":2, \"revL\":0, \"revS\":0, \"vcp\":0, \"dir_prob\":94.8, \"time\":1784295000000}", "ticker": "TROW", "setup": "A+ Trend Long", "side": "LONG", "price": 117.37, "stage": 2, "buy": 96.6, "sell": 5.8, "prime": 2, "revL": 0, "revS": 0, "vcp": 0, "time": 1784295000000, "email_id": "b'1450'", "timestamp": "2026-07-17 16:01:34"}</t>
  </si>
  <si>
    <t>Buy: 13 | Sell: 89.7</t>
  </si>
  <si>
    <t>{"symbol": "CB", "strategy": "Daily", "action": "LONG", "alert_price": 343.44, "score": "", "dir_prob": "95.7", "net_sigma": "", "grade": "", "align": "", "premium": "", "wrong_if": "", "context": "", "subject": "Alert: Rev - Screener v1 (SPY, 12): Any alert() function call", "body": "{\"ticker\":\"CB\", \"setup\":\"A+ Trend Long\", \"side\":\"LONG\", \"price\":343.44, \"stage\":2, \"buy\":97.1, \"sell\":5.2, \"prime\":2, \"revL\":0, \"revS\":0, \"vcp\":0, \"dir_prob\":95.7, \"time\":1784208600000}", "ticker": "CB", "setup": "A+ Trend Long", "side": "LONG", "price": 343.44, "stage": 2, "buy": 97.1, "sell": 5.2, "prime": 2, "revL": 0, "revS": 0, "vcp": 0, "time": 1784208600000, "email_id": "b'1322'", "timestamp": "2026-07-16 16:01:38"}</t>
  </si>
  <si>
    <t>The setup is a TREND_LONG driven by a high Buy Score of 94.8 and a Dir Prob of 64.02, with the price currently in the long entry zone offering a 2:1 R:R. News sentiment is bullish, confirmed by a Piper Sandler price target raise to $374, which aligns with the long bias. However, the triage is capped to WATCH due to the 'churn' flag (opposite score 69.11 is high) and an earnings gate CAUTION with 5 days remaining.</t>
  </si>
  <si>
    <t>Buy: 95.3 | Sell: 8.4</t>
  </si>
  <si>
    <t>{"symbol": "HAS", "strategy": "Daily", "action": "SHORT", "alert_price": 81.57, "score": "", "dir_prob": "10.8", "net_sigma": "", "grade": "", "align": "", "premium": "", "wrong_if": "", "context": "", "subject": "Alert: Rev - Screener v1 (SPY, 12): Any alert() function call", "body": "{\"ticker\":\"HAS\", \"setup\":\"A+ Trend Short\", \"side\":\"SHORT\", \"price\":81.57, \"stage\":4, \"buy\":13, \"sell\":89.7, \"prime\":-2, \"revL\":0, \"revS\":0, \"vcp\":0, \"dir_prob\":10.8, \"time\":1784295000000}", "ticker": "HAS", "setup": "A+ Trend Short", "side": "SHORT", "price": 81.57, "stage": 4, "buy": 13, "sell": 89.7, "prime": -2, "revL": 0, "revS": 0, "vcp": 0, "time": 1784295000000, "email_id": "b'1451'", "timestamp": "2026-07-17 16:01:31"}</t>
  </si>
  <si>
    <t>Buy: 97 | Sell: 27.3</t>
  </si>
  <si>
    <t>{"symbol": "TTWO", "strategy": "Daily", "action": "LONG", "alert_price": 239.64, "score": "", "dir_prob": "94.8", "net_sigma": "", "grade": "", "align": "", "premium": "", "wrong_if": "", "context": "", "subject": "Alert: Rev - Screener v1 (SPY, 12): Any alert() function call", "body": "{\"ticker\":\"TTWO\", \"setup\":\"A+ Trend Long\", \"side\":\"LONG\", \"price\":239.64, \"stage\":2, \"buy\":95.3, \"sell\":8.4, \"prime\":2, \"revL\":0, \"revS\":0, \"vcp\":0, \"dir_prob\":94.8, \"time\":1784208600000}", "ticker": "TTWO", "setup": "A+ Trend Long", "side": "LONG", "price": 239.64, "stage": 2, "buy": 95.3, "sell": 8.4, "prime": 2, "revL": 0, "revS": 0, "vcp": 0, "time": 1784208600000, "email_id": "b'1323'", "timestamp": "2026-07-16 16:01:39"}</t>
  </si>
  <si>
    <t>Buy: 88.8 | Sell: 40.2</t>
  </si>
  <si>
    <t>{"symbol": "PH", "strategy": "Daily", "action": "LONG", "alert_price": 952.87, "score": "", "dir_prob": "85.4", "net_sigma": "", "grade": "", "align": "", "premium": "", "wrong_if": "", "context": "", "subject": "Alert: Rev - Screener v1 (SPY, 12): Any alert() function call", "body": "{\"ticker\":\"PH\", \"setup\":\"A+ Trend Long\", \"side\":\"LONG\", \"price\":952.87, \"stage\":2, \"buy\":97, \"sell\":27.3, \"prime\":2, \"revL\":0, \"revS\":0, \"vcp\":1, \"dir_prob\":85.4, \"time\":1784295000000}", "ticker": "PH", "setup": "A+ Trend Long", "side": "LONG", "price": 952.87, "stage": 2, "buy": 97, "sell": 27.3, "prime": 2, "revL": 0, "revS": 0, "vcp": 1, "time": 1784295000000, "email_id": "b'1452'", "timestamp": "2026-07-17 16:01:44"}</t>
  </si>
  <si>
    <t>Buy: 93.1 | Sell: 20.7</t>
  </si>
  <si>
    <t>{"symbol": "AEE", "strategy": "Daily", "action": "LONG", "alert_price": 113.09, "score": "", "dir_prob": "78.8", "net_sigma": "", "grade": "", "align": "", "premium": "", "wrong_if": "", "context": "", "subject": "Alert: Rev - Screener v1 (SPY, 12): Any alert() function call", "body": "{\"ticker\":\"AEE\", \"setup\":\"A+ Trend Long\", \"side\":\"LONG\", \"price\":113.09, \"stage\":2, \"buy\":88.8, \"sell\":40.2, \"prime\":2, \"revL\":0, \"revS\":0, \"vcp\":0, \"dir_prob\":78.8, \"time\":1784208600000}", "ticker": "AEE", "setup": "A+ Trend Long", "side": "LONG", "price": 113.09, "stage": 2, "buy": 88.8, "sell": 40.2, "prime": 2, "revL": 0, "revS": 0, "vcp": 0, "time": 1784208600000, "email_id": "b'1324'", "timestamp": "2026-07-16 16:01:41"}</t>
  </si>
  <si>
    <t>The setup is a strong TREND_LONG driven by a Buy score of 93.19, a Sell score of 37.98, and a directional probability of 79.63, with the price currently inside the long entry zone. Recent chart labels show bullish momentum with a SWEEP_BULL and TRAP_BEAR firing today, while the news confirms the bullish bias via a Truist Securities price target raise to $124. The triage is capped to WATCH solely due to the 'earnings' flag (14 days out), which adds a cautionary note despite the otherwise clean technicals and positive catalyst.</t>
  </si>
  <si>
    <t>Buy: 5.6 | Sell: 86.1</t>
  </si>
  <si>
    <t>{"symbol": "MNST", "strategy": "Daily", "action": "LONG", "alert_price": 97.49, "score": "", "dir_prob": "82.7", "net_sigma": "", "grade": "", "align": "", "premium": "", "wrong_if": "", "context": "", "subject": "Alert: Rev - Screener v1 (SPY, 12): Any alert() function call", "body": "{\"ticker\":\"MNST\", \"setup\":\"A+ Trend Long\", \"side\":\"LONG\", \"price\":97.49, \"stage\":2, \"buy\":93.1, \"sell\":20.7, \"prime\":2, \"revL\":0, \"revS\":0, \"vcp\":0, \"dir_prob\":82.7, \"time\":1784295000000}", "ticker": "MNST", "setup": "A+ Trend Long", "side": "LONG", "price": 97.49, "stage": 2, "buy": 93.1, "sell": 20.7, "prime": 2, "revL": 0, "revS": 0, "vcp": 0, "time": 1784295000000, "email_id": "b'1453'", "timestamp": "2026-07-17 16:01:40"}</t>
  </si>
  <si>
    <t>Buy: 95.3 | Sell: 7.7</t>
  </si>
  <si>
    <t>{"symbol": "FCX", "strategy": "Daily", "action": "SHORT", "alert_price": 58.53, "score": "", "dir_prob": "10", "net_sigma": "", "grade": "", "align": "", "premium": "", "wrong_if": "", "context": "", "subject": "Alert: Rev - Screener v1 (SPY, 12): Any alert() function call", "body": "{\"ticker\":\"FCX\", \"setup\":\"A+ Trend Short\", \"side\":\"SHORT\", \"price\":58.53, \"stage\":4, \"buy\":5.6, \"sell\":86.1, \"prime\":-2, \"revL\":0, \"revS\":0, \"vcp\":0, \"dir_prob\":10, \"time\":1784208600000}", "ticker": "FCX", "setup": "A+ Trend Short", "side": "SHORT", "price": 58.53, "stage": 4, "buy": 5.6, "sell": 86.1, "prime": -2, "revL": 0, "revS": 0, "vcp": 0, "time": 1784208600000, "email_id": "b'1325'", "timestamp": "2026-07-16 16:01:25"}</t>
  </si>
  <si>
    <t>Buy: 84.6 | Sell: 12.8</t>
  </si>
  <si>
    <t>{"symbol": "AIG", "strategy": "Daily", "action": "LONG", "alert_price": 80.49, "score": "", "dir_prob": "97.9", "net_sigma": "", "grade": "", "align": "", "premium": "", "wrong_if": "", "context": "", "subject": "Alert: Rev - Screener v1 (SPY, 12): Any alert() function call", "body": "{\"ticker\":\"AIG\", \"setup\":\"A+ Trend Long\", \"side\":\"LONG\", \"price\":80.49, \"stage\":2, \"buy\":95.3, \"sell\":7.7, \"prime\":2, \"revL\":0, \"revS\":0, \"vcp\":0, \"dir_prob\":97.9, \"time\":1784295000000}", "ticker": "AIG", "setup": "A+ Trend Long", "side": "LONG", "price": 80.49, "stage": 2, "buy": 95.3, "sell": 7.7, "prime": 2, "revL": 0, "revS": 0, "vcp": 0, "time": 1784295000000, "email_id": "b'1454'", "timestamp": "2026-07-17 16:01:29"}</t>
  </si>
  <si>
    <t>Buy: 96.1 | Sell: 7.3</t>
  </si>
  <si>
    <t>{"symbol": "HBAN", "strategy": "Daily", "action": "LONG", "alert_price": 18.58, "score": "", "dir_prob": "91.1", "net_sigma": "", "grade": "", "align": "", "premium": "", "wrong_if": "", "context": "", "subject": "Alert: Rev - Screener v1 (SPY, 12): Any alert() function call", "body": "{\"ticker\":\"HBAN\", \"setup\":\"Early Action Long\", \"side\":\"LONG\", \"price\":18.58, \"stage\":2, \"buy\":84.6, \"sell\":12.8, \"prime\":1, \"revL\":0, \"revS\":0, \"vcp\":0, \"dir_prob\":91.1, \"time\":1784208600000}", "ticker": "HBAN", "setup": "Early Action Long", "side": "LONG", "price": 18.58, "stage": 2, "buy": 84.6, "sell": 12.8, "prime": 1, "revL": 0, "revS": 0, "vcp": 0, "time": 1784208600000, "email_id": "b'1326'", "timestamp": "2026-07-16 16:01:41"}</t>
  </si>
  <si>
    <t>Buy: 53.9 | Sell: 8.5</t>
  </si>
  <si>
    <t>{"symbol": "RVTY", "strategy": "Daily", "action": "LONG", "alert_price": 110.15, "score": "", "dir_prob": "94.3", "net_sigma": "", "grade": "", "align": "", "premium": "", "wrong_if": "", "context": "", "subject": "Alert: Rev - Screener v1 (SPY, 12): Any alert() function call", "body": "{\"ticker\":\"RVTY\", \"setup\":\"A+ Trend Long\", \"side\":\"LONG\", \"price\":110.15, \"stage\":2, \"buy\":96.1, \"sell\":7.3, \"prime\":2, \"revL\":0, \"revS\":0, \"vcp\":0, \"dir_prob\":94.3, \"time\":1784295000000}", "ticker": "RVTY", "setup": "A+ Trend Long", "side": "LONG", "price": 110.15, "stage": 2, "buy": 96.1, "sell": 7.3, "prime": 2, "revL": 0, "revS": 0, "vcp": 0, "time": 1784295000000, "email_id": "b'1455'", "timestamp": "2026-07-17 16:01:30"}</t>
  </si>
  <si>
    <t>Buy: 96.3 | Sell: 21.2</t>
  </si>
  <si>
    <t>{"symbol": "ITW", "strategy": "Daily", "action": "LONG", "alert_price": 282.89, "score": "", "dir_prob": "83", "net_sigma": "", "grade": "", "align": "", "premium": "", "wrong_if": "", "context": "", "subject": "Alert: Rev - Screener v1 (SPY, 12): Any alert() function call", "body": "{\"ticker\":\"ITW\", \"setup\":\"Bullish Squeeze Release\", \"side\":\"LONG\", \"price\":282.89, \"stage\":2, \"buy\":53.9, \"sell\":8.5, \"prime\":0, \"revL\":0, \"revS\":0, \"vcp\":2, \"dir_prob\":83, \"time\":1784208600000}", "ticker": "ITW", "setup": "Bullish Squeeze Release", "side": "LONG", "price": 282.89, "stage": 2, "buy": 53.9, "sell": 8.5, "prime": 0, "revL": 0, "revS": 0, "vcp": 2, "time": 1784208600000, "email_id": "b'1327'", "timestamp": "2026-07-16 16:01:20"}</t>
  </si>
  <si>
    <t>Buy: 11.7 | Sell: 86.7</t>
  </si>
  <si>
    <t>{"symbol": "KMB", "strategy": "Daily", "action": "LONG", "alert_price": 108.33, "score": "", "dir_prob": "97.7", "net_sigma": "", "grade": "", "align": "", "premium": "", "wrong_if": "", "context": "", "subject": "Alert: Rev - Screener v1 (SPY, 12): Any alert() function call", "body": "{\"ticker\":\"KMB\", \"setup\":\"A+ Trend Long\", \"side\":\"LONG\", \"price\":108.33, \"stage\":2, \"buy\":96.3, \"sell\":21.2, \"prime\":2, \"revL\":0, \"revS\":0, \"vcp\":0, \"dir_prob\":97.7, \"time\":1784295000000}", "ticker": "KMB", "setup": "A+ Trend Long", "side": "LONG", "price": 108.33, "stage": 2, "buy": 96.3, "sell": 21.2, "prime": 2, "revL": 0, "revS": 0, "vcp": 0, "time": 1784295000000, "email_id": "b'1456'", "timestamp": "2026-07-17 16:01:29"}</t>
  </si>
  <si>
    <t>Buy: 20.8 | Sell: 86.8</t>
  </si>
  <si>
    <t>{"symbol": "AKAM", "strategy": "Daily", "action": "SHORT", "alert_price": 118.83, "score": "", "dir_prob": "7.1", "net_sigma": "", "grade": "", "align": "", "premium": "", "wrong_if": "", "context": "", "subject": "Alert: Rev - Screener v1 (SPY, 12): Any alert() function call", "body": "{\"ticker\":\"AKAM\", \"setup\":\"A+ Trend Short\", \"side\":\"SHORT\", \"price\":118.83, \"stage\":4, \"buy\":11.7, \"sell\":86.7, \"prime\":-2, \"revL\":0, \"revS\":0, \"vcp\":0, \"dir_prob\":7.1, \"time\":1784208600000}", "ticker": "AKAM", "setup": "A+ Trend Short", "side": "SHORT", "price": 118.83, "stage": 4, "buy": 11.7, "sell": 86.7, "prime": -2, "revL": 0, "revS": 0, "vcp": 0, "time": 1784208600000, "email_id": "b'1328'", "timestamp": "2026-07-16 16:01:08"}</t>
  </si>
  <si>
    <t>{"symbol": "LVS", "strategy": "Daily", "action": "SHORT", "alert_price": 45.33, "score": "", "dir_prob": "18.7", "net_sigma": "", "grade": "", "align": "", "premium": "", "wrong_if": "", "context": "", "subject": "Alert: Rev - Screener v1 (SPY, 12): Any alert() function call", "body": "{\"ticker\":\"LVS\", \"setup\":\"A+ Trend Short\", \"side\":\"SHORT\", \"price\":45.33, \"stage\":4, \"buy\":20.8, \"sell\":86.8, \"prime\":-2, \"revL\":0, \"revS\":0, \"vcp\":0, \"dir_prob\":18.7, \"time\":1784295000000}", "ticker": "LVS", "setup": "A+ Trend Short", "side": "SHORT", "price": 45.33, "stage": 4, "buy": 20.8, "sell": 86.8, "prime": -2, "revL": 0, "revS": 0, "vcp": 0, "time": 1784295000000, "email_id": "b'1457'", "timestamp": "2026-07-17 16:01:36"}</t>
  </si>
  <si>
    <t>Buy: 92.6 | Sell: 39</t>
  </si>
  <si>
    <t>Buy: 16.5 | Sell: 89.1</t>
  </si>
  <si>
    <t>{"symbol": "WAT", "strategy": "Daily", "action": "LONG", "alert_price": 368.66, "score": "", "dir_prob": "86.9", "net_sigma": "", "grade": "", "align": "", "premium": "", "wrong_if": "", "context": "", "subject": "Alert: Rev - Screener v1 (SPY, 12): Any alert() function call", "body": "{\"ticker\":\"WAT\", \"setup\":\"A+ Trend Long\", \"side\":\"LONG\", \"price\":368.66, \"stage\":2, \"buy\":92.6, \"sell\":39, \"prime\":2, \"revL\":0, \"revS\":0, \"vcp\":1, \"dir_prob\":86.9, \"time\":1784295000000}", "ticker": "WAT", "setup": "A+ Trend Long", "side": "LONG", "price": 368.66, "stage": 2, "buy": 92.6, "sell": 39, "prime": 2, "revL": 0, "revS": 0, "vcp": 1, "time": 1784295000000, "email_id": "b'1458'", "timestamp": "2026-07-17 16:01:37"}</t>
  </si>
  <si>
    <t>Buy: 88.1 | Sell: 44.3</t>
  </si>
  <si>
    <t>{"symbol": "HAS", "strategy": "Daily", "action": "SHORT", "alert_price": 82.09, "score": "", "dir_prob": "12", "net_sigma": "", "grade": "", "align": "", "premium": "", "wrong_if": "", "context": "", "subject": "Alert: Rev - Screener v1 (SPY, 12): Any alert() function call", "body": "{\"ticker\":\"HAS\", \"setup\":\"A+ Trend Short\", \"side\":\"SHORT\", \"price\":82.09, \"stage\":4, \"buy\":16.5, \"sell\":89.1, \"prime\":-2, \"revL\":0, \"revS\":0, \"vcp\":0, \"dir_prob\":12, \"time\":1784208600000}", "ticker": "HAS", "setup": "A+ Trend Short", "side": "SHORT", "price": 82.09, "stage": 4, "buy": 16.5, "sell": 89.1, "prime": -2, "revL": 0, "revS": 0, "vcp": 0, "time": 1784208600000, "email_id": "b'1329'", "timestamp": "2026-07-16 16:01:29"}</t>
  </si>
  <si>
    <t>Buy: 97.9 | Sell: 3.5</t>
  </si>
  <si>
    <t>{"symbol": "MMM", "strategy": "Daily", "action": "LONG", "alert_price": 159.87, "score": "", "dir_prob": "81.8", "net_sigma": "", "grade": "", "align": "", "premium": "", "wrong_if": "", "context": "", "subject": "Alert: Rev - Screener v1 (SPY, 12): Any alert() function call", "body": "{\"ticker\":\"MMM\", \"setup\":\"A+ Trend Long\", \"side\":\"LONG\", \"price\":159.87, \"stage\":2, \"buy\":88.1, \"sell\":44.3, \"prime\":2, \"revL\":0, \"revS\":0, \"vcp\":0, \"dir_prob\":81.8, \"time\":1784295000000}", "ticker": "MMM", "setup": "A+ Trend Long", "side": "LONG", "price": 159.87, "stage": 2, "buy": 88.1, "sell": 44.3, "prime": 2, "revL": 0, "revS": 0, "vcp": 0, "time": 1784295000000, "email_id": "b'1459'", "timestamp": "2026-07-17 16:01:39"}</t>
  </si>
  <si>
    <t>Buy: 93 | Sell: 56.9</t>
  </si>
  <si>
    <t>{"symbol": "TRV", "strategy": "Daily", "action": "LONG", "alert_price": 337.92, "score": "", "dir_prob": "95.2", "net_sigma": "", "grade": "", "align": "", "premium": "", "wrong_if": "", "context": "", "subject": "Alert: Rev - Screener v1 (SPY, 12): Any alert() function call", "body": "{\"ticker\":\"TRV\", \"setup\":\"A+ Trend Long\", \"side\":\"LONG\", \"price\":337.92, \"stage\":2, \"buy\":97.9, \"sell\":3.5, \"prime\":2, \"revL\":0, \"revS\":0, \"vcp\":0, \"dir_prob\":95.2, \"time\":1784208600000}", "ticker": "TRV", "setup": "A+ Trend Long", "side": "LONG", "price": 337.92, "stage": 2, "buy": 97.9, "sell": 3.5, "prime": 2, "revL": 0, "revS": 0, "vcp": 0, "time": 1784208600000, "email_id": "b'1330'", "timestamp": "2026-07-16 16:01:22"}</t>
  </si>
  <si>
    <t>{"symbol": "EA", "strategy": "Daily", "action": "LONG", "alert_price": 208.9, "score": "", "dir_prob": "74", "net_sigma": "", "grade": "", "align": "", "premium": "", "wrong_if": "", "context": "", "subject": "Alert: Rev - Screener v1 (SPY, 12): Any alert() function call", "body": "{\"ticker\":\"EA\", \"setup\":\"Early Ignition\", \"side\":\"LONG\", \"price\":208.90, \"stage\":2, \"buy\":93, \"sell\":56.9, \"prime\":2, \"revL\":0, \"revS\":0, \"vcp\":0, \"dir_prob\":74, \"time\":1784295000000}", "ticker": "EA", "setup": "Early Ignition", "side": "LONG", "price": 208.9, "stage": 2, "buy": 93, "sell": 56.9, "prime": 2, "revL": 0, "revS": 0, "vcp": 0, "time": 1784295000000, "email_id": "b'1460'", "timestamp": "2026-07-17 16:01:18"}</t>
  </si>
  <si>
    <t>Buy: 89.8 | Sell: 25.8</t>
  </si>
  <si>
    <t>Buy: 94.5 | Sell: 10.3</t>
  </si>
  <si>
    <t>{"symbol": "ESS", "strategy": "Daily", "action": "LONG", "alert_price": 292.86, "score": "", "dir_prob": "95.6", "net_sigma": "", "grade": "", "align": "", "premium": "", "wrong_if": "", "context": "", "subject": "Alert: Rev - Screener v1 (SPY, 12): Any alert() function call", "body": "{\"ticker\":\"ESS\", \"setup\":\"A+ Trend Long\", \"side\":\"LONG\", \"price\":292.86, \"stage\":2, \"buy\":94.5, \"sell\":10.3, \"prime\":2, \"revL\":0, \"revS\":0, \"vcp\":0, \"dir_prob\":95.6, \"time\":1784295000000}", "ticker": "ESS", "setup": "A+ Trend Long", "side": "LONG", "price": 292.86, "stage": 2, "buy": 94.5, "sell": 10.3, "prime": 2, "revL": 0, "revS": 0, "vcp": 0, "time": 1784295000000, "email_id": "b'1461'", "timestamp": "2026-07-17 16:01:20"}</t>
  </si>
  <si>
    <t>{"symbol": "HUM", "strategy": "Daily", "action": "LONG", "alert_price": 386.58, "score": "", "dir_prob": "91.2", "net_sigma": "", "grade": "", "align": "", "premium": "", "wrong_if": "", "context": "", "subject": "Alert: Rev - Screener v1 (SPY, 12): Any alert() function call", "body": "{\"ticker\":\"HUM\", \"setup\":\"A+ Trend Long\", \"side\":\"LONG\", \"price\":386.58, \"stage\":2, \"buy\":89.8, \"sell\":25.8, \"prime\":2, \"revL\":0, \"revS\":0, \"vcp\":0, \"dir_prob\":91.2, \"time\":1784208600000}", "ticker": "HUM", "setup": "A+ Trend Long", "side": "LONG", "price": 386.58, "stage": 2, "buy": 89.8, "sell": 25.8, "prime": 2, "revL": 0, "revS": 0, "vcp": 0, "time": 1784208600000, "email_id": "b'1331'", "timestamp": "2026-07-16 16:01:26"}</t>
  </si>
  <si>
    <t>The setup is a TREND_LONG driven by a dominant Buy score of 90.51 and a 92.16% directional probability, supported by bullish headlines raising price targets. However, the trade is capped at WATCH due to significant technical exhaustion (0.40), an extended regime (1), and conflicting recent chart labels including 'TOP' and 'TRAP_BULL' that suggest a potential reversal or trap. Additionally, the stock is trading above its long entry zone with a Risk:Reward of only 1.17, indicating a chased entry with poor setup geometry.</t>
  </si>
  <si>
    <t>Buy: 11.7 | Sell: 90</t>
  </si>
  <si>
    <t>PM</t>
  </si>
  <si>
    <t>Buy: 55.5 | Sell: 49.3</t>
  </si>
  <si>
    <t>{"symbol": "FOX", "strategy": "Daily", "action": "SHORT", "alert_price": 51.63, "score": "", "dir_prob": "6.5", "net_sigma": "", "grade": "", "align": "", "premium": "", "wrong_if": "", "context": "", "subject": "Alert: Rev - Screener v1 (SPY, 12): Any alert() function call", "body": "{\"ticker\":\"FOX\", \"setup\":\"A+ Trend Short\", \"side\":\"SHORT\", \"price\":51.63, \"stage\":4, \"buy\":11.7, \"sell\":90, \"prime\":-2, \"revL\":0, \"revS\":0, \"vcp\":0, \"dir_prob\":6.5, \"time\":1784295000000}", "ticker": "FOX", "setup": "A+ Trend Short", "side": "SHORT", "price": 51.63, "stage": 4, "buy": 11.7, "sell": 90, "prime": -2, "revL": 0, "revS": 0, "vcp": 0, "time": 1784295000000, "email_id": "b'1462'", "timestamp": "2026-07-17 16:01:43"}</t>
  </si>
  <si>
    <t>Buy: 98.2 | Sell: 9.8</t>
  </si>
  <si>
    <t>{"symbol": "PM", "strategy": "Daily", "action": "LONG", "alert_price": 189.88, "score": "", "dir_prob": "64.3", "net_sigma": "", "grade": "", "align": "", "premium": "", "wrong_if": "", "context": "", "subject": "Alert: Rev - Screener v1 (SPY, 12): Any alert() function call", "body": "{\"ticker\":\"PM\", \"setup\":\"Bullish Squeeze Release\", \"side\":\"LONG\", \"price\":189.88, \"stage\":2, \"buy\":55.5, \"sell\":49.3, \"prime\":0, \"revL\":0, \"revS\":0, \"vcp\":2, \"dir_prob\":64.3, \"time\":1784208600000}", "ticker": "PM", "setup": "Bullish Squeeze Release", "side": "LONG", "price": 189.88, "stage": 2, "buy": 55.5, "sell": 49.3, "prime": 0, "revL": 0, "revS": 0, "vcp": 2, "time": 1784208600000, "email_id": "b'1332'", "timestamp": "2026-07-16 16:01:10"}</t>
  </si>
  <si>
    <t>Buy: 98.1 | Sell: 7.8</t>
  </si>
  <si>
    <t>{"symbol": "DASH", "strategy": "Daily", "action": "LONG", "alert_price": 184.07, "score": "", "dir_prob": "97.6", "net_sigma": "", "grade": "", "align": "", "premium": "", "wrong_if": "", "context": "", "subject": "Alert: Rev - Screener v1 (SPY, 12): Any alert() function call", "body": "{\"ticker\":\"DASH\", \"setup\":\"A+ Trend Long\", \"side\":\"LONG\", \"price\":184.07, \"stage\":2, \"buy\":98.2, \"sell\":9.8, \"prime\":2, \"revL\":0, \"revS\":0, \"vcp\":0, \"dir_prob\":97.6, \"time\":1784295000000}", "ticker": "DASH", "setup": "A+ Trend Long", "side": "LONG", "price": 184.07, "stage": 2, "buy": 98.2, "sell": 9.8, "prime": 2, "revL": 0, "revS": 0, "vcp": 0, "time": 1784295000000, "email_id": "b'1463'", "timestamp": "2026-07-17 16:01:43"}</t>
  </si>
  <si>
    <t>Buy: 95.9 | Sell: 7.8</t>
  </si>
  <si>
    <t>{"symbol": "DASH", "strategy": "Daily", "action": "LONG", "alert_price": 186.33, "score": "", "dir_prob": "97.8", "net_sigma": "", "grade": "", "align": "", "premium": "", "wrong_if": "", "context": "", "subject": "Alert: Rev - Screener v1 (SPY, 12): Any alert() function call", "body": "{\"ticker\":\"DASH\", \"setup\":\"A+ Trend Long\", \"side\":\"LONG\", \"price\":186.33, \"stage\":2, \"buy\":98.1, \"sell\":7.8, \"prime\":2, \"revL\":0, \"revS\":0, \"vcp\":0, \"dir_prob\":97.8, \"time\":1784208600000}", "ticker": "DASH", "setup": "A+ Trend Long", "side": "LONG", "price": 186.33, "stage": 2, "buy": 98.1, "sell": 7.8, "prime": 2, "revL": 0, "revS": 0, "vcp": 0, "time": 1784208600000, "email_id": "b'1333'", "timestamp": "2026-07-16 16:01:24"}</t>
  </si>
  <si>
    <t>Buy: 94.4 | Sell: 22.3</t>
  </si>
  <si>
    <t>{"symbol": "USB", "strategy": "Daily", "action": "LONG", "alert_price": 63.16, "score": "", "dir_prob": "92.5", "net_sigma": "", "grade": "", "align": "", "premium": "", "wrong_if": "", "context": "", "subject": "Alert: Rev - Screener v1 (SPY, 12): Any alert() function call", "body": "{\"ticker\":\"USB\", \"setup\":\"A+ Trend Long\", \"side\":\"LONG\", \"price\":63.16, \"stage\":2, \"buy\":95.9, \"sell\":7.8, \"prime\":2, \"revL\":0, \"revS\":0, \"vcp\":0, \"dir_prob\":92.5, \"time\":1784295000000}", "ticker": "USB", "setup": "A+ Trend Long", "side": "LONG", "price": 63.16, "stage": 2, "buy": 95.9, "sell": 7.8, "prime": 2, "revL": 0, "revS": 0, "vcp": 0, "time": 1784295000000, "email_id": "b'1464'", "timestamp": "2026-07-17 16:01:32"}</t>
  </si>
  <si>
    <t>Buy: 94.2 | Sell: 4.6</t>
  </si>
  <si>
    <t>{"symbol": "DVA", "strategy": "Daily", "action": "LONG", "alert_price": 234.09, "score": "", "dir_prob": "93.2", "net_sigma": "", "grade": "", "align": "", "premium": "", "wrong_if": "", "context": "", "subject": "Alert: Rev - Screener v1 (SPY, 12): Any alert() function call", "body": "{\"ticker\":\"DVA\", \"setup\":\"A+ Trend Long\", \"side\":\"LONG\", \"price\":234.09, \"stage\":2, \"buy\":94.4, \"sell\":22.3, \"prime\":2, \"revL\":0, \"revS\":0, \"vcp\":0, \"dir_prob\":93.2, \"time\":1784208600000}", "ticker": "DVA", "setup": "A+ Trend Long", "side": "LONG", "price": 234.09, "stage": 2, "buy": 94.4, "sell": 22.3, "prime": 2, "revL": 0, "revS": 0, "vcp": 0, "time": 1784208600000, "email_id": "b'1334'", "timestamp": "2026-07-16 16:01:42"}</t>
  </si>
  <si>
    <t>The setup is a strong TREND_LONG driven by a Buy score of 96.21, a 90.87% directional probability, and Stage 2 momentum, with the price currently inside the long entry zone. The news confirms the bullish bias as Truist raised the price target to $250, supporting the upside move toward the calculated target of $261.37. However, the triage is capped to WATCH due to the 'extended' flag (40.85% above MA200) and the 'earnings' flag (20 days remaining), which introduces near-term volatility risk despite the strong technicals.</t>
  </si>
  <si>
    <t>ISRG</t>
  </si>
  <si>
    <t>Buy: 69.1 | Sell: 88.7</t>
  </si>
  <si>
    <t>{"symbol": "MRNA", "strategy": "Daily", "action": "LONG", "alert_price": 61.79, "score": "", "dir_prob": "96.2", "net_sigma": "", "grade": "", "align": "", "premium": "", "wrong_if": "", "context": "", "subject": "Alert: Rev - Screener v1 (SPY, 12): Any alert() function call", "body": "{\"ticker\":\"MRNA\", \"setup\":\"A+ Trend Long\", \"side\":\"LONG\", \"price\":61.79, \"stage\":2, \"buy\":94.2, \"sell\":4.6, \"prime\":2, \"revL\":0, \"revS\":0, \"vcp\":0, \"dir_prob\":96.2, \"time\":1784295000000}", "ticker": "MRNA", "setup": "A+ Trend Long", "side": "LONG", "price": 61.79, "stage": 2, "buy": 94.2, "sell": 4.6, "prime": 2, "revL": 0, "revS": 0, "vcp": 0, "time": 1784295000000, "email_id": "b'1465'", "timestamp": "2026-07-17 16:01:42"}</t>
  </si>
  <si>
    <t>Buy: 94.1 | Sell: 9.5</t>
  </si>
  <si>
    <t>{"symbol": "ISRG", "strategy": "Daily", "action": "SHORT", "alert_price": 402.29, "score": "", "dir_prob": "58.2", "net_sigma": "", "grade": "", "align": "", "premium": "", "wrong_if": "", "context": "", "subject": "Alert: Rev - Screener v1 (SPY, 12): Any alert() function call", "body": "{\"ticker\":\"ISRG\", \"setup\":\"A+ Trend Short\", \"side\":\"SHORT\", \"price\":402.29, \"stage\":4, \"buy\":69.1, \"sell\":88.7, \"prime\":-2, \"revL\":0, \"revS\":0, \"vcp\":0, \"dir_prob\":58.2, \"time\":1784208600000}", "ticker": "ISRG", "setup": "A+ Trend Short", "side": "SHORT", "price": 402.29, "stage": 4, "buy": 69.1, "sell": 88.7, "prime": -2, "revL": 0, "revS": 0, "vcp": 0, "time": 1784208600000, "email_id": "b'1335'", "timestamp": "2026-07-16 16:01:30"}</t>
  </si>
  <si>
    <t>Buy: 91.5 | Sell: 5.6</t>
  </si>
  <si>
    <t>{"symbol": "AIZ", "strategy": "Daily", "action": "LONG", "alert_price": 276.81, "score": "", "dir_prob": "89.7", "net_sigma": "", "grade": "", "align": "", "premium": "", "wrong_if": "", "context": "", "subject": "Alert: Rev - Screener v1 (SPY, 12): Any alert() function call", "body": "{\"ticker\":\"AIZ\", \"setup\":\"A+ Trend Long\", \"side\":\"LONG\", \"price\":276.81, \"stage\":2, \"buy\":94.1, \"sell\":9.5, \"prime\":2, \"revL\":0, \"revS\":0, \"vcp\":0, \"dir_prob\":89.7, \"time\":1784295000000}", "ticker": "AIZ", "setup": "A+ Trend Long", "side": "LONG", "price": 276.81, "stage": 2, "buy": 94.1, "sell": 9.5, "prime": 2, "revL": 0, "revS": 0, "vcp": 0, "time": 1784295000000, "email_id": "b'1466'", "timestamp": "2026-07-17 16:01:33"}</t>
  </si>
  <si>
    <t>Buy: 97.4 | Sell: 8.5</t>
  </si>
  <si>
    <t>{"symbol": "AMCR", "strategy": "Daily", "action": "LONG", "alert_price": 44.84, "score": "", "dir_prob": "93.7", "net_sigma": "", "grade": "", "align": "", "premium": "", "wrong_if": "", "context": "", "subject": "Alert: Rev - Screener v1 (SPY, 12): Any alert() function call", "body": "{\"ticker\":\"AMCR\", \"setup\":\"A+ Trend Long\", \"side\":\"LONG\", \"price\":44.84, \"stage\":2, \"buy\":91.5, \"sell\":5.6, \"prime\":2, \"revL\":0, \"revS\":0, \"vcp\":0, \"dir_prob\":93.7, \"time\":1784208600000}", "ticker": "AMCR", "setup": "A+ Trend Long", "side": "LONG", "price": 44.84, "stage": 2, "buy": 91.5, "sell": 5.6, "prime": 2, "revL": 0, "revS": 0, "vcp": 0, "time": 1784208600000, "email_id": "b'1336'", "timestamp": "2026-07-16 16:01:31"}</t>
  </si>
  <si>
    <t>{"symbol": "L", "strategy": "Daily", "action": "LONG", "alert_price": 114.42, "score": "", "dir_prob": "92", "net_sigma": "", "grade": "", "align": "", "premium": "", "wrong_if": "", "context": "", "subject": "Alert: Rev - Screener v1 (SPY, 12): Any alert() function call", "body": "{\"ticker\":\"L\", \"setup\":\"A+ Trend Long\", \"side\":\"LONG\", \"price\":114.42, \"stage\":2, \"buy\":97.4, \"sell\":8.5, \"prime\":2, \"revL\":0, \"revS\":0, \"vcp\":0, \"dir_prob\":92, \"time\":1784295000000}", "ticker": "L", "setup": "A+ Trend Long", "side": "LONG", "price": 114.42, "stage": 2, "buy": 97.4, "sell": 8.5, "prime": 2, "revL": 0, "revS": 0, "vcp": 0, "time": 1784295000000, "email_id": "b'1467'", "timestamp": "2026-07-17 16:01:03"}</t>
  </si>
  <si>
    <t>Buy: 96.3 | Sell: 4.5</t>
  </si>
  <si>
    <t>{"symbol": "RTX", "strategy": "Daily", "action": "LONG", "alert_price": 193.5, "score": "", "dir_prob": "93.4", "net_sigma": "", "grade": "", "align": "", "premium": "", "wrong_if": "", "context": "", "subject": "Alert: Rev - Screener v1 (SPY, 12): Any alert() function call", "body": "{\"ticker\":\"RTX\", \"setup\":\"A+ Trend Long\", \"side\":\"LONG\", \"price\":193.50, \"stage\":2, \"buy\":96.3, \"sell\":4.5, \"prime\":2, \"revL\":0, \"revS\":0, \"vcp\":0, \"dir_prob\":93.4, \"time\":1784295000000}", "ticker": "RTX", "setup": "A+ Trend Long", "side": "LONG", "price": 193.5, "stage": 2, "buy": 96.3, "sell": 4.5, "prime": 2, "revL": 0, "revS": 0, "vcp": 0, "time": 1784295000000, "email_id": "b'1468'", "timestamp": "2026-07-17 16:01:26"}</t>
  </si>
  <si>
    <t>Buy: 96.4 | Sell: 14.4</t>
  </si>
  <si>
    <t>{"symbol": "FITB", "strategy": "Daily", "action": "LONG", "alert_price": 58.01, "score": "", "dir_prob": "90.4", "net_sigma": "", "grade": "", "align": "", "premium": "", "wrong_if": "", "context": "", "subject": "Alert: Rev - Screener v1 (SPY, 12): Any alert() function call", "body": "{\"ticker\":\"FITB\", \"setup\":\"A+ Trend Long\", \"side\":\"LONG\", \"price\":58.01, \"stage\":2, \"buy\":96.4, \"sell\":14.4, \"prime\":2, \"revL\":0, \"revS\":0, \"vcp\":0, \"dir_prob\":90.4, \"time\":1784295000000}", "ticker": "FITB", "setup": "A+ Trend Long", "side": "LONG", "price": 58.01, "stage": 2, "buy": 96.4, "sell": 14.4, "prime": 2, "revL": 0, "revS": 0, "vcp": 0, "time": 1784295000000, "email_id": "b'1469'", "timestamp": "2026-07-17 16:01:47"}</t>
  </si>
  <si>
    <t>Buy: 12.7 | Sell: 88</t>
  </si>
  <si>
    <t>{"symbol": "WRB", "strategy": "Daily", "action": "LONG", "alert_price": 69.89, "score": "", "dir_prob": "97.2", "net_sigma": "", "grade": "", "align": "", "premium": "", "wrong_if": "", "context": "", "subject": "Alert: Rev - Screener v1 (SPY, 12): Any alert() function call", "body": "{\"ticker\":\"WRB\", \"setup\":\"A+ Trend Long\", \"side\":\"LONG\", \"price\":69.89, \"stage\":2, \"buy\":96.7, \"sell\":4.6, \"prime\":2, \"revL\":0, \"revS\":0, \"vcp\":0, \"dir_prob\":97.2, \"time\":1784208600000}", "ticker": "WRB", "setup": "A+ Trend Long", "side": "LONG", "price": 69.89, "stage": 2, "buy": 96.7, "sell": 4.6, "prime": 2, "revL": 0, "revS": 0, "vcp": 0, "time": 1784208600000, "email_id": "b'1337'", "timestamp": "2026-07-16 16:01:31"}</t>
  </si>
  <si>
    <t>Buy: 89.5 | Sell: 32.4</t>
  </si>
  <si>
    <t>{"symbol": "ROST", "strategy": "Daily", "action": "SHORT", "alert_price": 233.46, "score": "", "dir_prob": "1.7", "net_sigma": "", "grade": "", "align": "", "premium": "", "wrong_if": "", "context": "", "subject": "Alert: Rev - Screener v1 (SPY, 12): Any alert() function call", "body": "{\"ticker\":\"ROST\", \"setup\":\"A+ Trend Short\", \"side\":\"SHORT\", \"price\":233.46, \"stage\":4, \"buy\":12.7, \"sell\":88, \"prime\":-2, \"revL\":0, \"revS\":0, \"vcp\":0, \"dir_prob\":1.7, \"time\":1784295000000}", "ticker": "ROST", "setup": "A+ Trend Short", "side": "SHORT", "price": 233.46, "stage": 4, "buy": 12.7, "sell": 88, "prime": -2, "revL": 0, "revS": 0, "vcp": 0, "time": 1784295000000, "email_id": "b'1470'", "timestamp": "2026-07-17 16:01:26"}</t>
  </si>
  <si>
    <t>PCG</t>
  </si>
  <si>
    <t>Buy: 85 | Sell: 37.8</t>
  </si>
  <si>
    <t>{"symbol": "LNT", "strategy": "Daily", "action": "LONG", "alert_price": 75.75, "score": "", "dir_prob": "82.2", "net_sigma": "", "grade": "", "align": "", "premium": "", "wrong_if": "", "context": "", "subject": "Alert: Rev - Screener v1 (SPY, 12): Any alert() function call", "body": "{\"ticker\":\"LNT\", \"setup\":\"A+ Trend Long\", \"side\":\"LONG\", \"price\":75.75, \"stage\":2, \"buy\":89.5, \"sell\":32.4, \"prime\":2, \"revL\":0, \"revS\":0, \"vcp\":0, \"dir_prob\":82.2, \"time\":1784208600000}", "ticker": "LNT", "setup": "A+ Trend Long", "side": "LONG", "price": 75.75, "stage": 2, "buy": 89.5, "sell": 32.4, "prime": 2, "revL": 0, "revS": 0, "vcp": 0, "time": 1784208600000, "email_id": "b'1339'", "timestamp": "2026-07-16 16:01:21"}</t>
  </si>
  <si>
    <t>The setup is a TREND_LONG driven by a dominant Buy score of 94.78, a Buy/Sell ratio of 2.75, and a high directional probability of 86.21 in Stage 2. The bullish news of a price target raise to $83 confirms the technical bias. However, the triage is capped to WATCH due to the 'earnings' flag (14 days out) and the R:R of 1.22, which is below the preferred 2.0 threshold for a clean trend entry.</t>
  </si>
  <si>
    <t>Buy: 15.6 | Sell: 86.7</t>
  </si>
  <si>
    <t>{"symbol": "PCG", "strategy": "Daily", "action": "LONG", "alert_price": 17.32, "score": "", "dir_prob": "83.2", "net_sigma": "", "grade": "", "align": "", "premium": "", "wrong_if": "", "context": "", "subject": "Alert: Rev - Screener v1 (SPY, 12): Any alert() function call", "body": "{\"ticker\":\"PCG\", \"setup\":\"A+ Trend Long\", \"side\":\"LONG\", \"price\":17.32, \"stage\":2, \"buy\":85, \"sell\":37.8, \"prime\":2, \"revL\":0, \"revS\":0, \"vcp\":0, \"dir_prob\":83.2, \"time\":1784295000000}", "ticker": "PCG", "setup": "A+ Trend Long", "side": "LONG", "price": 17.32, "stage": 2, "buy": 85, "sell": 37.8, "prime": 2, "revL": 0, "revS": 0, "vcp": 0, "time": 1784295000000, "email_id": "b'1471'", "timestamp": "2026-07-17 16:01:47"}</t>
  </si>
  <si>
    <t>Buy: 38.1 | Sell: 88.2</t>
  </si>
  <si>
    <t>{"symbol": "URI", "strategy": "Daily", "action": "SHORT", "alert_price": 1045.0, "score": "", "dir_prob": "16.7", "net_sigma": "", "grade": "", "align": "", "premium": "", "wrong_if": "", "context": "", "subject": "Alert: Rev - Screener v1 (SPY, 12): Any alert() function call", "body": "{\"ticker\":\"URI\", \"setup\":\"A+ Trend Short\", \"side\":\"SHORT\", \"price\":1045.00, \"stage\":4, \"buy\":38.1, \"sell\":88.2, \"prime\":-2, \"revL\":0, \"revS\":0, \"vcp\":0, \"dir_prob\":16.7, \"time\":1784295000000}", "ticker": "URI", "setup": "A+ Trend Short", "side": "SHORT", "price": 1045.0, "stage": 4, "buy": 38.1, "sell": 88.2, "prime": -2, "revL": 0, "revS": 0, "vcp": 0, "time": 1784295000000, "email_id": "b'1472'", "timestamp": "2026-07-17 16:01:18"}</t>
  </si>
  <si>
    <t>{"symbol": "Q", "strategy": "Daily", "action": "SHORT", "alert_price": 135.47, "score": "", "dir_prob": "50", "net_sigma": "", "grade": "", "align": "", "premium": "", "wrong_if": "", "context": "", "subject": "Alert: Rev - Screener v1 (SPY, 12): Any alert() function call", "body": "{\"ticker\":\"Q\", \"setup\":\"A+ Trend Short\", \"side\":\"SHORT\", \"price\":135.47, \"stage\":4, \"buy\":15.6, \"sell\":86.7, \"prime\":-2, \"revL\":0, \"revS\":0, \"vcp\":0, \"dir_prob\":50, \"time\":1784208600000}", "ticker": "Q", "setup": "A+ Trend Short", "side": "SHORT", "price": 135.47, "stage": 4, "buy": 15.6, "sell": 86.7, "prime": -2, "revL": 0, "revS": 0, "vcp": 0, "time": 1784208600000, "email_id": "b'1338'", "timestamp": "2026-07-16 16:01:42"}</t>
  </si>
  <si>
    <t>Buy: 92.8 | Sell: 6.2</t>
  </si>
  <si>
    <t>CSGP</t>
  </si>
  <si>
    <t>Buy: 25.5 | Sell: 86.1</t>
  </si>
  <si>
    <t>{"symbol": "PANW", "strategy": "Daily", "action": "LONG", "alert_price": 358.59, "score": "", "dir_prob": "93.7", "net_sigma": "", "grade": "", "align": "", "premium": "", "wrong_if": "", "context": "", "subject": "Alert: Rev - Screener v1 (SPY, 12): Any alert() function call", "body": "{\"ticker\":\"PANW\", \"setup\":\"A+ Trend Long\", \"side\":\"LONG\", \"price\":358.59, \"stage\":2, \"buy\":92.8, \"sell\":6.2, \"prime\":2, \"revL\":0, \"revS\":0, \"vcp\":0, \"dir_prob\":93.7, \"time\":1784295000000}", "ticker": "PANW", "setup": "A+ Trend Long", "side": "LONG", "price": 358.59, "stage": 2, "buy": 92.8, "sell": 6.2, "prime": 2, "revL": 0, "revS": 0, "vcp": 0, "time": 1784295000000, "email_id": "b'1473'", "timestamp": "2026-07-17 16:01:30"}</t>
  </si>
  <si>
    <t>Buy: 96.6 | Sell: 6.3</t>
  </si>
  <si>
    <t>{"symbol": "CSGP", "strategy": "Daily", "action": "SHORT", "alert_price": 30.37, "score": "", "dir_prob": "14.3", "net_sigma": "", "grade": "", "align": "", "premium": "", "wrong_if": "", "context": "", "subject": "Alert: Rev - Screener v1 (SPY, 12): Any alert() function call", "body": "{\"ticker\":\"CSGP\", \"setup\":\"A+ Trend Short\", \"side\":\"SHORT\", \"price\":30.37, \"stage\":4, \"buy\":25.5, \"sell\":86.1, \"prime\":-2, \"revL\":0, \"revS\":0, \"vcp\":1, \"dir_prob\":14.3, \"time\":1784208600000}", "ticker": "CSGP", "setup": "A+ Trend Short", "side": "SHORT", "price": 30.37, "stage": 4, "buy": 25.5, "sell": 86.1, "prime": -2, "revL": 0, "revS": 0, "vcp": 1, "time": 1784208600000, "email_id": "b'1340'", "timestamp": "2026-07-16 16:01:16"}</t>
  </si>
  <si>
    <t>Buy: 95.9 | Sell: 5.7</t>
  </si>
  <si>
    <t>{"symbol": "BALL", "strategy": "Daily", "action": "LONG", "alert_price": 62.69, "score": "", "dir_prob": "96.8", "net_sigma": "", "grade": "", "align": "", "premium": "", "wrong_if": "", "context": "", "subject": "Alert: Rev - Screener v1 (SPY, 12): Any alert() function call", "body": "{\"ticker\":\"BALL\", \"setup\":\"A+ Trend Long\", \"side\":\"LONG\", \"price\":62.69, \"stage\":2, \"buy\":96.6, \"sell\":6.3, \"prime\":2, \"revL\":0, \"revS\":0, \"vcp\":0, \"dir_prob\":96.8, \"time\":1784295000000}", "ticker": "BALL", "setup": "A+ Trend Long", "side": "LONG", "price": 62.69, "stage": 2, "buy": 96.6, "sell": 6.3, "prime": 2, "revL": 0, "revS": 0, "vcp": 0, "time": 1784295000000, "email_id": "b'1474'", "timestamp": "2026-07-17 16:01:23"}</t>
  </si>
  <si>
    <t>Buy: 23.9 | Sell: 88.5</t>
  </si>
  <si>
    <t>{"symbol": "Q", "strategy": "Daily", "action": "SHORT", "alert_price": 136.31, "score": "", "dir_prob": "50", "net_sigma": "", "grade": "", "align": "", "premium": "", "wrong_if": "", "context": "", "subject": "Alert: Rev - Screener v1 (SPY, 12): Any alert() function call", "body": "{\"ticker\":\"Q\", \"setup\":\"A+ Trend Short\", \"side\":\"SHORT\", \"price\":136.31, \"stage\":4, \"buy\":23.9, \"sell\":88.5, \"prime\":-2, \"revL\":0, \"revS\":0, \"vcp\":0, \"dir_prob\":50, \"time\":1784295000000}", "ticker": "Q", "setup": "A+ Trend Short", "side": "SHORT", "price": 136.31, "stage": 4, "buy": 23.9, "sell": 88.5, "prime": -2, "revL": 0, "revS": 0, "vcp": 0, "time": 1784295000000, "email_id": "b'1475'", "timestamp": "2026-07-17 16:01:37"}</t>
  </si>
  <si>
    <t>Buy: 96.4 | Sell: 6.9</t>
  </si>
  <si>
    <t>{"symbol": "PNC", "strategy": "Daily", "action": "LONG", "alert_price": 255.14, "score": "", "dir_prob": "93.8", "net_sigma": "", "grade": "", "align": "", "premium": "", "wrong_if": "", "context": "", "subject": "Alert: Rev - Screener v1 (SPY, 12): Any alert() function call", "body": "{\"ticker\":\"PNC\", \"setup\":\"A+ Trend Long\", \"side\":\"LONG\", \"price\":255.14, \"stage\":2, \"buy\":95.9, \"sell\":5.7, \"prime\":2, \"revL\":0, \"revS\":0, \"vcp\":0, \"dir_prob\":93.8, \"time\":1784208600000}", "ticker": "PNC", "setup": "A+ Trend Long", "side": "LONG", "price": 255.14, "stage": 2, "buy": 95.9, "sell": 5.7, "prime": 2, "revL": 0, "revS": 0, "vcp": 0, "time": 1784208600000, "email_id": "b'1341'", "timestamp": "2026-07-16 16:01:37"}</t>
  </si>
  <si>
    <t>Buy: 77.1 | Sell: 27.3</t>
  </si>
  <si>
    <t>{"symbol": "ED", "strategy": "Daily", "action": "LONG", "alert_price": 112.37, "score": "", "dir_prob": "95.4", "net_sigma": "", "grade": "", "align": "", "premium": "", "wrong_if": "", "context": "", "subject": "Alert: Rev - Screener v1 (SPY, 12): Any alert() function call", "body": "{\"ticker\":\"ED\", \"setup\":\"A+ Trend Long\", \"side\":\"LONG\", \"price\":112.37, \"stage\":2, \"buy\":96.4, \"sell\":6.9, \"prime\":2, \"revL\":0, \"revS\":0, \"vcp\":0, \"dir_prob\":95.4, \"time\":1784295000000}", "ticker": "ED", "setup": "A+ Trend Long", "side": "LONG", "price": 112.37, "stage": 2, "buy": 96.4, "sell": 6.9, "prime": 2, "revL": 0, "revS": 0, "vcp": 0, "time": 1784295000000, "email_id": "b'1476'", "timestamp": "2026-07-17 16:01:13"}</t>
  </si>
  <si>
    <t>RJF</t>
  </si>
  <si>
    <t>Buy: 71.3 | Sell: 19.8</t>
  </si>
  <si>
    <t>{"symbol": "STT", "strategy": "Daily", "action": "LONG", "alert_price": 185.64, "score": "", "dir_prob": "78.4", "net_sigma": "", "grade": "", "align": "", "premium": "", "wrong_if": "", "context": "", "subject": "Alert: Rev - Screener v1 (SPY, 12): Any alert() function call", "body": "{\"ticker\":\"STT\", \"setup\":\"Early Action Long\", \"side\":\"LONG\", \"price\":185.64, \"stage\":2, \"buy\":77.1, \"sell\":27.3, \"prime\":1, \"revL\":0, \"revS\":0, \"vcp\":0, \"dir_prob\":78.4, \"time\":1784208600000}", "ticker": "STT", "setup": "Early Action Long", "side": "LONG", "price": 185.64, "stage": 2, "buy": 77.1, "sell": 27.3, "prime": 1, "revL": 0, "revS": 0, "vcp": 0, "time": 1784208600000, "email_id": "b'1342'", "timestamp": "2026-07-16 16:01:43"}</t>
  </si>
  <si>
    <t>The technicals show a long bias with a Buy score of 70.56 and Dir Prob of 65.17, but no specific entry mode fires (Buy &lt; 65 for trend, Rev Zone &lt; 4). The stock is in Stage 2 (up) with Regime 1 (extended) and 33.72% extension, triggering 'extended' and 'exhaustion' flags. Crucially, fresh 'TOP' and 'RSI_CASCADE' warnings fired today, indicating distribution or exhaustion at highs. The news confirms a strong earnings beat, but the 'earnings_gate' is 'FAIL' due to the imminent date (0 days), and the technical exhaustion overrides the fundamental catalyst. The 'churn' flag arises because the opposite score (26.61) is relatively low but the dominant score is not high enough for a clean trend pass amidst the exhaustion signals.</t>
  </si>
  <si>
    <t>{"symbol": "RJF", "strategy": "Daily", "action": "LONG", "alert_price": 168.39, "score": "", "dir_prob": "84.9", "net_sigma": "", "grade": "", "align": "", "premium": "", "wrong_if": "", "context": "", "subject": "Alert: Rev - Screener v1 (SPY, 12): Any alert() function call", "body": "{\"ticker\":\"RJF\", \"setup\":\"Early Action Long\", \"side\":\"LONG\", \"price\":168.39, \"stage\":2, \"buy\":71.3, \"sell\":19.8, \"prime\":1, \"revL\":0, \"revS\":0, \"vcp\":0, \"dir_prob\":84.9, \"time\":1784295000000}", "ticker": "RJF", "setup": "Early Action Long", "side": "LONG", "price": 168.39, "stage": 2, "buy": 71.3, "sell": 19.8, "prime": 1, "revL": 0, "revS": 0, "vcp": 0, "time": 1784295000000, "email_id": "b'1477'", "timestamp": "2026-07-17 16:01:30"}</t>
  </si>
  <si>
    <t>Buy: 21.4 | Sell: 85.4</t>
  </si>
  <si>
    <t>{"symbol": "ECHO", "strategy": "Daily", "action": "SHORT", "alert_price": 91.97, "score": "", "dir_prob": "13.3", "net_sigma": "", "grade": "", "align": "", "premium": "", "wrong_if": "", "context": "", "subject": "Alert: Rev - Screener v1 (SPY, 12): Any alert() function call", "body": "{\"ticker\":\"ECHO\", \"setup\":\"A+ Trend Short\", \"side\":\"SHORT\", \"price\":91.97, \"stage\":4, \"buy\":21.4, \"sell\":85.4, \"prime\":-2, \"revL\":0, \"revS\":0, \"vcp\":1, \"dir_prob\":13.3, \"time\":1784295000000}", "ticker": "ECHO", "setup": "A+ Trend Short", "side": "SHORT", "price": 91.97, "stage": 4, "buy": 21.4, "sell": 85.4, "prime": -2, "revL": 0, "revS": 0, "vcp": 1, "time": 1784295000000, "email_id": "b'1478'", "timestamp": "2026-07-17 16:01:26"}</t>
  </si>
  <si>
    <t>Buy: 95.7 | Sell: 19.9</t>
  </si>
  <si>
    <t>{"symbol": "IR", "strategy": "Daily", "action": "LONG", "alert_price": 82.24, "score": "", "dir_prob": "94.4", "net_sigma": "", "grade": "", "align": "", "premium": "", "wrong_if": "", "context": "", "subject": "Alert: Rev - Screener v1 (SPY, 12): Any alert() function call", "body": "{\"ticker\":\"IR\", \"setup\":\"A+ Trend Long\", \"side\":\"LONG\", \"price\":82.24, \"stage\":2, \"buy\":95.7, \"sell\":19.9, \"prime\":2, \"revL\":0, \"revS\":0, \"vcp\":0, \"dir_prob\":94.4, \"time\":1784295000000}", "ticker": "IR", "setup": "A+ Trend Long", "side": "LONG", "price": 82.24, "stage": 2, "buy": 95.7, "sell": 19.9, "prime": 2, "revL": 0, "revS": 0, "vcp": 0, "time": 1784295000000, "email_id": "b'1479'", "timestamp": "2026-07-17 16:01:09"}</t>
  </si>
  <si>
    <t>Buy: 92.9 | Sell: 11</t>
  </si>
  <si>
    <t>{"symbol": "PHM", "strategy": "Daily", "action": "LONG", "alert_price": 126.08, "score": "", "dir_prob": "93.4", "net_sigma": "", "grade": "", "align": "", "premium": "", "wrong_if": "", "context": "", "subject": "Alert: Rev - Screener v1 (SPY, 12): Any alert() function call", "body": "{\"ticker\":\"PHM\", \"setup\":\"A+ Trend Long\", \"side\":\"LONG\", \"price\":126.08, \"stage\":2, \"buy\":92.9, \"sell\":11, \"prime\":2, \"revL\":0, \"revS\":0, \"vcp\":0, \"dir_prob\":93.4, \"time\":1784295000000}", "ticker": "PHM", "setup": "A+ Trend Long", "side": "LONG", "price": 126.08, "stage": 2, "buy": 92.9, "sell": 11, "prime": 2, "revL": 0, "revS": 0, "vcp": 0, "time": 1784295000000, "email_id": "b'1480'", "timestamp": "2026-07-17 16:01:44"}</t>
  </si>
  <si>
    <t>Buy: 22.4 | Sell: 85.5</t>
  </si>
  <si>
    <t>{"symbol": "PFE", "strategy": "Daily", "action": "SHORT", "alert_price": 25.05, "score": "", "dir_prob": "12.9", "net_sigma": "", "grade": "", "align": "", "premium": "", "wrong_if": "", "context": "", "subject": "Alert: Rev - Screener v1 (SPY, 12): Any alert() function call", "body": "{\"ticker\":\"PFE\", \"setup\":\"A+ Trend Short\", \"side\":\"SHORT\", \"price\":25.05, \"stage\":4, \"buy\":22.4, \"sell\":85.5, \"prime\":-2, \"revL\":0, \"revS\":0, \"vcp\":0, \"dir_prob\":12.9, \"time\":1784295000000}", "ticker": "PFE", "setup": "A+ Trend Short", "side": "SHORT", "price": 25.05, "stage": 4, "buy": 22.4, "sell": 85.5, "prime": -2, "revL": 0, "revS": 0, "vcp": 0, "time": 1784295000000, "email_id": "b'1481'", "timestamp": "2026-07-17 16:01:42"}</t>
  </si>
  <si>
    <t>{"symbol": "T", "strategy": "Daily", "action": "SHORT", "alert_price": 21.8, "score": "", "dir_prob": "21.9", "net_sigma": "", "grade": "", "align": "", "premium": "", "wrong_if": "", "context": "", "subject": "Alert: Rev - Screener v1 (SPY, 12): Any alert() function call", "body": "{\"ticker\":\"T\", \"setup\":\"A+ Trend Short\", \"side\":\"SHORT\", \"price\":21.80, \"stage\":4, \"buy\":27.7, \"sell\":89, \"prime\":-2, \"revL\":0, \"revS\":0, \"vcp\":0, \"dir_prob\":21.9, \"time\":1784295000000}", "ticker": "T", "setup": "A+ Trend Short", "side": "SHORT", "price": 21.8, "stage": 4, "buy": 27.7, "sell": 89, "prime": -2, "revL": 0, "revS": 0, "vcp": 0, "time": 1784295000000, "email_id": "b'1482'", "timestamp": "2026-07-17 16:01:12"}</t>
  </si>
  <si>
    <t>Buy: 95 | Sell: 18.1</t>
  </si>
  <si>
    <t>{"symbol": "VRTX", "strategy": "Daily", "action": "LONG", "alert_price": 485.65, "score": "", "dir_prob": "90.4", "net_sigma": "", "grade": "", "align": "", "premium": "", "wrong_if": "", "context": "", "subject": "Alert: Rev - Screener v1 (SPY, 12): Any alert() function call", "body": "{\"ticker\":\"VRTX\", \"setup\":\"A+ Trend Long\", \"side\":\"LONG\", \"price\":485.65, \"stage\":2, \"buy\":95, \"sell\":18.1, \"prime\":2, \"revL\":0, \"revS\":0, \"vcp\":0, \"dir_prob\":90.4, \"time\":1784295000000}", "ticker": "VRTX", "setup": "A+ Trend Long", "side": "LONG", "price": 485.65, "stage": 2, "buy": 95, "sell": 18.1, "prime": 2, "revL": 0, "revS": 0, "vcp": 0, "time": 1784295000000, "email_id": "b'1483'", "timestamp": "2026-07-17 16:01:23"}</t>
  </si>
  <si>
    <t>TREND_LONG fires with buy=93.92 &gt;&gt; 65, dir_prob=91.76, and stage=2. News is NEUTRAL (no direct catalyst). Triage capped to WATCH due to earnings_gate=PASS (16 days out) and 'churn' risk from opposite_score=25.89 being non-negligible relative to the extreme buy score, plus the 'TOP' warning in recency.</t>
  </si>
  <si>
    <t>Buy: 87 | Sell: 8.3</t>
  </si>
  <si>
    <t>{"symbol": "COR", "strategy": "Daily", "action": "LONG", "alert_price": 307.95, "score": "", "dir_prob": "95.9", "net_sigma": "", "grade": "", "align": "", "premium": "", "wrong_if": "", "context": "", "subject": "Alert: Rev - Screener v1 (SPY, 12): Any alert() function call", "body": "{\"ticker\":\"COR\", \"setup\":\"A+ Trend Long\", \"side\":\"LONG\", \"price\":307.95, \"stage\":2, \"buy\":87, \"sell\":8.3, \"prime\":2, \"revL\":0, \"revS\":0, \"vcp\":0, \"dir_prob\":95.9, \"time\":1784295000000}", "ticker": "COR", "setup": "A+ Trend Long", "side": "LONG", "price": 307.95, "stage": 2, "buy": 87, "sell": 8.3, "prime": 2, "revL": 0, "revS": 0, "vcp": 0, "time": 1784295000000, "email_id": "b'1484'", "timestamp": "2026-07-17 16:01:28"}</t>
  </si>
  <si>
    <t>Buy: 90.1 | Sell: 35.9</t>
  </si>
  <si>
    <t>{"symbol": "PCAR", "strategy": "Daily", "action": "LONG", "alert_price": 126.13, "score": "", "dir_prob": "85.3", "net_sigma": "", "grade": "", "align": "", "premium": "", "wrong_if": "", "context": "", "subject": "Alert: Rev - Screener v1 (SPY, 12): Any alert() function call", "body": "{\"ticker\":\"PCAR\", \"setup\":\"A+ Trend Long\", \"side\":\"LONG\", \"price\":126.13, \"stage\":2, \"buy\":90.1, \"sell\":35.9, \"prime\":2, \"revL\":0, \"revS\":0, \"vcp\":0, \"dir_prob\":85.3, \"time\":1784295000000}", "ticker": "PCAR", "setup": "A+ Trend Long", "side": "LONG", "price": 126.13, "stage": 2, "buy": 90.1, "sell": 35.9, "prime": 2, "revL": 0, "revS": 0, "vcp": 0, "time": 1784295000000, "email_id": "b'1485'", "timestamp": "2026-07-17 16:01:47"}</t>
  </si>
  <si>
    <t>Buy: 84.2 | Sell: 30.8</t>
  </si>
  <si>
    <t>{"symbol": "CINF", "strategy": "Daily", "action": "LONG", "alert_price": 180.76, "score": "", "dir_prob": "84.7", "net_sigma": "", "grade": "", "align": "", "premium": "", "wrong_if": "", "context": "", "subject": "Alert: Rev - Screener v1 (SPY, 12): Any alert() function call", "body": "{\"ticker\":\"CINF\", \"setup\":\"Early Action Long\", \"side\":\"LONG\", \"price\":180.76, \"stage\":2, \"buy\":84.2, \"sell\":30.8, \"prime\":1, \"revL\":0, \"revS\":0, \"vcp\":0, \"dir_prob\":84.7, \"time\":1784295000000}", "ticker": "CINF", "setup": "Early Action Long", "side": "LONG", "price": 180.76, "stage": 2, "buy": 84.2, "sell": 30.8, "prime": 1, "revL": 0, "revS": 0, "vcp": 0, "time": 1784295000000, "email_id": "b'1486'", "timestamp": "2026-07-17 16:01:28"}</t>
  </si>
  <si>
    <t>Buy: 97.2 | Sell: 10.8</t>
  </si>
  <si>
    <t>{"symbol": "GPC", "strategy": "Daily", "action": "LONG", "alert_price": 124.94, "score": "", "dir_prob": "95.9", "net_sigma": "", "grade": "", "align": "", "premium": "", "wrong_if": "", "context": "", "subject": "Alert: Rev - Screener v1 (SPY, 12): Any alert() function call", "body": "{\"ticker\":\"GPC\", \"setup\":\"A+ Trend Long\", \"side\":\"LONG\", \"price\":124.94, \"stage\":2, \"buy\":97.2, \"sell\":10.8, \"prime\":2, \"revL\":0, \"revS\":0, \"vcp\":0, \"dir_prob\":95.9, \"time\":1784295000000}", "ticker": "GPC", "setup": "A+ Trend Long", "side": "LONG", "price": 124.94, "stage": 2, "buy": 97.2, "sell": 10.8, "prime": 2, "revL": 0, "revS": 0, "vcp": 0, "time": 1784295000000, "email_id": "b'1487'", "timestamp": "2026-07-17 16:01:00"}</t>
  </si>
  <si>
    <t>Buy: 95.3 | Sell: 7.8</t>
  </si>
  <si>
    <t>{"symbol": "GD", "strategy": "Daily", "action": "LONG", "alert_price": 368.52, "score": "", "dir_prob": "96.1", "net_sigma": "", "grade": "", "align": "", "premium": "", "wrong_if": "", "context": "", "subject": "Alert: Rev - Screener v1 (SPY, 12): Any alert() function call", "body": "{\"ticker\":\"GD\", \"setup\":\"A+ Trend Long\", \"side\":\"LONG\", \"price\":368.52, \"stage\":2, \"buy\":95.3, \"sell\":7.8, \"prime\":2, \"revL\":0, \"revS\":0, \"vcp\":0, \"dir_prob\":96.1, \"time\":1784295000000}", "ticker": "GD", "setup": "A+ Trend Long", "side": "LONG", "price": 368.52, "stage": 2, "buy": 95.3, "sell": 7.8, "prime": 2, "revL": 0, "revS": 0, "vcp": 0, "time": 1784295000000, "email_id": "b'1488'", "timestamp": "2026-07-17 16:01:31"}</t>
  </si>
  <si>
    <t>Buy: 82.3 | Sell: 7</t>
  </si>
  <si>
    <t>{"symbol": "AWK", "strategy": "Daily", "action": "LONG", "alert_price": 135.11, "score": "", "dir_prob": "96.8", "net_sigma": "", "grade": "", "align": "", "premium": "", "wrong_if": "", "context": "", "subject": "Alert: Rev - Screener v1 (SPY, 12): Any alert() function call", "body": "{\"ticker\":\"AWK\", \"setup\":\"Early Action Long\", \"side\":\"LONG\", \"price\":135.11, \"stage\":2, \"buy\":82.3, \"sell\":7, \"prime\":1, \"revL\":0, \"revS\":0, \"vcp\":0, \"dir_prob\":96.8, \"time\":1784295000000}", "ticker": "AWK", "setup": "Early Action Long", "side": "LONG", "price": 135.11, "stage": 2, "buy": 82.3, "sell": 7, "prime": 1, "revL": 0, "revS": 0, "vcp": 0, "time": 1784295000000, "email_id": "b'1489'", "timestamp": "2026-07-17 16:01:15"}</t>
  </si>
  <si>
    <t>Buy: 93.4 | Sell: 11.5</t>
  </si>
  <si>
    <t>{"symbol": "CRWD", "strategy": "Daily", "action": "LONG", "alert_price": 203.12, "score": "", "dir_prob": "94.6", "net_sigma": "", "grade": "", "align": "", "premium": "", "wrong_if": "", "context": "", "subject": "Alert: Rev - Screener v1 (SPY, 12): Any alert() function call", "body": "{\"ticker\":\"CRWD\", \"setup\":\"A+ Trend Long\", \"side\":\"LONG\", \"price\":203.12, \"stage\":2, \"buy\":93.4, \"sell\":11.5, \"prime\":2, \"revL\":0, \"revS\":0, \"vcp\":0, \"dir_prob\":94.6, \"time\":1784295000000}", "ticker": "CRWD", "setup": "A+ Trend Long", "side": "LONG", "price": 203.12, "stage": 2, "buy": 93.4, "sell": 11.5, "prime": 2, "revL": 0, "revS": 0, "vcp": 0, "time": 1784295000000, "email_id": "b'1490'", "timestamp": "2026-07-17 16:01:16"}</t>
  </si>
  <si>
    <t>Buy: 6.5 | Sell: 89.5</t>
  </si>
  <si>
    <t>{"symbol": "FCX", "strategy": "Daily", "action": "SHORT", "alert_price": 58.38, "score": "", "dir_prob": "9.5", "net_sigma": "", "grade": "", "align": "", "premium": "", "wrong_if": "", "context": "", "subject": "Alert: Rev - Screener v1 (SPY, 12): Any alert() function call", "body": "{\"ticker\":\"FCX\", \"setup\":\"A+ Trend Short\", \"side\":\"SHORT\", \"price\":58.38, \"stage\":4, \"buy\":6.5, \"sell\":89.5, \"prime\":-2, \"revL\":0, \"revS\":0, \"vcp\":0, \"dir_prob\":9.5, \"time\":1784295000000}", "ticker": "FCX", "setup": "A+ Trend Short", "side": "SHORT", "price": 58.38, "stage": 4, "buy": 6.5, "sell": 89.5, "prime": -2, "revL": 0, "revS": 0, "vcp": 0, "time": 1784295000000, "email_id": "b'1491'", "timestamp": "2026-07-17 16:01:07"}</t>
  </si>
  <si>
    <t>Technical setup shows a short bias with sell=77.89 &gt; buy=55.62 and dir_prob=19.06, but no active entry mode fires (buy &lt; 65, no ignition, rev_zone_s=0). News CONTRADICTS the short bias with a bullish analyst upgrade and target raise. Earnings gate is CAUTION (5 days out) and the short R:R is poor (0.35). Triage capped at WATCH due to news contradiction and earnings proximity.</t>
  </si>
  <si>
    <t>Buy: 86 | Sell: 19.3</t>
  </si>
  <si>
    <t>{"symbol": "IVZ", "strategy": "Daily", "action": "LONG", "alert_price": 29.62, "score": "", "dir_prob": "86.3", "net_sigma": "", "grade": "", "align": "", "premium": "", "wrong_if": "", "context": "", "subject": "Alert: Rev - Screener v1 (SPY, 12): Any alert() function call", "body": "{\"ticker\":\"IVZ\", \"setup\":\"A+ Trend Long\", \"side\":\"LONG\", \"price\":29.62, \"stage\":2, \"buy\":86, \"sell\":19.3, \"prime\":2, \"revL\":0, \"revS\":0, \"vcp\":0, \"dir_prob\":86.3, \"time\":1784295000000}", "ticker": "IVZ", "setup": "A+ Trend Long", "side": "LONG", "price": 29.62, "stage": 2, "buy": 86, "sell": 19.3, "prime": 2, "revL": 0, "revS": 0, "vcp": 0, "time": 1784295000000, "email_id": "b'1492'", "timestamp": "2026-07-17 16:01:47"}</t>
  </si>
  <si>
    <t>Buy: 96.2 | Sell: 22.6</t>
  </si>
  <si>
    <t>{"symbol": "KVUE", "strategy": "Daily", "action": "LONG", "alert_price": 18.98, "score": "", "dir_prob": "92.1", "net_sigma": "", "grade": "", "align": "", "premium": "", "wrong_if": "", "context": "", "subject": "Alert: Rev - Screener v1 (SPY, 12): Any alert() function call", "body": "{\"ticker\":\"KVUE\", \"setup\":\"A+ Trend Long\", \"side\":\"LONG\", \"price\":18.98, \"stage\":2, \"buy\":96.2, \"sell\":22.6, \"prime\":2, \"revL\":0, \"revS\":0, \"vcp\":0, \"dir_prob\":92.1, \"time\":1784295000000}", "ticker": "KVUE", "setup": "A+ Trend Long", "side": "LONG", "price": 18.98, "stage": 2, "buy": 96.2, "sell": 22.6, "prime": 2, "revL": 0, "revS": 0, "vcp": 0, "time": 1784295000000, "email_id": "b'1493'", "timestamp": "2026-07-17 16:01:11"}</t>
  </si>
  <si>
    <t>Buy: 93.9 | Sell: 8.7</t>
  </si>
  <si>
    <t>{"symbol": "HSIC", "strategy": "Daily", "action": "LONG", "alert_price": 87.82, "score": "", "dir_prob": "94.4", "net_sigma": "", "grade": "", "align": "", "premium": "", "wrong_if": "", "context": "", "subject": "Alert: Rev - Screener v1 (SPY, 12): Any alert() function call", "body": "{\"ticker\":\"HSIC\", \"setup\":\"A+ Trend Long\", \"side\":\"LONG\", \"price\":87.82, \"stage\":2, \"buy\":93.9, \"sell\":8.7, \"prime\":2, \"revL\":0, \"revS\":0, \"vcp\":0, \"dir_prob\":94.4, \"time\":1784295000000}", "ticker": "HSIC", "setup": "A+ Trend Long", "side": "LONG", "price": 87.82, "stage": 2, "buy": 93.9, "sell": 8.7, "prime": 2, "revL": 0, "revS": 0, "vcp": 0, "time": 1784295000000, "email_id": "b'1494'", "timestamp": "2026-07-17 16:01:19"}</t>
  </si>
  <si>
    <t>Buy: 97.5 | Sell: 6.8</t>
  </si>
  <si>
    <t>{"symbol": "ALL", "strategy": "Daily", "action": "LONG", "alert_price": 249.93, "score": "", "dir_prob": "92.2", "net_sigma": "", "grade": "", "align": "", "premium": "", "wrong_if": "", "context": "", "subject": "Alert: Rev - Screener v1 (SPY, 12): Any alert() function call", "body": "{\"ticker\":\"ALL\", \"setup\":\"A+ Trend Long\", \"side\":\"LONG\", \"price\":249.93, \"stage\":2, \"buy\":97.5, \"sell\":6.8, \"prime\":2, \"revL\":0, \"revS\":0, \"vcp\":0, \"dir_prob\":92.2, \"time\":1784295000000}", "ticker": "ALL", "setup": "A+ Trend Long", "side": "LONG", "price": 249.93, "stage": 2, "buy": 97.5, "sell": 6.8, "prime": 2, "revL": 0, "revS": 0, "vcp": 0, "time": 1784295000000, "email_id": "b'1495'", "timestamp": "2026-07-17 16:01:27"}</t>
  </si>
  <si>
    <t>TREND_LONG fires with buy=98.57 &gt;&gt; 65, dir_prob=93.11, and stage=2. However, news CONTRADICTS the long bias with massive catastrophe losses ($1.72B) despite analyst upgrades. The 'TOP' and 'RSI_CASCADE' warnings in recency suggest extreme overbought conditions, and the low R:R (0.55) from current price further weakens the setup. Triage capped to WATCH due to news contradiction and exhaustion risks.</t>
  </si>
  <si>
    <t>Buy: 96.9 | Sell: 19</t>
  </si>
  <si>
    <t>{"symbol": "SYY", "strategy": "Daily", "action": "LONG", "alert_price": 81.68, "score": "", "dir_prob": "95", "net_sigma": "", "grade": "", "align": "", "premium": "", "wrong_if": "", "context": "", "subject": "Alert: Rev - Screener v1 (SPY, 12): Any alert() function call", "body": "{\"ticker\":\"SYY\", \"setup\":\"A+ Trend Long\", \"side\":\"LONG\", \"price\":81.68, \"stage\":2, \"buy\":96.9, \"sell\":19, \"prime\":2, \"revL\":0, \"revS\":0, \"vcp\":0, \"dir_prob\":95, \"time\":1784295000000}", "ticker": "SYY", "setup": "A+ Trend Long", "side": "LONG", "price": 81.68, "stage": 2, "buy": 96.9, "sell": 19, "prime": 2, "revL": 0, "revS": 0, "vcp": 0, "time": 1784295000000, "email_id": "b'1496'", "timestamp": "2026-07-17 16:01:16"}</t>
  </si>
  <si>
    <t>Buy: 72.3 | Sell: 3.9</t>
  </si>
  <si>
    <t>{"symbol": "V", "strategy": "Daily", "action": "LONG", "alert_price": 358.68, "score": "", "dir_prob": "95.7", "net_sigma": "", "grade": "", "align": "", "premium": "", "wrong_if": "", "context": "", "subject": "Alert: Rev - Screener v1 (SPY, 12): Any alert() function call", "body": "{\"ticker\":\"V\", \"setup\":\"Early Action Long\", \"side\":\"LONG\", \"price\":358.68, \"stage\":2, \"buy\":72.3, \"sell\":3.9, \"prime\":1, \"revL\":0, \"revS\":0, \"vcp\":0, \"dir_prob\":95.7, \"time\":1784295000000}", "ticker": "V", "setup": "Early Action Long", "side": "LONG", "price": 358.68, "stage": 2, "buy": 72.3, "sell": 3.9, "prime": 1, "revL": 0, "revS": 0, "vcp": 0, "time": 1784295000000, "email_id": "b'1497'", "timestamp": "2026-07-17 16:01:25"}</t>
  </si>
  <si>
    <t>Buy: 88.4 | Sell: 7.9</t>
  </si>
  <si>
    <t>{"symbol": "HIG", "strategy": "Daily", "action": "LONG", "alert_price": 140.25, "score": "", "dir_prob": "92.9", "net_sigma": "", "grade": "", "align": "", "premium": "", "wrong_if": "", "context": "", "subject": "Alert: Rev - Screener v1 (SPY, 12): Any alert() function call", "body": "{\"ticker\":\"HIG\", \"setup\":\"A+ Trend Long\", \"side\":\"LONG\", \"price\":140.25, \"stage\":2, \"buy\":88.4, \"sell\":7.9, \"prime\":2, \"revL\":0, \"revS\":0, \"vcp\":0, \"dir_prob\":92.9, \"time\":1784295000000}", "ticker": "HIG", "setup": "A+ Trend Long", "side": "LONG", "price": 140.25, "stage": 2, "buy": 88.4, "sell": 7.9, "prime": 2, "revL": 0, "revS": 0, "vcp": 0, "time": 1784295000000, "email_id": "b'1498'", "timestamp": "2026-07-17 16:01:29"}</t>
  </si>
  <si>
    <t>TREND_LONG fires with buy=80.04 &gt; 65, dir_prob=92.57, and stage=2. However, the setup is capped to WATCH due to 'chased' flag (price above zone with poor R:R=0.19) and an 'earnings_gate' CAUTION (5 days out). News is neutral with no specific catalyst. Conviction is moderate but risk-adjusted low due to timing constraints.</t>
  </si>
  <si>
    <t>Buy: 91.7 | Sell: 15.8</t>
  </si>
  <si>
    <t>{"symbol": "HRL", "strategy": "Daily", "action": "LONG", "alert_price": 25.39, "score": "", "dir_prob": "93.8", "net_sigma": "", "grade": "", "align": "", "premium": "", "wrong_if": "", "context": "", "subject": "Alert: Rev - Screener v1 (SPY, 12): Any alert() function call", "body": "{\"ticker\":\"HRL\", \"setup\":\"A+ Trend Long\", \"side\":\"LONG\", \"price\":25.39, \"stage\":2, \"buy\":91.7, \"sell\":15.8, \"prime\":2, \"revL\":0, \"revS\":0, \"vcp\":0, \"dir_prob\":93.8, \"time\":1784295000000}", "ticker": "HRL", "setup": "A+ Trend Long", "side": "LONG", "price": 25.39, "stage": 2, "buy": 91.7, "sell": 15.8, "prime": 2, "revL": 0, "revS": 0, "vcp": 0, "time": 1784295000000, "email_id": "b'1499'", "timestamp": "2026-07-17 16:01:41"}</t>
  </si>
  <si>
    <t>Buy: 16.8 | Sell: 95</t>
  </si>
  <si>
    <t>{"symbol": "APO", "strategy": "Daily", "action": "SHORT", "alert_price": 120.49, "score": "", "dir_prob": "12.9", "net_sigma": "", "grade": "", "align": "", "premium": "", "wrong_if": "", "context": "", "subject": "Alert: Rev - Screener v1 (SPY, 12): Any alert() function call", "body": "{\"ticker\":\"APO\", \"setup\":\"A+ Trend Short\", \"side\":\"SHORT\", \"price\":120.49, \"stage\":4, \"buy\":16.8, \"sell\":95, \"prime\":-2, \"revL\":0, \"revS\":0, \"vcp\":0, \"dir_prob\":12.9, \"time\":1784295000000}", "ticker": "APO", "setup": "A+ Trend Short", "side": "SHORT", "price": 120.49, "stage": 4, "buy": 16.8, "sell": 95, "prime": -2, "revL": 0, "revS": 0, "vcp": 0, "time": 1784295000000, "email_id": "b'1500'", "timestamp": "2026-07-17 16:01:15"}</t>
  </si>
  <si>
    <t>Buy: 9.2 | Sell: 90.2</t>
  </si>
  <si>
    <t>{"symbol": "VRSN", "strategy": "Daily", "action": "SHORT", "alert_price": 277.76, "score": "", "dir_prob": "9.8", "net_sigma": "", "grade": "", "align": "", "premium": "", "wrong_if": "", "context": "", "subject": "Alert: Rev - Screener v1 (SPY, 12): Any alert() function call", "body": "{\"ticker\":\"VRSN\", \"setup\":\"A+ Trend Short\", \"side\":\"SHORT\", \"price\":277.76, \"stage\":4, \"buy\":9.2, \"sell\":90.2, \"prime\":-2, \"revL\":0, \"revS\":0, \"vcp\":0, \"dir_prob\":9.8, \"time\":1784295000000}", "ticker": "VRSN", "setup": "A+ Trend Short", "side": "SHORT", "price": 277.76, "stage": 4, "buy": 9.2, "sell": 90.2, "prime": -2, "revL": 0, "revS": 0, "vcp": 0, "time": 1784295000000, "email_id": "b'1501'", "timestamp": "2026-07-17 16:01:18"}</t>
  </si>
  <si>
    <t>Buy: 14 | Sell: 87.3</t>
  </si>
  <si>
    <t>{"symbol": "AKAM", "strategy": "Daily", "action": "SHORT", "alert_price": 120.17, "score": "", "dir_prob": "7.6", "net_sigma": "", "grade": "", "align": "", "premium": "", "wrong_if": "", "context": "", "subject": "Alert: Rev - Screener v1 (SPY, 12): Any alert() function call", "body": "{\"ticker\":\"AKAM\", \"setup\":\"A+ Trend Short\", \"side\":\"SHORT\", \"price\":120.17, \"stage\":4, \"buy\":14, \"sell\":87.3, \"prime\":-2, \"revL\":0, \"revS\":0, \"vcp\":0, \"dir_prob\":7.6, \"time\":1784295000000}", "ticker": "AKAM", "setup": "A+ Trend Short", "side": "SHORT", "price": 120.17, "stage": 4, "buy": 14, "sell": 87.3, "prime": -2, "revL": 0, "revS": 0, "vcp": 0, "time": 1784295000000, "email_id": "b'1502'", "timestamp": "2026-07-17 16:01:26"}</t>
  </si>
  <si>
    <t>Buy: 92.4 | Sell: 13.8</t>
  </si>
  <si>
    <t>{"symbol": "DDOG", "strategy": "Daily", "action": "LONG", "alert_price": 258.68, "score": "", "dir_prob": "95", "net_sigma": "", "grade": "", "align": "", "premium": "", "wrong_if": "", "context": "", "subject": "Alert: Rev - Screener v1 (SPY, 12): Any alert() function call", "body": "{\"ticker\":\"DDOG\", \"setup\":\"A+ Trend Long\", \"side\":\"LONG\", \"price\":258.68, \"stage\":2, \"buy\":92.4, \"sell\":13.8, \"prime\":2, \"revL\":0, \"revS\":0, \"vcp\":0, \"dir_prob\":95, \"time\":1784295000000}", "ticker": "DDOG", "setup": "A+ Trend Long", "side": "LONG", "price": 258.68, "stage": 2, "buy": 92.4, "sell": 13.8, "prime": 2, "revL": 0, "revS": 0, "vcp": 0, "time": 1784295000000, "email_id": "b'1505'", "timestamp": "2026-07-17 16:01:24"}</t>
  </si>
  <si>
    <t>TREND_LONG fires with buy=96.7 &gt;&gt; 65, dir_prob=90.36, and stage=2. News CONFIRMS with UBS/Keybanc upgrades and higher targets. Triage capped to WATCH due to 'earnings' flag (19 days out) and 'extended' context (ext_pct=49.79, regime=0).</t>
  </si>
  <si>
    <t>Buy: 87.6 | Sell: 41.4</t>
  </si>
  <si>
    <t>{"symbol": "TECH", "strategy": "Daily", "action": "LONG", "alert_price": 72.1, "score": "", "dir_prob": "87.8", "net_sigma": "", "grade": "", "align": "", "premium": "", "wrong_if": "", "context": "", "subject": "Alert: Rev - Screener v1 (SPY, 12): Any alert() function call", "body": "{\"ticker\":\"TECH\", \"setup\":\"A+ Trend Long\", \"side\":\"LONG\", \"price\":72.10, \"stage\":2, \"buy\":87.6, \"sell\":41.4, \"prime\":2, \"revL\":0, \"revS\":0, \"vcp\":0, \"dir_prob\":87.8, \"time\":1784295000000}", "ticker": "TECH", "setup": "A+ Trend Long", "side": "LONG", "price": 72.1, "stage": 2, "buy": 87.6, "sell": 41.4, "prime": 2, "revL": 0, "revS": 0, "vcp": 0, "time": 1784295000000, "email_id": "b'1504'", "timestamp": "2026-07-17 16:01:26"}</t>
  </si>
  <si>
    <t>Buy: 6.7 | Sell: 94.1</t>
  </si>
  <si>
    <t>{"symbol": "VZ", "strategy": "Daily", "action": "SHORT", "alert_price": 43.58, "score": "", "dir_prob": "9.7", "net_sigma": "", "grade": "", "align": "", "premium": "", "wrong_if": "", "context": "", "subject": "Alert: Rev - Screener v1 (SPY, 12): Any alert() function call", "body": "{\"ticker\":\"VZ\", \"setup\":\"A+ Trend Short\", \"side\":\"SHORT\", \"price\":43.58, \"stage\":4, \"buy\":6.7, \"sell\":94.1, \"prime\":-2, \"revL\":0, \"revS\":0, \"vcp\":0, \"dir_prob\":9.7, \"time\":1784295000000}", "ticker": "VZ", "setup": "A+ Trend Short", "side": "SHORT", "price": 43.58, "stage": 4, "buy": 6.7, "sell": 94.1, "prime": -2, "revL": 0, "revS": 0, "vcp": 0, "time": 1784295000000, "email_id": "b'1503'", "timestamp": "2026-07-17 16:01:27"}</t>
  </si>
  <si>
    <t>Buy: 6.9 | Sell: 92.5</t>
  </si>
  <si>
    <t>{"symbol": "TJX", "strategy": "Daily", "action": "SHORT", "alert_price": 154.43, "score": "", "dir_prob": "4.1", "net_sigma": "", "grade": "", "align": "", "premium": "", "wrong_if": "", "context": "", "subject": "Alert: Rev - Screener v1 (SPY, 12): Any alert() function call", "body": "{\"ticker\":\"TJX\", \"setup\":\"A+ Trend Short\", \"side\":\"SHORT\", \"price\":154.43, \"stage\":4, \"buy\":6.9, \"sell\":92.5, \"prime\":-2, \"revL\":0, \"revS\":0, \"vcp\":0, \"dir_prob\":4.1, \"time\":1784295000000}", "ticker": "TJX", "setup": "A+ Trend Short", "side": "SHORT", "price": 154.43, "stage": 4, "buy": 6.9, "sell": 92.5, "prime": -2, "revL": 0, "revS": 0, "vcp": 0, "time": 1784295000000, "email_id": "b'1506'", "timestamp": "2026-07-17 16:01:38"}</t>
  </si>
  <si>
    <t>Buy: 95.2 | Sell: 6.7</t>
  </si>
  <si>
    <t>{"symbol": "MTD", "strategy": "Daily", "action": "LONG", "alert_price": 1310.5, "score": "", "dir_prob": "95.6", "net_sigma": "", "grade": "", "align": "", "premium": "", "wrong_if": "", "context": "", "subject": "Alert: Rev - Screener v1 (SPY, 12): Any alert() function call", "body": "{\"ticker\":\"MTD\", \"setup\":\"A+ Trend Long\", \"side\":\"LONG\", \"price\":1310.50, \"stage\":2, \"buy\":95.2, \"sell\":6.7, \"prime\":2, \"revL\":0, \"revS\":0, \"vcp\":0, \"dir_prob\":95.6, \"time\":1784295000000}", "ticker": "MTD", "setup": "A+ Trend Long", "side": "LONG", "price": 1310.5, "stage": 2, "buy": 95.2, "sell": 6.7, "prime": 2, "revL": 0, "revS": 0, "vcp": 0, "time": 1784295000000, "email_id": "b'1507'", "timestamp": "2026-07-17 16:01:44"}</t>
  </si>
  <si>
    <t>Buy: 93.9 | Sell: 6.9</t>
  </si>
  <si>
    <t>{"symbol": "SNA", "strategy": "Daily", "action": "LONG", "alert_price": 410.91, "score": "", "dir_prob": "88.3", "net_sigma": "", "grade": "", "align": "", "premium": "", "wrong_if": "", "context": "", "subject": "Alert: Rev - Screener v1 (SPY, 12): Any alert() function call", "body": "{\"ticker\":\"SNA\", \"setup\":\"A+ Trend Long\", \"side\":\"LONG\", \"price\":410.91, \"stage\":2, \"buy\":93.9, \"sell\":6.9, \"prime\":2, \"revL\":0, \"revS\":0, \"vcp\":0, \"dir_prob\":88.3, \"time\":1784295000000}", "ticker": "SNA", "setup": "A+ Trend Long", "side": "LONG", "price": 410.91, "stage": 2, "buy": 93.9, "sell": 6.9, "prime": 2, "revL": 0, "revS": 0, "vcp": 0, "time": 1784295000000, "email_id": "b'1508'", "timestamp": "2026-07-17 16:01:43"}</t>
  </si>
  <si>
    <t>Buy: 94.7 | Sell: 31.9</t>
  </si>
  <si>
    <t>{"symbol": "LUV", "strategy": "Daily", "action": "LONG", "alert_price": 48.08, "score": "", "dir_prob": "90.2", "net_sigma": "", "grade": "", "align": "", "premium": "", "wrong_if": "", "context": "", "subject": "Alert: Rev - Screener v1 (SPY, 12): Any alert() function call", "body": "{\"ticker\":\"LUV\", \"setup\":\"A+ Trend Long\", \"side\":\"LONG\", \"price\":48.08, \"stage\":2, \"buy\":94.7, \"sell\":31.9, \"prime\":2, \"revL\":0, \"revS\":0, \"vcp\":0, \"dir_prob\":90.2, \"time\":1784295000000}", "ticker": "LUV", "setup": "A+ Trend Long", "side": "LONG", "price": 48.08, "stage": 2, "buy": 94.7, "sell": 31.9, "prime": 2, "revL": 0, "revS": 0, "vcp": 0, "time": 1784295000000, "email_id": "b'1509'", "timestamp": "2026-07-17 16:01:29"}</t>
  </si>
  <si>
    <t>Buy: 90.4 | Sell: 5.3</t>
  </si>
  <si>
    <t>{"symbol": "CTVA", "strategy": "Daily", "action": "LONG", "alert_price": 87.34, "score": "", "dir_prob": "94", "net_sigma": "", "grade": "", "align": "", "premium": "", "wrong_if": "", "context": "", "subject": "Alert: Rev - Screener v1 (SPY, 12): Any alert() function call", "body": "{\"ticker\":\"CTVA\", \"setup\":\"A+ Trend Long\", \"side\":\"LONG\", \"price\":87.34, \"stage\":2, \"buy\":90.4, \"sell\":5.3, \"prime\":2, \"revL\":0, \"revS\":0, \"vcp\":0, \"dir_prob\":94, \"time\":1784295000000}", "ticker": "CTVA", "setup": "A+ Trend Long", "side": "LONG", "price": 87.34, "stage": 2, "buy": 90.4, "sell": 5.3, "prime": 2, "revL": 0, "revS": 0, "vcp": 0, "time": 1784295000000, "email_id": "b'1510'", "timestamp": "2026-07-17 16:01:25"}</t>
  </si>
  <si>
    <t>{"symbol": "SHW", "strategy": "Daily", "action": "LONG", "alert_price": 331.29, "score": "", "dir_prob": "95.9", "net_sigma": "", "grade": "", "align": "", "premium": "", "wrong_if": "", "context": "", "subject": "Alert: Rev - Screener v1 (SPY, 12): Any alert() function call", "body": "{\"ticker\":\"SHW\", \"setup\":\"A+ Trend Long\", \"side\":\"LONG\", \"price\":331.29, \"stage\":2, \"buy\":96, \"sell\":6.5, \"prime\":2, \"revL\":0, \"revS\":0, \"vcp\":0, \"dir_prob\":95.9, \"time\":1784295000000}", "ticker": "SHW", "setup": "A+ Trend Long", "side": "LONG", "price": 331.29, "stage": 2, "buy": 96, "sell": 6.5, "prime": 2, "revL": 0, "revS": 0, "vcp": 0, "time": 1784295000000, "email_id": "b'1511'", "timestamp": "2026-07-17 16:01:29"}</t>
  </si>
  <si>
    <t>Buy: 95.8 | Sell: 32.1</t>
  </si>
  <si>
    <t>{"symbol": "DGX", "strategy": "Daily", "action": "LONG", "alert_price": 210.51, "score": "", "dir_prob": "91.3", "net_sigma": "", "grade": "", "align": "", "premium": "", "wrong_if": "", "context": "", "subject": "Alert: Rev - Screener v1 (SPY, 12): Any alert() function call", "body": "{\"ticker\":\"DGX\", \"setup\":\"A+ Trend Long\", \"side\":\"LONG\", \"price\":210.51, \"stage\":2, \"buy\":95.8, \"sell\":32.1, \"prime\":2, \"revL\":0, \"revS\":0, \"vcp\":0, \"dir_prob\":91.3, \"time\":1784295000000}", "ticker": "DGX", "setup": "A+ Trend Long", "side": "LONG", "price": 210.51, "stage": 2, "buy": 95.8, "sell": 32.1, "prime": 2, "revL": 0, "revS": 0, "vcp": 0, "time": 1784295000000, "email_id": "b'1512'", "timestamp": "2026-07-17 16:01:28"}</t>
  </si>
  <si>
    <t>Buy: 92.5 | Sell: 18.8</t>
  </si>
  <si>
    <t>{"symbol": "TMO", "strategy": "Daily", "action": "LONG", "alert_price": 532.35, "score": "", "dir_prob": "88", "net_sigma": "", "grade": "", "align": "", "premium": "", "wrong_if": "", "context": "", "subject": "Alert: Rev - Screener v1 (SPY, 12): Any alert() function call", "body": "{\"ticker\":\"TMO\", \"setup\":\"A+ Trend Long\", \"side\":\"LONG\", \"price\":532.35, \"stage\":2, \"buy\":92.5, \"sell\":18.8, \"prime\":2, \"revL\":0, \"revS\":0, \"vcp\":0, \"dir_prob\":88, \"time\":1784295000000}", "ticker": "TMO", "setup": "A+ Trend Long", "side": "LONG", "price": 532.35, "stage": 2, "buy": 92.5, "sell": 18.8, "prime": 2, "revL": 0, "revS": 0, "vcp": 0, "time": 1784295000000, "email_id": "b'1513'", "timestamp": "2026-07-17 16:01:44"}</t>
  </si>
  <si>
    <t>TREND_LONG fires with buy=96.79 &gt;&gt; 65, dir_prob=91.78 &gt;&gt; 50, and stage=2 (up-trend). News is NEUTRAL (whale alert headline) and does not contradict the strong technicals. No VETO flags apply (earnings_gate=PASS, zone_state=in_zone, no churn</t>
  </si>
  <si>
    <t>WATCH → Deep Research</t>
  </si>
  <si>
    <t>PASS → Deep Research</t>
  </si>
  <si>
    <t>TREND_LONG fires with buy=98.74 &gt;&gt; 65, dir_prob=94.39, and stage=2 (up-trend). News CONFIRMS the bullish bias with headlines citing undervaluation and strong 5-year returns despite recent gains. No VETO flags apply (earnings_gate=PASS, no R</t>
  </si>
  <si>
    <t>TREND_LONG fires with buy=94.13 &gt; 65, dir_prob=64.79 &gt;= 50, and stage=2. News CONFIRMS with multiple analyst upgrades and positive Q2 momentum. No active flags or vetoes apply; earnings gate is PASS. High conviction long setup.</t>
  </si>
  <si>
    <t>TREND_LONG fires with buy=92.47 &gt; 65, dir_prob=94.19, and stage=2. News CONFIRMS the bullish case via ETF inflows despite sector headwinds. Triage capped to WATCH due to 'earnings' flag (10 days out) and 'extended' flag (ext_pct=44.24, reg=</t>
  </si>
  <si>
    <t>Buy: 94.3 | Sell: 11.9</t>
  </si>
  <si>
    <t>TREND_LONG fires with buy=85.37 &gt; 65, dir_prob=92.91 &gt;= 50, and stage=2. News is NEUTRAL with no catalyst. Triage capped to WATCH due to earnings_gate=PASS (16 days out) and low RR (-0.49) indicating a poor risk/reward setup from current.</t>
  </si>
  <si>
    <t>TREND_LONG fires with buy=95.89 &gt;&gt; 65, dir_prob=86.34 &gt;&gt; 50, and stage=2. News CONFIRMS with multiple analyst upgrades and price target raises following Q2 results. Flags include exhaustion (0.36) and extended (ext_pct=31.04, regime=1), but</t>
  </si>
  <si>
    <t>No active entry mode fires: buy=94.9 is high but ignition_long=0 and rev_zone_l=0, so it does not meet TREND_LONG (requires buy&gt;=65 AND dir_prob&gt;=50, which it does, but the pipeline logic prioritizes ignition/rev for specific modes; however</t>
  </si>
  <si>
    <t>No active entry mode fires: buy=98.68 is high but ignition_long=0 and rev_zone_l=3.5 is too low for reversion; stage=2 prevents trend classification. News is NEUTRAL (no direct COF catalyst). Triage capped to WATCH due to earnings_gate=FAIL</t>
  </si>
  <si>
    <t>{"symbol": "DHR", "strategy": "Daily", "action": "LONG", "alert_price": 201.45, "score": "", "dir_prob": "91.9", "net_sigma": "", "grade": "", "align": "", "premium": "", "wrong_if": "", "context": "", "subject": "Alert: Rev - Screener v1 (SPY, 12): Any alert() function call", "body": "{\"ticker\":\"DHR\", \"setup\":\"A+ Trend Long\", \"side\":\"LONG\", \"price\":201.45, \"stage\":2, \"buy\":94.3, \"sell\":11.9, \"prime\":2, \"revL\":0, \"revS\":0, \"vcp\":0, \"dir_prob\":91.9, \"time\":1784554200000}", "ticker": "DHR", "setup": "A+ Trend Long", "side": "LONG", "price": 201.45, "stage": 2, "buy": 94.3, "sell": 11.9, "prime": 2, "revL": 0, "revS": 0, "vcp": 0, "time": 1784554200000, "email_id": "b'1639'", "timestamp": "2026-07-20 16:01:20"}</t>
  </si>
  <si>
    <t>Buy: 34.9 | Sell: 94.6</t>
  </si>
  <si>
    <t>TREND_LONG fires with buy=98.72 &gt; 65, dir_prob=86.22 &gt;= 50, and stage=2. However, the setup is capped to WATCH because the R:R from current price is only 0.63 (long_target=291.4 vs price=283.36), indicating a chased entry with poor risk-rev</t>
  </si>
  <si>
    <t xml:space="preserve">TREND_LONG fires with buy=97.22 &gt; 65, dir_prob=84.05 &gt;= 50, and stage=2. News CONFIRMS the bullish bias with a major acquisition announcement. Triage is capped to WATCH due to the FAIL earnings gate (2 days out) and the 'churn' risk from a </t>
  </si>
  <si>
    <t>TREND_LONG fires with buy=98.93 &gt;&gt; 65 and dir_prob=96.8, indicating a strong bullish bias. However, the 'FAIL' earnings gate (1 day out) and the 'TOP' warning in recency force a WATCH cap. The headline about revamping expectations is NEUTR/</t>
  </si>
  <si>
    <t>{"symbol": "HAS", "strategy": "Daily", "action": "SHORT", "alert_price": 81.57, "score": "", "dir_prob": "17.2", "net_sigma": "", "grade": "", "align": "", "premium": "", "wrong_if": "", "context": "", "subject": "Alert: Rev - Screener v1 (SPY, 12): Any alert() function call", "body": "{\"ticker\":\"HAS\", \"setup\":\"A+ Trend Short\", \"side\":\"SHORT\", \"price\":81.57, \"stage\":4, \"buy\":34.9, \"sell\":94.6, \"prime\":-2, \"revL\":0, \"revS\":0, \"vcp\":0, \"dir_prob\":17.2, \"time\":1784554200000}", "ticker": "HAS", "setup": "A+ Trend Short", "side": "SHORT", "price": 81.57, "stage": 4, "buy": 34.9, "sell": 94.6, "prime": -2, "revL": 0, "revS": 0, "vcp": 0, "time": 1784554200000, "email_id": "b'1608'", "timestamp": "2026-07-20 16:01:31"}</t>
  </si>
  <si>
    <t>SWKS</t>
  </si>
  <si>
    <t>TREND_LONG fires with buy=82.5 &gt; 65, dir_prob=73.85 &gt;= 50, and stage=2 (up-trend). News is NEUTRAL, citing a 'risky run-up' but no direct contradiction. Triage capped to WATCH due to 'earnings' flag (earnings_days=10) and 'extended' context</t>
  </si>
  <si>
    <t>Buy: 96.2 | Sell: 24.9</t>
  </si>
  <si>
    <t>Buy: 7.6 | Sell: 88.8</t>
  </si>
  <si>
    <t>BREAKOUT_LONG fires with ignition_long=1, though buy=97.19 is exceptionally high (expected for ignition). Regime=3 (Distribution) and the 'TOP' warning in recency suggest a potential climax or trap, capping the setup. News is neutral with a</t>
  </si>
  <si>
    <t>No active entry mode fires: dominant_side is short but sell=91.04 is not &gt; buy=35.86 (opposite_score), and dir_prob=5.98 is too low for a trend short. rev_zone_s=7 indicates a forming short reversal but not yet Zone 0. Triage caps to WATCH:</t>
  </si>
  <si>
    <t>{"symbol": "SWKS", "strategy": "Daily", "action": "SHORT", "alert_price": 59.78, "score": "", "dir_prob": "9.2", "net_sigma": "", "grade": "", "align": "", "premium": "", "wrong_if": "", "context": "", "subject": "Alert: Rev - Screener v1 (SPY, 12): Any alert() function call", "body": "{\"ticker\":\"SWKS\", \"setup\":\"A+ Trend Short\", \"side\":\"SHORT\", \"price\":59.78, \"stage\":4, \"buy\":7.6, \"sell\":88.8, \"prime\":-2, \"revL\":0, \"revS\":0, \"vcp\":0, \"dir_prob\":9.2, \"time\":1784554200000}", "ticker": "SWKS", "setup": "A+ Trend Short", "side": "SHORT", "price": 59.78, "stage": 4, "buy": 7.6, "sell": 88.8, "prime": -2, "revL": 0, "revS": 0, "vcp": 0, "time": 1784554200000, "email_id": "b'1551'", "timestamp": "2026-07-20 16:01:04"}</t>
  </si>
  <si>
    <t>{"symbol": "LH", "strategy": "Daily", "action": "LONG", "alert_price": 279.31, "score": "", "dir_prob": "91.7", "net_sigma": "", "grade": "", "align": "", "premium": "", "wrong_if": "", "context": "", "subject": "Alert: Rev - Screener v1 (SPY, 12): Any alert() function call", "body": "{\"ticker\":\"LH\", \"setup\":\"A+ Trend Long\", \"side\":\"LONG\", \"price\":279.31, \"stage\":2, \"buy\":96.2, \"sell\":24.9, \"prime\":2, \"revL\":0, \"revS\":0, \"vcp\":0, \"dir_prob\":91.7, \"time\":1784640600000}", "ticker": "LH", "setup": "A+ Trend Long", "side": "LONG", "price": 279.31, "stage": 2, "buy": 96.2, "sell": 24.9, "prime": 2, "revL": 0, "revS": 0, "vcp": 0, "time": 1784640600000, "email_id": "b'1685'", "timestamp": "2026-07-21 16:01:00"}</t>
  </si>
  <si>
    <t>TREND_LONG fires strongly with buy=95.91 &gt;&gt; 65, dir_prob=92.41, and stage=2. News CONFIRMS with multiple analyst upgrades (Evercore, BofA) raising targets. No active flags or vetoes; earnings gate is PASS. High conviction long setup.</t>
  </si>
  <si>
    <t>Buy: 96.3 | Sell: 14.9</t>
  </si>
  <si>
    <t>Buy: 97.2 | Sell: 12.5</t>
  </si>
  <si>
    <t>{"symbol": "EXPD", "strategy": "Daily", "action": "LONG", "alert_price": 178.42, "score": "", "dir_prob": "89.1", "net_sigma": "", "grade": "", "align": "", "premium": "", "wrong_if": "", "context": "", "subject": "Alert: Rev - Screener v1 (SPY, 12): Any alert() function call", "body": "{\"ticker\":\"EXPD\", \"setup\":\"A+ Trend Long\", \"side\":\"LONG\", \"price\":178.42, \"stage\":2, \"buy\":96.3, \"sell\":14.9, \"prime\":2, \"revL\":0, \"revS\":0, \"vcp\":0, \"dir_prob\":89.1, \"time\":1784640600000}", "ticker": "EXPD", "setup": "A+ Trend Long", "side": "LONG", "price": 178.42, "stage": 2, "buy": 96.3, "sell": 14.9, "prime": 2, "revL": 0, "revS": 0, "vcp": 0, "time": 1784640600000, "email_id": "b'1684'", "timestamp": "2026-07-21 16:01:00"}</t>
  </si>
  <si>
    <t>TREND_LONG fires with buy=98.21 &gt;&gt; 65, dir_prob=92.65, and stage=2. News CONFIRMS with a price target raise. Triage capped to WATCH due to earnings_gate=PASS (14 days out) and rr_from_current=0.55 (poor R:R while above_zone).</t>
  </si>
  <si>
    <t>Buy: 95.6 | Sell: 9.3</t>
  </si>
  <si>
    <t>{"symbol": "GPC", "strategy": "Daily", "action": "LONG", "alert_price": 122.39, "score": "", "dir_prob": "95.5", "net_sigma": "", "grade": "", "align": "", "premium": "", "wrong_if": "", "context": "", "subject": "Alert: Rev - Screener v1 (SPY, 12): Any alert() function call", "body": "{\"ticker\":\"GPC\", \"setup\":\"A+ Trend Long\", \"side\":\"LONG\", \"price\":122.39, \"stage\":2, \"buy\":97.2, \"sell\":12.5, \"prime\":2, \"revL\":0, \"revS\":0, \"vcp\":0, \"dir_prob\":95.5, \"time\":1784554200000}", "ticker": "GPC", "setup": "A+ Trend Long", "side": "LONG", "price": 122.39, "stage": 2, "buy": 97.2, "sell": 12.5, "prime": 2, "revL": 0, "revS": 0, "vcp": 0, "time": 1784554200000, "email_id": "b'1664'", "timestamp": "2026-07-20 16:01:14"}</t>
  </si>
  <si>
    <t>TREND_LONG fires with buy=98.87 &gt;&gt; 65, dir_prob=93.26, and stage=2. News CONFIRMS with a Citi upgrade to $115. Triage capped to WATCH due to earnings_gate=PASS (17 days out) and the aggressive target (long_target=76.18 is below current 79.9</t>
  </si>
  <si>
    <t>{"symbol": "COF", "strategy": "Daily", "action": "LONG", "alert_price": 206.25, "score": "", "dir_prob": "97", "net_sigma": "", "grade": "", "align": "", "premium": "", "wrong_if": "", "context": "", "subject": "Alert: Rev - Screener v1 (SPY, 12): Any alert() function call", "body": "{\"ticker\":\"COF\", \"setup\":\"A+ Trend Long\", \"side\":\"LONG\", \"price\":206.25, \"stage\":2, \"buy\":95.6, \"sell\":9.3, \"prime\":2, \"revL\":0, \"revS\":0, \"vcp\":0, \"dir_prob\":97, \"time\":1784640600000}", "ticker": "COF", "setup": "A+ Trend Long", "side": "LONG", "price": 206.25, "stage": 2, "buy": 95.6, "sell": 9.3, "prime": 2, "revL": 0, "revS": 0, "vcp": 0, "time": 1784640600000, "email_id": "b'1686'", "timestamp": "2026-07-21 16:01:01"}</t>
  </si>
  <si>
    <t>Buy: 9.8 | Sell: 92.1</t>
  </si>
  <si>
    <t>Buy: 96.6 | Sell: 12.8</t>
  </si>
  <si>
    <t>{"symbol": "MPWR", "strategy": "Daily", "action": "SHORT", "alert_price": 1330.35, "score": "", "dir_prob": "5.6", "net_sigma": "", "grade": "", "align": "", "premium": "", "wrong_if": "", "context": "", "subject": "Alert: Rev - Screener v1 (SPY, 12): Any alert() function call", "body": "{\"ticker\":\"MPWR\", \"setup\":\"A+ Trend Short\", \"side\":\"SHORT\", \"price\":1330.35, \"stage\":4, \"buy\":9.8, \"sell\":92.1, \"prime\":-2, \"revL\":0, \"revS\":0, \"vcp\":1, \"dir_prob\":5.6, \"time\":1784554200000}", "ticker": "MPWR", "setup": "A+ Trend Short", "side": "SHORT", "price": 1330.35, "stage": 4, "buy": 9.8, "sell": 92.1, "prime": -2, "revL": 0, "revS": 0, "vcp": 1, "time": 1784554200000, "email_id": "b'1593'", "timestamp": "2026-07-20 16:01:29"}</t>
  </si>
  <si>
    <t>{"symbol": "WTW", "strategy": "Daily", "action": "LONG", "alert_price": 288.73, "score": "", "dir_prob": "96.7", "net_sigma": "", "grade": "", "align": "", "premium": "", "wrong_if": "", "context": "", "subject": "Alert: Rev - Screener v1 (SPY, 12): Any alert() function call", "body": "{\"ticker\":\"WTW\", \"setup\":\"A+ Trend Long\", \"side\":\"LONG\", \"price\":288.73, \"stage\":2, \"buy\":96.6, \"sell\":12.8, \"prime\":2, \"revL\":0, \"revS\":0, \"vcp\":0, \"dir_prob\":96.7, \"time\":1784640600000}", "ticker": "WTW", "setup": "A+ Trend Long", "side": "LONG", "price": 288.73, "stage": 2, "buy": 96.6, "sell": 12.8, "prime": 2, "revL": 0, "revS": 0, "vcp": 0, "time": 1784640600000, "email_id": "b'1687'", "timestamp": "2026-07-21 16:01:01"}</t>
  </si>
  <si>
    <t>Buy: 84.1 | Sell: 30.2</t>
  </si>
  <si>
    <t>Buy: 93.7 | Sell: 23.7</t>
  </si>
  <si>
    <t>TREND_LONG fires with buy=90.93 &gt; 65 and dir_prob=92.75 &gt;= 50 in stage 2. News is neutral (historical article) and does not contradict the bullish bias. Triage capped to WATCH due to 'exhaustion' and 'extended' flags (ext_pct=50.04, regime=</t>
  </si>
  <si>
    <t>{"symbol": "WST", "strategy": "Daily", "action": "LONG", "alert_price": 359.17, "score": "", "dir_prob": "81.6", "net_sigma": "", "grade": "", "align": "", "premium": "", "wrong_if": "", "context": "", "subject": "Alert: Rev - Screener v1 (SPY, 12): Any alert() function call", "body": "{\"ticker\":\"WST\", \"setup\":\"Early Action Long\", \"side\":\"LONG\", \"price\":359.17, \"stage\":2, \"buy\":84.1, \"sell\":30.2, \"prime\":1, \"revL\":0, \"revS\":0, \"vcp\":0, \"dir_prob\":81.6, \"time\":1784640600000}", "ticker": "WST", "setup": "Early Action Long", "side": "LONG", "price": 359.17, "stage": 2, "buy": 84.1, "sell": 30.2, "prime": 1, "revL": 0, "revS": 0, "vcp": 0, "time": 1784640600000, "email_id": "b'1688'", "timestamp": "2026-07-21 16:01:00"}</t>
  </si>
  <si>
    <t>{"symbol": "CRWD", "strategy": "Daily", "action": "LONG", "alert_price": 198.53, "score": "", "dir_prob": "92.3", "net_sigma": "", "grade": "", "align": "", "premium": "", "wrong_if": "", "context": "", "subject": "Alert: Rev - Screener v1 (SPY, 12): Any alert() function call", "body": "{\"ticker\":\"CRWD\", \"setup\":\"A+ Trend Long\", \"side\":\"LONG\", \"price\":198.53, \"stage\":2, \"buy\":93.7, \"sell\":23.7, \"prime\":2, \"revL\":0, \"revS\":0, \"vcp\":0, \"dir_prob\":92.3, \"time\":1784554200000}", "ticker": "CRWD", "setup": "A+ Trend Long", "side": "LONG", "price": 198.53, "stage": 2, "buy": 93.7, "sell": 23.7, "prime": 2, "revL": 0, "revS": 0, "vcp": 0, "time": 1784554200000, "email_id": "b'1617'", "timestamp": "2026-07-20 16:01:33"}</t>
  </si>
  <si>
    <t>Buy: 79.6 | Sell: 31.2</t>
  </si>
  <si>
    <t>Buy: 83 | Sell: 11.2</t>
  </si>
  <si>
    <t>{"symbol": "WELL", "strategy": "Daily", "action": "LONG", "alert_price": 246.43, "score": "", "dir_prob": "71", "net_sigma": "", "grade": "", "align": "", "premium": "", "wrong_if": "", "context": "", "subject": "Alert: Rev - Screener v1 (SPY, 12): Any alert() function call", "body": "{\"ticker\":\"WELL\", \"setup\":\"Early Action Long\", \"side\":\"LONG\", \"price\":246.43, \"stage\":2, \"buy\":79.6, \"sell\":31.2, \"prime\":1, \"revL\":0, \"revS\":0, \"vcp\":0, \"dir_prob\":71, \"time\":1784640600000}", "ticker": "WELL", "setup": "Early Action Long", "side": "LONG", "price": 246.43, "stage": 2, "buy": 79.6, "sell": 31.2, "prime": 1, "revL": 0, "revS": 0, "vcp": 0, "time": 1784640600000, "email_id": "b'1689'", "timestamp": "2026-07-21 16:01:01"}</t>
  </si>
  <si>
    <t>TREND_LONG fires with buy=90.77 &gt; 65, dir_prob=93.65 &gt;&gt; 50, and stage=2 (up-trend). News CONFIRMS with record quarter and RBC upgrade. No active flags or vetoes; regime=0 (healthy) and zone_state=in_zone. High conviction.</t>
  </si>
  <si>
    <t>Buy: 95.8 | Sell: 10.7</t>
  </si>
  <si>
    <t>{"symbol": "BRO", "strategy": "Daily", "action": "LONG", "alert_price": 68.94, "score": "", "dir_prob": "99.6", "net_sigma": "", "grade": "", "align": "", "premium": "", "wrong_if": "", "context": "", "subject": "Alert: Rev - Screener v1 (SPY, 12): Any alert() function call", "body": "{\"ticker\":\"BRO\", \"setup\":\"Early Action Long\", \"side\":\"LONG\", \"price\":68.94, \"stage\":2, \"buy\":83, \"sell\":11.2, \"prime\":1, \"revL\":0, \"revS\":0, \"vcp\":0, \"dir_prob\":99.6, \"time\":1784554200000}", "ticker": "BRO", "setup": "Early Action Long", "side": "LONG", "price": 68.94, "stage": 2, "buy": 83, "sell": 11.2, "prime": 1, "revL": 0, "revS": 0, "vcp": 0, "time": 1784554200000, "email_id": "b'1534'", "timestamp": "2026-07-20 16:01:00"}</t>
  </si>
  <si>
    <t>Buy: 87.9 | Sell: 6.7</t>
  </si>
  <si>
    <t>TREND_LONG fires with buy=88.75 &gt; 65, dir_prob=87.63 &gt;= 50, and stage=2. The squeeze regime (6) indicates coiling/pre-breakout energy rather than extension. News is neutral with no catalyst. The 'squeeze' flag confirms the setup is in a co-</t>
  </si>
  <si>
    <t>{"symbol": "WM", "strategy": "Daily", "action": "LONG", "alert_price": 233.21, "score": "", "dir_prob": "96", "net_sigma": "", "grade": "", "align": "", "premium": "", "wrong_if": "", "context": "", "subject": "Alert: Rev - Screener v1 (SPY, 12): Any alert() function call", "body": "{\"ticker\":\"WM\", \"setup\":\"A+ Trend Long\", \"side\":\"LONG\", \"price\":233.21, \"stage\":2, \"buy\":95.8, \"sell\":10.7, \"prime\":2, \"revL\":0, \"revS\":0, \"vcp\":0, \"dir_prob\":96, \"time\":1784640600000}", "ticker": "WM", "setup": "A+ Trend Long", "side": "LONG", "price": 233.21, "stage": 2, "buy": 95.8, "sell": 10.7, "prime": 2, "revL": 0, "revS": 0, "vcp": 0, "time": 1784640600000, "email_id": "b'1690'", "timestamp": "2026-07-21 16:01:02"}</t>
  </si>
  <si>
    <t>TREND_LONG fires with buy=97.95 &gt;&gt; 65, dir_prob=97.1, and stage=2. News CONFIRMS the bullish bias via a 'Buy Before Fed' headline. Triage is capped to WATCH due to 'earnings' in 7 days and 'churn' risk from opposite_score=20.43 being non-ni</t>
  </si>
  <si>
    <t>Buy: 92.3 | Sell: 9.9</t>
  </si>
  <si>
    <t>{"symbol": "OMC", "strategy": "Daily", "action": "LONG", "alert_price": 82.39, "score": "", "dir_prob": "92.9", "net_sigma": "", "grade": "", "align": "", "premium": "", "wrong_if": "", "context": "", "subject": "Alert: Rev - Screener v1 (SPY, 12): Any alert() function call", "body": "{\"ticker\":\"OMC\", \"setup\":\"A+ Trend Long\", \"side\":\"LONG\", \"price\":82.39, \"stage\":2, \"buy\":87.9, \"sell\":6.7, \"prime\":2, \"revL\":0, \"revS\":0, \"vcp\":0, \"dir_prob\":92.9, \"time\":1784554200000}", "ticker": "OMC", "setup": "A+ Trend Long", "side": "LONG", "price": 82.39, "stage": 2, "buy": 87.9, "sell": 6.7, "prime": 2, "revL": 0, "revS": 0, "vcp": 0, "time": 1784554200000, "email_id": "b'1613'", "timestamp": "2026-07-20 16:01:33"}</t>
  </si>
  <si>
    <t>{"symbol": "D", "strategy": "Daily", "action": "LONG", "alert_price": 69.86, "score": "", "dir_prob": "93.4", "net_sigma": "", "grade": "", "align": "", "premium": "", "wrong_if": "", "context": "", "subject": "Alert: Rev - Screener v1 (SPY, 12): Any alert() function call", "body": "{\"ticker\":\"D\", \"setup\":\"A+ Trend Long\", \"side\":\"LONG\", \"price\":69.86, \"stage\":2, \"buy\":92.3, \"sell\":9.9, \"prime\":2, \"revL\":0, \"revS\":0, \"vcp\":0, \"dir_prob\":93.4, \"time\":1784640600000}", "ticker": "D", "setup": "A+ Trend Long", "side": "LONG", "price": 69.86, "stage": 2, "buy": 92.3, "sell": 9.9, "prime": 2, "revL": 0, "revS": 0, "vcp": 0, "time": 1784640600000, "email_id": "b'1692'", "timestamp": "2026-07-21 16:01:02"}</t>
  </si>
  <si>
    <t>Buy: 87.6 | Sell: 21.1</t>
  </si>
  <si>
    <t>TREND_LONG fires with buy=94.61 &gt;&gt; 65, dir_prob=73.23, and stage=2. News CONFIRMS the bullish bias via a positive analyst spotlight on high-yield utilities. Triage is capped to WATCH due to earnings_gate=PASS (10 days out) and the 'pullback</t>
  </si>
  <si>
    <t>AAPL</t>
  </si>
  <si>
    <t>Buy: 70.1 | Sell: 15.4</t>
  </si>
  <si>
    <t>{"symbol": "AAPL", "strategy": "Daily", "action": "LONG", "alert_price": 327.61, "score": "", "dir_prob": "81.4", "net_sigma": "", "grade": "", "align": "", "premium": "", "wrong_if": "", "context": "", "subject": "Alert: Rev - Screener v1 (SPY, 12): Any alert() function call", "body": "{\"ticker\":\"AAPL\", \"setup\":\"Early Action Long\", \"side\":\"LONG\", \"price\":327.61, \"stage\":2, \"buy\":70.1, \"sell\":15.4, \"prime\":1, \"revL\":0, \"revS\":0, \"vcp\":0, \"dir_prob\":81.4, \"time\":1784640600000}", "ticker": "AAPL", "setup": "Early Action Long", "side": "LONG", "price": 327.61, "stage": 2, "buy": 70.1, "sell": 15.4, "prime": 1, "revL": 0, "revS": 0, "vcp": 0, "time": 1784640600000, "email_id": "b'1691'", "timestamp": "2026-07-21 16:01:03"}</t>
  </si>
  <si>
    <t>No active entry mode fires: buy=95.19 is high but ignition_long=0 and rev_zone_l=0, while stage=2 (uptrend) precludes counter-trend longs. The dominant_side is long but lacks a clean breakout or reversion trigger. News is neutral with no催化剂</t>
  </si>
  <si>
    <t>{"symbol": "BLDR", "strategy": "Daily", "action": "LONG", "alert_price": 72.71, "score": "", "dir_prob": "92", "net_sigma": "", "grade": "", "align": "", "premium": "", "wrong_if": "", "context": "", "subject": "Alert: Rev - Screener v1 (SPY, 12): Any alert() function call", "body": "{\"ticker\":\"BLDR\", \"setup\":\"A+ Trend Long\", \"side\":\"LONG\", \"price\":72.71, \"stage\":2, \"buy\":87.6, \"sell\":21.1, \"prime\":2, \"revL\":0, \"revS\":0, \"vcp\":0, \"dir_prob\":92, \"time\":1784554200000}", "ticker": "BLDR", "setup": "A+ Trend Long", "side": "LONG", "price": 72.71, "stage": 2, "buy": 87.6, "sell": 21.1, "prime": 2, "revL": 0, "revS": 0, "vcp": 0, "time": 1784554200000, "email_id": "b'1530'", "timestamp": "2026-07-20 16:01:01"}</t>
  </si>
  <si>
    <t>Buy: 84.1 | Sell: 3.9</t>
  </si>
  <si>
    <t>{"symbol": "AXP", "strategy": "Daily", "action": "LONG", "alert_price": 350.69, "score": "", "dir_prob": "95.5", "net_sigma": "", "grade": "", "align": "", "premium": "", "wrong_if": "", "context": "", "subject": "Alert: Rev - Screener v1 (SPY, 12): Any alert() function call", "body": "{\"ticker\":\"AXP\", \"setup\":\"A+ Trend Long\", \"side\":\"LONG\", \"price\":350.69, \"stage\":2, \"buy\":96.7, \"sell\":5.9, \"prime\":2, \"revL\":0, \"revS\":0, \"vcp\":0, \"dir_prob\":95.5, \"time\":1784640600000}", "ticker": "AXP", "setup": "A+ Trend Long", "side": "LONG", "price": 350.69, "stage": 2, "buy": 96.7, "sell": 5.9, "prime": 2, "revL": 0, "revS": 0, "vcp": 0, "time": 1784640600000, "email_id": "b'1693'", "timestamp": "2026-07-21 16:01:04"}</t>
  </si>
  <si>
    <t>Buy: 96.1 | Sell: 4.4</t>
  </si>
  <si>
    <t>{"symbol": "VLTO", "strategy": "Daily", "action": "LONG", "alert_price": 93.16, "score": "", "dir_prob": "98.3", "net_sigma": "", "grade": "", "align": "", "premium": "", "wrong_if": "", "context": "", "subject": "Alert: Rev - Screener v1 (SPY, 12): Any alert() function call", "body": "{\"ticker\":\"VLTO\", \"setup\":\"Early Action Long\", \"side\":\"LONG\", \"price\":93.16, \"stage\":2, \"buy\":84.1, \"sell\":3.9, \"prime\":1, \"revL\":0, \"revS\":0, \"vcp\":0, \"dir_prob\":98.3, \"time\":1784554200000}", "ticker": "VLTO", "setup": "Early Action Long", "side": "LONG", "price": 93.16, "stage": 2, "buy": 84.1, "sell": 3.9, "prime": 1, "revL": 0, "revS": 0, "vcp": 0, "time": 1784554200000, "email_id": "b'1670'", "timestamp": "2026-07-20 16:01:32"}</t>
  </si>
  <si>
    <t>{"symbol": "RTX", "strategy": "Daily", "action": "LONG", "alert_price": 193.63, "score": "", "dir_prob": "93.3", "net_sigma": "", "grade": "", "align": "", "premium": "", "wrong_if": "", "context": "", "subject": "Alert: Rev - Screener v1 (SPY, 12): Any alert() function call", "body": "{\"ticker\":\"RTX\", \"setup\":\"A+ Trend Long\", \"side\":\"LONG\", \"price\":193.63, \"stage\":2, \"buy\":96.1, \"sell\":4.4, \"prime\":2, \"revL\":0, \"revS\":0, \"vcp\":0, \"dir_prob\":93.3, \"time\":1784640600000}", "ticker": "RTX", "setup": "A+ Trend Long", "side": "LONG", "price": 193.63, "stage": 2, "buy": 96.1, "sell": 4.4, "prime": 2, "revL": 0, "revS": 0, "vcp": 0, "time": 1784640600000, "email_id": "b'1694'", "timestamp": "2026-07-21 16:01:04"}</t>
  </si>
  <si>
    <t>Buy: 91.6 | Sell: 14.8</t>
  </si>
  <si>
    <t>Buy: 81 | Sell: 42.8</t>
  </si>
  <si>
    <t>TREND_LONG fires with buy=93.92 &gt;&gt; 65, dir_prob=91.76 &gt;&gt; 50, and stage=2 (up-trend). News is NEUTRAL with no catalyst. No VETO flags apply (earnings_gate=PASS, zone_state=in_zone, rr_from_current=1.02). High conviction due to strong buy/sel</t>
  </si>
  <si>
    <t>{"symbol": "BBY", "strategy": "Daily", "action": "LONG", "alert_price": 85.18, "score": "", "dir_prob": "80.4", "net_sigma": "", "grade": "", "align": "", "premium": "", "wrong_if": "", "context": "", "subject": "Alert: Rev - Screener v1 (SPY, 12): Any alert() function call", "body": "{\"ticker\":\"BBY\", \"setup\":\"Early Action Long\", \"side\":\"LONG\", \"price\":85.18, \"stage\":2, \"buy\":81, \"sell\":42.8, \"prime\":1, \"revL\":0, \"revS\":0, \"vcp\":0, \"dir_prob\":80.4, \"time\":1784640600000}", "ticker": "BBY", "setup": "Early Action Long", "side": "LONG", "price": 85.18, "stage": 2, "buy": 81, "sell": 42.8, "prime": 1, "revL": 0, "revS": 0, "vcp": 0, "time": 1784640600000, "email_id": "b'1695'", "timestamp": "2026-07-21 16:01:05"}</t>
  </si>
  <si>
    <t>{"symbol": "DDOG", "strategy": "Daily", "action": "LONG", "alert_price": 263.25, "score": "", "dir_prob": "94.6", "net_sigma": "", "grade": "", "align": "", "premium": "", "wrong_if": "", "context": "", "subject": "Alert: Rev - Screener v1 (SPY, 12): Any alert() function call", "body": "{\"ticker\":\"DDOG\", \"setup\":\"A+ Trend Long\", \"side\":\"LONG\", \"price\":263.25, \"stage\":2, \"buy\":91.6, \"sell\":14.8, \"prime\":2, \"revL\":0, \"revS\":0, \"vcp\":0, \"dir_prob\":94.6, \"time\":1784554200000}", "ticker": "DDOG", "setup": "A+ Trend Long", "side": "LONG", "price": 263.25, "stage": 2, "buy": 91.6, "sell": 14.8, "prime": 2, "revL": 0, "revS": 0, "vcp": 0, "time": 1784554200000, "email_id": "b'1651'", "timestamp": "2026-07-20 16:01:08"}</t>
  </si>
  <si>
    <t>Buy: 93.9 | Sell: 9.5</t>
  </si>
  <si>
    <t>Buy: 23.6 | Sell: 96.6</t>
  </si>
  <si>
    <t>TREND_LONG fires with buy=98.57 &gt;&gt; 65, dir_prob=93.11 &gt;&gt; 50, and stage=2 (up-trend). News is NEUTRAL (CFO appointment + cat loss context) but does not contradict the strong technicals. No VETO flags apply (earnings gate UNKNOWN, zone_state=</t>
  </si>
  <si>
    <t>{"symbol": "IRM", "strategy": "Daily", "action": "SHORT", "alert_price": 124.23, "score": "", "dir_prob": "11.9", "net_sigma": "", "grade": "", "align": "", "premium": "", "wrong_if": "", "context": "", "subject": "Alert: Rev - Screener v1 (SPY, 12): Any alert() function call", "body": "{\"ticker\":\"IRM\", \"setup\":\"A+ Trend Short\", \"side\":\"SHORT\", \"price\":124.23, \"stage\":4, \"buy\":23.6, \"sell\":96.6, \"prime\":-2, \"revL\":0, \"revS\":0, \"vcp\":0, \"dir_prob\":11.9, \"time\":1784554200000}", "ticker": "IRM", "setup": "A+ Trend Short", "side": "SHORT", "price": 124.23, "stage": 4, "buy": 23.6, "sell": 96.6, "prime": -2, "revL": 0, "revS": 0, "vcp": 0, "time": 1784554200000, "email_id": "b'1628'", "timestamp": "2026-07-20 16:01:10"}</t>
  </si>
  <si>
    <t>{"symbol": "AFL", "strategy": "Daily", "action": "LONG", "alert_price": 123.6, "score": "", "dir_prob": "90.2", "net_sigma": "", "grade": "", "align": "", "premium": "", "wrong_if": "", "context": "", "subject": "Alert: Rev - Screener v1 (SPY, 12): Any alert() function call", "body": "{\"ticker\":\"AFL\", \"setup\":\"A+ Trend Long\", \"side\":\"LONG\", \"price\":123.60, \"stage\":2, \"buy\":93.9, \"sell\":9.5, \"prime\":2, \"revL\":0, \"revS\":0, \"vcp\":0, \"dir_prob\":90.2, \"time\":1784640600000}", "ticker": "AFL", "setup": "A+ Trend Long", "side": "LONG", "price": 123.6, "stage": 2, "buy": 93.9, "sell": 9.5, "prime": 2, "revL": 0, "revS": 0, "vcp": 0, "time": 1784640600000, "email_id": "b'1696'", "timestamp": "2026-07-21 16:01:06"}</t>
  </si>
  <si>
    <t>Buy: 10.1 | Sell: 95.8</t>
  </si>
  <si>
    <t>TREND_LONG fires with buy=96.7 &gt;&gt; 65, dir_prob=90.36, and stage=2. News CONFIRMS with a UBS upgrade to $315. Triage capped to WATCH due to 'earnings' flag (18 days out) and 'extended' context (ext_pct=49.79, regime=0).</t>
  </si>
  <si>
    <t>{"symbol": "L", "strategy": "Daily", "action": "LONG", "alert_price": 114.58, "score": "", "dir_prob": "92.1", "net_sigma": "", "grade": "", "align": "", "premium": "", "wrong_if": "", "context": "", "subject": "Alert: Rev - Screener v1 (SPY, 12): Any alert() function call", "body": "{\"ticker\":\"L\", \"setup\":\"A+ Trend Long\", \"side\":\"LONG\", \"price\":114.58, \"stage\":2, \"buy\":96.5, \"sell\":6.8, \"prime\":2, \"revL\":0, \"revS\":0, \"vcp\":0, \"dir_prob\":92.1, \"time\":1784640600000}", "ticker": "L", "setup": "A+ Trend Long", "side": "LONG", "price": 114.58, "stage": 2, "buy": 96.5, "sell": 6.8, "prime": 2, "revL": 0, "revS": 0, "vcp": 0, "time": 1784640600000, "email_id": "b'1697'", "timestamp": "2026-07-21 16:01:05"}</t>
  </si>
  <si>
    <t>TREND_LONG fires with buy=95.5 &gt;&gt; 65, dir_prob=96.74 &gt;&gt; 50, and stage=2 (up-trend). News is NEUTRAL with no catalyst. PASS triage; no VETO flags apply despite the 'TOP' warning (age 21) and 'TRAP_BEAR' (age 30) which are old context. Conv扣分</t>
  </si>
  <si>
    <t>{"symbol": "STLD", "strategy": "Daily", "action": "SHORT", "alert_price": 230.62, "score": "", "dir_prob": "5.1", "net_sigma": "", "grade": "", "align": "", "premium": "", "wrong_if": "", "context": "", "subject": "Alert: Rev - Screener v1 (SPY, 12): Any alert() function call", "body": "{\"ticker\":\"STLD\", \"setup\":\"A+ Trend Short\", \"side\":\"SHORT\", \"price\":230.62, \"stage\":4, \"buy\":10.1, \"sell\":95.8, \"prime\":-2, \"revL\":0, \"revS\":0, \"vcp\":0, \"dir_prob\":5.1, \"time\":1784554200000}", "ticker": "STLD", "setup": "A+ Trend Short", "side": "SHORT", "price": 230.62, "stage": 4, "buy": 10.1, "sell": 95.8, "prime": -2, "revL": 0, "revS": 0, "vcp": 0, "time": 1784554200000, "email_id": "b'1536'", "timestamp": "2026-07-20 16:01:01"}</t>
  </si>
  <si>
    <t>Buy: 93.3 | Sell: 28.7</t>
  </si>
  <si>
    <t>Buy: 89.2 | Sell: 26.8</t>
  </si>
  <si>
    <t>{"symbol": "O", "strategy": "Daily", "action": "LONG", "alert_price": 64.99, "score": "", "dir_prob": "91.9", "net_sigma": "", "grade": "", "align": "", "premium": "", "wrong_if": "", "context": "", "subject": "Alert: Rev - Screener v1 (SPY, 12): Any alert() function call", "body": "{\"ticker\":\"O\", \"setup\":\"A+ Trend Long\", \"side\":\"LONG\", \"price\":64.99, \"stage\":2, \"buy\":93.3, \"sell\":28.7, \"prime\":2, \"revL\":0, \"revS\":0, \"vcp\":0, \"dir_prob\":91.9, \"time\":1784640600000}", "ticker": "O", "setup": "A+ Trend Long", "side": "LONG", "price": 64.99, "stage": 2, "buy": 93.3, "sell": 28.7, "prime": 2, "revL": 0, "revS": 0, "vcp": 0, "time": 1784640600000, "email_id": "b'1698'", "timestamp": "2026-07-21 16:01:02"}</t>
  </si>
  <si>
    <t>{"symbol": "ERIE", "strategy": "Daily", "action": "LONG", "alert_price": 225.06, "score": "", "dir_prob": "97.7", "net_sigma": "", "grade": "", "align": "", "premium": "", "wrong_if": "", "context": "", "subject": "Alert: Rev - Screener v1 (SPY, 12): Any alert() function call", "body": "{\"ticker\":\"ERIE\", \"setup\":\"A+ Trend Long\", \"side\":\"LONG\", \"price\":225.06, \"stage\":2, \"buy\":89.2, \"sell\":26.8, \"prime\":2, \"revL\":0, \"revS\":0, \"vcp\":0, \"dir_prob\":97.7, \"time\":1784554200000}", "ticker": "ERIE", "setup": "A+ Trend Long", "side": "LONG", "price": 225.06, "stage": 2, "buy": 89.2, "sell": 26.8, "prime": 2, "revL": 0, "revS": 0, "vcp": 0, "time": 1784554200000, "email_id": "b'1590'", "timestamp": "2026-07-20 16:01:27"}</t>
  </si>
  <si>
    <t>Buy: 97.2 | Sell: 10.3</t>
  </si>
  <si>
    <t>Buy: 73.1 | Sell: 29.1</t>
  </si>
  <si>
    <t>{"symbol": "WRB", "strategy": "Daily", "action": "LONG", "alert_price": 72.18, "score": "", "dir_prob": "96.2", "net_sigma": "", "grade": "", "align": "", "premium": "", "wrong_if": "", "context": "", "subject": "Alert: Rev - Screener v1 (SPY, 12): Any alert() function call", "body": "{\"ticker\":\"WRB\", \"setup\":\"A+ Trend Long\", \"side\":\"LONG\", \"price\":72.18, \"stage\":2, \"buy\":97.2, \"sell\":10.3, \"prime\":2, \"revL\":0, \"revS\":0, \"vcp\":1, \"dir_prob\":96.2, \"time\":1784640600000}", "ticker": "WRB", "setup": "A+ Trend Long", "side": "LONG", "price": 72.18, "stage": 2, "buy": 97.2, "sell": 10.3, "prime": 2, "revL": 0, "revS": 0, "vcp": 1, "time": 1784640600000, "email_id": "b'1699'", "timestamp": "2026-07-21 16:01:05"}</t>
  </si>
  <si>
    <t>TER</t>
  </si>
  <si>
    <t>{"symbol": "PGR", "strategy": "Daily", "action": "LONG", "alert_price": 212.16, "score": "", "dir_prob": "97.3", "net_sigma": "", "grade": "", "align": "", "premium": "", "wrong_if": "", "context": "", "subject": "Alert: Rev - Screener v1 (SPY, 12): Any alert() function call", "body": "{\"ticker\":\"PGR\", \"setup\":\"Early Action Long\", \"side\":\"LONG\", \"price\":212.16, \"stage\":2, \"buy\":73.1, \"sell\":29.1, \"prime\":1, \"revL\":0, \"revS\":0, \"vcp\":0, \"dir_prob\":97.3, \"time\":1784554200000}", "ticker": "PGR", "setup": "Early Action Long", "side": "LONG", "price": 212.16, "stage": 2, "buy": 73.1, "sell": 29.1, "prime": 1, "revL": 0, "revS": 0, "vcp": 0, "time": 1784554200000, "email_id": "b'1662'", "timestamp": "2026-07-20 16:01:16"}</t>
  </si>
  <si>
    <t>Buy: 10.5 | Sell: 86.9</t>
  </si>
  <si>
    <t>DD</t>
  </si>
  <si>
    <t>Buy: 16.2 | Sell: 88.3</t>
  </si>
  <si>
    <t>{"symbol": "TER", "strategy": "Daily", "action": "SHORT", "alert_price": 374.31, "score": "", "dir_prob": "0.9", "net_sigma": "", "grade": "", "align": "", "premium": "", "wrong_if": "", "context": "", "subject": "Alert: Rev - Screener v1 (SPY, 12): Any alert() function call", "body": "{\"ticker\":\"TER\", \"setup\":\"A+ Trend Short\", \"side\":\"SHORT\", \"price\":374.31, \"stage\":4, \"buy\":10.5, \"sell\":86.9, \"prime\":-2, \"revL\":0, \"revS\":0, \"vcp\":0, \"dir_prob\":0.9, \"time\":1784640600000}", "ticker": "TER", "setup": "A+ Trend Short", "side": "SHORT", "price": 374.31, "stage": 4, "buy": 10.5, "sell": 86.9, "prime": -2, "revL": 0, "revS": 0, "vcp": 0, "time": 1784640600000, "email_id": "b'1700'", "timestamp": "2026-07-21 16:01:02"}</t>
  </si>
  <si>
    <t>Buy: 96.5 | Sell: 12</t>
  </si>
  <si>
    <t>{"symbol": "DD", "strategy": "Daily", "action": "SHORT", "alert_price": 135.78, "score": "", "dir_prob": "6.6", "net_sigma": "", "grade": "", "align": "", "premium": "", "wrong_if": "", "context": "", "subject": "Alert: Rev - Screener v1 (SPY, 12): Any alert() function call", "body": "{\"ticker\":\"DD\", \"setup\":\"A+ Trend Short\", \"side\":\"SHORT\", \"price\":135.78, \"stage\":4, \"buy\":16.2, \"sell\":88.3, \"prime\":-2, \"revL\":0, \"revS\":0, \"vcp\":1, \"dir_prob\":6.6, \"time\":1784554200000}", "ticker": "DD", "setup": "A+ Trend Short", "side": "SHORT", "price": 135.78, "stage": 4, "buy": 16.2, "sell": 88.3, "prime": -2, "revL": 0, "revS": 0, "vcp": 1, "time": 1784554200000, "email_id": "b'1644'", "timestamp": "2026-07-20 16:01:13"}</t>
  </si>
  <si>
    <t>Buy: 92 | Sell: 7.2</t>
  </si>
  <si>
    <t>{"symbol": "WFC", "strategy": "Daily", "action": "LONG", "alert_price": 87.72, "score": "", "dir_prob": "93.9", "net_sigma": "", "grade": "", "align": "", "premium": "", "wrong_if": "", "context": "", "subject": "Alert: Rev - Screener v1 (SPY, 12): Any alert() function call", "body": "{\"ticker\":\"WFC\", \"setup\":\"A+ Trend Long\", \"side\":\"LONG\", \"price\":87.72, \"stage\":2, \"buy\":96.5, \"sell\":12, \"prime\":2, \"revL\":0, \"revS\":0, \"vcp\":1, \"dir_prob\":93.9, \"time\":1784640600000}", "ticker": "WFC", "setup": "A+ Trend Long", "side": "LONG", "price": 87.72, "stage": 2, "buy": 96.5, "sell": 12, "prime": 2, "revL": 0, "revS": 0, "vcp": 1, "time": 1784640600000, "email_id": "b'1701'", "timestamp": "2026-07-21 16:01:08"}</t>
  </si>
  <si>
    <t>Buy: 97.2 | Sell: 8.2</t>
  </si>
  <si>
    <t>{"symbol": "PANW", "strategy": "Daily", "action": "LONG", "alert_price": 349.0, "score": "", "dir_prob": "93.3", "net_sigma": "", "grade": "", "align": "", "premium": "", "wrong_if": "", "context": "", "subject": "Alert: Rev - Screener v1 (SPY, 12): Any alert() function call", "body": "{\"ticker\":\"PANW\", \"setup\":\"A+ Trend Long\", \"side\":\"LONG\", \"price\":349.00, \"stage\":2, \"buy\":92, \"sell\":7.2, \"prime\":2, \"revL\":0, \"revS\":0, \"vcp\":0, \"dir_prob\":93.3, \"time\":1784554200000}", "ticker": "PANW", "setup": "A+ Trend Long", "side": "LONG", "price": 349.0, "stage": 2, "buy": 92, "sell": 7.2, "prime": 2, "revL": 0, "revS": 0, "vcp": 0, "time": 1784554200000, "email_id": "b'1558'", "timestamp": "2026-07-20 16:01:08"}</t>
  </si>
  <si>
    <t>Buy: 94.4 | Sell: 9.2</t>
  </si>
  <si>
    <t>{"symbol": "TMO", "strategy": "Daily", "action": "LONG", "alert_price": 523.3, "score": "", "dir_prob": "92.1", "net_sigma": "", "grade": "", "align": "", "premium": "", "wrong_if": "", "context": "", "subject": "Alert: Rev - Screener v1 (SPY, 12): Any alert() function call", "body": "{\"ticker\":\"TMO\", \"setup\":\"A+ Trend Long\", \"side\":\"LONG\", \"price\":523.30, \"stage\":2, \"buy\":97.2, \"sell\":8.2, \"prime\":2, \"revL\":0, \"revS\":0, \"vcp\":0, \"dir_prob\":92.1, \"time\":1784640600000}", "ticker": "TMO", "setup": "A+ Trend Long", "side": "LONG", "price": 523.3, "stage": 2, "buy": 97.2, "sell": 8.2, "prime": 2, "revL": 0, "revS": 0, "vcp": 0, "time": 1784640600000, "email_id": "b'1702'", "timestamp": "2026-07-21 16:01:04"}</t>
  </si>
  <si>
    <t>Buy: 95.2 | Sell: 27</t>
  </si>
  <si>
    <t>{"symbol": "LYV", "strategy": "Daily", "action": "LONG", "alert_price": 181.01, "score": "", "dir_prob": "90.5", "net_sigma": "", "grade": "", "align": "", "premium": "", "wrong_if": "", "context": "", "subject": "Alert: Rev - Screener v1 (SPY, 12): Any alert() function call", "body": "{\"ticker\":\"LYV\", \"setup\":\"A+ Trend Long\", \"side\":\"LONG\", \"price\":181.01, \"stage\":2, \"buy\":94.4, \"sell\":9.2, \"prime\":2, \"revL\":0, \"revS\":0, \"vcp\":0, \"dir_prob\":90.5, \"time\":1784554200000}", "ticker": "LYV", "setup": "A+ Trend Long", "side": "LONG", "price": 181.01, "stage": 2, "buy": 94.4, "sell": 9.2, "prime": 2, "revL": 0, "revS": 0, "vcp": 0, "time": 1784554200000, "email_id": "b'1577'", "timestamp": "2026-07-20 16:01:01"}</t>
  </si>
  <si>
    <t>{"symbol": "CAH", "strategy": "Daily", "action": "LONG", "alert_price": 227.09, "score": "", "dir_prob": "95.3", "net_sigma": "", "grade": "", "align": "", "premium": "", "wrong_if": "", "context": "", "subject": "Alert: Rev - Screener v1 (SPY, 12): Any alert() function call", "body": "{\"ticker\":\"CAH\", \"setup\":\"A+ Trend Long\", \"side\":\"LONG\", \"price\":227.09, \"stage\":2, \"buy\":95.2, \"sell\":27, \"prime\":2, \"revL\":0, \"revS\":0, \"vcp\":0, \"dir_prob\":95.3, \"time\":1784640600000}", "ticker": "CAH", "setup": "A+ Trend Long", "side": "LONG", "price": 227.09, "stage": 2, "buy": 95.2, "sell": 27, "prime": 2, "revL": 0, "revS": 0, "vcp": 0, "time": 1784640600000, "email_id": "b'1703'", "timestamp": "2026-07-21 16:01:07"}</t>
  </si>
  <si>
    <t>Buy: 96.8 | Sell: 8.4</t>
  </si>
  <si>
    <t>Buy: 47.3 | Sell: 85.4</t>
  </si>
  <si>
    <t>{"symbol": "XYL", "strategy": "Daily", "action": "LONG", "alert_price": 116.98, "score": "", "dir_prob": "97.6", "net_sigma": "", "grade": "", "align": "", "premium": "", "wrong_if": "", "context": "", "subject": "Alert: Rev - Screener v1 (SPY, 12): Any alert() function call", "body": "{\"ticker\":\"XYL\", \"setup\":\"A+ Trend Long\", \"side\":\"LONG\", \"price\":116.98, \"stage\":2, \"buy\":96.8, \"sell\":8.4, \"prime\":2, \"revL\":0, \"revS\":0, \"vcp\":0, \"dir_prob\":97.6, \"time\":1784640600000}", "ticker": "XYL", "setup": "A+ Trend Long", "side": "LONG", "price": 116.98, "stage": 2, "buy": 96.8, "sell": 8.4, "prime": 2, "revL": 0, "revS": 0, "vcp": 0, "time": 1784640600000, "email_id": "b'1704'", "timestamp": "2026-07-21 16:01:08"}</t>
  </si>
  <si>
    <t>Buy: 96.5 | Sell: 17.3</t>
  </si>
  <si>
    <t>{"symbol": "CNC", "strategy": "Daily", "action": "SHORT", "alert_price": 65.84, "score": "", "dir_prob": "22.4", "net_sigma": "", "grade": "", "align": "", "premium": "", "wrong_if": "", "context": "", "subject": "Alert: Rev - Screener v1 (SPY, 12): Any alert() function call", "body": "{\"ticker\":\"CNC\", \"setup\":\"A+ Trend Short\", \"side\":\"SHORT\", \"price\":65.84, \"stage\":4, \"buy\":47.3, \"sell\":85.4, \"prime\":-2, \"revL\":0, \"revS\":0, \"vcp\":1, \"dir_prob\":22.4, \"time\":1784554200000}", "ticker": "CNC", "setup": "A+ Trend Short", "side": "SHORT", "price": 65.84, "stage": 4, "buy": 47.3, "sell": 85.4, "prime": -2, "revL": 0, "revS": 0, "vcp": 1, "time": 1784554200000, "email_id": "b'1619'", "timestamp": "2026-07-20 16:01:22"}</t>
  </si>
  <si>
    <t>Buy: 83.7 | Sell: 3.1</t>
  </si>
  <si>
    <t>{"symbol": "BAX", "strategy": "Daily", "action": "LONG", "alert_price": 22.21, "score": "", "dir_prob": "94.6", "net_sigma": "", "grade": "", "align": "", "premium": "", "wrong_if": "", "context": "", "subject": "Alert: Rev - Screener v1 (SPY, 12): Any alert() function call", "body": "{\"ticker\":\"BAX\", \"setup\":\"A+ Trend Long\", \"side\":\"LONG\", \"price\":22.21, \"stage\":2, \"buy\":96.5, \"sell\":17.3, \"prime\":2, \"revL\":0, \"revS\":0, \"vcp\":0, \"dir_prob\":94.6, \"time\":1784640600000}", "ticker": "BAX", "setup": "A+ Trend Long", "side": "LONG", "price": 22.21, "stage": 2, "buy": 96.5, "sell": 17.3, "prime": 2, "revL": 0, "revS": 0, "vcp": 0, "time": 1784640600000, "email_id": "b'1705'", "timestamp": "2026-07-21 16:01:10"}</t>
  </si>
  <si>
    <t>Buy: 95 | Sell: 28.5</t>
  </si>
  <si>
    <t>{"symbol": "AJG", "strategy": "Daily", "action": "LONG", "alert_price": 253.72, "score": "", "dir_prob": "98.9", "net_sigma": "", "grade": "", "align": "", "premium": "", "wrong_if": "", "context": "", "subject": "Alert: Rev - Screener v1 (SPY, 12): Any alert() function call", "body": "{\"ticker\":\"AJG\", \"setup\":\"Early Action Long\", \"side\":\"LONG\", \"price\":253.72, \"stage\":2, \"buy\":83.7, \"sell\":3.1, \"prime\":1, \"revL\":0, \"revS\":0, \"vcp\":0, \"dir_prob\":98.9, \"time\":1784554200000}", "ticker": "AJG", "setup": "Early Action Long", "side": "LONG", "price": 253.72, "stage": 2, "buy": 83.7, "sell": 3.1, "prime": 1, "revL": 0, "revS": 0, "vcp": 0, "time": 1784554200000, "email_id": "b'1560'", "timestamp": "2026-07-20 16:01:08"}</t>
  </si>
  <si>
    <t>Buy: 30.3 | Sell: 86.9</t>
  </si>
  <si>
    <t>{"symbol": "KVUE", "strategy": "Daily", "action": "LONG", "alert_price": 18.99, "score": "", "dir_prob": "89.9", "net_sigma": "", "grade": "", "align": "", "premium": "", "wrong_if": "", "context": "", "subject": "Alert: Rev - Screener v1 (SPY, 12): Any alert() function call", "body": "{\"ticker\":\"KVUE\", \"setup\":\"A+ Trend Long\", \"side\":\"LONG\", \"price\":18.99, \"stage\":2, \"buy\":95, \"sell\":28.5, \"prime\":2, \"revL\":0, \"revS\":0, \"vcp\":0, \"dir_prob\":89.9, \"time\":1784640600000}", "ticker": "KVUE", "setup": "A+ Trend Long", "side": "LONG", "price": 18.99, "stage": 2, "buy": 95, "sell": 28.5, "prime": 2, "revL": 0, "revS": 0, "vcp": 0, "time": 1784640600000, "email_id": "b'1706'", "timestamp": "2026-07-21 16:01:04"}</t>
  </si>
  <si>
    <t>Buy: 96.3 | Sell: 15.6</t>
  </si>
  <si>
    <t>{"symbol": "ELV", "strategy": "Daily", "action": "SHORT", "alert_price": 382.25, "score": "", "dir_prob": "16.3", "net_sigma": "", "grade": "", "align": "", "premium": "", "wrong_if": "", "context": "", "subject": "Alert: Rev - Screener v1 (SPY, 12): Any alert() function call", "body": "{\"ticker\":\"ELV\", \"setup\":\"A+ Trend Short\", \"side\":\"SHORT\", \"price\":382.25, \"stage\":4, \"buy\":30.3, \"sell\":86.9, \"prime\":-2, \"revL\":0, \"revS\":0, \"vcp\":0, \"dir_prob\":16.3, \"time\":1784554200000}", "ticker": "ELV", "setup": "A+ Trend Short", "side": "SHORT", "price": 382.25, "stage": 4, "buy": 30.3, "sell": 86.9, "prime": -2, "revL": 0, "revS": 0, "vcp": 0, "time": 1784554200000, "email_id": "b'1559'", "timestamp": "2026-07-20 16:01:44"}</t>
  </si>
  <si>
    <t>Buy: 95.8 | Sell: 22.2</t>
  </si>
  <si>
    <t>{"symbol": "GD", "strategy": "Daily", "action": "LONG", "alert_price": 367.8, "score": "", "dir_prob": "95.2", "net_sigma": "", "grade": "", "align": "", "premium": "", "wrong_if": "", "context": "", "subject": "Alert: Rev - Screener v1 (SPY, 12): Any alert() function call", "body": "{\"ticker\":\"GD\", \"setup\":\"A+ Trend Long\", \"side\":\"LONG\", \"price\":367.80, \"stage\":2, \"buy\":96.3, \"sell\":15.6, \"prime\":2, \"revL\":0, \"revS\":0, \"vcp\":0, \"dir_prob\":95.2, \"time\":1784640600000}", "ticker": "GD", "setup": "A+ Trend Long", "side": "LONG", "price": 367.8, "stage": 2, "buy": 96.3, "sell": 15.6, "prime": 2, "revL": 0, "revS": 0, "vcp": 0, "time": 1784640600000, "email_id": "b'1707'", "timestamp": "2026-07-21 16:01:10"}</t>
  </si>
  <si>
    <t>TREND_LONG fires with buy=97.38 &gt;&gt; 65, dir_prob=95.91, and stage=2. However, the dominant_side is 'long' while the news sentiment is NEUTRAL with no specific catalyst, and the recency data shows fresh 'TOP' and 'INTERNAL_WEAKNESS' warnings.</t>
  </si>
  <si>
    <t>Buy: 4.2 | Sell: 87.3</t>
  </si>
  <si>
    <t>{"symbol": "ZBRA", "strategy": "Daily", "action": "LONG", "alert_price": 264.56, "score": "", "dir_prob": "95.5", "net_sigma": "", "grade": "", "align": "", "premium": "", "wrong_if": "", "context": "", "subject": "Alert: Rev - Screener v1 (SPY, 12): Any alert() function call", "body": "{\"ticker\":\"ZBRA\", \"setup\":\"A+ Trend Long\", \"side\":\"LONG\", \"price\":264.56, \"stage\":2, \"buy\":95.8, \"sell\":22.2, \"prime\":2, \"revL\":0, \"revS\":0, \"vcp\":0, \"dir_prob\":95.5, \"time\":1784554200000}", "ticker": "ZBRA", "setup": "A+ Trend Long", "side": "LONG", "price": 264.56, "stage": 2, "buy": 95.8, "sell": 22.2, "prime": 2, "revL": 0, "revS": 0, "vcp": 0, "time": 1784554200000, "email_id": "b'1656'", "timestamp": "2026-07-20 16:01:17"}</t>
  </si>
  <si>
    <t>DLR</t>
  </si>
  <si>
    <t>Buy: 11.4 | Sell: 92</t>
  </si>
  <si>
    <t>{"symbol": "WMT", "strategy": "Daily", "action": "SHORT", "alert_price": 110.36, "score": "", "dir_prob": "5.1", "net_sigma": "", "grade": "", "align": "", "premium": "", "wrong_if": "", "context": "", "subject": "Alert: Rev - Screener v1 (SPY, 12): Any alert() function call", "body": "{\"ticker\":\"WMT\", \"setup\":\"A+ Trend Short\", \"side\":\"SHORT\", \"price\":110.36, \"stage\":4, \"buy\":4.2, \"sell\":87.3, \"prime\":-2, \"revL\":0, \"revS\":0, \"vcp\":0, \"dir_prob\":5.1, \"time\":1784640600000}", "ticker": "WMT", "setup": "A+ Trend Short", "side": "SHORT", "price": 110.36, "stage": 4, "buy": 4.2, "sell": 87.3, "prime": -2, "revL": 0, "revS": 0, "vcp": 0, "time": 1784640600000, "email_id": "b'1708'", "timestamp": "2026-07-21 16:01:05"}</t>
  </si>
  <si>
    <t>Buy: 92.6 | Sell: 12.8</t>
  </si>
  <si>
    <t>{"symbol": "DLR", "strategy": "Daily", "action": "SHORT", "alert_price": 176.3, "score": "", "dir_prob": "10.7", "net_sigma": "", "grade": "", "align": "", "premium": "", "wrong_if": "", "context": "", "subject": "Alert: Rev - Screener v1 (SPY, 12): Any alert() function call", "body": "{\"ticker\":\"DLR\", \"setup\":\"A+ Trend Short\", \"side\":\"SHORT\", \"price\":176.30, \"stage\":4, \"buy\":11.4, \"sell\":92, \"prime\":-2, \"revL\":0, \"revS\":0, \"vcp\":0, \"dir_prob\":10.7, \"time\":1784554200000}", "ticker": "DLR", "setup": "A+ Trend Short", "side": "SHORT", "price": 176.3, "stage": 4, "buy": 11.4, "sell": 92, "prime": -2, "revL": 0, "revS": 0, "vcp": 0, "time": 1784554200000, "email_id": "b'1674'", "timestamp": "2026-07-20 16:01:19"}</t>
  </si>
  <si>
    <t>{"symbol": "XYZ", "strategy": "Daily", "action": "LONG", "alert_price": 80.37, "score": "", "dir_prob": "92.8", "net_sigma": "", "grade": "", "align": "", "premium": "", "wrong_if": "", "context": "", "subject": "Alert: Rev - Screener v1 (SPY, 12): Any alert() function call", "body": "{\"ticker\":\"XYZ\", \"setup\":\"A+ Trend Long\", \"side\":\"LONG\", \"price\":80.37, \"stage\":2, \"buy\":92.6, \"sell\":12.8, \"prime\":2, \"revL\":0, \"revS\":0, \"vcp\":0, \"dir_prob\":92.8, \"time\":1784640600000}", "ticker": "XYZ", "setup": "A+ Trend Long", "side": "LONG", "price": 80.37, "stage": 2, "buy": 92.6, "sell": 12.8, "prime": 2, "revL": 0, "revS": 0, "vcp": 0, "time": 1784640600000, "email_id": "b'1709'", "timestamp": "2026-07-21 16:01:10"}</t>
  </si>
  <si>
    <t>Buy: 95.7 | Sell: 7.1</t>
  </si>
  <si>
    <t>{"symbol": "FITB", "strategy": "Daily", "action": "LONG", "alert_price": 57.64, "score": "", "dir_prob": "91.9", "net_sigma": "", "grade": "", "align": "", "premium": "", "wrong_if": "", "context": "", "subject": "Alert: Rev - Screener v1 (SPY, 12): Any alert() function call", "body": "{\"ticker\":\"FITB\", \"setup\":\"A+ Trend Long\", \"side\":\"LONG\", \"price\":57.64, \"stage\":2, \"buy\":95.7, \"sell\":7.1, \"prime\":2, \"revL\":0, \"revS\":0, \"vcp\":0, \"dir_prob\":91.9, \"time\":1784640600000}", "ticker": "FITB", "setup": "A+ Trend Long", "side": "LONG", "price": 57.64, "stage": 2, "buy": 95.7, "sell": 7.1, "prime": 2, "revL": 0, "revS": 0, "vcp": 0, "time": 1784640600000, "email_id": "b'1710'", "timestamp": "2026-07-21 16:01:07"}</t>
  </si>
  <si>
    <t>{"symbol": "AXON", "strategy": "Daily", "action": "LONG", "alert_price": 527.34, "score": "", "dir_prob": "98.2", "net_sigma": "", "grade": "", "align": "", "premium": "", "wrong_if": "", "context": "", "subject": "Alert: Rev - Screener v1 (SPY, 12): Any alert() function call", "body": "{\"ticker\":\"AXON\", \"setup\":\"A+ Trend Long\", \"side\":\"LONG\", \"price\":527.34, \"stage\":2, \"buy\":95.8, \"sell\":6.5, \"prime\":2, \"revL\":0, \"revS\":0, \"vcp\":0, \"dir_prob\":98.2, \"time\":1784554200000}", "ticker": "AXON", "setup": "A+ Trend Long", "side": "LONG", "price": 527.34, "stage": 2, "buy": 95.8, "sell": 6.5, "prime": 2, "revL": 0, "revS": 0, "vcp": 0, "time": 1784554200000, "email_id": "b'1566'", "timestamp": "2026-07-20 16:01:02"}</t>
  </si>
  <si>
    <t>Buy: 96.1 | Sell: 7.1</t>
  </si>
  <si>
    <t>Buy: 6 | Sell: 85.9</t>
  </si>
  <si>
    <t>{"symbol": "AIG", "strategy": "Daily", "action": "LONG", "alert_price": 80.23, "score": "", "dir_prob": "97.7", "net_sigma": "", "grade": "", "align": "", "premium": "", "wrong_if": "", "context": "", "subject": "Alert: Rev - Screener v1 (SPY, 12): Any alert() function call", "body": "{\"ticker\":\"AIG\", \"setup\":\"A+ Trend Long\", \"side\":\"LONG\", \"price\":80.23, \"stage\":2, \"buy\":96.1, \"sell\":7.1, \"prime\":2, \"revL\":0, \"revS\":0, \"vcp\":0, \"dir_prob\":97.7, \"time\":1784640600000}", "ticker": "AIG", "setup": "A+ Trend Long", "side": "LONG", "price": 80.23, "stage": 2, "buy": 96.1, "sell": 7.1, "prime": 2, "revL": 0, "revS": 0, "vcp": 0, "time": 1784640600000, "email_id": "b'1711'", "timestamp": "2026-07-21 16:01:30"}</t>
  </si>
  <si>
    <t>Buy: 88.6 | Sell: 18.4</t>
  </si>
  <si>
    <t>{"symbol": "AES", "strategy": "Daily", "action": "LONG", "alert_price": 14.8, "score": "", "dir_prob": "88.5", "net_sigma": "", "grade": "", "align": "", "premium": "", "wrong_if": "", "context": "", "subject": "Alert: Rev - Screener v1 (SPY, 12): Any alert() function call", "body": "{\"ticker\":\"AES\", \"setup\":\"A+ Trend Long\", \"side\":\"LONG\", \"price\":14.80, \"stage\":2, \"buy\":88.6, \"sell\":18.4, \"prime\":2, \"revL\":0, \"revS\":0, \"vcp\":0, \"dir_prob\":88.5, \"time\":1784640600000}", "ticker": "AES", "setup": "A+ Trend Long", "side": "LONG", "price": 14.8, "stage": 2, "buy": 88.6, "sell": 18.4, "prime": 2, "revL": 0, "revS": 0, "vcp": 0, "time": 1784640600000, "email_id": "b'1712'", "timestamp": "2026-07-21 16:01:12"}</t>
  </si>
  <si>
    <t>{"symbol": "BKR", "strategy": "Daily", "action": "SHORT", "alert_price": 55.13, "score": "", "dir_prob": "4.5", "net_sigma": "", "grade": "", "align": "", "premium": "", "wrong_if": "", "context": "", "subject": "Alert: Rev - Screener v1 (SPY, 12): Any alert() function call", "body": "{\"ticker\":\"BKR\", \"setup\":\"A+ Trend Short\", \"side\":\"SHORT\", \"price\":55.13, \"stage\":4, \"buy\":6, \"sell\":85.9, \"prime\":-2, \"revL\":0, \"revS\":0, \"vcp\":0, \"dir_prob\":4.5, \"time\":1784554200000}", "ticker": "BKR", "setup": "A+ Trend Short", "side": "SHORT", "price": 55.13, "stage": 4, "buy": 6, "sell": 85.9, "prime": -2, "revL": 0, "revS": 0, "vcp": 0, "time": 1784554200000, "email_id": "b'1547'", "timestamp": "2026-07-20 16:01:09"}</t>
  </si>
  <si>
    <t>Buy: 91.6 | Sell: 32.4</t>
  </si>
  <si>
    <t>WAIT (Set alerts at $213.30-$215.08 / $211.50 zone)</t>
  </si>
  <si>
    <t>Buy: 94.7 | Sell: 8.8</t>
  </si>
  <si>
    <t>{"symbol": "WSM", "strategy": "Daily", "action": "LONG", "alert_price": 221.1, "score": "", "dir_prob": "87.4", "net_sigma": "", "grade": "", "align": "", "premium": "", "wrong_if": "", "context": "", "subject": "Alert: Rev - Screener v1 (SPY, 12): Any alert() function call", "body": "{\"ticker\":\"WSM\", \"setup\":\"A+ Trend Long\", \"side\":\"LONG\", \"price\":221.10, \"stage\":2, \"buy\":91.6, \"sell\":32.4, \"prime\":2, \"revL\":0, \"revS\":0, \"vcp\":0, \"dir_prob\":87.4, \"time\":1784640600000}", "ticker": "WSM", "setup": "A+ Trend Long", "side": "LONG", "price": 221.1, "stage": 2, "buy": 91.6, "sell": 32.4, "prime": 2, "revL": 0, "revS": 0, "vcp": 0, "time": 1784640600000, "email_id": "b'1713'", "timestamp": "2026-07-21 16:01:11"}</t>
  </si>
  <si>
    <t>{"symbol": "XYL", "strategy": "Daily", "action": "LONG", "alert_price": 120.61, "score": "", "dir_prob": "97.4", "net_sigma": "", "grade": "", "align": "", "premium": "", "wrong_if": "", "context": "", "subject": "Alert: Rev - Screener v1 (SPY, 12): Any alert() function call", "body": "{\"ticker\":\"XYL\", \"setup\":\"A+ Trend Long\", \"side\":\"LONG\", \"price\":120.61, \"stage\":2, \"buy\":94.7, \"sell\":8.8, \"prime\":2, \"revL\":0, \"revS\":0, \"vcp\":0, \"dir_prob\":97.4, \"time\":1784554200000}", "ticker": "XYL", "setup": "A+ Trend Long", "side": "LONG", "price": 120.61, "stage": 2, "buy": 94.7, "sell": 8.8, "prime": 2, "revL": 0, "revS": 0, "vcp": 0, "time": 1784554200000, "email_id": "b'1622'", "timestamp": "2026-07-20 16:01:05"}</t>
  </si>
  <si>
    <t xml:space="preserve">TREND_LONG fires with buy=96.15 &gt;&gt; 65, dir_prob=94.97 &gt;&gt; 50, and stage=2 (up-trend). News CONFIRMS with a headline citing 'Strongest Q1 Results'. The 'chased' flag applies because zone_state is 'above_zone' and buy score is extremely high, </t>
  </si>
  <si>
    <t>Buy: 90 | Sell: 39.4</t>
  </si>
  <si>
    <t>Buy: 96 | Sell: 7.1</t>
  </si>
  <si>
    <t>{"symbol": "GL", "strategy": "Daily", "action": "LONG", "alert_price": 184.43, "score": "", "dir_prob": "72.9", "net_sigma": "", "grade": "", "align": "", "premium": "", "wrong_if": "", "context": "", "subject": "Alert: Rev - Screener v1 (SPY, 12): Any alert() function call", "body": "{\"ticker\":\"GL\", \"setup\":\"A+ Trend Long\", \"side\":\"LONG\", \"price\":184.43, \"stage\":2, \"buy\":90, \"sell\":39.4, \"prime\":2, \"revL\":0, \"revS\":0, \"vcp\":0, \"dir_prob\":72.9, \"time\":1784640600000}", "ticker": "GL", "setup": "A+ Trend Long", "side": "LONG", "price": 184.43, "stage": 2, "buy": 90, "sell": 39.4, "prime": 2, "revL": 0, "revS": 0, "vcp": 0, "time": 1784640600000, "email_id": "b'1714'", "timestamp": "2026-07-21 16:01:10"}</t>
  </si>
  <si>
    <t>Buy: 4.7 | Sell: 85.2</t>
  </si>
  <si>
    <t>{"symbol": "AWK", "strategy": "Daily", "action": "LONG", "alert_price": 133.67, "score": "", "dir_prob": "97.9", "net_sigma": "", "grade": "", "align": "", "premium": "", "wrong_if": "", "context": "", "subject": "Alert: Rev - Screener v1 (SPY, 12): Any alert() function call", "body": "{\"ticker\":\"AWK\", \"setup\":\"A+ Trend Long\", \"side\":\"LONG\", \"price\":133.67, \"stage\":2, \"buy\":96, \"sell\":7.1, \"prime\":2, \"revL\":0, \"revS\":0, \"vcp\":0, \"dir_prob\":97.9, \"time\":1784554200000}", "ticker": "AWK", "setup": "A+ Trend Long", "side": "LONG", "price": 133.67, "stage": 2, "buy": 96, "sell": 7.1, "prime": 2, "revL": 0, "revS": 0, "vcp": 0, "time": 1784554200000, "email_id": "b'1647'", "timestamp": "2026-07-20 16:01:15"}</t>
  </si>
  <si>
    <t>Buy: 95.7 | Sell: 9.6</t>
  </si>
  <si>
    <t>{"symbol": "CCI", "strategy": "Daily", "action": "SHORT", "alert_price": 76.19, "score": "", "dir_prob": "11.3", "net_sigma": "", "grade": "", "align": "", "premium": "", "wrong_if": "", "context": "", "subject": "Alert: Rev - Screener v1 (SPY, 12): Any alert() function call", "body": "{\"ticker\":\"CCI\", \"setup\":\"A+ Trend Short\", \"side\":\"SHORT\", \"price\":76.19, \"stage\":4, \"buy\":4.7, \"sell\":85.2, \"prime\":-2, \"revL\":0, \"revS\":0, \"vcp\":0, \"dir_prob\":11.3, \"time\":1784640600000}", "ticker": "CCI", "setup": "A+ Trend Short", "side": "SHORT", "price": 76.19, "stage": 4, "buy": 4.7, "sell": 85.2, "prime": -2, "revL": 0, "revS": 0, "vcp": 0, "time": 1784640600000, "email_id": "b'1715'", "timestamp": "2026-07-21 16:01:12"}</t>
  </si>
  <si>
    <t>Buy: 14.7 | Sell: 87.4</t>
  </si>
  <si>
    <t>WATCH (Prepare short entry on rally to $51.96–$52.38 zone — DO NOT chase at current price)</t>
  </si>
  <si>
    <t>{"symbol": "KEY", "strategy": "Daily", "action": "LONG", "alert_price": 23.34, "score": "", "dir_prob": "92.4", "net_sigma": "", "grade": "", "align": "", "premium": "", "wrong_if": "", "context": "", "subject": "Alert: Rev - Screener v1 (SPY, 12): Any alert() function call", "body": "{\"ticker\":\"KEY\", \"setup\":\"A+ Trend Long\", \"side\":\"LONG\", \"price\":23.34, \"stage\":2, \"buy\":95.7, \"sell\":9.6, \"prime\":2, \"revL\":0, \"revS\":0, \"vcp\":1, \"dir_prob\":92.4, \"time\":1784554200000}", "ticker": "KEY", "setup": "A+ Trend Long", "side": "LONG", "price": 23.34, "stage": 2, "buy": 95.7, "sell": 9.6, "prime": 2, "revL": 0, "revS": 0, "vcp": 1, "time": 1784554200000, "email_id": "b'1574'", "timestamp": "2026-07-20 16:01:26"}</t>
  </si>
  <si>
    <t>Buy: 95.3 | Sell: 11</t>
  </si>
  <si>
    <t>{"symbol": "FOX", "strategy": "Daily", "action": "SHORT", "alert_price": 51.47, "score": "", "dir_prob": "7.9", "net_sigma": "", "grade": "", "align": "", "premium": "", "wrong_if": "", "context": "", "subject": "Alert: Rev - Screener v1 (SPY, 12): Any alert() function call", "body": "{\"ticker\":\"FOX\", \"setup\":\"A+ Trend Short\", \"side\":\"SHORT\", \"price\":51.47, \"stage\":4, \"buy\":14.7, \"sell\":87.4, \"prime\":-2, \"revL\":0, \"revS\":0, \"vcp\":0, \"dir_prob\":7.9, \"time\":1784640600000}", "ticker": "FOX", "setup": "A+ Trend Short", "side": "SHORT", "price": 51.47, "stage": 4, "buy": 14.7, "sell": 87.4, "prime": -2, "revL": 0, "revS": 0, "vcp": 0, "time": 1784640600000, "email_id": "b'1716'", "timestamp": "2026-07-21 16:01:16"}</t>
  </si>
  <si>
    <t>TREND_SHORT fires with sell=96.2 &gt;&gt; buy=27.76 and dir_prob=2.22 &lt;&lt; 50, indicating strong bearish momentum in Stage 4. News is NEUTRAL (earnings preview) and does not contradict the technicals. The 'pullback' flag suggests a dip-buy risk for</t>
  </si>
  <si>
    <t>Buy: 97.3 | Sell: 18.1</t>
  </si>
  <si>
    <t>{"symbol": "TMO", "strategy": "Daily", "action": "LONG", "alert_price": 526.28, "score": "", "dir_prob": "91.1", "net_sigma": "", "grade": "", "align": "", "premium": "", "wrong_if": "", "context": "", "subject": "Alert: Rev - Screener v1 (SPY, 12): Any alert() function call", "body": "{\"ticker\":\"TMO\", \"setup\":\"A+ Trend Long\", \"side\":\"LONG\", \"price\":526.28, \"stage\":2, \"buy\":95.3, \"sell\":11, \"prime\":2, \"revL\":0, \"revS\":0, \"vcp\":0, \"dir_prob\":91.1, \"time\":1784554200000}", "ticker": "TMO", "setup": "A+ Trend Long", "side": "LONG", "price": 526.28, "stage": 2, "buy": 95.3, "sell": 11, "prime": 2, "revL": 0, "revS": 0, "vcp": 0, "time": 1784554200000, "email_id": "b'1667'", "timestamp": "2026-07-20 16:01:19"}</t>
  </si>
  <si>
    <t>{"symbol": "DASH", "strategy": "Daily", "action": "LONG", "alert_price": 188.06, "score": "", "dir_prob": "96.7", "net_sigma": "", "grade": "", "align": "", "premium": "", "wrong_if": "", "context": "", "subject": "Alert: Rev - Screener v1 (SPY, 12): Any alert() function call", "body": "{\"ticker\":\"DASH\", \"setup\":\"A+ Trend Long\", \"side\":\"LONG\", \"price\":188.06, \"stage\":2, \"buy\":97.3, \"sell\":18.1, \"prime\":2, \"revL\":0, \"revS\":0, \"vcp\":1, \"dir_prob\":96.7, \"time\":1784640600000}", "ticker": "DASH", "setup": "A+ Trend Long", "side": "LONG", "price": 188.06, "stage": 2, "buy": 97.3, "sell": 18.1, "prime": 2, "revL": 0, "revS": 0, "vcp": 1, "time": 1784640600000, "email_id": "b'1717'", "timestamp": "2026-07-21 16:01:05"}</t>
  </si>
  <si>
    <t>Buy: 97.7 | Sell: 3.8</t>
  </si>
  <si>
    <t>Buy: 92.6 | Sell: 12.2</t>
  </si>
  <si>
    <t>{"symbol": "IQV", "strategy": "Daily", "action": "LONG", "alert_price": 203.99, "score": "", "dir_prob": "93.7", "net_sigma": "", "grade": "", "align": "", "premium": "", "wrong_if": "", "context": "", "subject": "Alert: Rev - Screener v1 (SPY, 12): Any alert() function call", "body": "{\"ticker\":\"IQV\", \"setup\":\"A+ Trend Long\", \"side\":\"LONG\", \"price\":203.99, \"stage\":2, \"buy\":97.7, \"sell\":3.8, \"prime\":2, \"revL\":0, \"revS\":0, \"vcp\":0, \"dir_prob\":93.7, \"time\":1784554200000}", "ticker": "IQV", "setup": "A+ Trend Long", "side": "LONG", "price": 203.99, "stage": 2, "buy": 97.7, "sell": 3.8, "prime": 2, "revL": 0, "revS": 0, "vcp": 0, "time": 1784554200000, "email_id": "b'1637'", "timestamp": "2026-07-20 16:01:20"}</t>
  </si>
  <si>
    <t>TREND_LONG fires with buy=98.76 &gt;&gt; 65, dir_prob=87.87 &gt;&gt; 50, and stage=2 (up-trend). News CONFIRMS the bullish bias with a headline on AI risks making dividend stocks attractive. No VETO flags apply; the 'pullback' flag is a soft annotation</t>
  </si>
  <si>
    <t>{"symbol": "EIX", "strategy": "Daily", "action": "LONG", "alert_price": 78.14, "score": "", "dir_prob": "87.2", "net_sigma": "", "grade": "", "align": "", "premium": "", "wrong_if": "", "context": "", "subject": "Alert: Rev - Screener v1 (SPY, 12): Any alert() function call", "body": "{\"ticker\":\"EIX\", \"setup\":\"A+ Trend Long\", \"side\":\"LONG\", \"price\":78.14, \"stage\":2, \"buy\":92.6, \"sell\":12.2, \"prime\":2, \"revL\":0, \"revS\":0, \"vcp\":0, \"dir_prob\":87.2, \"time\":1784640600000}", "ticker": "EIX", "setup": "A+ Trend Long", "side": "LONG", "price": 78.14, "stage": 2, "buy": 92.6, "sell": 12.2, "prime": 2, "revL": 0, "revS": 0, "vcp": 0, "time": 1784640600000, "email_id": "b'1718'", "timestamp": "2026-07-21 16:01:15"}</t>
  </si>
  <si>
    <t>Buy: 97.5 | Sell: 9.3</t>
  </si>
  <si>
    <t>Buy: 75.4 | Sell: 48.5</t>
  </si>
  <si>
    <t>{"symbol": "ES", "strategy": "Daily", "action": "LONG", "alert_price": 74.06, "score": "", "dir_prob": "94.9", "net_sigma": "", "grade": "", "align": "", "premium": "", "wrong_if": "", "context": "", "subject": "Alert: Rev - Screener v1 (SPY, 12): Any alert() function call", "body": "{\"ticker\":\"ES\", \"setup\":\"A+ Trend Long\", \"side\":\"LONG\", \"price\":74.06, \"stage\":2, \"buy\":97.5, \"sell\":9.3, \"prime\":2, \"revL\":0, \"revS\":0, \"vcp\":0, \"dir_prob\":94.9, \"time\":1784554200000}", "ticker": "ES", "setup": "A+ Trend Long", "side": "LONG", "price": 74.06, "stage": 2, "buy": 97.5, "sell": 9.3, "prime": 2, "revL": 0, "revS": 0, "vcp": 0, "time": 1784554200000, "email_id": "b'1540'", "timestamp": "2026-07-20 16:01:03"}</t>
  </si>
  <si>
    <t>{"symbol": "CVS", "strategy": "Daily", "action": "LONG", "alert_price": 110.58, "score": "", "dir_prob": "69.5", "net_sigma": "", "grade": "", "align": "", "premium": "", "wrong_if": "", "context": "", "subject": "Alert: Rev - Screener v1 (SPY, 12): Any alert() function call", "body": "{\"ticker\":\"CVS\", \"setup\":\"Bullish Squeeze Release\", \"side\":\"LONG\", \"price\":110.58, \"stage\":2, \"buy\":75.4, \"sell\":48.5, \"prime\":1, \"revL\":0, \"revS\":0, \"vcp\":2, \"dir_prob\":69.5, \"time\":1784640600000}", "ticker": "CVS", "setup": "Bullish Squeeze Release", "side": "LONG", "price": 110.58, "stage": 2, "buy": 75.4, "sell": 48.5, "prime": 1, "revL": 0, "revS": 0, "vcp": 2, "time": 1784640600000, "email_id": "b'1719'", "timestamp": "2026-07-21 16:01:14"}</t>
  </si>
  <si>
    <t>TREND_LONG fires with buy=94.42 &gt;&gt; 65, dir_prob=97.02, and stage=2. The news is NEUTRAL (irrelevant headline) and does not contradict the long bias. Triage is capped to WATCH due to 'earnings' flag (10 days out) and 'churn' risk from the 'p</t>
  </si>
  <si>
    <t>Buy: 5.2 | Sell: 92.9</t>
  </si>
  <si>
    <t>Buy: 13.7 | Sell: 85.1</t>
  </si>
  <si>
    <t>{"symbol": "SWKS", "strategy": "Daily", "action": "SHORT", "alert_price": 62.93, "score": "", "dir_prob": "7.6", "net_sigma": "", "grade": "", "align": "", "premium": "", "wrong_if": "", "context": "", "subject": "Alert: Rev - Screener v1 (SPY, 12): Any alert() function call", "body": "{\"ticker\":\"SWKS\", \"setup\":\"A+ Trend Short\", \"side\":\"SHORT\", \"price\":62.93, \"stage\":4, \"buy\":5.2, \"sell\":92.9, \"prime\":-2, \"revL\":0, \"revS\":0, \"vcp\":0, \"dir_prob\":7.6, \"time\":1784640600000}", "ticker": "SWKS", "setup": "A+ Trend Short", "side": "SHORT", "price": 62.93, "stage": 4, "buy": 5.2, "sell": 92.9, "prime": -2, "revL": 0, "revS": 0, "vcp": 0, "time": 1784640600000, "email_id": "b'1720'", "timestamp": "2026-07-21 16:01:13"}</t>
  </si>
  <si>
    <t>SPGI</t>
  </si>
  <si>
    <t>Buy: 96.4 | Sell: 4.2</t>
  </si>
  <si>
    <t>{"symbol": "DOW", "strategy": "Daily", "action": "SHORT", "alert_price": 30.38, "score": "", "dir_prob": "9.4", "net_sigma": "", "grade": "", "align": "", "premium": "", "wrong_if": "", "context": "", "subject": "Alert: Rev - Screener v1 (SPY, 12): Any alert() function call", "body": "{\"ticker\":\"DOW\", \"setup\":\"A+ Trend Short\", \"side\":\"SHORT\", \"price\":30.38, \"stage\":4, \"buy\":13.7, \"sell\":85.1, \"prime\":-2, \"revL\":0, \"revS\":0, \"vcp\":0, \"dir_prob\":9.4, \"time\":1784554200000}", "ticker": "DOW", "setup": "A+ Trend Short", "side": "SHORT", "price": 30.38, "stage": 4, "buy": 13.7, "sell": 85.1, "prime": -2, "revL": 0, "revS": 0, "vcp": 0, "time": 1784554200000, "email_id": "b'1568'", "timestamp": "2026-07-20 16:01:16"}</t>
  </si>
  <si>
    <t>Buy: 97.3 | Sell: 6.2</t>
  </si>
  <si>
    <t>{"symbol": "SPGI", "strategy": "Daily", "action": "LONG", "alert_price": 431.21, "score": "", "dir_prob": "96.2", "net_sigma": "", "grade": "", "align": "", "premium": "", "wrong_if": "", "context": "", "subject": "Alert: Rev - Screener v1 (SPY, 12): Any alert() function call", "body": "{\"ticker\":\"SPGI\", \"setup\":\"A+ Trend Long\", \"side\":\"LONG\", \"price\":431.21, \"stage\":2, \"buy\":96.4, \"sell\":4.2, \"prime\":2, \"revL\":0, \"revS\":0, \"vcp\":0, \"dir_prob\":96.2, \"time\":1784640600000}", "ticker": "SPGI", "setup": "A+ Trend Long", "side": "LONG", "price": 431.21, "stage": 2, "buy": 96.4, "sell": 4.2, "prime": 2, "revL": 0, "revS": 0, "vcp": 0, "time": 1784640600000, "email_id": "b'1721'", "timestamp": "2026-07-21 16:01:18"}</t>
  </si>
  <si>
    <t>VEEV</t>
  </si>
  <si>
    <t>{"symbol": "ACGL", "strategy": "Daily", "action": "LONG", "alert_price": 101.82, "score": "", "dir_prob": "95.5", "net_sigma": "", "grade": "", "align": "", "premium": "", "wrong_if": "", "context": "", "subject": "Alert: Rev - Screener v1 (SPY, 12): Any alert() function call", "body": "{\"ticker\":\"ACGL\", \"setup\":\"A+ Trend Long\", \"side\":\"LONG\", \"price\":101.82, \"stage\":2, \"buy\":97.3, \"sell\":6.2, \"prime\":2, \"revL\":0, \"revS\":0, \"vcp\":0, \"dir_prob\":95.5, \"time\":1784554200000}", "ticker": "ACGL", "setup": "A+ Trend Long", "side": "LONG", "price": 101.82, "stage": 2, "buy": 97.3, "sell": 6.2, "prime": 2, "revL": 0, "revS": 0, "vcp": 0, "time": 1784554200000, "email_id": "b'1671'", "timestamp": "2026-07-20 16:01:30"}</t>
  </si>
  <si>
    <t>Buy: 96.4 | Sell: 3.4</t>
  </si>
  <si>
    <t>Buy: 85 | Sell: 28</t>
  </si>
  <si>
    <t>{"symbol": "FTNT", "strategy": "Daily", "action": "LONG", "alert_price": 160.36, "score": "", "dir_prob": "84.4", "net_sigma": "", "grade": "", "align": "", "premium": "", "wrong_if": "", "context": "", "subject": "Alert: Rev - Screener v1 (SPY, 12): Any alert() function call", "body": "{\"ticker\":\"FTNT\", \"setup\":\"A+ Trend Long\", \"side\":\"LONG\", \"price\":160.36, \"stage\":2, \"buy\":85, \"sell\":28, \"prime\":2, \"revL\":0, \"revS\":0, \"vcp\":0, \"dir_prob\":84.4, \"time\":1784554200000}", "ticker": "FTNT", "setup": "A+ Trend Long", "side": "LONG", "price": 160.36, "stage": 2, "buy": 85, "sell": 28, "prime": 2, "revL": 0, "revS": 0, "vcp": 0, "time": 1784554200000, "email_id": "b'1533'", "timestamp": "2026-07-20 16:01:02"}</t>
  </si>
  <si>
    <t>{"symbol": "VEEV", "strategy": "Daily", "action": "LONG", "alert_price": 189.24, "score": "", "dir_prob": "99.1", "net_sigma": "", "grade": "", "align": "", "premium": "", "wrong_if": "", "context": "", "subject": "Alert: Rev - Screener v1 (SPY, 12): Any alert() function call", "body": "{\"ticker\":\"VEEV\", \"setup\":\"A+ Trend Long\", \"side\":\"LONG\", \"price\":189.24, \"stage\":2, \"buy\":96.4, \"sell\":3.4, \"prime\":2, \"revL\":0, \"revS\":0, \"vcp\":0, \"dir_prob\":99.1, \"time\":1784640600000}", "ticker": "VEEV", "setup": "A+ Trend Long", "side": "LONG", "price": 189.24, "stage": 2, "buy": 96.4, "sell": 3.4, "prime": 2, "revL": 0, "revS": 0, "vcp": 0, "time": 1784640600000, "email_id": "b'1722'", "timestamp": "2026-07-21 16:01:20"}</t>
  </si>
  <si>
    <t>EQIX</t>
  </si>
  <si>
    <t>Buy: 6.5 | Sell: 87.2</t>
  </si>
  <si>
    <t>Buy: 97.3 | Sell: 5.1</t>
  </si>
  <si>
    <t>**SKIP — WAIT FOR LTF CONFIRMATION**</t>
  </si>
  <si>
    <t>3</t>
  </si>
  <si>
    <t>{"symbol": "EQIX", "strategy": "Daily", "action": "SHORT", "alert_price": 1017.32, "score": "", "dir_prob": "8.8", "net_sigma": "", "grade": "", "align": "", "premium": "", "wrong_if": "", "context": "", "subject": "Alert: Rev - Screener v1 (SPY, 12): Any alert() function call", "body": "{\"ticker\":\"EQIX\", \"setup\":\"A+ Trend Short\", \"side\":\"SHORT\", \"price\":1017.32, \"stage\":4, \"buy\":6.5, \"sell\":87.2, \"prime\":-2, \"revL\":0, \"revS\":0, \"vcp\":0, \"dir_prob\":8.8, \"time\":1784554200000}", "ticker": "EQIX", "setup": "A+ Trend Short", "side": "SHORT", "price": 1017.32, "stage": 4, "buy": 6.5, "sell": 87.2, "prime": -2, "revL": 0, "revS": 0, "vcp": 0, "time": 1784554200000, "email_id": "b'1630'", "timestamp": "2026-07-20 16:01:16"}</t>
  </si>
  <si>
    <t>{"symbol": "ACGL", "strategy": "Daily", "action": "LONG", "alert_price": 100.54, "score": "", "dir_prob": "95.5", "net_sigma": "", "grade": "", "align": "", "premium": "", "wrong_if": "", "context": "", "subject": "Alert: Rev - Screener v1 (SPY, 12): Any alert() function call", "body": "{\"ticker\":\"ACGL\", \"setup\":\"A+ Trend Long\", \"side\":\"LONG\", \"price\":100.54, \"stage\":2, \"buy\":97.3, \"sell\":5.1, \"prime\":2, \"revL\":0, \"revS\":0, \"vcp\":0, \"dir_prob\":95.5, \"time\":1784640600000}", "ticker": "ACGL", "setup": "A+ Trend Long", "side": "LONG", "price": 100.54, "stage": 2, "buy": 97.3, "sell": 5.1, "prime": 2, "revL": 0, "revS": 0, "vcp": 0, "time": 1784640600000, "email_id": "b'1723'", "timestamp": "2026-07-21 16:01:19"}</t>
  </si>
  <si>
    <t>Buy: 85.7 | Sell: 42.8</t>
  </si>
  <si>
    <t>TREND_LONG fires with buy=98.71 &gt;&gt; 65, dir_prob=93.81, and stage=2. However, the 'WATCH' triage is capped because earnings are in 7 days (earnings_gate=PASS but imminent) and the dominant side is 'long' while zone_state is 'above_zone' with</t>
  </si>
  <si>
    <t>WAIT (No Fresh Long Entry) | SELL PREMIUM (If Holding 100+ Shares)</t>
  </si>
  <si>
    <t>Buy: 53.9 | Sell: 92.5</t>
  </si>
  <si>
    <t>{"symbol": "T", "strategy": "Daily", "action": "SHORT", "alert_price": 22.28, "score": "", "dir_prob": "35.9", "net_sigma": "", "grade": "", "align": "", "premium": "", "wrong_if": "", "context": "", "subject": "Alert: Rev - Screener v1 (SPY, 12): Any alert() function call", "body": "{\"ticker\":\"T\", \"setup\":\"A+ Trend Short\", \"side\":\"SHORT\", \"price\":22.28, \"stage\":4, \"buy\":53.9, \"sell\":92.5, \"prime\":-2, \"revL\":0, \"revS\":0, \"vcp\":0, \"dir_prob\":35.9, \"time\":1784640600000}", "ticker": "T", "setup": "A+ Trend Short", "side": "SHORT", "price": 22.28, "stage": 4, "buy": 53.9, "sell": 92.5, "prime": -2, "revL": 0, "revS": 0, "vcp": 0, "time": 1784640600000, "email_id": "b'1724'", "timestamp": "2026-07-21 16:01:05"}</t>
  </si>
  <si>
    <t>Buy: 90.2 | Sell: 8.5</t>
  </si>
  <si>
    <t>{"symbol": "TTWO", "strategy": "Daily", "action": "LONG", "alert_price": 239.03, "score": "", "dir_prob": "82.3", "net_sigma": "", "grade": "", "align": "", "premium": "", "wrong_if": "", "context": "", "subject": "Alert: Rev - Screener v1 (SPY, 12): Any alert() function call", "body": "{\"ticker\":\"TTWO\", \"setup\":\"A+ Trend Long\", \"side\":\"LONG\", \"price\":239.03, \"stage\":2, \"buy\":85.7, \"sell\":42.8, \"prime\":2, \"revL\":0, \"revS\":0, \"vcp\":0, \"dir_prob\":82.3, \"time\":1784554200000}", "ticker": "TTWO", "setup": "A+ Trend Long", "side": "LONG", "price": 239.03, "stage": 2, "buy": 85.7, "sell": 42.8, "prime": 2, "revL": 0, "revS": 0, "vcp": 0, "time": 1784554200000, "email_id": "b'1572'", "timestamp": "2026-07-20 16:01:12"}</t>
  </si>
  <si>
    <t>TREND_LONG fires with buy=68.87 &gt;= 65, dir_prob=81.76 &gt;= 50, and stage=2 (up-trend). News CONFIRMS the bullish bias with positive headlines on GTA VI cash flow and competitive edge. The 'pullback' flag indicates a healthy dip-buy setup, and</t>
  </si>
  <si>
    <t>Buy: 18.4 | Sell: 90.4</t>
  </si>
  <si>
    <t>{"symbol": "PANW", "strategy": "Daily", "action": "LONG", "alert_price": 342.07, "score": "", "dir_prob": "92.5", "net_sigma": "", "grade": "", "align": "", "premium": "", "wrong_if": "", "context": "", "subject": "Alert: Rev - Screener v1 (SPY, 12): Any alert() function call", "body": "{\"ticker\":\"PANW\", \"setup\":\"A+ Trend Long\", \"side\":\"LONG\", \"price\":342.07, \"stage\":2, \"buy\":90.2, \"sell\":8.5, \"prime\":2, \"revL\":0, \"revS\":0, \"vcp\":0, \"dir_prob\":92.5, \"time\":1784640600000}", "ticker": "PANW", "setup": "A+ Trend Long", "side": "LONG", "price": 342.07, "stage": 2, "buy": 90.2, "sell": 8.5, "prime": 2, "revL": 0, "revS": 0, "vcp": 0, "time": 1784640600000, "email_id": "b'1725'", "timestamp": "2026-07-21 16:01:18"}</t>
  </si>
  <si>
    <t>Buy: 92.7 | Sell: 9.8</t>
  </si>
  <si>
    <t>{"symbol": "AKAM", "strategy": "Daily", "action": "SHORT", "alert_price": 123.16, "score": "", "dir_prob": "8", "net_sigma": "", "grade": "", "align": "", "premium": "", "wrong_if": "", "context": "", "subject": "Alert: Rev - Screener v1 (SPY, 12): Any alert() function call", "body": "{\"ticker\":\"AKAM\", \"setup\":\"A+ Trend Short\", \"side\":\"SHORT\", \"price\":123.16, \"stage\":4, \"buy\":18.4, \"sell\":90.4, \"prime\":-2, \"revL\":0, \"revS\":0, \"vcp\":0, \"dir_prob\":8, \"time\":1784554200000}", "ticker": "AKAM", "setup": "A+ Trend Short", "side": "SHORT", "price": 123.16, "stage": 4, "buy": 18.4, "sell": 90.4, "prime": -2, "revL": 0, "revS": 0, "vcp": 0, "time": 1784554200000, "email_id": "b'1621'", "timestamp": "2026-07-20 16:01:07"}</t>
  </si>
  <si>
    <t>{"symbol": "AIZ", "strategy": "Daily", "action": "LONG", "alert_price": 275.81, "score": "", "dir_prob": "89", "net_sigma": "", "grade": "", "align": "", "premium": "", "wrong_if": "", "context": "", "subject": "Alert: Rev - Screener v1 (SPY, 12): Any alert() function call", "body": "{\"ticker\":\"AIZ\", \"setup\":\"A+ Trend Long\", \"side\":\"LONG\", \"price\":275.81, \"stage\":2, \"buy\":92.7, \"sell\":9.8, \"prime\":2, \"revL\":0, \"revS\":0, \"vcp\":0, \"dir_prob\":89, \"time\":1784640600000}", "ticker": "AIZ", "setup": "A+ Trend Long", "side": "LONG", "price": 275.81, "stage": 2, "buy": 92.7, "sell": 9.8, "prime": 2, "revL": 0, "revS": 0, "vcp": 0, "time": 1784640600000, "email_id": "b'1726'", "timestamp": "2026-07-21 16:01:21"}</t>
  </si>
  <si>
    <t>Buy: 96.8 | Sell: 6.2</t>
  </si>
  <si>
    <t>Buy: 89.7 | Sell: 2.7</t>
  </si>
  <si>
    <t>{"symbol": "SHW", "strategy": "Daily", "action": "LONG", "alert_price": 318.43, "score": "", "dir_prob": "95.4", "net_sigma": "", "grade": "", "align": "", "premium": "", "wrong_if": "", "context": "", "subject": "Alert: Rev - Screener v1 (SPY, 12): Any alert() function call", "body": "{\"ticker\":\"SHW\", \"setup\":\"A+ Trend Long\", \"side\":\"LONG\", \"price\":318.43, \"stage\":2, \"buy\":89.7, \"sell\":2.7, \"prime\":2, \"revL\":0, \"revS\":0, \"vcp\":0, \"dir_prob\":95.4, \"time\":1784640600000}", "ticker": "SHW", "setup": "A+ Trend Long", "side": "LONG", "price": 318.43, "stage": 2, "buy": 89.7, "sell": 2.7, "prime": 2, "revL": 0, "revS": 0, "vcp": 0, "time": 1784640600000, "email_id": "b'1729'", "timestamp": "2026-07-21 16:01:18"}</t>
  </si>
  <si>
    <t>Buy: 94.7 | Sell: 33.5</t>
  </si>
  <si>
    <t>{"symbol": "ED", "strategy": "Daily", "action": "LONG", "alert_price": 111.06, "score": "", "dir_prob": "95.4", "net_sigma": "", "grade": "", "align": "", "premium": "", "wrong_if": "", "context": "", "subject": "Alert: Rev - Screener v1 (SPY, 12): Any alert() function call", "body": "{\"ticker\":\"ED\", \"setup\":\"A+ Trend Long\", \"side\":\"LONG\", \"price\":111.06, \"stage\":2, \"buy\":96.8, \"sell\":6.2, \"prime\":2, \"revL\":0, \"revS\":0, \"vcp\":1, \"dir_prob\":95.4, \"time\":1784554200000}", "ticker": "ED", "setup": "A+ Trend Long", "side": "LONG", "price": 111.06, "stage": 2, "buy": 96.8, "sell": 6.2, "prime": 2, "revL": 0, "revS": 0, "vcp": 1, "time": 1784554200000, "email_id": "b'1658'", "timestamp": "2026-07-20 16:01:17"}</t>
  </si>
  <si>
    <t>Buy: 89.6 | Sell: 18.2</t>
  </si>
  <si>
    <t>{"symbol": "DGX", "strategy": "Daily", "action": "LONG", "alert_price": 206.85, "score": "", "dir_prob": "90.4", "net_sigma": "", "grade": "", "align": "", "premium": "", "wrong_if": "", "context": "", "subject": "Alert: Rev - Screener v1 (SPY, 12): Any alert() function call", "body": "{\"ticker\":\"DGX\", \"setup\":\"A+ Trend Long\", \"side\":\"LONG\", \"price\":206.85, \"stage\":2, \"buy\":94.7, \"sell\":33.5, \"prime\":2, \"revL\":0, \"revS\":0, \"vcp\":0, \"dir_prob\":90.4, \"time\":1784640600000}", "ticker": "DGX", "setup": "A+ Trend Long", "side": "LONG", "price": 206.85, "stage": 2, "buy": 94.7, "sell": 33.5, "prime": 2, "revL": 0, "revS": 0, "vcp": 0, "time": 1784640600000, "email_id": "b'1727'", "timestamp": "2026-07-21 16:01:19"}</t>
  </si>
  <si>
    <t>{"symbol": "HRL", "strategy": "Daily", "action": "LONG", "alert_price": 25.28, "score": "", "dir_prob": "92.8", "net_sigma": "", "grade": "", "align": "", "premium": "", "wrong_if": "", "context": "", "subject": "Alert: Rev - Screener v1 (SPY, 12): Any alert() function call", "body": "{\"ticker\":\"HRL\", \"setup\":\"A+ Trend Long\", \"side\":\"LONG\", \"price\":25.28, \"stage\":2, \"buy\":89.6, \"sell\":18.2, \"prime\":2, \"revL\":0, \"revS\":0, \"vcp\":0, \"dir_prob\":92.8, \"time\":1784554200000}", "ticker": "HRL", "setup": "A+ Trend Long", "side": "LONG", "price": 25.28, "stage": 2, "buy": 89.6, "sell": 18.2, "prime": 2, "revL": 0, "revS": 0, "vcp": 0, "time": 1784554200000, "email_id": "b'1611'", "timestamp": "2026-07-20 16:01:25"}</t>
  </si>
  <si>
    <t>Buy: 74.3 | Sell: 43.8</t>
  </si>
  <si>
    <t>{"symbol": "COO", "strategy": "Daily", "action": "LONG", "alert_price": 70.99, "score": "", "dir_prob": "95.6", "net_sigma": "", "grade": "", "align": "", "premium": "", "wrong_if": "", "context": "", "subject": "Alert: Rev - Screener v1 (SPY, 12): Any alert() function call", "body": "{\"ticker\":\"COO\", \"setup\":\"A+ Trend Long\", \"side\":\"LONG\", \"price\":70.99, \"stage\":2, \"buy\":96.2, \"sell\":6.7, \"prime\":2, \"revL\":0, \"revS\":0, \"vcp\":0, \"dir_prob\":95.6, \"time\":1784640600000}", "ticker": "COO", "setup": "A+ Trend Long", "side": "LONG", "price": 70.99, "stage": 2, "buy": 96.2, "sell": 6.7, "prime": 2, "revL": 0, "revS": 0, "vcp": 0, "time": 1784640600000, "email_id": "b'1728'", "timestamp": "2026-07-21 16:01:18"}</t>
  </si>
  <si>
    <t>Buy: 98 | Sell: 7.3</t>
  </si>
  <si>
    <t>{"symbol": "IQV", "strategy": "Daily", "action": "LONG", "alert_price": 201.62, "score": "", "dir_prob": "92.9", "net_sigma": "", "grade": "", "align": "", "premium": "", "wrong_if": "", "context": "", "subject": "Alert: Rev - Screener v1 (SPY, 12): Any alert() function call", "body": "{\"ticker\":\"IQV\", \"setup\":\"A+ Trend Long\", \"side\":\"LONG\", \"price\":201.62, \"stage\":2, \"buy\":98, \"sell\":7.3, \"prime\":2, \"revL\":0, \"revS\":0, \"vcp\":0, \"dir_prob\":92.9, \"time\":1784640600000}", "ticker": "IQV", "setup": "A+ Trend Long", "side": "LONG", "price": 201.62, "stage": 2, "buy": 98, "sell": 7.3, "prime": 2, "revL": 0, "revS": 0, "vcp": 0, "time": 1784640600000, "email_id": "b'1730'", "timestamp": "2026-07-21 16:01:18"}</t>
  </si>
  <si>
    <t>{"symbol": "BBY", "strategy": "Daily", "action": "LONG", "alert_price": 85.13, "score": "", "dir_prob": "76.6", "net_sigma": "", "grade": "", "align": "", "premium": "", "wrong_if": "", "context": "", "subject": "Alert: Rev - Screener v1 (SPY, 12): Any alert() function call", "body": "{\"ticker\":\"BBY\", \"setup\":\"Early Action Long\", \"side\":\"LONG\", \"price\":85.13, \"stage\":2, \"buy\":74.3, \"sell\":43.8, \"prime\":1, \"revL\":0, \"revS\":0, \"vcp\":0, \"dir_prob\":76.6, \"time\":1784554200000}", "ticker": "BBY", "setup": "Early Action Long", "side": "LONG", "price": 85.13, "stage": 2, "buy": 74.3, "sell": 43.8, "prime": 1, "revL": 0, "revS": 0, "vcp": 0, "time": 1784554200000, "email_id": "b'1538'", "timestamp": "2026-07-20 16:01:04"}</t>
  </si>
  <si>
    <t>Buy: 97.3 | Sell: 3.9</t>
  </si>
  <si>
    <t>Buy: 93 | Sell: 16.5</t>
  </si>
  <si>
    <t>{"symbol": "EXPE", "strategy": "Daily", "action": "LONG", "alert_price": 264.87, "score": "", "dir_prob": "91.4", "net_sigma": "", "grade": "", "align": "", "premium": "", "wrong_if": "", "context": "", "subject": "Alert: Rev - Screener v1 (SPY, 12): Any alert() function call", "body": "{\"ticker\":\"EXPE\", \"setup\":\"A+ Trend Long\", \"side\":\"LONG\", \"price\":264.87, \"stage\":2, \"buy\":97.3, \"sell\":3.9, \"prime\":2, \"revL\":0, \"revS\":0, \"vcp\":1, \"dir_prob\":91.4, \"time\":1784640600000}", "ticker": "EXPE", "setup": "A+ Trend Long", "side": "LONG", "price": 264.87, "stage": 2, "buy": 97.3, "sell": 3.9, "prime": 2, "revL": 0, "revS": 0, "vcp": 1, "time": 1784640600000, "email_id": "b'1731'", "timestamp": "2026-07-21 16:01:22"}</t>
  </si>
  <si>
    <t>Buy: 97.7 | Sell: 10.7</t>
  </si>
  <si>
    <t>WAIT (HOLD — set alerts, do NOT enter)</t>
  </si>
  <si>
    <t>{"symbol": "DG", "strategy": "Daily", "action": "LONG", "alert_price": 124.72, "score": "", "dir_prob": "96", "net_sigma": "", "grade": "", "align": "", "premium": "", "wrong_if": "", "context": "", "subject": "Alert: Rev - Screener v1 (SPY, 12): Any alert() function call", "body": "{\"ticker\":\"DG\", \"setup\":\"A+ Trend Long\", \"side\":\"LONG\", \"price\":124.72, \"stage\":2, \"buy\":93, \"sell\":16.5, \"prime\":2, \"revL\":0, \"revS\":0, \"vcp\":0, \"dir_prob\":96, \"time\":1784554200000}", "ticker": "DG", "setup": "A+ Trend Long", "side": "LONG", "price": 124.72, "stage": 2, "buy": 93, "sell": 16.5, "prime": 2, "revL": 0, "revS": 0, "vcp": 0, "time": 1784554200000, "email_id": "b'1610'", "timestamp": "2026-07-20 16:01:32"}</t>
  </si>
  <si>
    <t>Buy: 96.9 | Sell: 11.7</t>
  </si>
  <si>
    <t>**WAIT** (Zone-Discipline Veto) — patient buy-on-dip to $104.26–$104.79, or sell Aug 21 $100 put to pre-position.</t>
  </si>
  <si>
    <t>{"symbol": "CRL", "strategy": "Daily", "action": "LONG", "alert_price": 219.42, "score": "", "dir_prob": "94.6", "net_sigma": "", "grade": "", "align": "", "premium": "", "wrong_if": "", "context": "", "subject": "Alert: Rev - Screener v1 (SPY, 12): Any alert() function call", "body": "{\"ticker\":\"CRL\", \"setup\":\"A+ Trend Long\", \"side\":\"LONG\", \"price\":219.42, \"stage\":2, \"buy\":97.7, \"sell\":10.7, \"prime\":2, \"revL\":0, \"revS\":0, \"vcp\":0, \"dir_prob\":94.6, \"time\":1784640600000}", "ticker": "CRL", "setup": "A+ Trend Long", "side": "LONG", "price": 219.42, "stage": 2, "buy": 97.7, "sell": 10.7, "prime": 2, "revL": 0, "revS": 0, "vcp": 0, "time": 1784640600000, "email_id": "b'1732'", "timestamp": "2026-07-21 16:01:21"}</t>
  </si>
  <si>
    <t>TREND_LONG fires with buy=94.26 &gt;&gt; 65, dir_prob=93.02, and stage=2. However, news CONTRADICTS the long bias with a CLSA downgrade headline. The 'TOP' warning in recency suggests distribution pressure despite the strong technicals. Earnings_</t>
  </si>
  <si>
    <t>{"symbol": "PNW", "strategy": "Daily", "action": "LONG", "alert_price": 106.31, "score": "", "dir_prob": "94.7", "net_sigma": "", "grade": "", "align": "", "premium": "", "wrong_if": "", "context": "", "subject": "Alert: Rev - Screener v1 (SPY, 12): Any alert() function call", "body": "{\"ticker\":\"PNW\", \"setup\":\"A+ Trend Long\", \"side\":\"LONG\", \"price\":106.31, \"stage\":2, \"buy\":96.9, \"sell\":11.7, \"prime\":2, \"revL\":0, \"revS\":0, \"vcp\":0, \"dir_prob\":94.7, \"time\":1784554200000}", "ticker": "PNW", "setup": "A+ Trend Long", "side": "LONG", "price": 106.31, "stage": 2, "buy": 96.9, "sell": 11.7, "prime": 2, "revL": 0, "revS": 0, "vcp": 0, "time": 1784554200000, "email_id": "b'1597'", "timestamp": "2026-07-20 16:01:25"}</t>
  </si>
  <si>
    <t>TREND_LONG fires with buy=96.04 &gt;&gt; 65, dir_prob=91.02, and stage=2. However, the 'TOP' warning in recency_warnings_fresh (age 16 bars) and the low R:R (1.33) from current price to target cap this at WATCH. Earnings are 15 days out (gate: 'C</t>
  </si>
  <si>
    <t>{"symbol": "VLTO", "strategy": "Daily", "action": "LONG", "alert_price": 90.17, "score": "", "dir_prob": "98.8", "net_sigma": "", "grade": "", "align": "", "premium": "", "wrong_if": "", "context": "", "subject": "Alert: Rev - Screener v1 (SPY, 12): Any alert() function call", "body": "{\"ticker\":\"VLTO\", \"setup\":\"A+ Trend Long\", \"side\":\"LONG\", \"price\":90.17, \"stage\":2, \"buy\":97.6, \"sell\":5.8, \"prime\":2, \"revL\":0, \"revS\":0, \"vcp\":0, \"dir_prob\":98.8, \"time\":1784640600000}", "ticker": "VLTO", "setup": "A+ Trend Long", "side": "LONG", "price": 90.17, "stage": 2, "buy": 97.6, "sell": 5.8, "prime": 2, "revL": 0, "revS": 0, "vcp": 0, "time": 1784640600000, "email_id": "b'1733'", "timestamp": "2026-07-21 16:01:23"}</t>
  </si>
  <si>
    <t>Buy: 96.2 | Sell: 25.6</t>
  </si>
  <si>
    <t>Buy: 15.4 | Sell: 86.8</t>
  </si>
  <si>
    <t>**WAIT FOR ZONE — Short Trigger Set at $120.08-$121.12**</t>
  </si>
  <si>
    <t>{"symbol": "APO", "strategy": "Daily", "action": "SHORT", "alert_price": 118.43, "score": "", "dir_prob": "15.7", "net_sigma": "", "grade": "", "align": "", "premium": "", "wrong_if": "", "context": "", "subject": "Alert: Rev - Screener v1 (SPY, 12): Any alert() function call", "body": "{\"ticker\":\"APO\", \"setup\":\"A+ Trend Short\", \"side\":\"SHORT\", \"price\":118.43, \"stage\":4, \"buy\":15.4, \"sell\":86.8, \"prime\":-2, \"revL\":0, \"revS\":0, \"vcp\":1, \"dir_prob\":15.7, \"time\":1784640600000}", "ticker": "APO", "setup": "A+ Trend Short", "side": "SHORT", "price": 118.43, "stage": 4, "buy": 15.4, "sell": 86.8, "prime": -2, "revL": 0, "revS": 0, "vcp": 1, "time": 1784640600000, "email_id": "b'1734'", "timestamp": "2026-07-21 16:01:20"}</t>
  </si>
  <si>
    <t>Technical setup shows a dominant short bias (sell=89.93, dir_prob=8.08) in Stage 4 Downtrend with Regime 6 Squeeze, but no active entry mode fires (rev_zone_s=5 is too low for reversal, ignition_long=0). News CONFIRMS the bullish sentiment:</t>
  </si>
  <si>
    <t>WATCH (3/10) → Deep Research</t>
  </si>
  <si>
    <t>Buy: 94.7 | Sell: 7.5</t>
  </si>
  <si>
    <t>{"symbol": "LH", "strategy": "Daily", "action": "LONG", "alert_price": 281.55, "score": "", "dir_prob": "91.7", "net_sigma": "", "grade": "", "align": "", "premium": "", "wrong_if": "", "context": "", "subject": "Alert: Rev - Screener v1 (SPY, 12): Any alert() function call", "body": "{\"ticker\":\"LH\", \"setup\":\"A+ Trend Long\", \"side\":\"LONG\", \"price\":281.55, \"stage\":2, \"buy\":96.2, \"sell\":25.6, \"prime\":2, \"revL\":0, \"revS\":0, \"vcp\":0, \"dir_prob\":91.7, \"time\":1784554200000}", "ticker": "LH", "setup": "A+ Trend Long", "side": "LONG", "price": 281.55, "stage": 2, "buy": 96.2, "sell": 25.6, "prime": 2, "revL": 0, "revS": 0, "vcp": 0, "time": 1784554200000, "email_id": "b'1539'", "timestamp": "2026-07-20 16:01:04"}</t>
  </si>
  <si>
    <t>Buy: 95.6 | Sell: 24.7</t>
  </si>
  <si>
    <t>{"symbol": "USB", "strategy": "Daily", "action": "LONG", "alert_price": 63.72, "score": "", "dir_prob": "92.1", "net_sigma": "", "grade": "", "align": "", "premium": "", "wrong_if": "", "context": "", "subject": "Alert: Rev - Screener v1 (SPY, 12): Any alert() function call", "body": "{\"ticker\":\"USB\", \"setup\":\"A+ Trend Long\", \"side\":\"LONG\", \"price\":63.72, \"stage\":2, \"buy\":94.7, \"sell\":7.5, \"prime\":2, \"revL\":0, \"revS\":0, \"vcp\":0, \"dir_prob\":92.1, \"time\":1784640600000}", "ticker": "USB", "setup": "A+ Trend Long", "side": "LONG", "price": 63.72, "stage": 2, "buy": 94.7, "sell": 7.5, "prime": 2, "revL": 0, "revS": 0, "vcp": 0, "time": 1784640600000, "email_id": "b'1735'", "timestamp": "2026-07-21 16:01:25"}</t>
  </si>
  <si>
    <t>Buy: 18 | Sell: 87.5</t>
  </si>
  <si>
    <t>{"symbol": "KMB", "strategy": "Daily", "action": "LONG", "alert_price": 108.48, "score": "", "dir_prob": "97.2", "net_sigma": "", "grade": "", "align": "", "premium": "", "wrong_if": "", "context": "", "subject": "Alert: Rev - Screener v1 (SPY, 12): Any alert() function call", "body": "{\"ticker\":\"KMB\", \"setup\":\"A+ Trend Long\", \"side\":\"LONG\", \"price\":108.48, \"stage\":2, \"buy\":95.6, \"sell\":24.7, \"prime\":2, \"revL\":0, \"revS\":0, \"vcp\":0, \"dir_prob\":97.2, \"time\":1784554200000}", "ticker": "KMB", "setup": "A+ Trend Long", "side": "LONG", "price": 108.48, "stage": 2, "buy": 95.6, "sell": 24.7, "prime": 2, "revL": 0, "revS": 0, "vcp": 0, "time": 1784554200000, "email_id": "b'1666'", "timestamp": "2026-07-20 16:01:18"}</t>
  </si>
  <si>
    <t>{"symbol": "LVS", "strategy": "Daily", "action": "SHORT", "alert_price": 45.48, "score": "", "dir_prob": "17.3", "net_sigma": "", "grade": "", "align": "", "premium": "", "wrong_if": "", "context": "", "subject": "Alert: Rev - Screener v1 (SPY, 12): Any alert() function call", "body": "{\"ticker\":\"LVS\", \"setup\":\"A+ Trend Short\", \"side\":\"SHORT\", \"price\":45.48, \"stage\":4, \"buy\":18, \"sell\":87.5, \"prime\":-2, \"revL\":0, \"revS\":0, \"vcp\":1, \"dir_prob\":17.3, \"time\":1784640600000}", "ticker": "LVS", "setup": "A+ Trend Short", "side": "SHORT", "price": 45.48, "stage": 4, "buy": 18, "sell": 87.5, "prime": -2, "revL": 0, "revS": 0, "vcp": 1, "time": 1784640600000, "email_id": "b'1736'", "timestamp": "2026-07-21 16:01:20"}</t>
  </si>
  <si>
    <t>Buy: 75 | Sell: 53.7</t>
  </si>
  <si>
    <t>Buy: 97.2 | Sell: 6</t>
  </si>
  <si>
    <t>{"symbol": "FRT", "strategy": "Daily", "action": "LONG", "alert_price": 125.54, "score": "", "dir_prob": "55.7", "net_sigma": "", "grade": "", "align": "", "premium": "", "wrong_if": "", "context": "", "subject": "Alert: Rev - Screener v1 (SPY, 12): Any alert() function call", "body": "{\"ticker\":\"FRT\", \"setup\":\"Early Action Long\", \"side\":\"LONG\", \"price\":125.54, \"stage\":2, \"buy\":75, \"sell\":53.7, \"prime\":1, \"revL\":0, \"revS\":0, \"vcp\":0, \"dir_prob\":55.7, \"time\":1784640600000}", "ticker": "FRT", "setup": "Early Action Long", "side": "LONG", "price": 125.54, "stage": 2, "buy": 75, "sell": 53.7, "prime": 1, "revL": 0, "revS": 0, "vcp": 0, "time": 1784640600000, "email_id": "b'1737'", "timestamp": "2026-07-21 16:01:23"}</t>
  </si>
  <si>
    <t>TREND_LONG fires with buy=86.67 &gt; 65, dir_prob=88.83 &gt;= 50, and stage=2. News CONFIRMS with analyst upgrades and positive sentiment. Triage capped to WATCH due to 'chased' flag (price above zone with poor R:R) and 'earnings' caution (10-day</t>
  </si>
  <si>
    <t>WATCH (5/10) → Deep Research</t>
  </si>
  <si>
    <t>Buy: 94.4 | Sell: 9.7</t>
  </si>
  <si>
    <t>{"symbol": "ALL", "strategy": "Daily", "action": "LONG", "alert_price": 253.84, "score": "", "dir_prob": "92.2", "net_sigma": "", "grade": "", "align": "", "premium": "", "wrong_if": "", "context": "", "subject": "Alert: Rev - Screener v1 (SPY, 12): Any alert() function call", "body": "{\"ticker\":\"ALL\", \"setup\":\"A+ Trend Long\", \"side\":\"LONG\", \"price\":253.84, \"stage\":2, \"buy\":97.2, \"sell\":6, \"prime\":2, \"revL\":0, \"revS\":0, \"vcp\":0, \"dir_prob\":92.2, \"time\":1784554200000}", "ticker": "ALL", "setup": "A+ Trend Long", "side": "LONG", "price": 253.84, "stage": 2, "buy": 97.2, "sell": 6, "prime": 2, "revL": 0, "revS": 0, "vcp": 0, "time": 1784554200000, "email_id": "b'1532'", "timestamp": "2026-07-20 16:01:01"}</t>
  </si>
  <si>
    <t>Buy: 16.6 | Sell: 91.1</t>
  </si>
  <si>
    <t>{"symbol": "MTB", "strategy": "Daily", "action": "LONG", "alert_price": 248.51, "score": "", "dir_prob": "93.6", "net_sigma": "", "grade": "", "align": "", "premium": "", "wrong_if": "", "context": "", "subject": "Alert: Rev - Screener v1 (SPY, 12): Any alert() function call", "body": "{\"ticker\":\"MTB\", \"setup\":\"A+ Trend Long\", \"side\":\"LONG\", \"price\":248.51, \"stage\":2, \"buy\":94.4, \"sell\":9.7, \"prime\":2, \"revL\":0, \"revS\":0, \"vcp\":0, \"dir_prob\":93.6, \"time\":1784640600000}", "ticker": "MTB", "setup": "A+ Trend Long", "side": "LONG", "price": 248.51, "stage": 2, "buy": 94.4, "sell": 9.7, "prime": 2, "revL": 0, "revS": 0, "vcp": 0, "time": 1784640600000, "email_id": "b'1738'", "timestamp": "2026-07-21 16:01:24"}</t>
  </si>
  <si>
    <t>TREND_LONG fires with buy=96.49 &gt;&gt; 65, dir_prob=92.43 &gt;&gt; 50, and stage=2 (up-trend). News CONFIRMS with a price target raise to $268. No VETO flags apply; computed_flags only show 'pullback' which is consistent with a healthy trend dip-buy.</t>
  </si>
  <si>
    <t>Buy: 90.9 | Sell: 18.9</t>
  </si>
  <si>
    <t>{"symbol": "APO", "strategy": "Daily", "action": "SHORT", "alert_price": 118.28, "score": "", "dir_prob": "14.4", "net_sigma": "", "grade": "", "align": "", "premium": "", "wrong_if": "", "context": "", "subject": "Alert: Rev - Screener v1 (SPY, 12): Any alert() function call", "body": "{\"ticker\":\"APO\", \"setup\":\"A+ Trend Short\", \"side\":\"SHORT\", \"price\":118.28, \"stage\":4, \"buy\":16.6, \"sell\":91.1, \"prime\":-2, \"revL\":0, \"revS\":0, \"vcp\":0, \"dir_prob\":14.4, \"time\":1784554200000}", "ticker": "APO", "setup": "A+ Trend Short", "side": "SHORT", "price": 118.28, "stage": 4, "buy": 16.6, "sell": 91.1, "prime": -2, "revL": 0, "revS": 0, "vcp": 0, "time": 1784554200000, "email_id": "b'1603'", "timestamp": "2026-07-20 16:01:19"}</t>
  </si>
  <si>
    <t>{"symbol": "PCG", "strategy": "Daily", "action": "LONG", "alert_price": 17.48, "score": "", "dir_prob": "90.7", "net_sigma": "", "grade": "", "align": "", "premium": "", "wrong_if": "", "context": "", "subject": "Alert: Rev - Screener v1 (SPY, 12): Any alert() function call", "body": "{\"ticker\":\"PCG\", \"setup\":\"A+ Trend Long\", \"side\":\"LONG\", \"price\":17.48, \"stage\":2, \"buy\":90.9, \"sell\":18.9, \"prime\":2, \"revL\":0, \"revS\":0, \"vcp\":1, \"dir_prob\":90.7, \"time\":1784640600000}", "ticker": "PCG", "setup": "A+ Trend Long", "side": "LONG", "price": 17.48, "stage": 2, "buy": 90.9, "sell": 18.9, "prime": 2, "revL": 0, "revS": 0, "vcp": 1, "time": 1784640600000, "email_id": "b'1739'", "timestamp": "2026-07-21 16:01:27"}</t>
  </si>
  <si>
    <t>Buy: 89.9 | Sell: 7.1</t>
  </si>
  <si>
    <t>Buy: 88.7 | Sell: 19.8</t>
  </si>
  <si>
    <t>{"symbol": "VRSK", "strategy": "Daily", "action": "LONG", "alert_price": 195.18, "score": "", "dir_prob": "97.4", "net_sigma": "", "grade": "", "align": "", "premium": "", "wrong_if": "", "context": "", "subject": "Alert: Rev - Screener v1 (SPY, 12): Any alert() function call", "body": "{\"ticker\":\"VRSK\", \"setup\":\"A+ Trend Long\", \"side\":\"LONG\", \"price\":195.18, \"stage\":2, \"buy\":89.9, \"sell\":7.1, \"prime\":2, \"revL\":0, \"revS\":0, \"vcp\":0, \"dir_prob\":97.4, \"time\":1784640600000}", "ticker": "VRSK", "setup": "A+ Trend Long", "side": "LONG", "price": 195.18, "stage": 2, "buy": 89.9, "sell": 7.1, "prime": 2, "revL": 0, "revS": 0, "vcp": 0, "time": 1784640600000, "email_id": "b'1740'", "timestamp": "2026-07-21 16:01:27"}</t>
  </si>
  <si>
    <t>ADP</t>
  </si>
  <si>
    <t>Buy: 94.2 | Sell: 7.8</t>
  </si>
  <si>
    <t>{"symbol": "DXCM", "strategy": "Daily", "action": "LONG", "alert_price": 75.7, "score": "", "dir_prob": "91.2", "net_sigma": "", "grade": "", "align": "", "premium": "", "wrong_if": "", "context": "", "subject": "Alert: Rev - Screener v1 (SPY, 12): Any alert() function call", "body": "{\"ticker\":\"DXCM\", \"setup\":\"A+ Trend Long\", \"side\":\"LONG\", \"price\":75.70, \"stage\":2, \"buy\":88.7, \"sell\":19.8, \"prime\":2, \"revL\":0, \"revS\":0, \"vcp\":0, \"dir_prob\":91.2, \"time\":1784554200000}", "ticker": "DXCM", "setup": "A+ Trend Long", "side": "LONG", "price": 75.7, "stage": 2, "buy": 88.7, "sell": 19.8, "prime": 2, "revL": 0, "revS": 0, "vcp": 0, "time": 1784554200000, "email_id": "b'1623'", "timestamp": "2026-07-20 16:01:18"}</t>
  </si>
  <si>
    <t>Buy: 90.5 | Sell: 23.5</t>
  </si>
  <si>
    <t>**SKIP (Fresh Entry)** | **SET ALERT at $220.11-221.91** | **Income: Bull Put Spread** on existing bullish view</t>
  </si>
  <si>
    <t>{"symbol": "ADP", "strategy": "Daily", "action": "LONG", "alert_price": 246.16, "score": "", "dir_prob": "99.2", "net_sigma": "", "grade": "", "align": "", "premium": "", "wrong_if": "", "context": "", "subject": "Alert: Rev - Screener v1 (SPY, 12): Any alert() function call", "body": "{\"ticker\":\"ADP\", \"setup\":\"A+ Trend Long\", \"side\":\"LONG\", \"price\":246.16, \"stage\":2, \"buy\":94.2, \"sell\":7.8, \"prime\":2, \"revL\":0, \"revS\":0, \"vcp\":0, \"dir_prob\":99.2, \"time\":1784640600000}", "ticker": "ADP", "setup": "A+ Trend Long", "side": "LONG", "price": 246.16, "stage": 2, "buy": 94.2, "sell": 7.8, "prime": 2, "revL": 0, "revS": 0, "vcp": 0, "time": 1784640600000, "email_id": "b'1741'", "timestamp": "2026-07-21 16:01:27"}</t>
  </si>
  <si>
    <t>Entry: 220.50
Stop: 
Target: 233.63
See markdown for full rationale.</t>
  </si>
  <si>
    <t>Buy: 93.5 | Sell: 11.6</t>
  </si>
  <si>
    <t>{"symbol": "MAS", "strategy": "Daily", "action": "LONG", "alert_price": 76.81, "score": "", "dir_prob": "90.8", "net_sigma": "", "grade": "", "align": "", "premium": "", "wrong_if": "", "context": "", "subject": "Alert: Rev - Screener v1 (SPY, 12): Any alert() function call", "body": "{\"ticker\":\"MAS\", \"setup\":\"A+ Trend Long\", \"side\":\"LONG\", \"price\":76.81, \"stage\":2, \"buy\":93.5, \"sell\":11.6, \"prime\":2, \"revL\":0, \"revS\":0, \"vcp\":0, \"dir_prob\":90.8, \"time\":1784640600000}", "ticker": "MAS", "setup": "A+ Trend Long", "side": "LONG", "price": 76.81, "stage": 2, "buy": 93.5, "sell": 11.6, "prime": 2, "revL": 0, "revS": 0, "vcp": 0, "time": 1784640600000, "email_id": "b'1742'", "timestamp": "2026-07-21 16:01:24"}</t>
  </si>
  <si>
    <t>Buy: 98 | Sell: 10.6</t>
  </si>
  <si>
    <t>{"symbol": "WSM", "strategy": "Daily", "action": "LONG", "alert_price": 223.38, "score": "", "dir_prob": "89.7", "net_sigma": "", "grade": "", "align": "", "premium": "", "wrong_if": "", "context": "", "subject": "Alert: Rev - Screener v1 (SPY, 12): Any alert() function call", "body": "{\"ticker\":\"WSM\", \"setup\":\"A+ Trend Long\", \"side\":\"LONG\", \"price\":223.38, \"stage\":2, \"buy\":90.5, \"sell\":23.5, \"prime\":2, \"revL\":0, \"revS\":0, \"vcp\":0, \"dir_prob\":89.7, \"time\":1784554200000}", "ticker": "WSM", "setup": "A+ Trend Long", "side": "LONG", "price": 223.38, "stage": 2, "buy": 90.5, "sell": 23.5, "prime": 2, "revL": 0, "revS": 0, "vcp": 0, "time": 1784554200000, "email_id": "b'1549'", "timestamp": "2026-07-20 16:01:08"}</t>
  </si>
  <si>
    <t>WAIT (Forming / Not Triggered)</t>
  </si>
  <si>
    <t>Entry: 
Stop: 
Target: 74.72
See markdown for full rationale.</t>
  </si>
  <si>
    <t>TREND_LONG fires with buy=96.2 &gt;&gt; 65, dir_prob=92.06, and stage=2. However, the headline 'Fell More Than Broader Market' CONTRADICTS the long bias. The 'chased' flag and 'TOP' warning indicate exhaustion and a failed bullish trap (TRAP_BULL</t>
  </si>
  <si>
    <t>Buy: 91.8 | Sell: 32</t>
  </si>
  <si>
    <t>**WAIT (SET ALERT — Execute ONLY on zone touch)**</t>
  </si>
  <si>
    <t>{"symbol": "ES", "strategy": "Daily", "action": "LONG", "alert_price": 73.05, "score": "", "dir_prob": "94.7", "net_sigma": "", "grade": "", "align": "", "premium": "", "wrong_if": "", "context": "", "subject": "Alert: Rev - Screener v1 (SPY, 12): Any alert() function call", "body": "{\"ticker\":\"ES\", \"setup\":\"A+ Trend Long\", \"side\":\"LONG\", \"price\":73.05, \"stage\":2, \"buy\":98, \"sell\":10.6, \"prime\":2, \"revL\":0, \"revS\":0, \"vcp\":0, \"dir_prob\":94.7, \"time\":1784640600000}", "ticker": "ES", "setup": "A+ Trend Long", "side": "LONG", "price": 73.05, "stage": 2, "buy": 98, "sell": 10.6, "prime": 2, "revL": 0, "revS": 0, "vcp": 0, "time": 1784640600000, "email_id": "b'1743'", "timestamp": "2026-07-21 16:01:25"}</t>
  </si>
  <si>
    <t>TREND_LONG fires with buy=96.35 &gt;&gt; 65, dir_prob=91.63 &gt;&gt; 50, and stage=2 (up-trend). News CONFIRMS the bullish bias with positive headlines on utility demand and dividends. No VETO flags apply; the 'pullback' flag indicates a healthy dip in</t>
  </si>
  <si>
    <t>Buy: 96.2 | Sell: 12</t>
  </si>
  <si>
    <t>{"symbol": "MNST", "strategy": "Daily", "action": "LONG", "alert_price": 95.44, "score": "", "dir_prob": "76.4", "net_sigma": "", "grade": "", "align": "", "premium": "", "wrong_if": "", "context": "", "subject": "Alert: Rev - Screener v1 (SPY, 12): Any alert() function call", "body": "{\"ticker\":\"MNST\", \"setup\":\"A+ Trend Long\", \"side\":\"LONG\", \"price\":95.44, \"stage\":2, \"buy\":91.8, \"sell\":32, \"prime\":2, \"revL\":0, \"revS\":0, \"vcp\":0, \"dir_prob\":76.4, \"time\":1784554200000}", "ticker": "MNST", "setup": "A+ Trend Long", "side": "LONG", "price": 95.44, "stage": 2, "buy": 91.8, "sell": 32, "prime": 2, "revL": 0, "revS": 0, "vcp": 0, "time": 1784554200000, "email_id": "b'1531'", "timestamp": "2026-07-20 16:01:06"}</t>
  </si>
  <si>
    <t xml:space="preserve">TREND_LONG fires with buy=94.56 &gt;&gt; 65, dir_prob=85.8, and stage=2. However, news CONTRADICTS the long bias with a Schwab analyst downgrade and Deutsche Bank downgrade to Hold, despite BMO raising the target. The 'pullback' flag and 'above' </t>
  </si>
  <si>
    <t>{"symbol": "CFG", "strategy": "Daily", "action": "LONG", "alert_price": 72.0, "score": "", "dir_prob": "89", "net_sigma": "", "grade": "", "align": "", "premium": "", "wrong_if": "", "context": "", "subject": "Alert: Rev - Screener v1 (SPY, 12): Any alert() function call", "body": "{\"ticker\":\"CFG\", \"setup\":\"A+ Trend Long\", \"side\":\"LONG\", \"price\":72.00, \"stage\":2, \"buy\":96.2, \"sell\":12, \"prime\":2, \"revL\":0, \"revS\":0, \"vcp\":1, \"dir_prob\":89, \"time\":1784640600000}", "ticker": "CFG", "setup": "A+ Trend Long", "side": "LONG", "price": 72.0, "stage": 2, "buy": 96.2, "sell": 12, "prime": 2, "revL": 0, "revS": 0, "vcp": 1, "time": 1784640600000, "email_id": "b'1744'", "timestamp": "2026-07-21 16:01:30"}</t>
  </si>
  <si>
    <t>Buy: 83.4 | Sell: 15</t>
  </si>
  <si>
    <t>Buy: 51.1 | Sell: 86.3</t>
  </si>
  <si>
    <t>{"symbol": "SYF", "strategy": "Daily", "action": "SHORT", "alert_price": 72.24, "score": "", "dir_prob": "27.2", "net_sigma": "", "grade": "", "align": "", "premium": "", "wrong_if": "", "context": "", "subject": "Alert: Rev - Screener v1 (SPY, 12): Any alert() function call", "body": "{\"ticker\":\"SYF\", \"setup\":\"A+ Trend Short\", \"side\":\"SHORT\", \"price\":72.24, \"stage\":4, \"buy\":51.1, \"sell\":86.3, \"prime\":-2, \"revL\":0, \"revS\":0, \"vcp\":0, \"dir_prob\":27.2, \"time\":1784640600000}", "ticker": "SYF", "setup": "A+ Trend Short", "side": "SHORT", "price": 72.24, "stage": 4, "buy": 51.1, "sell": 86.3, "prime": -2, "revL": 0, "revS": 0, "vcp": 0, "time": 1784640600000, "email_id": "b'1745'", "timestamp": "2026-07-21 16:01:31"}</t>
  </si>
  <si>
    <t>Buy: 96.4 | Sell: 7.3</t>
  </si>
  <si>
    <t>{"symbol": "GWW", "strategy": "Daily", "action": "LONG", "alert_price": 1371.09, "score": "", "dir_prob": "87.6", "net_sigma": "", "grade": "", "align": "", "premium": "", "wrong_if": "", "context": "", "subject": "Alert: Rev - Screener v1 (SPY, 12): Any alert() function call", "body": "{\"ticker\":\"GWW\", \"setup\":\"Coiled VCP\", \"side\":\"LONG\", \"price\":1371.09, \"stage\":2, \"buy\":83.4, \"sell\":15, \"prime\":1, \"revL\":0, \"revS\":0, \"vcp\":1, \"dir_prob\":87.6, \"time\":1784554200000}", "ticker": "GWW", "setup": "Coiled VCP", "side": "LONG", "price": 1371.09, "stage": 2, "buy": 83.4, "sell": 15, "prime": 1, "revL": 0, "revS": 0, "vcp": 1, "time": 1784554200000, "email_id": "b'1665'", "timestamp": "2026-07-20 16:01:17"}</t>
  </si>
  <si>
    <t>{"symbol": "DLTR", "strategy": "Daily", "action": "LONG", "alert_price": 125.75, "score": "", "dir_prob": "96.2", "net_sigma": "", "grade": "", "align": "", "premium": "", "wrong_if": "", "context": "", "subject": "Alert: Rev - Screener v1 (SPY, 12): Any alert() function call", "body": "{\"ticker\":\"DLTR\", \"setup\":\"A+ Trend Long\", \"side\":\"LONG\", \"price\":125.75, \"stage\":2, \"buy\":96.4, \"sell\":7.3, \"prime\":2, \"revL\":0, \"revS\":0, \"vcp\":0, \"dir_prob\":96.2, \"time\":1784640600000}", "ticker": "DLTR", "setup": "A+ Trend Long", "side": "LONG", "price": 125.75, "stage": 2, "buy": 96.4, "sell": 7.3, "prime": 2, "revL": 0, "revS": 0, "vcp": 0, "time": 1784640600000, "email_id": "b'1746'", "timestamp": "2026-07-21 16:01:31"}</t>
  </si>
  <si>
    <t>Buy: 20.5 | Sell: 89</t>
  </si>
  <si>
    <t>{"symbol": "EXPE", "strategy": "Daily", "action": "LONG", "alert_price": 265.2, "score": "", "dir_prob": "91.3", "net_sigma": "", "grade": "", "align": "", "premium": "", "wrong_if": "", "context": "", "subject": "Alert: Rev - Screener v1 (SPY, 12): Any alert() function call", "body": "{\"ticker\":\"EXPE\", \"setup\":\"A+ Trend Long\", \"side\":\"LONG\", \"price\":265.20, \"stage\":2, \"buy\":97.1, \"sell\":4.2, \"prime\":2, \"revL\":0, \"revS\":0, \"vcp\":0, \"dir_prob\":91.3, \"time\":1784554200000}", "ticker": "EXPE", "setup": "A+ Trend Long", "side": "LONG", "price": 265.2, "stage": 2, "buy": 97.1, "sell": 4.2, "prime": 2, "revL": 0, "revS": 0, "vcp": 0, "time": 1784554200000, "email_id": "b'1544'", "timestamp": "2026-07-20 16:01:12"}</t>
  </si>
  <si>
    <t>{"symbol": "SLB", "strategy": "Daily", "action": "SHORT", "alert_price": 46.58, "score": "", "dir_prob": "6.7", "net_sigma": "", "grade": "", "align": "", "premium": "", "wrong_if": "", "context": "", "subject": "Alert: Rev - Screener v1 (SPY, 12): Any alert() function call", "body": "{\"ticker\":\"SLB\", \"setup\":\"A+ Trend Short\", \"side\":\"SHORT\", \"price\":46.58, \"stage\":4, \"buy\":20.5, \"sell\":89, \"prime\":-2, \"revL\":0, \"revS\":0, \"vcp\":1, \"dir_prob\":6.7, \"time\":1784640600000}", "ticker": "SLB", "setup": "A+ Trend Short", "side": "SHORT", "price": 46.58, "stage": 4, "buy": 20.5, "sell": 89, "prime": -2, "revL": 0, "revS": 0, "vcp": 1, "time": 1784640600000, "email_id": "b'1747'", "timestamp": "2026-07-21 16:01:34"}</t>
  </si>
  <si>
    <t>Buy: 92.8 | Sell: 10.7</t>
  </si>
  <si>
    <t>Buy: 96 | Sell: 5.5</t>
  </si>
  <si>
    <t>{"symbol": "ITW", "strategy": "Daily", "action": "LONG", "alert_price": 272.04, "score": "", "dir_prob": "94.9", "net_sigma": "", "grade": "", "align": "", "premium": "", "wrong_if": "", "context": "", "subject": "Alert: Rev - Screener v1 (SPY, 12): Any alert() function call", "body": "{\"ticker\":\"ITW\", \"setup\":\"A+ Trend Long\", \"side\":\"LONG\", \"price\":272.04, \"stage\":2, \"buy\":96, \"sell\":5.5, \"prime\":2, \"revL\":0, \"revS\":0, \"vcp\":0, \"dir_prob\":94.9, \"time\":1784640600000}", "ticker": "ITW", "setup": "A+ Trend Long", "side": "LONG", "price": 272.04, "stage": 2, "buy": 96, "sell": 5.5, "prime": 2, "revL": 0, "revS": 0, "vcp": 0, "time": 1784640600000, "email_id": "b'1748'", "timestamp": "2026-07-21 16:01:33"}</t>
  </si>
  <si>
    <t>TREND_LONG fires with buy=98.68 &gt;&gt; 65, dir_prob=93.29, and stage=2. News is NEUTRAL (earnings question) with no catalyst. Triage capped to WATCH due to earnings_gate=PASS (7 days out) and rr_from_current=0.51 (poor R:R while above_zone).</t>
  </si>
  <si>
    <t>KIM</t>
  </si>
  <si>
    <t>{"symbol": "AFL", "strategy": "Daily", "action": "LONG", "alert_price": 124.08, "score": "", "dir_prob": "89.8", "net_sigma": "", "grade": "", "align": "", "premium": "", "wrong_if": "", "context": "", "subject": "Alert: Rev - Screener v1 (SPY, 12): Any alert() function call", "body": "{\"ticker\":\"AFL\", \"setup\":\"A+ Trend Long\", \"side\":\"LONG\", \"price\":124.08, \"stage\":2, \"buy\":92.8, \"sell\":10.7, \"prime\":2, \"revL\":0, \"revS\":0, \"vcp\":0, \"dir_prob\":89.8, \"time\":1784554200000}", "ticker": "AFL", "setup": "A+ Trend Long", "side": "LONG", "price": 124.08, "stage": 2, "buy": 92.8, "sell": 10.7, "prime": 2, "revL": 0, "revS": 0, "vcp": 0, "time": 1784554200000, "email_id": "b'1625'", "timestamp": "2026-07-20 16:01:20"}</t>
  </si>
  <si>
    <t>Buy: 82.8 | Sell: 36.9</t>
  </si>
  <si>
    <t>Buy: 95.6 | Sell: 25.7</t>
  </si>
  <si>
    <t>{"symbol": "KIM", "strategy": "Daily", "action": "LONG", "alert_price": 26.09, "score": "", "dir_prob": "83.6", "net_sigma": "", "grade": "", "align": "", "premium": "", "wrong_if": "", "context": "", "subject": "Alert: Rev - Screener v1 (SPY, 12): Any alert() function call", "body": "{\"ticker\":\"KIM\", \"setup\":\"Early Action Long\", \"side\":\"LONG\", \"price\":26.09, \"stage\":2, \"buy\":82.8, \"sell\":36.9, \"prime\":1, \"revL\":0, \"revS\":0, \"vcp\":0, \"dir_prob\":83.6, \"time\":1784640600000}", "ticker": "KIM", "setup": "Early Action Long", "side": "LONG", "price": 26.09, "stage": 2, "buy": 82.8, "sell": 36.9, "prime": 1, "revL": 0, "revS": 0, "vcp": 0, "time": 1784640600000, "email_id": "b'1749'", "timestamp": "2026-07-21 16:01:34"}</t>
  </si>
  <si>
    <t>Buy: 96.9 | Sell: 12.1</t>
  </si>
  <si>
    <t>WAIT (Set alerts at the long entry zone — do NOT enter yet)</t>
  </si>
  <si>
    <t>{"symbol": "KVUE", "strategy": "Daily", "action": "LONG", "alert_price": 19.02, "score": "", "dir_prob": "91", "net_sigma": "", "grade": "", "align": "", "premium": "", "wrong_if": "", "context": "", "subject": "Alert: Rev - Screener v1 (SPY, 12): Any alert() function call", "body": "{\"ticker\":\"KVUE\", \"setup\":\"A+ Trend Long\", \"side\":\"LONG\", \"price\":19.02, \"stage\":2, \"buy\":95.6, \"sell\":25.7, \"prime\":2, \"revL\":0, \"revS\":0, \"vcp\":0, \"dir_prob\":91, \"time\":1784554200000}", "ticker": "KVUE", "setup": "A+ Trend Long", "side": "LONG", "price": 19.02, "stage": 2, "buy": 95.6, "sell": 25.7, "prime": 2, "revL": 0, "revS": 0, "vcp": 0, "time": 1784554200000, "email_id": "b'1660'", "timestamp": "2026-07-20 16:01:14"}</t>
  </si>
  <si>
    <t>Buy: 98 | Sell: 12.5</t>
  </si>
  <si>
    <t>{"symbol": "ED", "strategy": "Daily", "action": "LONG", "alert_price": 109.8, "score": "", "dir_prob": "94.4", "net_sigma": "", "grade": "", "align": "", "premium": "", "wrong_if": "", "context": "", "subject": "Alert: Rev - Screener v1 (SPY, 12): Any alert() function call", "body": "{\"ticker\":\"ED\", \"setup\":\"A+ Trend Long\", \"side\":\"LONG\", \"price\":109.80, \"stage\":2, \"buy\":96.9, \"sell\":12.1, \"prime\":2, \"revL\":0, \"revS\":0, \"vcp\":1, \"dir_prob\":94.4, \"time\":1784640600000}", "ticker": "ED", "setup": "A+ Trend Long", "side": "LONG", "price": 109.8, "stage": 2, "buy": 96.9, "sell": 12.1, "prime": 2, "revL": 0, "revS": 0, "vcp": 1, "time": 1784640600000, "email_id": "b'1750'", "timestamp": "2026-07-21 16:01:18"}</t>
  </si>
  <si>
    <t>TREND_LONG fires with buy=95.72 &gt;&gt; 65, dir_prob=92.9, and stage=2. The news is NEUTRAL (earnings preview) and does not contradict the technicals. However, triage is capped to WATCH due to 'earnings' flag (16 days out) and 'squeeze' regime (</t>
  </si>
  <si>
    <t>Buy: 28.9 | Sell: 85.2</t>
  </si>
  <si>
    <t>{"symbol": "ORLY", "strategy": "Daily", "action": "SHORT", "alert_price": 87.96, "score": "", "dir_prob": "19.6", "net_sigma": "", "grade": "", "align": "", "premium": "", "wrong_if": "", "context": "", "subject": "Alert: Rev - Screener v1 (SPY, 12): Any alert() function call", "body": "{\"ticker\":\"ORLY\", \"setup\":\"A+ Trend Short\", \"side\":\"SHORT\", \"price\":87.96, \"stage\":4, \"buy\":28.9, \"sell\":85.2, \"prime\":-2, \"revL\":0, \"revS\":0, \"vcp\":0, \"dir_prob\":19.6, \"time\":1784640600000}", "ticker": "ORLY", "setup": "A+ Trend Short", "side": "SHORT", "price": 87.96, "stage": 4, "buy": 28.9, "sell": 85.2, "prime": -2, "revL": 0, "revS": 0, "vcp": 0, "time": 1784640600000, "email_id": "b'1751'", "timestamp": "2026-07-21 16:01:38"}</t>
  </si>
  <si>
    <t>{"symbol": "RF", "strategy": "Daily", "action": "LONG", "alert_price": 31.13, "score": "", "dir_prob": "92.2", "net_sigma": "", "grade": "", "align": "", "premium": "", "wrong_if": "", "context": "", "subject": "Alert: Rev - Screener v1 (SPY, 12): Any alert() function call", "body": "{\"ticker\":\"RF\", \"setup\":\"A+ Trend Long\", \"side\":\"LONG\", \"price\":31.13, \"stage\":2, \"buy\":98, \"sell\":12.5, \"prime\":2, \"revL\":0, \"revS\":0, \"vcp\":0, \"dir_prob\":92.2, \"time\":1784554200000}", "ticker": "RF", "setup": "A+ Trend Long", "side": "LONG", "price": 31.13, "stage": 2, "buy": 98, "sell": 12.5, "prime": 2, "revL": 0, "revS": 0, "vcp": 0, "time": 1784554200000, "email_id": "b'1599'", "timestamp": "2026-07-20 16:01:14"}</t>
  </si>
  <si>
    <t>Buy: 37.2 | Sell: 97.1</t>
  </si>
  <si>
    <t>Buy: 95.9 | Sell: 8.5</t>
  </si>
  <si>
    <t>{"symbol": "HAL", "strategy": "Daily", "action": "SHORT", "alert_price": 33.2, "score": "", "dir_prob": "3.4", "net_sigma": "", "grade": "", "align": "", "premium": "", "wrong_if": "", "context": "", "subject": "Alert: Rev - Screener v1 (SPY, 12): Any alert() function call", "body": "{\"ticker\":\"HAL\", \"setup\":\"A+ Trend Short\", \"side\":\"SHORT\", \"price\":33.20, \"stage\":4, \"buy\":37.2, \"sell\":97.1, \"prime\":-2, \"revL\":5, \"revS\":0, \"vcp\":1, \"dir_prob\":3.4, \"time\":1784640600000}", "ticker": "HAL", "setup": "A+ Trend Short", "side": "SHORT", "price": 33.2, "stage": 4, "buy": 37.2, "sell": 97.1, "prime": -2, "revL": 5, "revS": 0, "vcp": 1, "time": 1784640600000, "email_id": "b'1752'", "timestamp": "2026-07-21 16:01:34"}</t>
  </si>
  <si>
    <t>Buy: 10.5 | Sell: 94.7</t>
  </si>
  <si>
    <t>{"symbol": "COR", "strategy": "Daily", "action": "LONG", "alert_price": 303.97, "score": "", "dir_prob": "96.8", "net_sigma": "", "grade": "", "align": "", "premium": "", "wrong_if": "", "context": "", "subject": "Alert: Rev - Screener v1 (SPY, 12): Any alert() function call", "body": "{\"ticker\":\"COR\", \"setup\":\"A+ Trend Long\", \"side\":\"LONG\", \"price\":303.97, \"stage\":2, \"buy\":95.9, \"sell\":8.5, \"prime\":2, \"revL\":0, \"revS\":0, \"vcp\":0, \"dir_prob\":96.8, \"time\":1784554200000}", "ticker": "COR", "setup": "A+ Trend Long", "side": "LONG", "price": 303.97, "stage": 2, "buy": 95.9, "sell": 8.5, "prime": 2, "revL": 0, "revS": 0, "vcp": 0, "time": 1784554200000, "email_id": "b'1557'", "timestamp": "2026-07-20 16:01:06"}</t>
  </si>
  <si>
    <t>Buy: 94.4 | Sell: 13.8</t>
  </si>
  <si>
    <t>{"symbol": "MPWR", "strategy": "Daily", "action": "SHORT", "alert_price": 1383.09, "score": "", "dir_prob": "5.4", "net_sigma": "", "grade": "", "align": "", "premium": "", "wrong_if": "", "context": "", "subject": "Alert: Rev - Screener v1 (SPY, 12): Any alert() function call", "body": "{\"ticker\":\"MPWR\", \"setup\":\"A+ Trend Short\", \"side\":\"SHORT\", \"price\":1383.09, \"stage\":4, \"buy\":10.5, \"sell\":94.7, \"prime\":-2, \"revL\":0, \"revS\":0, \"vcp\":1, \"dir_prob\":5.4, \"time\":1784640600000}", "ticker": "MPWR", "setup": "A+ Trend Short", "side": "SHORT", "price": 1383.09, "stage": 4, "buy": 10.5, "sell": 94.7, "prime": -2, "revL": 0, "revS": 0, "vcp": 1, "time": 1784640600000, "email_id": "b'1753'", "timestamp": "2026-07-21 16:01:36"}</t>
  </si>
  <si>
    <t>Buy: 97.6 | Sell: 7.9</t>
  </si>
  <si>
    <t>{"symbol": "MTB", "strategy": "Daily", "action": "LONG", "alert_price": 249.35, "score": "", "dir_prob": "92.8", "net_sigma": "", "grade": "", "align": "", "premium": "", "wrong_if": "", "context": "", "subject": "Alert: Rev - Screener v1 (SPY, 12): Any alert() function call", "body": "{\"ticker\":\"MTB\", \"setup\":\"A+ Trend Long\", \"side\":\"LONG\", \"price\":249.35, \"stage\":2, \"buy\":94.4, \"sell\":13.8, \"prime\":2, \"revL\":0, \"revS\":0, \"vcp\":0, \"dir_prob\":92.8, \"time\":1784554200000}", "ticker": "MTB", "setup": "A+ Trend Long", "side": "LONG", "price": 249.35, "stage": 2, "buy": 94.4, "sell": 13.8, "prime": 2, "revL": 0, "revS": 0, "vcp": 0, "time": 1784554200000, "email_id": "b'1545'", "timestamp": "2026-07-20 16:01:05"}</t>
  </si>
  <si>
    <t>Buy: 93.2 | Sell: 24.2</t>
  </si>
  <si>
    <t>{"symbol": "RF", "strategy": "Daily", "action": "LONG", "alert_price": 30.83, "score": "", "dir_prob": "93", "net_sigma": "", "grade": "", "align": "", "premium": "", "wrong_if": "", "context": "", "subject": "Alert: Rev - Screener v1 (SPY, 12): Any alert() function call", "body": "{\"ticker\":\"RF\", \"setup\":\"A+ Trend Long\", \"side\":\"LONG\", \"price\":30.83, \"stage\":2, \"buy\":97.6, \"sell\":7.9, \"prime\":2, \"revL\":0, \"revS\":0, \"vcp\":0, \"dir_prob\":93, \"time\":1784640600000}", "ticker": "RF", "setup": "A+ Trend Long", "side": "LONG", "price": 30.83, "stage": 2, "buy": 97.6, "sell": 7.9, "prime": 2, "revL": 0, "revS": 0, "vcp": 0, "time": 1784640600000, "email_id": "b'1754'", "timestamp": "2026-07-21 16:01:39"}</t>
  </si>
  <si>
    <t>Buy: 93.3 | Sell: 28.8</t>
  </si>
  <si>
    <t>{"symbol": "EQR", "strategy": "Daily", "action": "LONG", "alert_price": 68.83, "score": "", "dir_prob": "91.8", "net_sigma": "", "grade": "", "align": "", "premium": "", "wrong_if": "", "context": "", "subject": "Alert: Rev - Screener v1 (SPY, 12): Any alert() function call", "body": "{\"ticker\":\"EQR\", \"setup\":\"A+ Trend Long\", \"side\":\"LONG\", \"price\":68.83, \"stage\":2, \"buy\":93.2, \"sell\":24.2, \"prime\":2, \"revL\":0, \"revS\":0, \"vcp\":0, \"dir_prob\":91.8, \"time\":1784554200000}", "ticker": "EQR", "setup": "A+ Trend Long", "side": "LONG", "price": 68.83, "stage": 2, "buy": 93.2, "sell": 24.2, "prime": 2, "revL": 0, "revS": 0, "vcp": 0, "time": 1784554200000, "email_id": "b'1659'", "timestamp": "2026-07-20 16:01:13"}</t>
  </si>
  <si>
    <t>Buy: 97.7 | Sell: 15.3</t>
  </si>
  <si>
    <t>{"symbol": "VRTX", "strategy": "Daily", "action": "LONG", "alert_price": 481.85, "score": "", "dir_prob": "86.4", "net_sigma": "", "grade": "", "align": "", "premium": "", "wrong_if": "", "context": "", "subject": "Alert: Rev - Screener v1 (SPY, 12): Any alert() function call", "body": "{\"ticker\":\"VRTX\", \"setup\":\"A+ Trend Long\", \"side\":\"LONG\", \"price\":481.85, \"stage\":2, \"buy\":93.3, \"sell\":28.8, \"prime\":2, \"revL\":0, \"revS\":0, \"vcp\":0, \"dir_prob\":86.4, \"time\":1784640600000}", "ticker": "VRTX", "setup": "A+ Trend Long", "side": "LONG", "price": 481.85, "stage": 2, "buy": 93.3, "sell": 28.8, "prime": 2, "revL": 0, "revS": 0, "vcp": 0, "time": 1784640600000, "email_id": "b'1755'", "timestamp": "2026-07-21 16:01:35"}</t>
  </si>
  <si>
    <t>Buy: 18.7 | Sell: 89.2</t>
  </si>
  <si>
    <t>{"symbol": "ECHO", "strategy": "Daily", "action": "SHORT", "alert_price": 94.77, "score": "", "dir_prob": "11.4", "net_sigma": "", "grade": "", "align": "", "premium": "", "wrong_if": "", "context": "", "subject": "Alert: Rev - Screener v1 (SPY, 12): Any alert() function call", "body": "{\"ticker\":\"ECHO\", \"setup\":\"A+ Trend Short\", \"side\":\"SHORT\", \"price\":94.77, \"stage\":4, \"buy\":18.7, \"sell\":89.2, \"prime\":-2, \"revL\":0, \"revS\":0, \"vcp\":1, \"dir_prob\":11.4, \"time\":1784640600000}", "ticker": "ECHO", "setup": "A+ Trend Short", "side": "SHORT", "price": 94.77, "stage": 4, "buy": 18.7, "sell": 89.2, "prime": -2, "revL": 0, "revS": 0, "vcp": 1, "time": 1784640600000, "email_id": "b'1756'", "timestamp": "2026-07-21 16:01:39"}</t>
  </si>
  <si>
    <t>Buy: 95.8 | Sell: 25.8</t>
  </si>
  <si>
    <t>{"symbol": "DASH", "strategy": "Daily", "action": "LONG", "alert_price": 188.9, "score": "", "dir_prob": "97.1", "net_sigma": "", "grade": "", "align": "", "premium": "", "wrong_if": "", "context": "", "subject": "Alert: Rev - Screener v1 (SPY, 12): Any alert() function call", "body": "{\"ticker\":\"DASH\", \"setup\":\"A+ Trend Long\", \"side\":\"LONG\", \"price\":188.90, \"stage\":2, \"buy\":97.7, \"sell\":15.3, \"prime\":2, \"revL\":0, \"revS\":0, \"vcp\":0, \"dir_prob\":97.1, \"time\":1784554200000}", "ticker": "DASH", "setup": "A+ Trend Long", "side": "LONG", "price": 188.9, "stage": 2, "buy": 97.7, "sell": 15.3, "prime": 2, "revL": 0, "revS": 0, "vcp": 0, "time": 1784554200000, "email_id": "b'1595'", "timestamp": "2026-07-20 16:01:26"}</t>
  </si>
  <si>
    <t>{"symbol": "SYY", "strategy": "Daily", "action": "LONG", "alert_price": 81.22, "score": "", "dir_prob": "93.5", "net_sigma": "", "grade": "", "align": "", "premium": "", "wrong_if": "", "context": "", "subject": "Alert: Rev - Screener v1 (SPY, 12): Any alert() function call", "body": "{\"ticker\":\"SYY\", \"setup\":\"A+ Trend Long\", \"side\":\"LONG\", \"price\":81.22, \"stage\":2, \"buy\":95.8, \"sell\":25.8, \"prime\":2, \"revL\":0, \"revS\":0, \"vcp\":0, \"dir_prob\":93.5, \"time\":1784640600000}", "ticker": "SYY", "setup": "A+ Trend Long", "side": "LONG", "price": 81.22, "stage": 2, "buy": 95.8, "sell": 25.8, "prime": 2, "revL": 0, "revS": 0, "vcp": 0, "time": 1784640600000, "email_id": "b'1757'", "timestamp": "2026-07-21 16:01:35"}</t>
  </si>
  <si>
    <t>{"symbol": "INCY", "strategy": "Daily", "action": "LONG", "alert_price": 117.32, "score": "", "dir_prob": "94.8", "net_sigma": "", "grade": "", "align": "", "premium": "", "wrong_if": "", "context": "", "subject": "Alert: Rev - Screener v1 (SPY, 12): Any alert() function call", "body": "{\"ticker\":\"INCY\", \"setup\":\"A+ Trend Long\", \"side\":\"LONG\", \"price\":117.32, \"stage\":2, \"buy\":96.2, \"sell\":5.9, \"prime\":2, \"revL\":0, \"revS\":0, \"vcp\":0, \"dir_prob\":94.8, \"time\":1784640600000}", "ticker": "INCY", "setup": "A+ Trend Long", "side": "LONG", "price": 117.32, "stage": 2, "buy": 96.2, "sell": 5.9, "prime": 2, "revL": 0, "revS": 0, "vcp": 0, "time": 1784640600000, "email_id": "b'1758'", "timestamp": "2026-07-21 16:01:30"}</t>
  </si>
  <si>
    <t>{"symbol": "COO", "strategy": "Daily", "action": "LONG", "alert_price": 71.59, "score": "", "dir_prob": "95.8", "net_sigma": "", "grade": "", "align": "", "premium": "", "wrong_if": "", "context": "", "subject": "Alert: Rev - Screener v1 (SPY, 12): Any alert() function call", "body": "{\"ticker\":\"COO\", \"setup\":\"A+ Trend Long\", \"side\":\"LONG\", \"price\":71.59, \"stage\":2, \"buy\":96.4, \"sell\":6.6, \"prime\":2, \"revL\":0, \"revS\":0, \"vcp\":0, \"dir_prob\":95.8, \"time\":1784554200000}", "ticker": "COO", "setup": "A+ Trend Long", "side": "LONG", "price": 71.59, "stage": 2, "buy": 96.4, "sell": 6.6, "prime": 2, "revL": 0, "revS": 0, "vcp": 0, "time": 1784554200000, "email_id": "b'1642'", "timestamp": "2026-07-20 16:01:07"}</t>
  </si>
  <si>
    <t>Buy: 7.3 | Sell: 89</t>
  </si>
  <si>
    <t>Buy: 95.4 | Sell: 32.8</t>
  </si>
  <si>
    <t>{"symbol": "ORCL", "strategy": "Daily", "action": "SHORT", "alert_price": 127.04, "score": "", "dir_prob": "8.3", "net_sigma": "", "grade": "", "align": "", "premium": "", "wrong_if": "", "context": "", "subject": "Alert: Rev - Screener v1 (SPY, 12): Any alert() function call", "body": "{\"ticker\":\"ORCL\", \"setup\":\"A+ Trend Short\", \"side\":\"SHORT\", \"price\":127.04, \"stage\":4, \"buy\":7.3, \"sell\":89, \"prime\":-2, \"revL\":0, \"revS\":0, \"vcp\":0, \"dir_prob\":8.3, \"time\":1784640600000}", "ticker": "ORCL", "setup": "A+ Trend Short", "side": "SHORT", "price": 127.04, "stage": 4, "buy": 7.3, "sell": 89, "prime": -2, "revL": 0, "revS": 0, "vcp": 0, "time": 1784640600000, "email_id": "b'1759'", "timestamp": "2026-07-21 16:01:45"}</t>
  </si>
  <si>
    <t>Buy: 28.5 | Sell: 86.2</t>
  </si>
  <si>
    <t>{"symbol": "DGX", "strategy": "Daily", "action": "LONG", "alert_price": 207.63, "score": "", "dir_prob": "90.9", "net_sigma": "", "grade": "", "align": "", "premium": "", "wrong_if": "", "context": "", "subject": "Alert: Rev - Screener v1 (SPY, 12): Any alert() function call", "body": "{\"ticker\":\"DGX\", \"setup\":\"A+ Trend Long\", \"side\":\"LONG\", \"price\":207.63, \"stage\":2, \"buy\":95.4, \"sell\":32.8, \"prime\":2, \"revL\":0, \"revS\":0, \"vcp\":0, \"dir_prob\":90.9, \"time\":1784554200000}", "ticker": "DGX", "setup": "A+ Trend Long", "side": "LONG", "price": 207.63, "stage": 2, "buy": 95.4, "sell": 32.8, "prime": 2, "revL": 0, "revS": 0, "vcp": 0, "time": 1784554200000, "email_id": "b'1632'", "timestamp": "2026-07-20 16:01:16"}</t>
  </si>
  <si>
    <t>Buy: 95.4 | Sell: 30.1</t>
  </si>
  <si>
    <t>{"symbol": "VRSN", "strategy": "Daily", "action": "SHORT", "alert_price": 266.17, "score": "", "dir_prob": "19.4", "net_sigma": "", "grade": "", "align": "", "premium": "", "wrong_if": "", "context": "", "subject": "Alert: Rev - Screener v1 (SPY, 12): Any alert() function call", "body": "{\"ticker\":\"VRSN\", \"setup\":\"A+ Trend Short\", \"side\":\"SHORT\", \"price\":266.17, \"stage\":4, \"buy\":28.5, \"sell\":86.2, \"prime\":-2, \"revL\":0, \"revS\":0, \"vcp\":0, \"dir_prob\":19.4, \"time\":1784640600000}", "ticker": "VRSN", "setup": "A+ Trend Short", "side": "SHORT", "price": 266.17, "stage": 4, "buy": 28.5, "sell": 86.2, "prime": -2, "revL": 0, "revS": 0, "vcp": 0, "time": 1784640600000, "email_id": "b'1760'", "timestamp": "2026-07-21 16:01:39"}</t>
  </si>
  <si>
    <t>Buy: 5.2 | Sell: 91.5</t>
  </si>
  <si>
    <t>{"symbol": "CSX", "strategy": "Daily", "action": "LONG", "alert_price": 50.11, "score": "", "dir_prob": "82.1", "net_sigma": "", "grade": "", "align": "", "premium": "", "wrong_if": "", "context": "", "subject": "Alert: Rev - Screener v1 (SPY, 12): Any alert() function call", "body": "{\"ticker\":\"CSX\", \"setup\":\"A+ Trend Long\", \"side\":\"LONG\", \"price\":50.11, \"stage\":2, \"buy\":95.4, \"sell\":30.1, \"prime\":2, \"revL\":0, \"revS\":0, \"vcp\":0, \"dir_prob\":82.1, \"time\":1784554200000}", "ticker": "CSX", "setup": "A+ Trend Long", "side": "LONG", "price": 50.11, "stage": 2, "buy": 95.4, "sell": 30.1, "prime": 2, "revL": 0, "revS": 0, "vcp": 0, "time": 1784554200000, "email_id": "b'1569'", "timestamp": "2026-07-20 16:01:13"}</t>
  </si>
  <si>
    <t>Buy: 88.9 | Sell: 4.6</t>
  </si>
  <si>
    <t>{"symbol": "TJX", "strategy": "Daily", "action": "SHORT", "alert_price": 155.01, "score": "", "dir_prob": "4.1", "net_sigma": "", "grade": "", "align": "", "premium": "", "wrong_if": "", "context": "", "subject": "Alert: Rev - Screener v1 (SPY, 12): Any alert() function call", "body": "{\"ticker\":\"TJX\", \"setup\":\"A+ Trend Short\", \"side\":\"SHORT\", \"price\":155.01, \"stage\":4, \"buy\":5.2, \"sell\":91.5, \"prime\":-2, \"revL\":0, \"revS\":0, \"vcp\":0, \"dir_prob\":4.1, \"time\":1784640600000}", "ticker": "TJX", "setup": "A+ Trend Short", "side": "SHORT", "price": 155.01, "stage": 4, "buy": 5.2, "sell": 91.5, "prime": -2, "revL": 0, "revS": 0, "vcp": 0, "time": 1784640600000, "email_id": "b'1761'", "timestamp": "2026-07-21 16:01:44"}</t>
  </si>
  <si>
    <t>Buy: 95 | Sell: 5.3</t>
  </si>
  <si>
    <t>{"symbol": "HSIC", "strategy": "Daily", "action": "LONG", "alert_price": 85.88, "score": "", "dir_prob": "94.8", "net_sigma": "", "grade": "", "align": "", "premium": "", "wrong_if": "", "context": "", "subject": "Alert: Rev - Screener v1 (SPY, 12): Any alert() function call", "body": "{\"ticker\":\"HSIC\", \"setup\":\"A+ Trend Long\", \"side\":\"LONG\", \"price\":85.88, \"stage\":2, \"buy\":95, \"sell\":5.3, \"prime\":2, \"revL\":0, \"revS\":0, \"vcp\":0, \"dir_prob\":94.8, \"time\":1784640600000}", "ticker": "HSIC", "setup": "A+ Trend Long", "side": "LONG", "price": 85.88, "stage": 2, "buy": 95, "sell": 5.3, "prime": 2, "revL": 0, "revS": 0, "vcp": 0, "time": 1784640600000, "email_id": "b'1762'", "timestamp": "2026-07-21 16:01:42"}</t>
  </si>
  <si>
    <t>{"symbol": "EG", "strategy": "Daily", "action": "LONG", "alert_price": 379.04, "score": "", "dir_prob": "92.2", "net_sigma": "", "grade": "", "align": "", "premium": "", "wrong_if": "", "context": "", "subject": "Alert: Rev - Screener v1 (SPY, 12): Any alert() function call", "body": "{\"ticker\":\"EG\", \"setup\":\"A+ Trend Long\", \"side\":\"LONG\", \"price\":379.04, \"stage\":2, \"buy\":88.9, \"sell\":4.6, \"prime\":2, \"revL\":0, \"revS\":0, \"vcp\":0, \"dir_prob\":92.2, \"time\":1784554200000}", "ticker": "EG", "setup": "A+ Trend Long", "side": "LONG", "price": 379.04, "stage": 2, "buy": 88.9, "sell": 4.6, "prime": 2, "revL": 0, "revS": 0, "vcp": 0, "time": 1784554200000, "email_id": "b'1582'", "timestamp": "2026-07-20 16:01:14"}</t>
  </si>
  <si>
    <t>Buy: 94.4 | Sell: 13.7</t>
  </si>
  <si>
    <t>Buy: 86.4 | Sell: 29.8</t>
  </si>
  <si>
    <t>{"symbol": "FE", "strategy": "Daily", "action": "LONG", "alert_price": 48.38, "score": "", "dir_prob": "92.2", "net_sigma": "", "grade": "", "align": "", "premium": "", "wrong_if": "", "context": "", "subject": "Alert: Rev - Screener v1 (SPY, 12): Any alert() function call", "body": "{\"ticker\":\"FE\", \"setup\":\"A+ Trend Long\", \"side\":\"LONG\", \"price\":48.38, \"stage\":2, \"buy\":94.4, \"sell\":13.7, \"prime\":2, \"revL\":0, \"revS\":0, \"vcp\":1, \"dir_prob\":92.2, \"time\":1784640600000}", "ticker": "FE", "setup": "A+ Trend Long", "side": "LONG", "price": 48.38, "stage": 2, "buy": 94.4, "sell": 13.7, "prime": 2, "revL": 0, "revS": 0, "vcp": 1, "time": 1784640600000, "email_id": "b'1763'", "timestamp": "2026-07-21 16:01:43"}</t>
  </si>
  <si>
    <t>REG</t>
  </si>
  <si>
    <t>Buy: 91.1 | Sell: 15.3</t>
  </si>
  <si>
    <t>{"symbol": "O", "strategy": "Daily", "action": "LONG", "alert_price": 65.18, "score": "", "dir_prob": "89.8", "net_sigma": "", "grade": "", "align": "", "premium": "", "wrong_if": "", "context": "", "subject": "Alert: Rev - Screener v1 (SPY, 12): Any alert() function call", "body": "{\"ticker\":\"O\", \"setup\":\"A+ Trend Long\", \"side\":\"LONG\", \"price\":65.18, \"stage\":2, \"buy\":86.4, \"sell\":29.8, \"prime\":2, \"revL\":0, \"revS\":0, \"vcp\":0, \"dir_prob\":89.8, \"time\":1784554200000}", "ticker": "O", "setup": "A+ Trend Long", "side": "LONG", "price": 65.18, "stage": 2, "buy": 86.4, "sell": 29.8, "prime": 2, "revL": 0, "revS": 0, "vcp": 0, "time": 1784554200000, "email_id": "b'1529'", "timestamp": "2026-07-20 16:01:01"}</t>
  </si>
  <si>
    <t>{"symbol": "REG", "strategy": "Daily", "action": "LONG", "alert_price": 82.08, "score": "", "dir_prob": "94.5", "net_sigma": "", "grade": "", "align": "", "premium": "", "wrong_if": "", "context": "", "subject": "Alert: Rev - Screener v1 (SPY, 12): Any alert() function call", "body": "{\"ticker\":\"REG\", \"setup\":\"A+ Trend Long\", \"side\":\"LONG\", \"price\":82.08, \"stage\":2, \"buy\":91.1, \"sell\":15.3, \"prime\":2, \"revL\":0, \"revS\":0, \"vcp\":0, \"dir_prob\":94.5, \"time\":1784640600000}", "ticker": "REG", "setup": "A+ Trend Long", "side": "LONG", "price": 82.08, "stage": 2, "buy": 91.1, "sell": 15.3, "prime": 2, "revL": 0, "revS": 0, "vcp": 0, "time": 1784640600000, "email_id": "b'1764'", "timestamp": "2026-07-21 16:01:40"}</t>
  </si>
  <si>
    <t>EME</t>
  </si>
  <si>
    <t>Buy: 92.7 | Sell: 21.5</t>
  </si>
  <si>
    <t>Buy: 24.6 | Sell: 87.4</t>
  </si>
  <si>
    <t>{"symbol": "EME", "strategy": "Daily", "action": "SHORT", "alert_price": 759.95, "score": "", "dir_prob": "11.2", "net_sigma": "", "grade": "", "align": "", "premium": "", "wrong_if": "", "context": "", "subject": "Alert: Rev - Screener v1 (SPY, 12): Any alert() function call", "body": "{\"ticker\":\"EME\", \"setup\":\"A+ Trend Short\", \"side\":\"SHORT\", \"price\":759.95, \"stage\":4, \"buy\":24.6, \"sell\":87.4, \"prime\":-2, \"revL\":0, \"revS\":0, \"vcp\":0, \"dir_prob\":11.2, \"time\":1784640600000}", "ticker": "EME", "setup": "A+ Trend Short", "side": "SHORT", "price": 759.95, "stage": 4, "buy": 24.6, "sell": 87.4, "prime": -2, "revL": 0, "revS": 0, "vcp": 0, "time": 1784640600000, "email_id": "b'1765'", "timestamp": "2026-07-21 16:01:43"}</t>
  </si>
  <si>
    <t>Buy: 95.7 | Sell: 16</t>
  </si>
  <si>
    <t>**WAIT — NO FRESH ENTRY** (set alerts for $70.91 zone-bottom touch)</t>
  </si>
  <si>
    <t>{"symbol": "FE", "strategy": "Daily", "action": "LONG", "alert_price": 48.55, "score": "", "dir_prob": "89.9", "net_sigma": "", "grade": "", "align": "", "premium": "", "wrong_if": "", "context": "", "subject": "Alert: Rev - Screener v1 (SPY, 12): Any alert() function call", "body": "{\"ticker\":\"FE\", \"setup\":\"A+ Trend Long\", \"side\":\"LONG\", \"price\":48.55, \"stage\":2, \"buy\":92.7, \"sell\":21.5, \"prime\":2, \"revL\":0, \"revS\":0, \"vcp\":1, \"dir_prob\":89.9, \"time\":1784554200000}", "ticker": "FE", "setup": "A+ Trend Long", "side": "LONG", "price": 48.55, "stage": 2, "buy": 92.7, "sell": 21.5, "prime": 2, "revL": 0, "revS": 0, "vcp": 1, "time": 1784554200000, "email_id": "b'1594'", "timestamp": "2026-07-20 16:01:28"}</t>
  </si>
  <si>
    <t>Buy: 96.3 | Sell: 9.2</t>
  </si>
  <si>
    <t>{"symbol": "TECH", "strategy": "Daily", "action": "LONG", "alert_price": 71.63, "score": "", "dir_prob": "95.8", "net_sigma": "", "grade": "", "align": "", "premium": "", "wrong_if": "", "context": "", "subject": "Alert: Rev - Screener v1 (SPY, 12): Any alert() function call", "body": "{\"ticker\":\"TECH\", \"setup\":\"A+ Trend Long\", \"side\":\"LONG\", \"price\":71.63, \"stage\":2, \"buy\":95.7, \"sell\":16, \"prime\":2, \"revL\":0, \"revS\":0, \"vcp\":0, \"dir_prob\":95.8, \"time\":1784640600000}", "ticker": "TECH", "setup": "A+ Trend Long", "side": "LONG", "price": 71.63, "stage": 2, "buy": 95.7, "sell": 16, "prime": 2, "revL": 0, "revS": 0, "vcp": 0, "time": 1784640600000, "email_id": "b'1766'", "timestamp": "2026-07-21 16:01:43"}</t>
  </si>
  <si>
    <t>TREND_LONG fires with buy=93.98 &gt;&gt; 65, dir_prob=95.87 &gt;&gt; 50, and stage=2 (up-trend). News is NEUTRAL (earnings preview) and does not contradict the strong technicals. The 'TOP' warning in recency is aged 23 bars and does not block the setup</t>
  </si>
  <si>
    <t>Buy: 72.8 | Sell: 15.9</t>
  </si>
  <si>
    <t>{"symbol": "FITB", "strategy": "Daily", "action": "LONG", "alert_price": 57.42, "score": "", "dir_prob": "91.6", "net_sigma": "", "grade": "", "align": "", "premium": "", "wrong_if": "", "context": "", "subject": "Alert: Rev - Screener v1 (SPY, 12): Any alert() function call", "body": "{\"ticker\":\"FITB\", \"setup\":\"A+ Trend Long\", \"side\":\"LONG\", \"price\":57.42, \"stage\":2, \"buy\":96.3, \"sell\":9.2, \"prime\":2, \"revL\":0, \"revS\":0, \"vcp\":0, \"dir_prob\":91.6, \"time\":1784554200000}", "ticker": "FITB", "setup": "A+ Trend Long", "side": "LONG", "price": 57.42, "stage": 2, "buy": 96.3, "sell": 9.2, "prime": 2, "revL": 0, "revS": 0, "vcp": 0, "time": 1784554200000, "email_id": "b'1553'", "timestamp": "2026-07-20 16:01:01"}</t>
  </si>
  <si>
    <t>TREND_LONG fires with buy=97.02 &gt;&gt; 65, dir_prob=90.89 &gt;&gt; 50, and stage=2 (up-trend). News CONFIRMS with multiple analyst upgrades and price target hikes to $62-$65. The 'pullback' flag indicates a dip-buy opportunity within the uptrend, and</t>
  </si>
  <si>
    <t>Buy: 89.1 | Sell: 16</t>
  </si>
  <si>
    <t>WATCH (set alert at $178.72–$179.84 zone) → Conditional BUY (50% size) on zone touch</t>
  </si>
  <si>
    <t>{"symbol": "IVZ", "strategy": "Daily", "action": "LONG", "alert_price": 30.1, "score": "", "dir_prob": "81.9", "net_sigma": "", "grade": "", "align": "", "premium": "", "wrong_if": "", "context": "", "subject": "Alert: Rev - Screener v1 (SPY, 12): Any alert() function call", "body": "{\"ticker\":\"IVZ\", \"setup\":\"Early Action Long\", \"side\":\"LONG\", \"price\":30.10, \"stage\":2, \"buy\":72.8, \"sell\":15.9, \"prime\":1, \"revL\":0, \"revS\":0, \"vcp\":0, \"dir_prob\":81.9, \"time\":1784640600000}", "ticker": "IVZ", "setup": "Early Action Long", "side": "LONG", "price": 30.1, "stage": 2, "buy": 72.8, "sell": 15.9, "prime": 1, "revL": 0, "revS": 0, "vcp": 0, "time": 1784640600000, "email_id": "b'1767'", "timestamp": "2026-07-21 16:01:45"}</t>
  </si>
  <si>
    <t>{"symbol": "CINF", "strategy": "Daily", "action": "LONG", "alert_price": 180.37, "score": "", "dir_prob": "91.6", "net_sigma": "", "grade": "", "align": "", "premium": "", "wrong_if": "", "context": "", "subject": "Alert: Rev - Screener v1 (SPY, 12): Any alert() function call", "body": "{\"ticker\":\"CINF\", \"setup\":\"A+ Trend Long\", \"side\":\"LONG\", \"price\":180.37, \"stage\":2, \"buy\":89.1, \"sell\":16, \"prime\":2, \"revL\":0, \"revS\":0, \"vcp\":0, \"dir_prob\":91.6, \"time\":1784554200000}", "ticker": "CINF", "setup": "A+ Trend Long", "side": "LONG", "price": 180.37, "stage": 2, "buy": 89.1, "sell": 16, "prime": 2, "revL": 0, "revS": 0, "vcp": 0, "time": 1784554200000, "email_id": "b'1571'", "timestamp": "2026-07-20 16:01:26"}</t>
  </si>
  <si>
    <t>TREND_LONG fires with buy=89.86 &gt;&gt; 65, dir_prob=95.81, and stage=2. News CONFIRMS with positive headlines on earnings expectations and growth. The 'chased' flag indicates price is above the long zone, but the massive buy score and high dir_</t>
  </si>
  <si>
    <t>{"symbol": "COR", "strategy": "Daily", "action": "LONG", "alert_price": 303.14, "score": "", "dir_prob": "97", "net_sigma": "", "grade": "", "align": "", "premium": "", "wrong_if": "", "context": "", "subject": "Alert: Rev - Screener v1 (SPY, 12): Any alert() function call", "body": "{\"ticker\":\"COR\", \"setup\":\"A+ Trend Long\", \"side\":\"LONG\", \"price\":303.14, \"stage\":2, \"buy\":96.9, \"sell\":6.2, \"prime\":2, \"revL\":0, \"revS\":0, \"vcp\":0, \"dir_prob\":97, \"time\":1784640600000}", "ticker": "COR", "setup": "A+ Trend Long", "side": "LONG", "price": 303.14, "stage": 2, "buy": 96.9, "sell": 6.2, "prime": 2, "revL": 0, "revS": 0, "vcp": 0, "time": 1784640600000, "email_id": "b'1768'", "timestamp": "2026-07-21 16:01:36"}</t>
  </si>
  <si>
    <t>Buy: 96.4 | Sell: 19.1</t>
  </si>
  <si>
    <t>Buy: 93.6 | Sell: 11</t>
  </si>
  <si>
    <t>{"symbol": "RJF", "strategy": "Daily", "action": "LONG", "alert_price": 167.96, "score": "", "dir_prob": "92.6", "net_sigma": "", "grade": "", "align": "", "premium": "", "wrong_if": "", "context": "", "subject": "Alert: Rev - Screener v1 (SPY, 12): Any alert() function call", "body": "{\"ticker\":\"RJF\", \"setup\":\"A+ Trend Long\", \"side\":\"LONG\", \"price\":167.96, \"stage\":2, \"buy\":96.4, \"sell\":19.1, \"prime\":2, \"revL\":0, \"revS\":0, \"vcp\":0, \"dir_prob\":92.6, \"time\":1784640600000}", "ticker": "RJF", "setup": "A+ Trend Long", "side": "LONG", "price": 167.96, "stage": 2, "buy": 96.4, "sell": 19.1, "prime": 2, "revL": 0, "revS": 0, "vcp": 0, "time": 1784640600000, "email_id": "b'1769'", "timestamp": "2026-07-21 16:01:28"}</t>
  </si>
  <si>
    <t>{"symbol": "ESS", "strategy": "Daily", "action": "LONG", "alert_price": 293.7, "score": "", "dir_prob": "95.3", "net_sigma": "", "grade": "", "align": "", "premium": "", "wrong_if": "", "context": "", "subject": "Alert: Rev - Screener v1 (SPY, 12): Any alert() function call", "body": "{\"ticker\":\"ESS\", \"setup\":\"A+ Trend Long\", \"side\":\"LONG\", \"price\":293.70, \"stage\":2, \"buy\":93.6, \"sell\":11, \"prime\":2, \"revL\":0, \"revS\":0, \"vcp\":0, \"dir_prob\":95.3, \"time\":1784554200000}", "ticker": "ESS", "setup": "A+ Trend Long", "side": "LONG", "price": 293.7, "stage": 2, "buy": 93.6, "sell": 11, "prime": 2, "revL": 0, "revS": 0, "vcp": 0, "time": 1784554200000, "email_id": "b'1579'", "timestamp": "2026-07-20 16:01:17"}</t>
  </si>
  <si>
    <t>Buy: 90.8 | Sell: 13.4</t>
  </si>
  <si>
    <t>Entry: 
Stop: 172.91
Target: 191.93
See markdown for full rationale.</t>
  </si>
  <si>
    <t>Buy: 95.8 | Sell: 10.1</t>
  </si>
  <si>
    <t>{"symbol": "CINF", "strategy": "Daily", "action": "LONG", "alert_price": 180.48, "score": "", "dir_prob": "92.6", "net_sigma": "", "grade": "", "align": "", "premium": "", "wrong_if": "", "context": "", "subject": "Alert: Rev - Screener v1 (SPY, 12): Any alert() function call", "body": "{\"ticker\":\"CINF\", \"setup\":\"A+ Trend Long\", \"side\":\"LONG\", \"price\":180.48, \"stage\":2, \"buy\":90.8, \"sell\":13.4, \"prime\":2, \"revL\":0, \"revS\":0, \"vcp\":0, \"dir_prob\":92.6, \"time\":1784640600000}", "ticker": "CINF", "setup": "A+ Trend Long", "side": "LONG", "price": 180.48, "stage": 2, "buy": 90.8, "sell": 13.4, "prime": 2, "revL": 0, "revS": 0, "vcp": 0, "time": 1784640600000, "email_id": "b'1770'", "timestamp": "2026-07-21 16:01:34"}</t>
  </si>
  <si>
    <t>TREND_LONG fires with buy=94.68 &gt;&gt; 65, dir_prob=97.41, and stage=2. News CONFIRMS with positive headlines on earnings beat expectations. Triage capped to WATCH due to earnings_gate=CAUTION (6 days out) and a 'TOP' warning in recency. Conv扣分</t>
  </si>
  <si>
    <t>{"symbol": "COF", "strategy": "Daily", "action": "LONG", "alert_price": 206.78, "score": "", "dir_prob": "96.9", "net_sigma": "", "grade": "", "align": "", "premium": "", "wrong_if": "", "context": "", "subject": "Alert: Rev - Screener v1 (SPY, 12): Any alert() function call", "body": "{\"ticker\":\"COF\", \"setup\":\"Bullish Squeeze Release\", \"side\":\"LONG\", \"price\":206.78, \"stage\":2, \"buy\":95.8, \"sell\":10.1, \"prime\":2, \"revL\":0, \"revS\":0, \"vcp\":2, \"dir_prob\":96.9, \"time\":1784554200000}", "ticker": "COF", "setup": "Bullish Squeeze Release", "side": "LONG", "price": 206.78, "stage": 2, "buy": 95.8, "sell": 10.1, "prime": 2, "revL": 0, "revS": 0, "vcp": 2, "time": 1784554200000, "email_id": "b'1527'", "timestamp": "2026-07-20 16:01:00"}</t>
  </si>
  <si>
    <t>AON</t>
  </si>
  <si>
    <t>Buy: 93.6 | Sell: 6.7</t>
  </si>
  <si>
    <t>Buy: 90 | Sell: 12.4</t>
  </si>
  <si>
    <t>{"symbol": "AON", "strategy": "Daily", "action": "LONG", "alert_price": 359.39, "score": "", "dir_prob": "97.4", "net_sigma": "", "grade": "", "align": "", "premium": "", "wrong_if": "", "context": "", "subject": "Alert: Rev - Screener v1 (SPY, 12): Any alert() function call", "body": "{\"ticker\":\"AON\", \"setup\":\"A+ Trend Long\", \"side\":\"LONG\", \"price\":359.39, \"stage\":2, \"buy\":93.6, \"sell\":6.7, \"prime\":2, \"revL\":0, \"revS\":0, \"vcp\":0, \"dir_prob\":97.4, \"time\":1784640600000}", "ticker": "AON", "setup": "A+ Trend Long", "side": "LONG", "price": 359.39, "stage": 2, "buy": 93.6, "sell": 6.7, "prime": 2, "revL": 0, "revS": 0, "vcp": 0, "time": 1784640600000, "email_id": "b'1771'", "timestamp": "2026-07-21 16:01:39"}</t>
  </si>
  <si>
    <t>Buy: 94.6 | Sell: 7.6</t>
  </si>
  <si>
    <t>{"symbol": "D", "strategy": "Daily", "action": "LONG", "alert_price": 70.44, "score": "", "dir_prob": "92.4", "net_sigma": "", "grade": "", "align": "", "premium": "", "wrong_if": "", "context": "", "subject": "Alert: Rev - Screener v1 (SPY, 12): Any alert() function call", "body": "{\"ticker\":\"D\", \"setup\":\"A+ Trend Long\", \"side\":\"LONG\", \"price\":70.44, \"stage\":2, \"buy\":90, \"sell\":12.4, \"prime\":2, \"revL\":0, \"revS\":0, \"vcp\":0, \"dir_prob\":92.4, \"time\":1784554200000}", "ticker": "D", "setup": "A+ Trend Long", "side": "LONG", "price": 70.44, "stage": 2, "buy": 90, "sell": 12.4, "prime": 2, "revL": 0, "revS": 0, "vcp": 0, "time": 1784554200000, "email_id": "b'1643'", "timestamp": "2026-07-20 16:01:06"}</t>
  </si>
  <si>
    <t>Buy: 93.8 | Sell: 8.9</t>
  </si>
  <si>
    <t>{"symbol": "NTRS", "strategy": "Daily", "action": "LONG", "alert_price": 185.15, "score": "", "dir_prob": "91.1", "net_sigma": "", "grade": "", "align": "", "premium": "", "wrong_if": "", "context": "", "subject": "Alert: Rev - Screener v1 (SPY, 12): Any alert() function call", "body": "{\"ticker\":\"NTRS\", \"setup\":\"A+ Trend Long\", \"side\":\"LONG\", \"price\":185.15, \"stage\":2, \"buy\":94.6, \"sell\":7.6, \"prime\":2, \"revL\":0, \"revS\":0, \"vcp\":0, \"dir_prob\":91.1, \"time\":1784640600000}", "ticker": "NTRS", "setup": "A+ Trend Long", "side": "LONG", "price": 185.15, "stage": 2, "buy": 94.6, "sell": 7.6, "prime": 2, "revL": 0, "revS": 0, "vcp": 0, "time": 1784640600000, "email_id": "b'1772'", "timestamp": "2026-07-21 16:01:39"}</t>
  </si>
  <si>
    <t>NSC</t>
  </si>
  <si>
    <t>Buy: 94.1 | Sell: 12.5</t>
  </si>
  <si>
    <t>{"symbol": "AIZ", "strategy": "Daily", "action": "LONG", "alert_price": 275.58, "score": "", "dir_prob": "89.6", "net_sigma": "", "grade": "", "align": "", "premium": "", "wrong_if": "", "context": "", "subject": "Alert: Rev - Screener v1 (SPY, 12): Any alert() function call", "body": "{\"ticker\":\"AIZ\", \"setup\":\"A+ Trend Long\", \"side\":\"LONG\", \"price\":275.58, \"stage\":2, \"buy\":93.8, \"sell\":8.9, \"prime\":2, \"revL\":0, \"revS\":0, \"vcp\":0, \"dir_prob\":89.6, \"time\":1784554200000}", "ticker": "AIZ", "setup": "A+ Trend Long", "side": "LONG", "price": 275.58, "stage": 2, "buy": 93.8, "sell": 8.9, "prime": 2, "revL": 0, "revS": 0, "vcp": 0, "time": 1784554200000, "email_id": "b'1615'", "timestamp": "2026-07-20 16:01:06"}</t>
  </si>
  <si>
    <t>Buy: 92.8 | Sell: 4.7</t>
  </si>
  <si>
    <t>{"symbol": "NSC", "strategy": "Daily", "action": "LONG", "alert_price": 331.43, "score": "", "dir_prob": "93.3", "net_sigma": "", "grade": "", "align": "", "premium": "", "wrong_if": "", "context": "", "subject": "Alert: Rev - Screener v1 (SPY, 12): Any alert() function call", "body": "{\"ticker\":\"NSC\", \"setup\":\"A+ Trend Long\", \"side\":\"LONG\", \"price\":331.43, \"stage\":2, \"buy\":94.1, \"sell\":12.5, \"prime\":2, \"revL\":0, \"revS\":0, \"vcp\":0, \"dir_prob\":93.3, \"time\":1784640600000}", "ticker": "NSC", "setup": "A+ Trend Long", "side": "LONG", "price": 331.43, "stage": 2, "buy": 94.1, "sell": 12.5, "prime": 2, "revL": 0, "revS": 0, "vcp": 0, "time": 1784640600000, "email_id": "b'1773'", "timestamp": "2026-07-21 16:01:40"}</t>
  </si>
  <si>
    <t>Buy: 74.6 | Sell: 4.8</t>
  </si>
  <si>
    <t>{"symbol": "SHW", "strategy": "Daily", "action": "LONG", "alert_price": 323.55, "score": "", "dir_prob": "95.7", "net_sigma": "", "grade": "", "align": "", "premium": "", "wrong_if": "", "context": "", "subject": "Alert: Rev - Screener v1 (SPY, 12): Any alert() function call", "body": "{\"ticker\":\"SHW\", \"setup\":\"A+ Trend Long\", \"side\":\"LONG\", \"price\":323.55, \"stage\":2, \"buy\":92.8, \"sell\":4.7, \"prime\":2, \"revL\":0, \"revS\":0, \"vcp\":0, \"dir_prob\":95.7, \"time\":1784554200000}", "ticker": "SHW", "setup": "A+ Trend Long", "side": "LONG", "price": 323.55, "stage": 2, "buy": 92.8, "sell": 4.7, "prime": 2, "revL": 0, "revS": 0, "vcp": 0, "time": 1784554200000, "email_id": "b'1654'", "timestamp": "2026-07-20 16:01:17"}</t>
  </si>
  <si>
    <t>{"symbol": "BNY", "strategy": "Daily", "action": "LONG", "alert_price": 158.87, "score": "", "dir_prob": "81.6", "net_sigma": "", "grade": "", "align": "", "premium": "", "wrong_if": "", "context": "", "subject": "Alert: Rev - Screener v1 (SPY, 12): Any alert() function call", "body": "{\"ticker\":\"BNY\", \"setup\":\"Early Action Long\", \"side\":\"LONG\", \"price\":158.87, \"stage\":2, \"buy\":74.6, \"sell\":4.8, \"prime\":1, \"revL\":0, \"revS\":0, \"vcp\":0, \"dir_prob\":81.6, \"time\":1784640600000}", "ticker": "BNY", "setup": "Early Action Long", "side": "LONG", "price": 158.87, "stage": 2, "buy": 74.6, "sell": 4.8, "prime": 1, "revL": 0, "revS": 0, "vcp": 0, "time": 1784640600000, "email_id": "b'1774'", "timestamp": "2026-07-21 16:01:40"}</t>
  </si>
  <si>
    <t>TREND_LONG fires with buy=88.99 &gt; 65, dir_prob=85.55 &gt;= 50, and stage=2 (up-trend). News CONFIRMS with multiple analyst upgrades raising price targets. The 'pullback' flag indicates a healthy dip-buy opportunity within the trend. No vetoes;</t>
  </si>
  <si>
    <t>Buy: 98 | Sell: 3.1</t>
  </si>
  <si>
    <t>**NO TRADE / STAND ASIDE** *(Action Code 9 = not triggered)*</t>
  </si>
  <si>
    <t>Buy: 94.1 | Sell: 7.7</t>
  </si>
  <si>
    <t>{"symbol": "JPM", "strategy": "Daily", "action": "LONG", "alert_price": 345.15, "score": "", "dir_prob": "93.8", "net_sigma": "", "grade": "", "align": "", "premium": "", "wrong_if": "", "context": "", "subject": "Alert: Rev - Screener v1 (SPY, 12): Any alert() function call", "body": "{\"ticker\":\"JPM\", \"setup\":\"A+ Trend Long\", \"side\":\"LONG\", \"price\":345.15, \"stage\":2, \"buy\":94.1, \"sell\":7.7, \"prime\":2, \"revL\":0, \"revS\":0, \"vcp\":1, \"dir_prob\":93.8, \"time\":1784640600000}", "ticker": "JPM", "setup": "A+ Trend Long", "side": "LONG", "price": 345.15, "stage": 2, "buy": 94.1, "sell": 7.7, "prime": 2, "revL": 0, "revS": 0, "vcp": 1, "time": 1784640600000, "email_id": "b'1775'", "timestamp": "2026-07-21 16:01:20"}</t>
  </si>
  <si>
    <t>Buy: 96.3 | Sell: 6.4</t>
  </si>
  <si>
    <t>{"symbol": "CRL", "strategy": "Daily", "action": "LONG", "alert_price": 219.66, "score": "", "dir_prob": "95.8", "net_sigma": "", "grade": "", "align": "", "premium": "", "wrong_if": "", "context": "", "subject": "Alert: Rev - Screener v1 (SPY, 12): Any alert() function call", "body": "{\"ticker\":\"CRL\", \"setup\":\"A+ Trend Long\", \"side\":\"LONG\", \"price\":219.66, \"stage\":2, \"buy\":98, \"sell\":3.1, \"prime\":2, \"revL\":0, \"revS\":0, \"vcp\":0, \"dir_prob\":95.8, \"time\":1784554200000}", "ticker": "CRL", "setup": "A+ Trend Long", "side": "LONG", "price": 219.66, "stage": 2, "buy": 98, "sell": 3.1, "prime": 2, "revL": 0, "revS": 0, "vcp": 0, "time": 1784554200000, "email_id": "b'1604'", "timestamp": "2026-07-20 16:01:24"}</t>
  </si>
  <si>
    <t>TREND_LONG fires with buy=95.47 &gt; 65, dir_prob=92.18, and stage=2. However, the news CONTRADICTS the long bias with a CLSA downgrade headline. The 'TOP' warning in recency and the downgrade cap the setup at WATCH despite the strong momentum</t>
  </si>
  <si>
    <t>Buy: 90.4 | Sell: 14.8</t>
  </si>
  <si>
    <t>{"symbol": "AWK", "strategy": "Daily", "action": "LONG", "alert_price": 131.47, "score": "", "dir_prob": "97.8", "net_sigma": "", "grade": "", "align": "", "premium": "", "wrong_if": "", "context": "", "subject": "Alert: Rev - Screener v1 (SPY, 12): Any alert() function call", "body": "{\"ticker\":\"AWK\", \"setup\":\"A+ Trend Long\", \"side\":\"LONG\", \"price\":131.47, \"stage\":2, \"buy\":96.3, \"sell\":6.4, \"prime\":2, \"revL\":0, \"revS\":0, \"vcp\":1, \"dir_prob\":97.8, \"time\":1784640600000}", "ticker": "AWK", "setup": "A+ Trend Long", "side": "LONG", "price": 131.47, "stage": 2, "buy": 96.3, "sell": 6.4, "prime": 2, "revL": 0, "revS": 0, "vcp": 1, "time": 1784640600000, "email_id": "b'1776'", "timestamp": "2026-07-21 16:01:21"}</t>
  </si>
  <si>
    <t>Buy: 90.1 | Sell: 32.2</t>
  </si>
  <si>
    <t>{"symbol": "HRL", "strategy": "Daily", "action": "LONG", "alert_price": 25.12, "score": "", "dir_prob": "89.4", "net_sigma": "", "grade": "", "align": "", "premium": "", "wrong_if": "", "context": "", "subject": "Alert: Rev - Screener v1 (SPY, 12): Any alert() function call", "body": "{\"ticker\":\"HRL\", \"setup\":\"A+ Trend Long\", \"side\":\"LONG\", \"price\":25.12, \"stage\":2, \"buy\":90.1, \"sell\":32.2, \"prime\":2, \"revL\":0, \"revS\":0, \"vcp\":0, \"dir_prob\":89.4, \"time\":1784640600000}", "ticker": "HRL", "setup": "A+ Trend Long", "side": "LONG", "price": 25.12, "stage": 2, "buy": 90.1, "sell": 32.2, "prime": 2, "revL": 0, "revS": 0, "vcp": 0, "time": 1784640600000, "email_id": "b'1777'", "timestamp": "2026-07-21 16:01:06"}</t>
  </si>
  <si>
    <t>{"symbol": "REG", "strategy": "Daily", "action": "LONG", "alert_price": 82.1, "score": "", "dir_prob": "94.6", "net_sigma": "", "grade": "", "align": "", "premium": "", "wrong_if": "", "context": "", "subject": "Alert: Rev - Screener v1 (SPY, 12): Any alert() function call", "body": "{\"ticker\":\"REG\", \"setup\":\"A+ Trend Long\", \"side\":\"LONG\", \"price\":82.10, \"stage\":2, \"buy\":90.4, \"sell\":14.8, \"prime\":2, \"revL\":0, \"revS\":0, \"vcp\":0, \"dir_prob\":94.6, \"time\":1784554200000}", "ticker": "REG", "setup": "A+ Trend Long", "side": "LONG", "price": 82.1, "stage": 2, "buy": 90.4, "sell": 14.8, "prime": 2, "revL": 0, "revS": 0, "vcp": 0, "time": 1784554200000, "email_id": "b'1542'", "timestamp": "2026-07-20 16:01:10"}</t>
  </si>
  <si>
    <t>Buy: 94.4 | Sell: 30.9</t>
  </si>
  <si>
    <t>Buy: 92.2 | Sell: 14.3</t>
  </si>
  <si>
    <t>{"symbol": "ABBV", "strategy": "Daily", "action": "LONG", "alert_price": 256.15, "score": "", "dir_prob": "87", "net_sigma": "", "grade": "", "align": "", "premium": "", "wrong_if": "", "context": "", "subject": "Alert: Rev - Screener v1 (SPY, 12): Any alert() function call", "body": "{\"ticker\":\"ABBV\", \"setup\":\"A+ Trend Long\", \"side\":\"LONG\", \"price\":256.15, \"stage\":2, \"buy\":94.4, \"sell\":30.9, \"prime\":2, \"revL\":0, \"revS\":0, \"vcp\":0, \"dir_prob\":87, \"time\":1784640600000}", "ticker": "ABBV", "setup": "A+ Trend Long", "side": "LONG", "price": 256.15, "stage": 2, "buy": 94.4, "sell": 30.9, "prime": 2, "revL": 0, "revS": 0, "vcp": 0, "time": 1784640600000, "email_id": "b'1778'", "timestamp": "2026-07-21 16:01:16"}</t>
  </si>
  <si>
    <t>Buy: 89.7 | Sell: 17.4</t>
  </si>
  <si>
    <t>{"symbol": "SPG", "strategy": "Daily", "action": "LONG", "alert_price": 228.23, "score": "", "dir_prob": "84.9", "net_sigma": "", "grade": "", "align": "", "premium": "", "wrong_if": "", "context": "", "subject": "Alert: Rev - Screener v1 (SPY, 12): Any alert() function call", "body": "{\"ticker\":\"SPG\", \"setup\":\"A+ Trend Long\", \"side\":\"LONG\", \"price\":228.23, \"stage\":2, \"buy\":92.2, \"sell\":14.3, \"prime\":2, \"revL\":0, \"revS\":0, \"vcp\":0, \"dir_prob\":84.9, \"time\":1784554200000}", "ticker": "SPG", "setup": "A+ Trend Long", "side": "LONG", "price": 228.23, "stage": 2, "buy": 92.2, "sell": 14.3, "prime": 2, "revL": 0, "revS": 0, "vcp": 0, "time": 1784554200000, "email_id": "b'1587'", "timestamp": "2026-07-20 16:01:22"}</t>
  </si>
  <si>
    <t>Buy: 12.6 | Sell: 88.8</t>
  </si>
  <si>
    <t>{"symbol": "LLY", "strategy": "Daily", "action": "LONG", "alert_price": 1174.55, "score": "", "dir_prob": "89.4", "net_sigma": "", "grade": "", "align": "", "premium": "", "wrong_if": "", "context": "", "subject": "Alert: Rev - Screener v1 (SPY, 12): Any alert() function call", "body": "{\"ticker\":\"LLY\", \"setup\":\"A+ Trend Long\", \"side\":\"LONG\", \"price\":1174.55, \"stage\":2, \"buy\":89.7, \"sell\":17.4, \"prime\":2, \"revL\":0, \"revS\":0, \"vcp\":0, \"dir_prob\":89.4, \"time\":1784640600000}", "ticker": "LLY", "setup": "A+ Trend Long", "side": "LONG", "price": 1174.55, "stage": 2, "buy": 89.7, "sell": 17.4, "prime": 2, "revL": 0, "revS": 0, "vcp": 0, "time": 1784640600000, "email_id": "b'1779'", "timestamp": "2026-07-21 16:01:03"}</t>
  </si>
  <si>
    <t>TREND_LONG fires with buy=83.88 &gt; 65, dir_prob=72.24 &gt;= 50, and stage=2. However, the news headlines regarding the Novo Nordisk lawsuit CONTRADICT the long bias, creating a significant headwind. The 'chased' flag indicates the price is in '</t>
  </si>
  <si>
    <t>{"symbol": "FOX", "strategy": "Daily", "action": "SHORT", "alert_price": 51.56, "score": "", "dir_prob": "7", "net_sigma": "", "grade": "", "align": "", "premium": "", "wrong_if": "", "context": "", "subject": "Alert: Rev - Screener v1 (SPY, 12): Any alert() function call", "body": "{\"ticker\":\"FOX\", \"setup\":\"A+ Trend Short\", \"side\":\"SHORT\", \"price\":51.56, \"stage\":4, \"buy\":12.6, \"sell\":88.8, \"prime\":-2, \"revL\":0, \"revS\":0, \"vcp\":0, \"dir_prob\":7, \"time\":1784554200000}", "ticker": "FOX", "setup": "A+ Trend Short", "side": "SHORT", "price": 51.56, "stage": 4, "buy": 12.6, "sell": 88.8, "prime": -2, "revL": 0, "revS": 0, "vcp": 0, "time": 1784554200000, "email_id": "b'1606'", "timestamp": "2026-07-20 16:01:24"}</t>
  </si>
  <si>
    <t>TREND_SHORT fires with sell=95.42 &gt; 65, dir_prob=3.97 &lt; 50, and dominant_side=short. News is NEUTRAL (earnings preview). PASS triage with 'pullback' flag from stage=4 downtrend.</t>
  </si>
  <si>
    <t>Buy: 91.8 | Sell: 9.8</t>
  </si>
  <si>
    <t>**WAIT (Stalk — Pullback Required)** for stock entries; **Selective LEAN** for defined-risk options into earnings</t>
  </si>
  <si>
    <t>{"symbol": "MTD", "strategy": "Daily", "action": "LONG", "alert_price": 1298.17, "score": "", "dir_prob": "96.1", "net_sigma": "", "grade": "", "align": "", "premium": "", "wrong_if": "", "context": "", "subject": "Alert: Rev - Screener v1 (SPY, 12): Any alert() function call", "body": "{\"ticker\":\"MTD\", \"setup\":\"A+ Trend Long\", \"side\":\"LONG\", \"price\":1298.17, \"stage\":2, \"buy\":97.3, \"sell\":4.4, \"prime\":2, \"revL\":0, \"revS\":0, \"vcp\":0, \"dir_prob\":96.1, \"time\":1784640600000}", "ticker": "MTD", "setup": "A+ Trend Long", "side": "LONG", "price": 1298.17, "stage": 2, "buy": 97.3, "sell": 4.4, "prime": 2, "revL": 0, "revS": 0, "vcp": 0, "time": 1784640600000, "email_id": "b'1780'", "timestamp": "2026-07-21 16:01:42"}</t>
  </si>
  <si>
    <t>Buy: 96.8 | Sell: 4.2</t>
  </si>
  <si>
    <t>{"symbol": "EG", "strategy": "Daily", "action": "LONG", "alert_price": 377.03, "score": "", "dir_prob": "93.6", "net_sigma": "", "grade": "", "align": "", "premium": "", "wrong_if": "", "context": "", "subject": "Alert: Rev - Screener v1 (SPY, 12): Any alert() function call", "body": "{\"ticker\":\"EG\", \"setup\":\"A+ Trend Long\", \"side\":\"LONG\", \"price\":377.03, \"stage\":2, \"buy\":96.8, \"sell\":4.2, \"prime\":2, \"revL\":0, \"revS\":0, \"vcp\":0, \"dir_prob\":93.6, \"time\":1784640600000}", "ticker": "EG", "setup": "A+ Trend Long", "side": "LONG", "price": 377.03, "stage": 2, "buy": 96.8, "sell": 4.2, "prime": 2, "revL": 0, "revS": 0, "vcp": 0, "time": 1784640600000, "email_id": "b'1782'", "timestamp": "2026-07-21 16:01:18"}</t>
  </si>
  <si>
    <t>{"symbol": "MET", "strategy": "Daily", "action": "LONG", "alert_price": 93.02, "score": "", "dir_prob": "91.8", "net_sigma": "", "grade": "", "align": "", "premium": "", "wrong_if": "", "context": "", "subject": "Alert: Rev - Screener v1 (SPY, 12): Any alert() function call", "body": "{\"ticker\":\"MET\", \"setup\":\"A+ Trend Long\", \"side\":\"LONG\", \"price\":93.02, \"stage\":2, \"buy\":91.8, \"sell\":9.8, \"prime\":2, \"revL\":0, \"revS\":0, \"vcp\":0, \"dir_prob\":91.8, \"time\":1784554200000}", "ticker": "MET", "setup": "A+ Trend Long", "side": "LONG", "price": 93.02, "stage": 2, "buy": 91.8, "sell": 9.8, "prime": 2, "revL": 0, "revS": 0, "vcp": 0, "time": 1784554200000, "email_id": "b'1564'", "timestamp": "2026-07-20 16:01:14"}</t>
  </si>
  <si>
    <t>Buy: 95.4 | Sell: 11.3</t>
  </si>
  <si>
    <t>TREND_LONG fires with buy=91.99 &gt;&gt; 65, dir_prob=88.51, and stage=2. News is NEUTRAL (earnings preview) and does not contradict. Triage capped to WATCH due to earnings_days=16 (imminent) and rr_from_current=1.176 (poor R:R while above_zone).</t>
  </si>
  <si>
    <t>Buy: 94.9 | Sell: 6.5</t>
  </si>
  <si>
    <t>{"symbol": "IR", "strategy": "Daily", "action": "LONG", "alert_price": 80.9, "score": "", "dir_prob": "95.6", "net_sigma": "", "grade": "", "align": "", "premium": "", "wrong_if": "", "context": "", "subject": "Alert: Rev - Screener v1 (SPY, 12): Any alert() function call", "body": "{\"ticker\":\"IR\", \"setup\":\"A+ Trend Long\", \"side\":\"LONG\", \"price\":80.90, \"stage\":2, \"buy\":95.4, \"sell\":11.3, \"prime\":2, \"revL\":0, \"revS\":0, \"vcp\":0, \"dir_prob\":95.6, \"time\":1784640600000}", "ticker": "IR", "setup": "A+ Trend Long", "side": "LONG", "price": 80.9, "stage": 2, "buy": 95.4, "sell": 11.3, "prime": 2, "revL": 0, "revS": 0, "vcp": 0, "time": 1784640600000, "email_id": "b'1783'", "timestamp": "2026-07-21 16:01:19"}</t>
  </si>
  <si>
    <t>NWS</t>
  </si>
  <si>
    <t>Buy: 84.4 | Sell: 17.1</t>
  </si>
  <si>
    <t>WAIT for Pullback to Zone (Lean Long Setup Forming)</t>
  </si>
  <si>
    <t>{"symbol": "HSIC", "strategy": "Daily", "action": "LONG", "alert_price": 86.18, "score": "", "dir_prob": "94.7", "net_sigma": "", "grade": "", "align": "", "premium": "", "wrong_if": "", "context": "", "subject": "Alert: Rev - Screener v1 (SPY, 12): Any alert() function call", "body": "{\"ticker\":\"HSIC\", \"setup\":\"A+ Trend Long\", \"side\":\"LONG\", \"price\":86.18, \"stage\":2, \"buy\":94.9, \"sell\":6.5, \"prime\":2, \"revL\":0, \"revS\":0, \"vcp\":0, \"dir_prob\":94.7, \"time\":1784554200000}", "ticker": "HSIC", "setup": "A+ Trend Long", "side": "LONG", "price": 86.18, "stage": 2, "buy": 94.9, "sell": 6.5, "prime": 2, "revL": 0, "revS": 0, "vcp": 0, "time": 1784554200000, "email_id": "b'1614'", "timestamp": "2026-07-20 16:01:28"}</t>
  </si>
  <si>
    <t>Buy: 96.8 | Sell: 4.3</t>
  </si>
  <si>
    <t>{"symbol": "NWS", "strategy": "Daily", "action": "LONG", "alert_price": 31.2, "score": "", "dir_prob": "94.7", "net_sigma": "", "grade": "", "align": "", "premium": "", "wrong_if": "", "context": "", "subject": "Alert: Rev - Screener v1 (SPY, 12): Any alert() function call", "body": "{\"ticker\":\"NWS\", \"setup\":\"Early Action Long\", \"side\":\"LONG\", \"price\":31.20, \"stage\":2, \"buy\":84.4, \"sell\":17.1, \"prime\":1, \"revL\":0, \"revS\":0, \"vcp\":0, \"dir_prob\":94.7, \"time\":1784640600000}", "ticker": "NWS", "setup": "Early Action Long", "side": "LONG", "price": 31.2, "stage": 2, "buy": 84.4, "sell": 17.1, "prime": 1, "revL": 0, "revS": 0, "vcp": 0, "time": 1784640600000, "email_id": "b'1784'", "timestamp": "2026-07-21 16:01:11"}</t>
  </si>
  <si>
    <t>TREND_LONG fires with buy=95.79 &gt;&gt; 65, dir_prob=84.33, and stage=2. However, the 'WATCH' triage is capped by two factors: 1) The news headline 'Stock May Sit Below Fair Value' acts as a CONTRADICTS signal against the strong bullish momentum</t>
  </si>
  <si>
    <t>Buy: 95.4 | Sell: 15.4</t>
  </si>
  <si>
    <t>{"symbol": "BAC", "strategy": "Daily", "action": "LONG", "alert_price": 61.22, "score": "", "dir_prob": "89.2", "net_sigma": "", "grade": "", "align": "", "premium": "", "wrong_if": "", "context": "", "subject": "Alert: Rev - Screener v1 (SPY, 12): Any alert() function call", "body": "{\"ticker\":\"BAC\", \"setup\":\"A+ Trend Long\", \"side\":\"LONG\", \"price\":61.22, \"stage\":2, \"buy\":95.4, \"sell\":15.4, \"prime\":2, \"revL\":0, \"revS\":0, \"vcp\":0, \"dir_prob\":89.2, \"time\":1784640600000}", "ticker": "BAC", "setup": "A+ Trend Long", "side": "LONG", "price": 61.22, "stage": 2, "buy": 95.4, "sell": 15.4, "prime": 2, "revL": 0, "revS": 0, "vcp": 0, "time": 1784640600000, "email_id": "b'1781'", "timestamp": "2026-07-21 16:01:18"}</t>
  </si>
  <si>
    <t>{"symbol": "PNC", "strategy": "Daily", "action": "LONG", "alert_price": 250.19, "score": "", "dir_prob": "94.2", "net_sigma": "", "grade": "", "align": "", "premium": "", "wrong_if": "", "context": "", "subject": "Alert: Rev - Screener v1 (SPY, 12): Any alert() function call", "body": "{\"ticker\":\"PNC\", \"setup\":\"A+ Trend Long\", \"side\":\"LONG\", \"price\":250.19, \"stage\":2, \"buy\":96.8, \"sell\":4.3, \"prime\":2, \"revL\":0, \"revS\":0, \"vcp\":0, \"dir_prob\":94.2, \"time\":1784554200000}", "ticker": "PNC", "setup": "A+ Trend Long", "side": "LONG", "price": 250.19, "stage": 2, "buy": 96.8, "sell": 4.3, "prime": 2, "revL": 0, "revS": 0, "vcp": 0, "time": 1784554200000, "email_id": "b'1634'", "timestamp": "2026-07-20 16:01:11"}</t>
  </si>
  <si>
    <t>Buy: 96.3 | Sell: 7.3</t>
  </si>
  <si>
    <t>Buy: 96.9 | Sell: 7.1</t>
  </si>
  <si>
    <t>BUY (Trend-Following) — pullback-preferred entry to zone floor</t>
  </si>
  <si>
    <t>{"symbol": "CB", "strategy": "Daily", "action": "LONG", "alert_price": 354.7, "score": "", "dir_prob": "94.9", "net_sigma": "", "grade": "", "align": "", "premium": "", "wrong_if": "", "context": "", "subject": "Alert: Rev - Screener v1 (SPY, 12): Any alert() function call", "body": "{\"ticker\":\"CB\", \"setup\":\"A+ Trend Long\", \"side\":\"LONG\", \"price\":354.70, \"stage\":2, \"buy\":96.3, \"sell\":7.3, \"prime\":2, \"revL\":0, \"revS\":0, \"vcp\":0, \"dir_prob\":94.9, \"time\":1784640600000}", "ticker": "CB", "setup": "A+ Trend Long", "side": "LONG", "price": 354.7, "stage": 2, "buy": 96.3, "sell": 7.3, "prime": 2, "revL": 0, "revS": 0, "vcp": 0, "time": 1784640600000, "email_id": "b'1785'", "timestamp": "2026-07-21 16:01:05"}</t>
  </si>
  <si>
    <t>FIX</t>
  </si>
  <si>
    <t>Buy: 9.1 | Sell: 91.4</t>
  </si>
  <si>
    <t>{"symbol": "L", "strategy": "Daily", "action": "LONG", "alert_price": 114.59, "score": "", "dir_prob": "92.2", "net_sigma": "", "grade": "", "align": "", "premium": "", "wrong_if": "", "context": "", "subject": "Alert: Rev - Screener v1 (SPY, 12): Any alert() function call", "body": "{\"ticker\":\"L\", \"setup\":\"A+ Trend Long\", \"side\":\"LONG\", \"price\":114.59, \"stage\":2, \"buy\":96.9, \"sell\":7.1, \"prime\":2, \"revL\":0, \"revS\":0, \"vcp\":0, \"dir_prob\":92.2, \"time\":1784554200000}", "ticker": "L", "setup": "A+ Trend Long", "side": "LONG", "price": 114.59, "stage": 2, "buy": 96.9, "sell": 7.1, "prime": 2, "revL": 0, "revS": 0, "vcp": 0, "time": 1784554200000, "email_id": "b'1631'", "timestamp": "2026-07-20 16:01:09"}</t>
  </si>
  <si>
    <t>TREND_LONG fires with buy=98.09 &gt;&gt; 65, dir_prob=94.24 &gt;&gt; 50, and stage=2 (up-trend). News is NEUTRAL with no catalyst. No VETO flags apply (earnings_gate=PASS, zone_state=in_zone, rr=1.1). High conviction due to strong momentum and clean R:</t>
  </si>
  <si>
    <t>Buy: 92.6 | Sell: 52.4</t>
  </si>
  <si>
    <t>{"symbol": "FIX", "strategy": "Daily", "action": "SHORT", "alert_price": 1772.8, "score": "", "dir_prob": "0.7", "net_sigma": "", "grade": "", "align": "", "premium": "", "wrong_if": "", "context": "", "subject": "Alert: Rev - Screener v1 (SPY, 12): Any alert() function call", "body": "{\"ticker\":\"FIX\", \"setup\":\"A+ Trend Short\", \"side\":\"SHORT\", \"price\":1772.80, \"stage\":4, \"buy\":9.1, \"sell\":91.4, \"prime\":-2, \"revL\":0, \"revS\":0, \"vcp\":0, \"dir_prob\":0.7, \"time\":1784640600000}", "ticker": "FIX", "setup": "A+ Trend Short", "side": "SHORT", "price": 1772.8, "stage": 4, "buy": 9.1, "sell": 91.4, "prime": -2, "revL": 0, "revS": 0, "vcp": 0, "time": 1784640600000, "email_id": "b'1786'", "timestamp": "2026-07-21 16:01:28"}</t>
  </si>
  <si>
    <t>Buy: 12.6 | Sell: 90.8</t>
  </si>
  <si>
    <t>{"symbol": "EA", "strategy": "Daily", "action": "LONG", "alert_price": 209.26, "score": "", "dir_prob": "76.3", "net_sigma": "", "grade": "", "align": "", "premium": "", "wrong_if": "", "context": "", "subject": "Alert: Rev - Screener v1 (SPY, 12): Any alert() function call", "body": "{\"ticker\":\"EA\", \"setup\":\"A+ Trend Long\", \"side\":\"LONG\", \"price\":209.26, \"stage\":2, \"buy\":92.6, \"sell\":52.4, \"prime\":2, \"revL\":0, \"revS\":0, \"vcp\":0, \"dir_prob\":76.3, \"time\":1784554200000}", "ticker": "EA", "setup": "A+ Trend Long", "side": "LONG", "price": 209.26, "stage": 2, "buy": 92.6, "sell": 52.4, "prime": 2, "revL": 0, "revS": 0, "vcp": 0, "time": 1784554200000, "email_id": "b'1607'", "timestamp": "2026-07-20 16:01:28"}</t>
  </si>
  <si>
    <t>{"symbol": "DD", "strategy": "Daily", "action": "SHORT", "alert_price": 138.88, "score": "", "dir_prob": "5.7", "net_sigma": "", "grade": "", "align": "", "premium": "", "wrong_if": "", "context": "", "subject": "Alert: Rev - Screener v1 (SPY, 12): Any alert() function call", "body": "{\"ticker\":\"DD\", \"setup\":\"A+ Trend Short\", \"side\":\"SHORT\", \"price\":138.88, \"stage\":4, \"buy\":12.6, \"sell\":90.8, \"prime\":-2, \"revL\":0, \"revS\":0, \"vcp\":1, \"dir_prob\":5.7, \"time\":1784640600000}", "ticker": "DD", "setup": "A+ Trend Short", "side": "SHORT", "price": 138.88, "stage": 4, "buy": 12.6, "sell": 90.8, "prime": -2, "revL": 0, "revS": 0, "vcp": 1, "time": 1784640600000, "email_id": "b'1787'", "timestamp": "2026-07-21 16:01:30"}</t>
  </si>
  <si>
    <t>Buy: 19.4 | Sell: 87.5</t>
  </si>
  <si>
    <t>Buy: 93.5 | Sell: 37.5</t>
  </si>
  <si>
    <t>{"symbol": "LUV", "strategy": "Daily", "action": "LONG", "alert_price": 48.65, "score": "", "dir_prob": "88.4", "net_sigma": "", "grade": "", "align": "", "premium": "", "wrong_if": "", "context": "", "subject": "Alert: Rev - Screener v1 (SPY, 12): Any alert() function call", "body": "{\"ticker\":\"LUV\", \"setup\":\"A+ Trend Long\", \"side\":\"LONG\", \"price\":48.65, \"stage\":2, \"buy\":93.5, \"sell\":37.5, \"prime\":2, \"revL\":0, \"revS\":0, \"vcp\":0, \"dir_prob\":88.4, \"time\":1784640600000}", "ticker": "LUV", "setup": "A+ Trend Long", "side": "LONG", "price": 48.65, "stage": 2, "buy": 93.5, "sell": 37.5, "prime": 2, "revL": 0, "revS": 0, "vcp": 0, "time": 1784640600000, "email_id": "b'1788'", "timestamp": "2026-07-21 16:01:25"}</t>
  </si>
  <si>
    <t>{"symbol": "KDP", "strategy": "Daily", "action": "SHORT", "alert_price": 30.45, "score": "", "dir_prob": "11.4", "net_sigma": "", "grade": "", "align": "", "premium": "", "wrong_if": "", "context": "", "subject": "Alert: Rev - Screener v1 (SPY, 12): Any alert() function call", "body": "{\"ticker\":\"KDP\", \"setup\":\"A+ Trend Short\", \"side\":\"SHORT\", \"price\":30.45, \"stage\":4, \"buy\":19.4, \"sell\":87.5, \"prime\":-2, \"revL\":0, \"revS\":0, \"vcp\":0, \"dir_prob\":11.4, \"time\":1784554200000}", "ticker": "KDP", "setup": "A+ Trend Short", "side": "SHORT", "price": 30.45, "stage": 4, "buy": 19.4, "sell": 87.5, "prime": -2, "revL": 0, "revS": 0, "vcp": 0, "time": 1784554200000, "email_id": "b'1567'", "timestamp": "2026-07-20 16:01:25"}</t>
  </si>
  <si>
    <t>Buy: 92.7 | Sell: 29.7</t>
  </si>
  <si>
    <t>Buy: 15.9 | Sell: 87.8</t>
  </si>
  <si>
    <t>{"symbol": "PCAR", "strategy": "Daily", "action": "LONG", "alert_price": 126.22, "score": "", "dir_prob": "88.3", "net_sigma": "", "grade": "", "align": "", "premium": "", "wrong_if": "", "context": "", "subject": "Alert: Rev - Screener v1 (SPY, 12): Any alert() function call", "body": "{\"ticker\":\"PCAR\", \"setup\":\"A+ Trend Long\", \"side\":\"LONG\", \"price\":126.22, \"stage\":2, \"buy\":92.7, \"sell\":29.7, \"prime\":2, \"revL\":0, \"revS\":0, \"vcp\":0, \"dir_prob\":88.3, \"time\":1784640600000}", "ticker": "PCAR", "setup": "A+ Trend Long", "side": "LONG", "price": 126.22, "stage": 2, "buy": 92.7, "sell": 29.7, "prime": 2, "revL": 0, "revS": 0, "vcp": 0, "time": 1784640600000, "email_id": "b'1789'", "timestamp": "2026-07-21 16:01:07"}</t>
  </si>
  <si>
    <t>Buy: 96.1 | Sell: 17.8</t>
  </si>
  <si>
    <t>{"symbol": "LVS", "strategy": "Daily", "action": "SHORT", "alert_price": 45.8, "score": "", "dir_prob": "16", "net_sigma": "", "grade": "", "align": "", "premium": "", "wrong_if": "", "context": "", "subject": "Alert: Rev - Screener v1 (SPY, 12): Any alert() function call", "body": "{\"ticker\":\"LVS\", \"setup\":\"A+ Trend Short\", \"side\":\"SHORT\", \"price\":45.80, \"stage\":4, \"buy\":15.9, \"sell\":87.8, \"prime\":-2, \"revL\":0, \"revS\":0, \"vcp\":1, \"dir_prob\":16, \"time\":1784554200000}", "ticker": "LVS", "setup": "A+ Trend Short", "side": "SHORT", "price": 45.8, "stage": 4, "buy": 15.9, "sell": 87.8, "prime": -2, "revL": 0, "revS": 0, "vcp": 1, "time": 1784554200000, "email_id": "b'1598'", "timestamp": "2026-07-20 16:01:26"}</t>
  </si>
  <si>
    <t>Buy: 18.1 | Sell: 89.5</t>
  </si>
  <si>
    <t>{"symbol": "CSX", "strategy": "Daily", "action": "LONG", "alert_price": 49.88, "score": "", "dir_prob": "87.2", "net_sigma": "", "grade": "", "align": "", "premium": "", "wrong_if": "", "context": "", "subject": "Alert: Rev - Screener v1 (SPY, 12): Any alert() function call", "body": "{\"ticker\":\"CSX\", \"setup\":\"A+ Trend Long\", \"side\":\"LONG\", \"price\":49.88, \"stage\":2, \"buy\":96.1, \"sell\":17.8, \"prime\":2, \"revL\":0, \"revS\":0, \"vcp\":0, \"dir_prob\":87.2, \"time\":1784640600000}", "ticker": "CSX", "setup": "A+ Trend Long", "side": "LONG", "price": 49.88, "stage": 2, "buy": 96.1, "sell": 17.8, "prime": 2, "revL": 0, "revS": 0, "vcp": 0, "time": 1784640600000, "email_id": "b'1790'", "timestamp": "2026-07-21 16:01:40"}</t>
  </si>
  <si>
    <t>Buy: 86 | Sell: 26.2</t>
  </si>
  <si>
    <t>Buy: 10 | Sell: 88.3</t>
  </si>
  <si>
    <t>{"symbol": "SLB", "strategy": "Daily", "action": "SHORT", "alert_price": 46.39, "score": "", "dir_prob": "6", "net_sigma": "", "grade": "", "align": "", "premium": "", "wrong_if": "", "context": "", "subject": "Alert: Rev - Screener v1 (SPY, 12): Any alert() function call", "body": "{\"ticker\":\"SLB\", \"setup\":\"A+ Trend Short\", \"side\":\"SHORT\", \"price\":46.39, \"stage\":4, \"buy\":18.1, \"sell\":89.5, \"prime\":-2, \"revL\":0, \"revS\":0, \"vcp\":1, \"dir_prob\":6, \"time\":1784554200000}", "ticker": "SLB", "setup": "A+ Trend Short", "side": "SHORT", "price": 46.39, "stage": 4, "buy": 18.1, "sell": 89.5, "prime": -2, "revL": 0, "revS": 0, "vcp": 1, "time": 1784554200000, "email_id": "b'1640'", "timestamp": "2026-07-20 16:01:32"}</t>
  </si>
  <si>
    <t>{"symbol": "DOC", "strategy": "Daily", "action": "LONG", "alert_price": 22.6, "score": "", "dir_prob": "88.3", "net_sigma": "", "grade": "", "align": "", "premium": "", "wrong_if": "", "context": "", "subject": "Alert: Rev - Screener v1 (SPY, 12): Any alert() function call", "body": "{\"ticker\":\"DOC\", \"setup\":\"A+ Trend Long\", \"side\":\"LONG\", \"price\":22.60, \"stage\":2, \"buy\":86, \"sell\":26.2, \"prime\":2, \"revL\":0, \"revS\":0, \"vcp\":0, \"dir_prob\":88.3, \"time\":1784640600000}", "ticker": "DOC", "setup": "A+ Trend Long", "side": "LONG", "price": 22.6, "stage": 2, "buy": 86, "sell": 26.2, "prime": 2, "revL": 0, "revS": 0, "vcp": 0, "time": 1784640600000, "email_id": "b'1791'", "timestamp": "2026-07-21 16:01:33"}</t>
  </si>
  <si>
    <t>Buy: 14.5 | Sell: 88.1</t>
  </si>
  <si>
    <t>Buy: 93.3 | Sell: 23.4</t>
  </si>
  <si>
    <t>SKIP / WAIT (Trend-Following)</t>
  </si>
  <si>
    <t>Entry: 71.14
Stop: 70.51
Target: 75.73
See markdown for full rationale.</t>
  </si>
  <si>
    <t>{"symbol": "BKR", "strategy": "Daily", "action": "SHORT", "alert_price": 56.34, "score": "", "dir_prob": "5.7", "net_sigma": "", "grade": "", "align": "", "premium": "", "wrong_if": "", "context": "", "subject": "Alert: Rev - Screener v1 (SPY, 12): Any alert() function call", "body": "{\"ticker\":\"BKR\", \"setup\":\"A+ Trend Short\", \"side\":\"SHORT\", \"price\":56.34, \"stage\":4, \"buy\":14.5, \"sell\":88.1, \"prime\":-2, \"revL\":0, \"revS\":0, \"vcp\":0, \"dir_prob\":5.7, \"time\":1784640600000}", "ticker": "BKR", "setup": "A+ Trend Short", "side": "SHORT", "price": 56.34, "stage": 4, "buy": 14.5, "sell": 88.1, "prime": -2, "revL": 0, "revS": 0, "vcp": 0, "time": 1784640600000, "email_id": "b'1792'", "timestamp": "2026-07-21 16:01:27"}</t>
  </si>
  <si>
    <t>Buy: 93.2 | Sell: 8.3</t>
  </si>
  <si>
    <t>{"symbol": "ADI", "strategy": "Daily", "action": "SHORT", "alert_price": 386.67, "score": "", "dir_prob": "8.4", "net_sigma": "", "grade": "", "align": "", "premium": "", "wrong_if": "", "context": "", "subject": "Alert: Rev - Screener v1 (SPY, 12): Any alert() function call", "body": "{\"ticker\":\"ADI\", \"setup\":\"A+ Trend Short\", \"side\":\"SHORT\", \"price\":386.67, \"stage\":4, \"buy\":10, \"sell\":88.3, \"prime\":-2, \"revL\":0, \"revS\":0, \"vcp\":1, \"dir_prob\":8.4, \"time\":1784727000000}", "ticker": "ADI", "setup": "A+ Trend Short", "side": "SHORT", "price": 386.67, "stage": 4, "buy": 10, "sell": 88.3, "prime": -2, "revL": 0, "revS": 0, "vcp": 1, "time": 1784727000000, "email_id": "1891", "timestamp": "2026-07-22 16:01:00"}</t>
  </si>
  <si>
    <t>{"symbol": "TECH", "strategy": "Daily", "action": "LONG", "alert_price": 71.63, "score": "", "dir_prob": "94.2", "net_sigma": "", "grade": "", "align": "", "premium": "", "wrong_if": "", "context": "", "subject": "Alert: Rev - Screener v1 (SPY, 12): Any alert() function call", "body": "{\"ticker\":\"TECH\", \"setup\":\"A+ Trend Long\", \"side\":\"LONG\", \"price\":71.63, \"stage\":2, \"buy\":93.3, \"sell\":23.4, \"prime\":2, \"revL\":0, \"revS\":0, \"vcp\":0, \"dir_prob\":94.2, \"time\":1784554200000}", "ticker": "TECH", "setup": "A+ Trend Long", "side": "LONG", "price": 71.63, "stage": 2, "buy": 93.3, "sell": 23.4, "prime": 2, "revL": 0, "revS": 0, "vcp": 0, "time": 1784554200000, "email_id": "b'1652'", "timestamp": "2026-07-20 16:01:11"}</t>
  </si>
  <si>
    <t>TREND_LONG fires with buy=95.42 &gt;&gt; 65, dir_prob=95.97 &gt;&gt; 50, and stage=2 (up-trend). News is NEUTRAL (earnings preview) and does not contradict the strong technicals. The 'pullback' flag indicates a dip-buy opportunity within the trend, and</t>
  </si>
  <si>
    <t>PAYX</t>
  </si>
  <si>
    <t>Buy: 72.3 | Sell: 5.4</t>
  </si>
  <si>
    <t>Buy: 93.9 | Sell: 23.6</t>
  </si>
  <si>
    <t>{"symbol": "BXP", "strategy": "Daily", "action": "LONG", "alert_price": 68.28, "score": "", "dir_prob": "94.1", "net_sigma": "", "grade": "", "align": "", "premium": "", "wrong_if": "", "context": "", "subject": "Alert: Rev - Screener v1 (SPY, 12): Any alert() function call", "body": "{\"ticker\":\"BXP\", \"setup\":\"A+ Trend Long\", \"side\":\"LONG\", \"price\":68.28, \"stage\":2, \"buy\":93.2, \"sell\":8.3, \"prime\":2, \"revL\":0, \"revS\":0, \"vcp\":0, \"dir_prob\":94.1, \"time\":1784640600000}", "ticker": "BXP", "setup": "A+ Trend Long", "side": "LONG", "price": 68.28, "stage": 2, "buy": 93.2, "sell": 8.3, "prime": 2, "revL": 0, "revS": 0, "vcp": 0, "time": 1784640600000, "email_id": "b'1793'", "timestamp": "2026-07-21 16:01:33"}</t>
  </si>
  <si>
    <t>TREND_LONG fires with buy=96.19 &gt;&gt; 65, dir_prob=92.91, and stage=2. News CONFIRMS with multiple analyst upgrades raising targets. Triage capped to WATCH due to earnings_gate=PASS (7 days out) and rr_from_current=0.73 (poor R:R from current,</t>
  </si>
  <si>
    <t>Buy: 93 | Sell: 9.8</t>
  </si>
  <si>
    <t>{"symbol": "PAYX", "strategy": "Daily", "action": "LONG", "alert_price": 110.76, "score": "", "dir_prob": "97.7", "net_sigma": "", "grade": "", "align": "", "premium": "", "wrong_if": "", "context": "", "subject": "Alert: Rev - Screener v1 (SPY, 12): Any alert() function call", "body": "{\"ticker\":\"PAYX\", \"setup\":\"Early Action Long\", \"side\":\"LONG\", \"price\":110.76, \"stage\":2, \"buy\":72.3, \"sell\":5.4, \"prime\":1, \"revL\":0, \"revS\":0, \"vcp\":0, \"dir_prob\":97.7, \"time\":1784727000000}", "ticker": "PAYX", "setup": "Early Action Long", "side": "LONG", "price": 110.76, "stage": 2, "buy": 72.3, "sell": 5.4, "prime": 1, "revL": 0, "revS": 0, "vcp": 0, "time": 1784727000000, "email_id": "1892", "timestamp": "2026-07-22 16:01:01"}</t>
  </si>
  <si>
    <t>Buy: 95.7 | Sell: 16.6</t>
  </si>
  <si>
    <t>{"symbol": "VRTX", "strategy": "Daily", "action": "LONG", "alert_price": 480.43, "score": "", "dir_prob": "88.4", "net_sigma": "", "grade": "", "align": "", "premium": "", "wrong_if": "", "context": "", "subject": "Alert: Rev - Screener v1 (SPY, 12): Any alert() function call", "body": "{\"ticker\":\"VRTX\", \"setup\":\"A+ Trend Long\", \"side\":\"LONG\", \"price\":480.43, \"stage\":2, \"buy\":93.9, \"sell\":23.6, \"prime\":2, \"revL\":0, \"revS\":0, \"vcp\":0, \"dir_prob\":88.4, \"time\":1784554200000}", "ticker": "VRTX", "setup": "A+ Trend Long", "side": "LONG", "price": 480.43, "stage": 2, "buy": 93.9, "sell": 23.6, "prime": 2, "revL": 0, "revS": 0, "vcp": 0, "time": 1784554200000, "email_id": "b'1548'", "timestamp": "2026-07-20 16:01:16"}</t>
  </si>
  <si>
    <t>{"symbol": "MET", "strategy": "Daily", "action": "LONG", "alert_price": 93.35, "score": "", "dir_prob": "91.9", "net_sigma": "", "grade": "", "align": "", "premium": "", "wrong_if": "", "context": "", "subject": "Alert: Rev - Screener v1 (SPY, 12): Any alert() function call", "body": "{\"ticker\":\"MET\", \"setup\":\"A+ Trend Long\", \"side\":\"LONG\", \"price\":93.35, \"stage\":2, \"buy\":93, \"sell\":9.8, \"prime\":2, \"revL\":0, \"revS\":0, \"vcp\":0, \"dir_prob\":91.9, \"time\":1784640600000}", "ticker": "MET", "setup": "A+ Trend Long", "side": "LONG", "price": 93.35, "stage": 2, "buy": 93, "sell": 9.8, "prime": 2, "revL": 0, "revS": 0, "vcp": 0, "time": 1784640600000, "email_id": "b'1794'", "timestamp": "2026-07-21 16:01:27"}</t>
  </si>
  <si>
    <t>Buy: 93.9 | Sell: 10.4</t>
  </si>
  <si>
    <t>Buy: 96.7 | Sell: 10.6</t>
  </si>
  <si>
    <t>{"symbol": "AMCR", "strategy": "Daily", "action": "LONG", "alert_price": 43.21, "score": "", "dir_prob": "92.4", "net_sigma": "", "grade": "", "align": "", "premium": "", "wrong_if": "", "context": "", "subject": "Alert: Rev - Screener v1 (SPY, 12): Any alert() function call", "body": "{\"ticker\":\"AMCR\", \"setup\":\"A+ Trend Long\", \"side\":\"LONG\", \"price\":43.21, \"stage\":2, \"buy\":95.7, \"sell\":16.6, \"prime\":2, \"revL\":0, \"revS\":0, \"vcp\":1, \"dir_prob\":92.4, \"time\":1784727000000}", "ticker": "AMCR", "setup": "A+ Trend Long", "side": "LONG", "price": 43.21, "stage": 2, "buy": 95.7, "sell": 16.6, "prime": 2, "revL": 0, "revS": 0, "vcp": 1, "time": 1784727000000, "email_id": "1890", "timestamp": "2026-07-22 16:01:01"}</t>
  </si>
  <si>
    <t>Buy: 96.8 | Sell: 6.4</t>
  </si>
  <si>
    <t>{"symbol": "HBAN", "strategy": "Daily", "action": "LONG", "alert_price": 18.18, "score": "", "dir_prob": "93.8", "net_sigma": "", "grade": "", "align": "", "premium": "", "wrong_if": "", "context": "", "subject": "Alert: Rev - Screener v1 (SPY, 12): Any alert() function call", "body": "{\"ticker\":\"HBAN\", \"setup\":\"A+ Trend Long\", \"side\":\"LONG\", \"price\":18.18, \"stage\":2, \"buy\":96.7, \"sell\":10.6, \"prime\":2, \"revL\":0, \"revS\":0, \"vcp\":1, \"dir_prob\":93.8, \"time\":1784640600000}", "ticker": "HBAN", "setup": "A+ Trend Long", "side": "LONG", "price": 18.18, "stage": 2, "buy": 96.7, "sell": 10.6, "prime": 2, "revL": 0, "revS": 0, "vcp": 1, "time": 1784640600000, "email_id": "b'1795'", "timestamp": "2026-07-21 16:01:32"}</t>
  </si>
  <si>
    <t>{"symbol": "ALL", "strategy": "Daily", "action": "LONG", "alert_price": 251.87, "score": "", "dir_prob": "91.7", "net_sigma": "", "grade": "", "align": "", "premium": "", "wrong_if": "", "context": "", "subject": "Alert: Rev - Screener v1 (SPY, 12): Any alert() function call", "body": "{\"ticker\":\"ALL\", \"setup\":\"A+ Trend Long\", \"side\":\"LONG\", \"price\":251.87, \"stage\":2, \"buy\":96.8, \"sell\":6.4, \"prime\":2, \"revL\":0, \"revS\":0, \"vcp\":0, \"dir_prob\":91.7, \"time\":1784727000000}", "ticker": "ALL", "setup": "A+ Trend Long", "side": "LONG", "price": 251.87, "stage": 2, "buy": 96.8, "sell": 6.4, "prime": 2, "revL": 0, "revS": 0, "vcp": 0, "time": 1784727000000, "email_id": "1893", "timestamp": "2026-07-22 16:01:09"}</t>
  </si>
  <si>
    <t>{"symbol": "MAS", "strategy": "Daily", "action": "LONG", "alert_price": 77.49, "score": "", "dir_prob": "91.2", "net_sigma": "", "grade": "", "align": "", "premium": "", "wrong_if": "", "context": "", "subject": "Alert: Rev - Screener v1 (SPY, 12): Any alert() function call", "body": "{\"ticker\":\"MAS\", \"setup\":\"A+ Trend Long\", \"side\":\"LONG\", \"price\":77.49, \"stage\":2, \"buy\":93.9, \"sell\":10.4, \"prime\":2, \"revL\":0, \"revS\":0, \"vcp\":0, \"dir_prob\":91.2, \"time\":1784554200000}", "ticker": "MAS", "setup": "A+ Trend Long", "side": "LONG", "price": 77.49, "stage": 2, "buy": 93.9, "sell": 10.4, "prime": 2, "revL": 0, "revS": 0, "vcp": 0, "time": 1784554200000, "email_id": "b'1537'", "timestamp": "2026-07-20 16:01:09"}</t>
  </si>
  <si>
    <t>Buy: 97.1 | Sell: 14.6</t>
  </si>
  <si>
    <t>Buy: 95.6 | Sell: 5.2</t>
  </si>
  <si>
    <t>{"symbol": "DHR", "strategy": "Daily", "action": "LONG", "alert_price": 179.12, "score": "", "dir_prob": "91.7", "net_sigma": "", "grade": "", "align": "", "premium": "", "wrong_if": "", "context": "", "subject": "Alert: Rev - Screener v1 (SPY, 12): Any alert() function call", "body": "{\"ticker\":\"DHR\", \"setup\":\"A+ Trend Long\", \"side\":\"LONG\", \"price\":179.12, \"stage\":2, \"buy\":97.1, \"sell\":14.6, \"prime\":2, \"revL\":5.5, \"revS\":0, \"vcp\":0, \"dir_prob\":91.7, \"time\":1784640600000}", "ticker": "DHR", "setup": "A+ Trend Long", "side": "LONG", "price": 179.12, "stage": 2, "buy": 97.1, "sell": 14.6, "prime": 2, "revL": 5.5, "revS": 0, "vcp": 0, "time": 1784640600000, "email_id": "b'1796'", "timestamp": "2026-07-21 16:01:21"}</t>
  </si>
  <si>
    <t>{"symbol": "PNC", "strategy": "Daily", "action": "LONG", "alert_price": 252.49, "score": "", "dir_prob": "93.8", "net_sigma": "", "grade": "", "align": "", "premium": "", "wrong_if": "", "context": "", "subject": "Alert: Rev - Screener v1 (SPY, 12): Any alert() function call", "body": "{\"ticker\":\"PNC\", \"setup\":\"A+ Trend Long\", \"side\":\"LONG\", \"price\":252.49, \"stage\":2, \"buy\":95.6, \"sell\":5.2, \"prime\":2, \"revL\":0, \"revS\":0, \"vcp\":0, \"dir_prob\":93.8, \"time\":1784727000000}", "ticker": "PNC", "setup": "A+ Trend Long", "side": "LONG", "price": 252.49, "stage": 2, "buy": 95.6, "sell": 5.2, "prime": 2, "revL": 0, "revS": 0, "vcp": 0, "time": 1784727000000, "email_id": "1894", "timestamp": "2026-07-22 16:01:00"}</t>
  </si>
  <si>
    <t>Buy: 6.4 | Sell: 88</t>
  </si>
  <si>
    <t>{"symbol": "HIG", "strategy": "Daily", "action": "LONG", "alert_price": 140.52, "score": "", "dir_prob": "94.1", "net_sigma": "", "grade": "", "align": "", "premium": "", "wrong_if": "", "context": "", "subject": "Alert: Rev - Screener v1 (SPY, 12): Any alert() function call", "body": "{\"ticker\":\"HIG\", \"setup\":\"A+ Trend Long\", \"side\":\"LONG\", \"price\":140.52, \"stage\":2, \"buy\":96, \"sell\":7.1, \"prime\":2, \"revL\":0, \"revS\":0, \"vcp\":0, \"dir_prob\":94.1, \"time\":1784554200000}", "ticker": "HIG", "setup": "A+ Trend Long", "side": "LONG", "price": 140.52, "stage": 2, "buy": 96, "sell": 7.1, "prime": 2, "revL": 0, "revS": 0, "vcp": 0, "time": 1784554200000, "email_id": "b'1585'", "timestamp": "2026-07-20 16:01:17"}</t>
  </si>
  <si>
    <t>Buy: 95.8 | Sell: 7.4</t>
  </si>
  <si>
    <t>{"symbol": "BAC", "strategy": "Daily", "action": "LONG", "alert_price": 61.65, "score": "", "dir_prob": "90.1", "net_sigma": "", "grade": "", "align": "", "premium": "", "wrong_if": "", "context": "", "subject": "Alert: Rev - Screener v1 (SPY, 12): Any alert() function call", "body": "{\"ticker\":\"BAC\", \"setup\":\"A+ Trend Long\", \"side\":\"LONG\", \"price\":61.65, \"stage\":2, \"buy\":94.4, \"sell\":11, \"prime\":2, \"revL\":0, \"revS\":0, \"vcp\":0, \"dir_prob\":90.1, \"time\":1784727000000}", "ticker": "BAC", "setup": "A+ Trend Long", "side": "LONG", "price": 61.65, "stage": 2, "buy": 94.4, "sell": 11, "prime": 2, "revL": 0, "revS": 0, "vcp": 0, "time": 1784727000000, "email_id": "1895", "timestamp": "2026-07-22 16:01:03"}</t>
  </si>
  <si>
    <t>{"symbol": "FCX", "strategy": "Daily", "action": "SHORT", "alert_price": 62.54, "score": "", "dir_prob": "10.1", "net_sigma": "", "grade": "", "align": "", "premium": "", "wrong_if": "", "context": "", "subject": "Alert: Rev - Screener v1 (SPY, 12): Any alert() function call", "body": "{\"ticker\":\"FCX\", \"setup\":\"A+ Trend Short\", \"side\":\"SHORT\", \"price\":62.54, \"stage\":4, \"buy\":6.4, \"sell\":88, \"prime\":-2, \"revL\":0, \"revS\":0, \"vcp\":1, \"dir_prob\":10.1, \"time\":1784640600000}", "ticker": "FCX", "setup": "A+ Trend Short", "side": "SHORT", "price": 62.54, "stage": 4, "buy": 6.4, "sell": 88, "prime": -2, "revL": 0, "revS": 0, "vcp": 1, "time": 1784640600000, "email_id": "b'1797'", "timestamp": "2026-07-21 16:01:12"}</t>
  </si>
  <si>
    <t>NWSA</t>
  </si>
  <si>
    <t>Buy: 94.1 | Sell: 17</t>
  </si>
  <si>
    <t>TDY</t>
  </si>
  <si>
    <t>Buy: 76.3 | Sell: 52.7</t>
  </si>
  <si>
    <t>{"symbol": "NWSA", "strategy": "Daily", "action": "LONG", "alert_price": 27.35, "score": "", "dir_prob": "95.6", "net_sigma": "", "grade": "", "align": "", "premium": "", "wrong_if": "", "context": "", "subject": "Alert: Rev - Screener v1 (SPY, 12): Any alert() function call", "body": "{\"ticker\":\"NWSA\", \"setup\":\"A+ Trend Long\", \"side\":\"LONG\", \"price\":27.35, \"stage\":2, \"buy\":94.1, \"sell\":17, \"prime\":2, \"revL\":0, \"revS\":0, \"vcp\":0, \"dir_prob\":95.6, \"time\":1784727000000}", "ticker": "NWSA", "setup": "A+ Trend Long", "side": "LONG", "price": 27.35, "stage": 2, "buy": 94.1, "sell": 17, "prime": 2, "revL": 0, "revS": 0, "vcp": 0, "time": 1784727000000, "email_id": "1896", "timestamp": "2026-07-22 16:01:00"}</t>
  </si>
  <si>
    <t>{"symbol": "AIG", "strategy": "Daily", "action": "LONG", "alert_price": 79.82, "score": "", "dir_prob": "97.8", "net_sigma": "", "grade": "", "align": "", "premium": "", "wrong_if": "", "context": "", "subject": "Alert: Rev - Screener v1 (SPY, 12): Any alert() function call", "body": "{\"ticker\":\"AIG\", \"setup\":\"A+ Trend Long\", \"side\":\"LONG\", \"price\":79.82, \"stage\":2, \"buy\":95.8, \"sell\":7.4, \"prime\":2, \"revL\":0, \"revS\":0, \"vcp\":0, \"dir_prob\":97.8, \"time\":1784554200000}", "ticker": "AIG", "setup": "A+ Trend Long", "side": "LONG", "price": 79.82, "stage": 2, "buy": 95.8, "sell": 7.4, "prime": 2, "revL": 0, "revS": 0, "vcp": 0, "time": 1784554200000, "email_id": "b'1629'", "timestamp": "2026-07-20 16:01:10"}</t>
  </si>
  <si>
    <t>{"symbol": "TDY", "strategy": "Daily", "action": "LONG", "alert_price": 647.0, "score": "", "dir_prob": "75.8", "net_sigma": "", "grade": "", "align": "", "premium": "", "wrong_if": "", "context": "", "subject": "Alert: Rev - Screener v1 (SPY, 12): Any alert() function call", "body": "{\"ticker\":\"TDY\", \"setup\":\"Early Ignition\", \"side\":\"LONG\", \"price\":647.00, \"stage\":2, \"buy\":76.3, \"sell\":52.7, \"prime\":0, \"revL\":0, \"revS\":0, \"vcp\":1, \"dir_prob\":75.8, \"time\":1784640600000}", "ticker": "TDY", "setup": "Early Ignition", "side": "LONG", "price": 647.0, "stage": 2, "buy": 76.3, "sell": 52.7, "prime": 0, "revL": 0, "revS": 0, "vcp": 1, "time": 1784640600000, "email_id": "b'1798'", "timestamp": "2026-07-21 16:01:34"}</t>
  </si>
  <si>
    <t>TREND_LONG fires with buy=98.35 &gt;&gt; 65, dir_prob=95.67, and stage=2. News CONFIRMS with a price target raise to $90. Triage capped to WATCH due to 'chased' flag (price above long_zone) and rr_from_current=0.96 &lt; 1.0, indicating poor risk/re奖</t>
  </si>
  <si>
    <t>Buy: 97.1 | Sell: 6</t>
  </si>
  <si>
    <t>Buy: 79.3 | Sell: 19.8</t>
  </si>
  <si>
    <t>{"symbol": "AWK", "strategy": "Daily", "action": "LONG", "alert_price": 133.82, "score": "", "dir_prob": "97.6", "net_sigma": "", "grade": "", "align": "", "premium": "", "wrong_if": "", "context": "", "subject": "Alert: Rev - Screener v1 (SPY, 12): Any alert() function call", "body": "{\"ticker\":\"AWK\", \"setup\":\"A+ Trend Long\", \"side\":\"LONG\", \"price\":133.82, \"stage\":2, \"buy\":95.9, \"sell\":7.3, \"prime\":2, \"revL\":0, \"revS\":0, \"vcp\":1, \"dir_prob\":97.6, \"time\":1784727000000}", "ticker": "AWK", "setup": "A+ Trend Long", "side": "LONG", "price": 133.82, "stage": 2, "buy": 95.9, "sell": 7.3, "prime": 2, "revL": 0, "revS": 0, "vcp": 1, "time": 1784727000000, "email_id": "1897", "timestamp": "2026-07-22 16:01:00"}</t>
  </si>
  <si>
    <t>MCK</t>
  </si>
  <si>
    <t>{"symbol": "ALL", "strategy": "Daily", "action": "LONG", "alert_price": 251.71, "score": "", "dir_prob": "92", "net_sigma": "", "grade": "", "align": "", "premium": "", "wrong_if": "", "context": "", "subject": "Alert: Rev - Screener v1 (SPY, 12): Any alert() function call", "body": "{\"ticker\":\"ALL\", \"setup\":\"A+ Trend Long\", \"side\":\"LONG\", \"price\":251.71, \"stage\":2, \"buy\":97.1, \"sell\":6, \"prime\":2, \"revL\":0, \"revS\":0, \"vcp\":0, \"dir_prob\":92, \"time\":1784640600000}", "ticker": "ALL", "setup": "A+ Trend Long", "side": "LONG", "price": 251.71, "stage": 2, "buy": 97.1, "sell": 6, "prime": 2, "revL": 0, "revS": 0, "vcp": 0, "time": 1784640600000, "email_id": "b'1799'", "timestamp": "2026-07-21 16:01:23"}</t>
  </si>
  <si>
    <t>Buy: 80.4 | Sell: 23.3</t>
  </si>
  <si>
    <t>MA</t>
  </si>
  <si>
    <t>Buy: 92.1 | Sell: 3.3</t>
  </si>
  <si>
    <t>{"symbol": "NSC", "strategy": "Daily", "action": "LONG", "alert_price": 335.01, "score": "", "dir_prob": "87.6", "net_sigma": "", "grade": "", "align": "", "premium": "", "wrong_if": "", "context": "", "subject": "Alert: Rev - Screener v1 (SPY, 12): Any alert() function call", "body": "{\"ticker\":\"NSC\", \"setup\":\"Early Action Long\", \"side\":\"LONG\", \"price\":335.01, \"stage\":2, \"buy\":79.3, \"sell\":19.8, \"prime\":1, \"revL\":0, \"revS\":0, \"vcp\":0, \"dir_prob\":87.6, \"time\":1784554200000}", "ticker": "NSC", "setup": "Early Action Long", "side": "LONG", "price": 335.01, "stage": 2, "buy": 79.3, "sell": 19.8, "prime": 1, "revL": 0, "revS": 0, "vcp": 0, "time": 1784554200000, "email_id": "b'1528'", "timestamp": "2026-07-20 16:01:03"}</t>
  </si>
  <si>
    <t>Buy: 96.1 | Sell: 23.5</t>
  </si>
  <si>
    <t>{"symbol": "MCK", "strategy": "Daily", "action": "LONG", "alert_price": 814.01, "score": "", "dir_prob": "89.1", "net_sigma": "", "grade": "", "align": "", "premium": "", "wrong_if": "", "context": "", "subject": "Alert: Rev - Screener v1 (SPY, 12): Any alert() function call", "body": "{\"ticker\":\"MCK\", \"setup\":\"Early Action Long\", \"side\":\"LONG\", \"price\":814.01, \"stage\":2, \"buy\":80.4, \"sell\":23.3, \"prime\":1, \"revL\":0, \"revS\":0, \"vcp\":0, \"dir_prob\":89.1, \"time\":1784727000000}", "ticker": "MCK", "setup": "Early Action Long", "side": "LONG", "price": 814.01, "stage": 2, "buy": 80.4, "sell": 23.3, "prime": 1, "revL": 0, "revS": 0, "vcp": 0, "time": 1784727000000, "email_id": "1898", "timestamp": "2026-07-22 16:01:13"}</t>
  </si>
  <si>
    <t>Buy: 96.5 | Sell: 11.9</t>
  </si>
  <si>
    <t>{"symbol": "MA", "strategy": "Daily", "action": "LONG", "alert_price": 538.12, "score": "", "dir_prob": "98.3", "net_sigma": "", "grade": "", "align": "", "premium": "", "wrong_if": "", "context": "", "subject": "Alert: Rev - Screener v1 (SPY, 12): Any alert() function call", "body": "{\"ticker\":\"MA\", \"setup\":\"A+ Trend Long\", \"side\":\"LONG\", \"price\":538.12, \"stage\":2, \"buy\":92.1, \"sell\":3.3, \"prime\":2, \"revL\":0, \"revS\":0, \"vcp\":0, \"dir_prob\":98.3, \"time\":1784640600000}", "ticker": "MA", "setup": "A+ Trend Long", "side": "LONG", "price": 538.12, "stage": 2, "buy": 92.1, "sell": 3.3, "prime": 2, "revL": 0, "revS": 0, "vcp": 0, "time": 1784640600000, "email_id": "b'1800'", "timestamp": "2026-07-21 16:01:36"}</t>
  </si>
  <si>
    <t>Buy: 83 | Sell: 36.9</t>
  </si>
  <si>
    <t>{"symbol": "MRSH", "strategy": "Daily", "action": "LONG", "alert_price": 176.05, "score": "", "dir_prob": "99.5", "net_sigma": "", "grade": "", "align": "", "premium": "", "wrong_if": "", "context": "", "subject": "Alert: Rev - Screener v1 (SPY, 12): Any alert() function call", "body": "{\"ticker\":\"MRSH\", \"setup\":\"A+ Trend Long\", \"side\":\"LONG\", \"price\":176.05, \"stage\":2, \"buy\":96.5, \"sell\":11.9, \"prime\":2, \"revL\":0, \"revS\":0, \"vcp\":0, \"dir_prob\":99.5, \"time\":1784727000000}", "ticker": "MRSH", "setup": "A+ Trend Long", "side": "LONG", "price": 176.05, "stage": 2, "buy": 96.5, "sell": 11.9, "prime": 2, "revL": 0, "revS": 0, "vcp": 0, "time": 1784727000000, "email_id": "1899", "timestamp": "2026-07-22 16:01:02"}</t>
  </si>
  <si>
    <t>{"symbol": "CAH", "strategy": "Daily", "action": "LONG", "alert_price": 225.81, "score": "", "dir_prob": "96.1", "net_sigma": "", "grade": "", "align": "", "premium": "", "wrong_if": "", "context": "", "subject": "Alert: Rev - Screener v1 (SPY, 12): Any alert() function call", "body": "{\"ticker\":\"CAH\", \"setup\":\"A+ Trend Long\", \"side\":\"LONG\", \"price\":225.81, \"stage\":2, \"buy\":96.1, \"sell\":23.5, \"prime\":2, \"revL\":0, \"revS\":0, \"vcp\":0, \"dir_prob\":96.1, \"time\":1784554200000}", "ticker": "CAH", "setup": "A+ Trend Long", "side": "LONG", "price": 225.81, "stage": 2, "buy": 96.1, "sell": 23.5, "prime": 2, "revL": 0, "revS": 0, "vcp": 0, "time": 1784554200000, "email_id": "b'1554'", "timestamp": "2026-07-20 16:01:17"}</t>
  </si>
  <si>
    <t>{"symbol": "CHRW", "strategy": "Daily", "action": "LONG", "alert_price": 209.37, "score": "", "dir_prob": "76.9", "net_sigma": "", "grade": "", "align": "", "premium": "", "wrong_if": "", "context": "", "subject": "Alert: Rev - Screener v1 (SPY, 12): Any alert() function call", "body": "{\"ticker\":\"CHRW\", \"setup\":\"Early Action Long\", \"side\":\"LONG\", \"price\":209.37, \"stage\":2, \"buy\":83, \"sell\":36.9, \"prime\":1, \"revL\":0, \"revS\":0, \"vcp\":0, \"dir_prob\":76.9, \"time\":1784640600000}", "ticker": "CHRW", "setup": "Early Action Long", "side": "LONG", "price": 209.37, "stage": 2, "buy": 83, "sell": 36.9, "prime": 1, "revL": 0, "revS": 0, "vcp": 0, "time": 1784640600000, "email_id": "b'1801'", "timestamp": "2026-07-21 16:01:08"}</t>
  </si>
  <si>
    <t>TREND_LONG fires with buy=95.71 &gt;&gt; 65, dir_prob=96.11, and stage=2. News CONFIRMS with a major acquisition and UBS upgrade. Triage capped to WATCH due to earnings_gate=PASS (22 days out) and rr_from_current=0.95 &lt; 1.0 (poor R:R from current</t>
  </si>
  <si>
    <t>Buy: 89.5 | Sell: 5.5</t>
  </si>
  <si>
    <t>ON</t>
  </si>
  <si>
    <t>Buy: 96.6 | Sell: 6.2</t>
  </si>
  <si>
    <t>Buy: 7.8 | Sell: 87.5</t>
  </si>
  <si>
    <t>{"symbol": "AXON", "strategy": "Daily", "action": "LONG", "alert_price": 491.57, "score": "", "dir_prob": "97.6", "net_sigma": "", "grade": "", "align": "", "premium": "", "wrong_if": "", "context": "", "subject": "Alert: Rev - Screener v1 (SPY, 12): Any alert() function call", "body": "{\"ticker\":\"AXON\", \"setup\":\"A+ Trend Long\", \"side\":\"LONG\", \"price\":491.57, \"stage\":2, \"buy\":89.5, \"sell\":5.5, \"prime\":2, \"revL\":0, \"revS\":0, \"vcp\":0, \"dir_prob\":97.6, \"time\":1784727000000}", "ticker": "AXON", "setup": "A+ Trend Long", "side": "LONG", "price": 491.57, "stage": 2, "buy": 89.5, "sell": 5.5, "prime": 2, "revL": 0, "revS": 0, "vcp": 0, "time": 1784727000000, "email_id": "1900", "timestamp": "2026-07-22 16:01:00"}</t>
  </si>
  <si>
    <t>{"symbol": "ON", "strategy": "Daily", "action": "SHORT", "alert_price": 91.04, "score": "", "dir_prob": "10.4", "net_sigma": "", "grade": "", "align": "", "premium": "", "wrong_if": "", "context": "", "subject": "Alert: Rev - Screener v1 (SPY, 12): Any alert() function call", "body": "{\"ticker\":\"ON\", \"setup\":\"A+ Trend Short\", \"side\":\"SHORT\", \"price\":91.04, \"stage\":4, \"buy\":7.8, \"sell\":87.5, \"prime\":-2, \"revL\":0, \"revS\":0, \"vcp\":0, \"dir_prob\":10.4, \"time\":1784640600000}", "ticker": "ON", "setup": "A+ Trend Short", "side": "SHORT", "price": 91.04, "stage": 4, "buy": 7.8, "sell": 87.5, "prime": -2, "revL": 0, "revS": 0, "vcp": 0, "time": 1784640600000, "email_id": "b'1802'", "timestamp": "2026-07-21 16:01:40"}</t>
  </si>
  <si>
    <t>Buy: 25.5 | Sell: 93.2</t>
  </si>
  <si>
    <t>SCHW</t>
  </si>
  <si>
    <t>{"symbol": "AXP", "strategy": "Daily", "action": "LONG", "alert_price": 351.91, "score": "", "dir_prob": "95.6", "net_sigma": "", "grade": "", "align": "", "premium": "", "wrong_if": "", "context": "", "subject": "Alert: Rev - Screener v1 (SPY, 12): Any alert() function call", "body": "{\"ticker\":\"AXP\", \"setup\":\"A+ Trend Long\", \"side\":\"LONG\", \"price\":351.91, \"stage\":2, \"buy\":96.6, \"sell\":6.2, \"prime\":2, \"revL\":0, \"revS\":0, \"vcp\":0, \"dir_prob\":95.6, \"time\":1784554200000}", "ticker": "AXP", "setup": "A+ Trend Long", "side": "LONG", "price": 351.91, "stage": 2, "buy": 96.6, "sell": 6.2, "prime": 2, "revL": 0, "revS": 0, "vcp": 0, "time": 1784554200000, "email_id": "b'1556'", "timestamp": "2026-07-20 16:01:00"}</t>
  </si>
  <si>
    <t>{"symbol": "T", "strategy": "Daily", "action": "SHORT", "alert_price": 23.05, "score": "", "dir_prob": "18.7", "net_sigma": "", "grade": "", "align": "", "premium": "", "wrong_if": "", "context": "", "subject": "Alert: Rev - Screener v1 (SPY, 12): Any alert() function call", "body": "{\"ticker\":\"T\", \"setup\":\"A+ Trend Short\", \"side\":\"SHORT\", \"price\":23.05, \"stage\":4, \"buy\":25.5, \"sell\":93.2, \"prime\":-2, \"revL\":0, \"revS\":0, \"vcp\":0, \"dir_prob\":18.7, \"time\":1784727000000}", "ticker": "T", "setup": "A+ Trend Short", "side": "SHORT", "price": 23.05, "stage": 4, "buy": 25.5, "sell": 93.2, "prime": -2, "revL": 0, "revS": 0, "vcp": 0, "time": 1784727000000, "email_id": "1901", "timestamp": "2026-07-22 16:01:01"}</t>
  </si>
  <si>
    <t>{"symbol": "SCHW", "strategy": "Daily", "action": "LONG", "alert_price": 99.95, "score": "", "dir_prob": "97.4", "net_sigma": "", "grade": "", "align": "", "premium": "", "wrong_if": "", "context": "", "subject": "Alert: Rev - Screener v1 (SPY, 12): Any alert() function call", "body": "{\"ticker\":\"SCHW\", \"setup\":\"A+ Trend Long\", \"side\":\"LONG\", \"price\":99.95, \"stage\":2, \"buy\":97.4, \"sell\":3.7, \"prime\":2, \"revL\":0, \"revS\":0, \"vcp\":0, \"dir_prob\":97.4, \"time\":1784640600000}", "ticker": "SCHW", "setup": "A+ Trend Long", "side": "LONG", "price": 99.95, "stage": 2, "buy": 97.4, "sell": 3.7, "prime": 2, "revL": 0, "revS": 0, "vcp": 0, "time": 1784640600000, "email_id": "b'1803'", "timestamp": "2026-07-21 16:01:08"}</t>
  </si>
  <si>
    <t>Buy: 6.7 | Sell: 85.4</t>
  </si>
  <si>
    <t>Buy: 33 | Sell: 89.5</t>
  </si>
  <si>
    <t>{"symbol": "Q", "strategy": "Daily", "action": "SHORT", "alert_price": 138.68, "score": "", "dir_prob": "50", "net_sigma": "", "grade": "", "align": "", "premium": "", "wrong_if": "", "context": "", "subject": "Alert: Rev - Screener v1 (SPY, 12): Any alert() function call", "body": "{\"ticker\":\"Q\", \"setup\":\"A+ Trend Short\", \"side\":\"SHORT\", \"price\":138.68, \"stage\":4, \"buy\":6.7, \"sell\":85.4, \"prime\":-2, \"revL\":0, \"revS\":0, \"vcp\":0, \"dir_prob\":50, \"time\":1784727000000}", "ticker": "Q", "setup": "A+ Trend Short", "side": "SHORT", "price": 138.68, "stage": 4, "buy": 6.7, "sell": 85.4, "prime": -2, "revL": 0, "revS": 0, "vcp": 0, "time": 1784727000000, "email_id": "1902", "timestamp": "2026-07-22 16:01:04"}</t>
  </si>
  <si>
    <t>Buy: 93.5 | Sell: 23.2</t>
  </si>
  <si>
    <t>{"symbol": "ELV", "strategy": "Daily", "action": "SHORT", "alert_price": 393.57, "score": "", "dir_prob": "16.4", "net_sigma": "", "grade": "", "align": "", "premium": "", "wrong_if": "", "context": "", "subject": "Alert: Rev - Screener v1 (SPY, 12): Any alert() function call", "body": "{\"ticker\":\"ELV\", \"setup\":\"A+ Trend Short\", \"side\":\"SHORT\", \"price\":393.57, \"stage\":4, \"buy\":33, \"sell\":89.5, \"prime\":-2, \"revL\":0, \"revS\":0, \"vcp\":0, \"dir_prob\":16.4, \"time\":1784640600000}", "ticker": "ELV", "setup": "A+ Trend Short", "side": "SHORT", "price": 393.57, "stage": 4, "buy": 33, "sell": 89.5, "prime": -2, "revL": 0, "revS": 0, "vcp": 0, "time": 1784640600000, "email_id": "b'1804'", "timestamp": "2026-07-21 16:01:30"}</t>
  </si>
  <si>
    <t>Buy: 96.5 | Sell: 4.1</t>
  </si>
  <si>
    <t>{"symbol": "DLTR", "strategy": "Daily", "action": "LONG", "alert_price": 126.39, "score": "", "dir_prob": "96", "net_sigma": "", "grade": "", "align": "", "premium": "", "wrong_if": "", "context": "", "subject": "Alert: Rev - Screener v1 (SPY, 12): Any alert() function call", "body": "{\"ticker\":\"DLTR\", \"setup\":\"A+ Trend Long\", \"side\":\"LONG\", \"price\":126.39, \"stage\":2, \"buy\":95.9, \"sell\":9.6, \"prime\":2, \"revL\":0, \"revS\":0, \"vcp\":0, \"dir_prob\":96, \"time\":1784554200000}", "ticker": "DLTR", "setup": "A+ Trend Long", "side": "LONG", "price": 126.39, "stage": 2, "buy": 95.9, "sell": 9.6, "prime": 2, "revL": 0, "revS": 0, "vcp": 0, "time": 1784554200000, "email_id": "b'1561'", "timestamp": "2026-07-20 16:01:05"}</t>
  </si>
  <si>
    <t>Buy: 97 | Sell: 16.5</t>
  </si>
  <si>
    <t>{"symbol": "CHRW", "strategy": "Daily", "action": "LONG", "alert_price": 207.25, "score": "", "dir_prob": "88.5", "net_sigma": "", "grade": "", "align": "", "premium": "", "wrong_if": "", "context": "", "subject": "Alert: Rev - Screener v1 (SPY, 12): Any alert() function call", "body": "{\"ticker\":\"CHRW\", \"setup\":\"A+ Trend Long\", \"side\":\"LONG\", \"price\":207.25, \"stage\":2, \"buy\":93.5, \"sell\":23.2, \"prime\":2, \"revL\":0, \"revS\":0, \"vcp\":0, \"dir_prob\":88.5, \"time\":1784727000000}", "ticker": "CHRW", "setup": "A+ Trend Long", "side": "LONG", "price": 207.25, "stage": 2, "buy": 93.5, "sell": 23.2, "prime": 2, "revL": 0, "revS": 0, "vcp": 0, "time": 1784727000000, "email_id": "1903", "timestamp": "2026-07-22 16:01:04"}</t>
  </si>
  <si>
    <t>Buy: 98 | Sell: 11.5</t>
  </si>
  <si>
    <t>{"symbol": "V", "strategy": "Daily", "action": "LONG", "alert_price": 355.96, "score": "", "dir_prob": "97.9", "net_sigma": "", "grade": "", "align": "", "premium": "", "wrong_if": "", "context": "", "subject": "Alert: Rev - Screener v1 (SPY, 12): Any alert() function call", "body": "{\"ticker\":\"V\", \"setup\":\"A+ Trend Long\", \"side\":\"LONG\", \"price\":355.96, \"stage\":2, \"buy\":96.5, \"sell\":4.1, \"prime\":2, \"revL\":0, \"revS\":0, \"vcp\":0, \"dir_prob\":97.9, \"time\":1784640600000}", "ticker": "V", "setup": "A+ Trend Long", "side": "LONG", "price": 355.96, "stage": 2, "buy": 96.5, "sell": 4.1, "prime": 2, "revL": 0, "revS": 0, "vcp": 0, "time": 1784640600000, "email_id": "b'1805'", "timestamp": "2026-07-21 16:01:23"}</t>
  </si>
  <si>
    <t>TREND_LONG fires with buy=97.68 &gt;&gt; 65, dir_prob=92.94 &gt;&gt; 50, and stage=2 (up-trend). News CONFIRMS the bullish bias with positive headlines on competitive threats and strategic growth. No VETO flags apply; the 'pullback' flag is a soft note</t>
  </si>
  <si>
    <t>{"symbol": "CFG", "strategy": "Daily", "action": "LONG", "alert_price": 71.5, "score": "", "dir_prob": "87.9", "net_sigma": "", "grade": "", "align": "", "premium": "", "wrong_if": "", "context": "", "subject": "Alert: Rev - Screener v1 (SPY, 12): Any alert() function call", "body": "{\"ticker\":\"CFG\", \"setup\":\"A+ Trend Long\", \"side\":\"LONG\", \"price\":71.50, \"stage\":2, \"buy\":97, \"sell\":16.5, \"prime\":2, \"revL\":0, \"revS\":0, \"vcp\":0, \"dir_prob\":87.9, \"time\":1784554200000}", "ticker": "CFG", "setup": "A+ Trend Long", "side": "LONG", "price": 71.5, "stage": 2, "buy": 97, "sell": 16.5, "prime": 2, "revL": 0, "revS": 0, "vcp": 0, "time": 1784554200000, "email_id": "b'1600'", "timestamp": "2026-07-20 16:01:24"}</t>
  </si>
  <si>
    <t>{"symbol": "BRO", "strategy": "Daily", "action": "LONG", "alert_price": 65.38, "score": "", "dir_prob": "99.7", "net_sigma": "", "grade": "", "align": "", "premium": "", "wrong_if": "", "context": "", "subject": "Alert: Rev - Screener v1 (SPY, 12): Any alert() function call", "body": "{\"ticker\":\"BRO\", \"setup\":\"A+ Trend Long\", \"side\":\"LONG\", \"price\":65.38, \"stage\":2, \"buy\":98, \"sell\":11.5, \"prime\":2, \"revL\":0, \"revS\":0, \"vcp\":0, \"dir_prob\":99.7, \"time\":1784727000000}", "ticker": "BRO", "setup": "A+ Trend Long", "side": "LONG", "price": 65.38, "stage": 2, "buy": 98, "sell": 11.5, "prime": 2, "revL": 0, "revS": 0, "vcp": 0, "time": 1784727000000, "email_id": "1904", "timestamp": "2026-07-22 16:01:00"}</t>
  </si>
  <si>
    <t>Buy: 97 | Sell: 12.2</t>
  </si>
  <si>
    <t>{"symbol": "BALL", "strategy": "Daily", "action": "LONG", "alert_price": 62.57, "score": "", "dir_prob": "96.6", "net_sigma": "", "grade": "", "align": "", "premium": "", "wrong_if": "", "context": "", "subject": "Alert: Rev - Screener v1 (SPY, 12): Any alert() function call", "body": "{\"ticker\":\"BALL\", \"setup\":\"A+ Trend Long\", \"side\":\"LONG\", \"price\":62.57, \"stage\":2, \"buy\":96.1, \"sell\":7.3, \"prime\":2, \"revL\":0, \"revS\":0, \"vcp\":1, \"dir_prob\":96.6, \"time\":1784640600000}", "ticker": "BALL", "setup": "A+ Trend Long", "side": "LONG", "price": 62.57, "stage": 2, "buy": 96.1, "sell": 7.3, "prime": 2, "revL": 0, "revS": 0, "vcp": 1, "time": 1784640600000, "email_id": "b'1806'", "timestamp": "2026-07-21 16:01:27"}</t>
  </si>
  <si>
    <t>Buy: 95.7 | Sell: 17.5</t>
  </si>
  <si>
    <t>Buy: 97.7 | Sell: 3.1</t>
  </si>
  <si>
    <t>{"symbol": "BAX", "strategy": "Daily", "action": "LONG", "alert_price": 22.09, "score": "", "dir_prob": "95.5", "net_sigma": "", "grade": "", "align": "", "premium": "", "wrong_if": "", "context": "", "subject": "Alert: Rev - Screener v1 (SPY, 12): Any alert() function call", "body": "{\"ticker\":\"BAX\", \"setup\":\"A+ Trend Long\", \"side\":\"LONG\", \"price\":22.09, \"stage\":2, \"buy\":97, \"sell\":12.2, \"prime\":2, \"revL\":0, \"revS\":0, \"vcp\":0, \"dir_prob\":95.5, \"time\":1784554200000}", "ticker": "BAX", "setup": "A+ Trend Long", "side": "LONG", "price": 22.09, "stage": 2, "buy": 97, "sell": 12.2, "prime": 2, "revL": 0, "revS": 0, "vcp": 0, "time": 1784554200000, "email_id": "b'1555'", "timestamp": "2026-07-20 16:01:02"}</t>
  </si>
  <si>
    <t>{"symbol": "AJG", "strategy": "Daily", "action": "LONG", "alert_price": 248.24, "score": "", "dir_prob": "99.3", "net_sigma": "", "grade": "", "align": "", "premium": "", "wrong_if": "", "context": "", "subject": "Alert: Rev - Screener v1 (SPY, 12): Any alert() function call", "body": "{\"ticker\":\"AJG\", \"setup\":\"A+ Trend Long\", \"side\":\"LONG\", \"price\":248.24, \"stage\":2, \"buy\":97.7, \"sell\":3.1, \"prime\":2, \"revL\":0, \"revS\":0, \"vcp\":0, \"dir_prob\":99.3, \"time\":1784640600000}", "ticker": "AJG", "setup": "A+ Trend Long", "side": "LONG", "price": 248.24, "stage": 2, "buy": 97.7, "sell": 3.1, "prime": 2, "revL": 0, "revS": 0, "vcp": 0, "time": 1784640600000, "email_id": "b'1807'", "timestamp": "2026-07-21 16:01:12"}</t>
  </si>
  <si>
    <t>{"symbol": "BALL", "strategy": "Daily", "action": "LONG", "alert_price": 62.35, "score": "", "dir_prob": "95.2", "net_sigma": "", "grade": "", "align": "", "premium": "", "wrong_if": "", "context": "", "subject": "Alert: Rev - Screener v1 (SPY, 12): Any alert() function call", "body": "{\"ticker\":\"BALL\", \"setup\":\"A+ Trend Long\", \"side\":\"LONG\", \"price\":62.35, \"stage\":2, \"buy\":95.7, \"sell\":17.5, \"prime\":2, \"revL\":0, \"revS\":0, \"vcp\":1, \"dir_prob\":95.2, \"time\":1784727000000}", "ticker": "BALL", "setup": "A+ Trend Long", "side": "LONG", "price": 62.35, "stage": 2, "buy": 95.7, "sell": 17.5, "prime": 2, "revL": 0, "revS": 0, "vcp": 1, "time": 1784727000000, "email_id": "1905", "timestamp": "2026-07-22 16:01:03"}</t>
  </si>
  <si>
    <t>TREND_LONG fires with buy=98.17 &gt;&gt; 65 and dir_prob=97.24, supported by regime=6 (squeeze/coiling) and stage=2. News is NEUTRAL with no contradiction, though headlines are mixed on earnings outlook. Triage capped to WATCH due to 'chased' and</t>
  </si>
  <si>
    <t>Buy: 93.1 | Sell: 14.3</t>
  </si>
  <si>
    <t>Buy: 34.3 | Sell: 88.5</t>
  </si>
  <si>
    <t>Buy: 97.9 | Sell: 3.3</t>
  </si>
  <si>
    <t>{"symbol": "DVA", "strategy": "Daily", "action": "LONG", "alert_price": 237.08, "score": "", "dir_prob": "94.5", "net_sigma": "", "grade": "", "align": "", "premium": "", "wrong_if": "", "context": "", "subject": "Alert: Rev - Screener v1 (SPY, 12): Any alert() function call", "body": "{\"ticker\":\"DVA\", \"setup\":\"A+ Trend Long\", \"side\":\"LONG\", \"price\":237.08, \"stage\":2, \"buy\":93.1, \"sell\":14.3, \"prime\":2, \"revL\":0, \"revS\":0, \"vcp\":0, \"dir_prob\":94.5, \"time\":1784640600000}", "ticker": "DVA", "setup": "A+ Trend Long", "side": "LONG", "price": 237.08, "stage": 2, "buy": 93.1, "sell": 14.3, "prime": 2, "revL": 0, "revS": 0, "vcp": 0, "time": 1784640600000, "email_id": "b'1808'", "timestamp": "2026-07-21 16:01:36"}</t>
  </si>
  <si>
    <t>{"symbol": "SCHW", "strategy": "Daily", "action": "LONG", "alert_price": 100.81, "score": "", "dir_prob": "97.5", "net_sigma": "", "grade": "", "align": "", "premium": "", "wrong_if": "", "context": "", "subject": "Alert: Rev - Screener v1 (SPY, 12): Any alert() function call", "body": "{\"ticker\":\"SCHW\", \"setup\":\"A+ Trend Long\", \"side\":\"LONG\", \"price\":100.81, \"stage\":2, \"buy\":97.9, \"sell\":3.3, \"prime\":2, \"revL\":0, \"revS\":0, \"vcp\":0, \"dir_prob\":97.5, \"time\":1784727000000}", "ticker": "SCHW", "setup": "A+ Trend Long", "side": "LONG", "price": 100.81, "stage": 2, "buy": 97.9, "sell": 3.3, "prime": 2, "revL": 0, "revS": 0, "vcp": 0, "time": 1784727000000, "email_id": "1906", "timestamp": "2026-07-22 16:01:04"}</t>
  </si>
  <si>
    <t>Buy: 96.9 | Sell: 12</t>
  </si>
  <si>
    <t>{"symbol": "T", "strategy": "Daily", "action": "SHORT", "alert_price": 21.99, "score": "", "dir_prob": "25.8", "net_sigma": "", "grade": "", "align": "", "premium": "", "wrong_if": "", "context": "", "subject": "Alert: Rev - Screener v1 (SPY, 12): Any alert() function call", "body": "{\"ticker\":\"T\", \"setup\":\"A+ Trend Short\", \"side\":\"SHORT\", \"price\":21.99, \"stage\":4, \"buy\":34.3, \"sell\":88.5, \"prime\":-2, \"revL\":0, \"revS\":0, \"vcp\":0, \"dir_prob\":25.8, \"time\":1784554200000}", "ticker": "T", "setup": "A+ Trend Short", "side": "SHORT", "price": 21.99, "stage": 4, "buy": 34.3, "sell": 88.5, "prime": -2, "revL": 0, "revS": 0, "vcp": 0, "time": 1784554200000, "email_id": "b'1588'", "timestamp": "2026-07-20 16:01:23"}</t>
  </si>
  <si>
    <t>Buy: 88 | Sell: 19.7</t>
  </si>
  <si>
    <t>{"symbol": "TROW", "strategy": "Daily", "action": "LONG", "alert_price": 117.64, "score": "", "dir_prob": "94.4", "net_sigma": "", "grade": "", "align": "", "premium": "", "wrong_if": "", "context": "", "subject": "Alert: Rev - Screener v1 (SPY, 12): Any alert() function call", "body": "{\"ticker\":\"TROW\", \"setup\":\"A+ Trend Long\", \"side\":\"LONG\", \"price\":117.64, \"stage\":2, \"buy\":96, \"sell\":7, \"prime\":2, \"revL\":0, \"revS\":0, \"vcp\":0, \"dir_prob\":94.4, \"time\":1784640600000}", "ticker": "TROW", "setup": "A+ Trend Long", "side": "LONG", "price": 117.64, "stage": 2, "buy": 96, "sell": 7, "prime": 2, "revL": 0, "revS": 0, "vcp": 0, "time": 1784640600000, "email_id": "b'1809'", "timestamp": "2026-07-21 16:01:32"}</t>
  </si>
  <si>
    <t>Buy: 90.7 | Sell: 15.3</t>
  </si>
  <si>
    <t>{"symbol": "WM", "strategy": "Daily", "action": "LONG", "alert_price": 236.48, "score": "", "dir_prob": "95.8", "net_sigma": "", "grade": "", "align": "", "premium": "", "wrong_if": "", "context": "", "subject": "Alert: Rev - Screener v1 (SPY, 12): Any alert() function call", "body": "{\"ticker\":\"WM\", \"setup\":\"A+ Trend Long\", \"side\":\"LONG\", \"price\":236.48, \"stage\":2, \"buy\":96.9, \"sell\":12, \"prime\":2, \"revL\":0, \"revS\":0, \"vcp\":0, \"dir_prob\":95.8, \"time\":1784727000000}", "ticker": "WM", "setup": "A+ Trend Long", "side": "LONG", "price": 236.48, "stage": 2, "buy": 96.9, "sell": 12, "prime": 2, "revL": 0, "revS": 0, "vcp": 0, "time": 1784727000000, "email_id": "1907", "timestamp": "2026-07-22 16:01:04"}</t>
  </si>
  <si>
    <t>Buy: 97.6 | Sell: 16.8</t>
  </si>
  <si>
    <t>{"symbol": "AES", "strategy": "Daily", "action": "LONG", "alert_price": 14.81, "score": "", "dir_prob": "88.1", "net_sigma": "", "grade": "", "align": "", "premium": "", "wrong_if": "", "context": "", "subject": "Alert: Rev - Screener v1 (SPY, 12): Any alert() function call", "body": "{\"ticker\":\"AES\", \"setup\":\"A+ Trend Long\", \"side\":\"LONG\", \"price\":14.81, \"stage\":2, \"buy\":88, \"sell\":19.7, \"prime\":2, \"revL\":0, \"revS\":0, \"vcp\":0, \"dir_prob\":88.1, \"time\":1784554200000}", "ticker": "AES", "setup": "A+ Trend Long", "side": "LONG", "price": 14.81, "stage": 2, "buy": 88, "sell": 19.7, "prime": 2, "revL": 0, "revS": 0, "vcp": 0, "time": 1784554200000, "email_id": "b'1596'", "timestamp": "2026-07-20 16:01:20"}</t>
  </si>
  <si>
    <t>{"symbol": "NWSA", "strategy": "Daily", "action": "LONG", "alert_price": 27.53, "score": "", "dir_prob": "95.3", "net_sigma": "", "grade": "", "align": "", "premium": "", "wrong_if": "", "context": "", "subject": "Alert: Rev - Screener v1 (SPY, 12): Any alert() function call", "body": "{\"ticker\":\"NWSA\", \"setup\":\"A+ Trend Long\", \"side\":\"LONG\", \"price\":27.53, \"stage\":2, \"buy\":90.7, \"sell\":15.3, \"prime\":2, \"revL\":0, \"revS\":0, \"vcp\":0, \"dir_prob\":95.3, \"time\":1784640600000}", "ticker": "NWSA", "setup": "A+ Trend Long", "side": "LONG", "price": 27.53, "stage": 2, "buy": 90.7, "sell": 15.3, "prime": 2, "revL": 0, "revS": 0, "vcp": 0, "time": 1784640600000, "email_id": "b'1810'", "timestamp": "2026-07-21 16:01:38"}</t>
  </si>
  <si>
    <t>Buy: 95.7 | Sell: 7.6</t>
  </si>
  <si>
    <t>Buy: 47 | Sell: 87.4</t>
  </si>
  <si>
    <t>{"symbol": "DASH", "strategy": "Daily", "action": "LONG", "alert_price": 177.71, "score": "", "dir_prob": "96.9", "net_sigma": "", "grade": "", "align": "", "premium": "", "wrong_if": "", "context": "", "subject": "Alert: Rev - Screener v1 (SPY, 12): Any alert() function call", "body": "{\"ticker\":\"DASH\", \"setup\":\"A+ Trend Long\", \"side\":\"LONG\", \"price\":177.71, \"stage\":2, \"buy\":97.6, \"sell\":16.8, \"prime\":2, \"revL\":0, \"revS\":0, \"vcp\":1, \"dir_prob\":96.9, \"time\":1784727000000}", "ticker": "DASH", "setup": "A+ Trend Long", "side": "LONG", "price": 177.71, "stage": 2, "buy": 97.6, "sell": 16.8, "prime": 2, "revL": 0, "revS": 0, "vcp": 1, "time": 1784727000000, "email_id": "1908", "timestamp": "2026-07-22 16:01:05"}</t>
  </si>
  <si>
    <t>Buy: 91 | Sell: 25.2</t>
  </si>
  <si>
    <t>WAIT (Setup Forming) — Set alerts, don't chase</t>
  </si>
  <si>
    <t>{"symbol": "MS", "strategy": "Daily", "action": "SHORT", "alert_price": 216.4, "score": "", "dir_prob": "11.8", "net_sigma": "", "grade": "", "align": "", "premium": "", "wrong_if": "", "context": "", "subject": "Alert: Rev - Screener v1 (SPY, 12): Any alert() function call", "body": "{\"ticker\":\"MS\", \"setup\":\"A+ Trend Short\", \"side\":\"SHORT\", \"price\":216.40, \"stage\":4, \"buy\":47, \"sell\":87.4, \"prime\":-2, \"revL\":0, \"revS\":0, \"vcp\":0, \"dir_prob\":11.8, \"time\":1784640600000}", "ticker": "MS", "setup": "A+ Trend Short", "side": "SHORT", "price": 216.4, "stage": 4, "buy": 47, "sell": 87.4, "prime": -2, "revL": 0, "revS": 0, "vcp": 0, "time": 1784640600000, "email_id": "b'1811'", "timestamp": "2026-07-21 16:01:25"}</t>
  </si>
  <si>
    <t>Buy: 94.9 | Sell: 13.5</t>
  </si>
  <si>
    <t>{"symbol": "GD", "strategy": "Daily", "action": "LONG", "alert_price": 370.61, "score": "", "dir_prob": "96.2", "net_sigma": "", "grade": "", "align": "", "premium": "", "wrong_if": "", "context": "", "subject": "Alert: Rev - Screener v1 (SPY, 12): Any alert() function call", "body": "{\"ticker\":\"GD\", \"setup\":\"A+ Trend Long\", \"side\":\"LONG\", \"price\":370.61, \"stage\":2, \"buy\":95.7, \"sell\":7.6, \"prime\":2, \"revL\":0, \"revS\":0, \"vcp\":0, \"dir_prob\":96.2, \"time\":1784554200000}", "ticker": "GD", "setup": "A+ Trend Long", "side": "LONG", "price": 370.61, "stage": 2, "buy": 95.7, "sell": 7.6, "prime": 2, "revL": 0, "revS": 0, "vcp": 0, "time": 1784554200000, "email_id": "b'1552'", "timestamp": "2026-07-20 16:01:09"}</t>
  </si>
  <si>
    <t>{"symbol": "RVTY", "strategy": "Daily", "action": "LONG", "alert_price": 110.54, "score": "", "dir_prob": "92.9", "net_sigma": "", "grade": "", "align": "", "premium": "", "wrong_if": "", "context": "", "subject": "Alert: Rev - Screener v1 (SPY, 12): Any alert() function call", "body": "{\"ticker\":\"RVTY\", \"setup\":\"A+ Trend Long\", \"side\":\"LONG\", \"price\":110.54, \"stage\":2, \"buy\":94.9, \"sell\":13.5, \"prime\":2, \"revL\":0, \"revS\":0, \"vcp\":0, \"dir_prob\":92.9, \"time\":1784640600000}", "ticker": "RVTY", "setup": "A+ Trend Long", "side": "LONG", "price": 110.54, "stage": 2, "buy": 94.9, "sell": 13.5, "prime": 2, "revL": 0, "revS": 0, "vcp": 0, "time": 1784640600000, "email_id": "b'1812'", "timestamp": "2026-07-21 16:01:29"}</t>
  </si>
  <si>
    <t>{"symbol": "WSM", "strategy": "Daily", "action": "LONG", "alert_price": 222.27, "score": "", "dir_prob": "89.5", "net_sigma": "", "grade": "", "align": "", "premium": "", "wrong_if": "", "context": "", "subject": "Alert: Rev - Screener v1 (SPY, 12): Any alert() function call", "body": "{\"ticker\":\"WSM\", \"setup\":\"A+ Trend Long\", \"side\":\"LONG\", \"price\":222.27, \"stage\":2, \"buy\":91, \"sell\":25.2, \"prime\":2, \"revL\":0, \"revS\":0, \"vcp\":0, \"dir_prob\":89.5, \"time\":1784727000000}", "ticker": "WSM", "setup": "A+ Trend Long", "side": "LONG", "price": 222.27, "stage": 2, "buy": 91, "sell": 25.2, "prime": 2, "revL": 0, "revS": 0, "vcp": 0, "time": 1784727000000, "email_id": "1909", "timestamp": "2026-07-22 16:01:09"}</t>
  </si>
  <si>
    <t>TREND_LONG fires with buy=96.22 &gt;&gt; 65, dir_prob=95.97 &gt;&gt; 50, and stage=2 (up-trend). News CONFIRMS with a 'Strongest Q1 Results' headline despite neutral sentiment. No key_flags apply; zone_state is 'in_zone' with healthy exhaustion (0.064)</t>
  </si>
  <si>
    <t>Buy: 93.4 | Sell: 8.1</t>
  </si>
  <si>
    <t>Buy: 7.4 | Sell: 91.3</t>
  </si>
  <si>
    <t>Buy: 97.4 | Sell: 11.1</t>
  </si>
  <si>
    <t>{"symbol": "VZ", "strategy": "Daily", "action": "SHORT", "alert_price": 43.77, "score": "", "dir_prob": "11", "net_sigma": "", "grade": "", "align": "", "premium": "", "wrong_if": "", "context": "", "subject": "Alert: Rev - Screener v1 (SPY, 12): Any alert() function call", "body": "{\"ticker\":\"VZ\", \"setup\":\"A+ Trend Short\", \"side\":\"SHORT\", \"price\":43.77, \"stage\":4, \"buy\":7.4, \"sell\":91.3, \"prime\":-2, \"revL\":0, \"revS\":0, \"vcp\":0, \"dir_prob\":11, \"time\":1784640600000}", "ticker": "VZ", "setup": "A+ Trend Short", "side": "SHORT", "price": 43.77, "stage": 4, "buy": 7.4, "sell": 91.3, "prime": -2, "revL": 0, "revS": 0, "vcp": 0, "time": 1784640600000, "email_id": "b'1813'", "timestamp": "2026-07-21 16:01:29"}</t>
  </si>
  <si>
    <t>{"symbol": "BXP", "strategy": "Daily", "action": "LONG", "alert_price": 67.9, "score": "", "dir_prob": "94.3", "net_sigma": "", "grade": "", "align": "", "premium": "", "wrong_if": "", "context": "", "subject": "Alert: Rev - Screener v1 (SPY, 12): Any alert() function call", "body": "{\"ticker\":\"BXP\", \"setup\":\"A+ Trend Long\", \"side\":\"LONG\", \"price\":67.90, \"stage\":2, \"buy\":93.4, \"sell\":8.1, \"prime\":2, \"revL\":0, \"revS\":0, \"vcp\":0, \"dir_prob\":94.3, \"time\":1784554200000}", "ticker": "BXP", "setup": "A+ Trend Long", "side": "LONG", "price": 67.9, "stage": 2, "buy": 93.4, "sell": 8.1, "prime": 2, "revL": 0, "revS": 0, "vcp": 0, "time": 1784554200000, "email_id": "b'1592'", "timestamp": "2026-07-20 16:01:00"}</t>
  </si>
  <si>
    <t>TREND_LONG fires with buy=96.5 &gt;&gt; 65, dir_prob=93.56, and stage=2. News is NEUTRAL (earnings preview) and does not contradict. Triage capped to WATCH due to earnings_gate=PASS (8 days out) and rr_from_current=0.99 &lt; 1.0 (poor R:R from entry</t>
  </si>
  <si>
    <t>{"symbol": "ACGL", "strategy": "Daily", "action": "LONG", "alert_price": 98.62, "score": "", "dir_prob": "94.5", "net_sigma": "", "grade": "", "align": "", "premium": "", "wrong_if": "", "context": "", "subject": "Alert: Rev - Screener v1 (SPY, 12): Any alert() function call", "body": "{\"ticker\":\"ACGL\", \"setup\":\"A+ Trend Long\", \"side\":\"LONG\", \"price\":98.62, \"stage\":2, \"buy\":97.4, \"sell\":11.1, \"prime\":2, \"revL\":0, \"revS\":0, \"vcp\":0, \"dir_prob\":94.5, \"time\":1784727000000}", "ticker": "ACGL", "setup": "A+ Trend Long", "side": "LONG", "price": 98.62, "stage": 2, "buy": 97.4, "sell": 11.1, "prime": 2, "revL": 0, "revS": 0, "vcp": 0, "time": 1784727000000, "email_id": "1910", "timestamp": "2026-07-22 16:01:06"}</t>
  </si>
  <si>
    <t>Buy: 97.5 | Sell: 35.8</t>
  </si>
  <si>
    <t>Buy: 96.4 | Sell: 10.2</t>
  </si>
  <si>
    <t>Buy: 94.1 | Sell: 26</t>
  </si>
  <si>
    <t>{"symbol": "RVTY", "strategy": "Daily", "action": "LONG", "alert_price": 110.51, "score": "", "dir_prob": "89.6", "net_sigma": "", "grade": "", "align": "", "premium": "", "wrong_if": "", "context": "", "subject": "Alert: Rev - Screener v1 (SPY, 12): Any alert() function call", "body": "{\"ticker\":\"RVTY\", \"setup\":\"A+ Trend Long\", \"side\":\"LONG\", \"price\":110.51, \"stage\":2, \"buy\":94.1, \"sell\":26, \"prime\":2, \"revL\":0, \"revS\":0, \"vcp\":1, \"dir_prob\":89.6, \"time\":1784727000000}", "ticker": "RVTY", "setup": "A+ Trend Long", "side": "LONG", "price": 110.51, "stage": 2, "buy": 94.1, "sell": 26, "prime": 2, "revL": 0, "revS": 0, "vcp": 1, "time": 1784727000000, "email_id": "1911", "timestamp": "2026-07-22 16:01:03"}</t>
  </si>
  <si>
    <t>{"symbol": "KEY", "strategy": "Daily", "action": "LONG", "alert_price": 22.96, "score": "", "dir_prob": "85.6", "net_sigma": "", "grade": "", "align": "", "premium": "", "wrong_if": "", "context": "", "subject": "Alert: Rev - Screener v1 (SPY, 12): Any alert() function call", "body": "{\"ticker\":\"KEY\", \"setup\":\"A+ Trend Long\", \"side\":\"LONG\", \"price\":22.96, \"stage\":2, \"buy\":97.5, \"sell\":35.8, \"prime\":2, \"revL\":0, \"revS\":0, \"vcp\":1, \"dir_prob\":85.6, \"time\":1784640600000}", "ticker": "KEY", "setup": "A+ Trend Long", "side": "LONG", "price": 22.96, "stage": 2, "buy": 97.5, "sell": 35.8, "prime": 2, "revL": 0, "revS": 0, "vcp": 1, "time": 1784640600000, "email_id": "b'1814'", "timestamp": "2026-07-21 16:01:25"}</t>
  </si>
  <si>
    <t>Buy: 94.6 | Sell: 18.4</t>
  </si>
  <si>
    <t>{"symbol": "HBAN", "strategy": "Daily", "action": "LONG", "alert_price": 18.07, "score": "", "dir_prob": "93.9", "net_sigma": "", "grade": "", "align": "", "premium": "", "wrong_if": "", "context": "", "subject": "Alert: Rev - Screener v1 (SPY, 12): Any alert() function call", "body": "{\"ticker\":\"HBAN\", \"setup\":\"A+ Trend Long\", \"side\":\"LONG\", \"price\":18.07, \"stage\":2, \"buy\":96.4, \"sell\":10.2, \"prime\":2, \"revL\":0, \"revS\":0, \"vcp\":0, \"dir_prob\":93.9, \"time\":1784554200000}", "ticker": "HBAN", "setup": "A+ Trend Long", "side": "LONG", "price": 18.07, "stage": 2, "buy": 96.4, "sell": 10.2, "prime": 2, "revL": 0, "revS": 0, "vcp": 0, "time": 1784554200000, "email_id": "b'1535'", "timestamp": "2026-07-20 16:01:02"}</t>
  </si>
  <si>
    <t>Buy: 95.9 | Sell: 5.6</t>
  </si>
  <si>
    <t>WAIT FOR PULLBACK TO ZONE (Long Setup Not Triggered) / SELL PREMIUM AT HIGH IV (Premium Play Active)</t>
  </si>
  <si>
    <t>{"symbol": "AFL", "strategy": "Daily", "action": "LONG", "alert_price": 123.58, "score": "", "dir_prob": "87.8", "net_sigma": "", "grade": "", "align": "", "premium": "", "wrong_if": "", "context": "", "subject": "Alert: Rev - Screener v1 (SPY, 12): Any alert() function call", "body": "{\"ticker\":\"AFL\", \"setup\":\"A+ Trend Long\", \"side\":\"LONG\", \"price\":123.58, \"stage\":2, \"buy\":94.6, \"sell\":18.4, \"prime\":2, \"revL\":0, \"revS\":0, \"vcp\":0, \"dir_prob\":87.8, \"time\":1784727000000}", "ticker": "AFL", "setup": "A+ Trend Long", "side": "LONG", "price": 123.58, "stage": 2, "buy": 94.6, "sell": 18.4, "prime": 2, "revL": 0, "revS": 0, "vcp": 0, "time": 1784727000000, "email_id": "1912", "timestamp": "2026-07-22 16:01:09"}</t>
  </si>
  <si>
    <t>{"symbol": "PNC", "strategy": "Daily", "action": "LONG", "alert_price": 250.36, "score": "", "dir_prob": "94.1", "net_sigma": "", "grade": "", "align": "", "premium": "", "wrong_if": "", "context": "", "subject": "Alert: Rev - Screener v1 (SPY, 12): Any alert() function call", "body": "{\"ticker\":\"PNC\", \"setup\":\"A+ Trend Long\", \"side\":\"LONG\", \"price\":250.36, \"stage\":2, \"buy\":96.7, \"sell\":4.6, \"prime\":2, \"revL\":0, \"revS\":0, \"vcp\":0, \"dir_prob\":94.1, \"time\":1784640600000}", "ticker": "PNC", "setup": "A+ Trend Long", "side": "LONG", "price": 250.36, "stage": 2, "buy": 96.7, "sell": 4.6, "prime": 2, "revL": 0, "revS": 0, "vcp": 0, "time": 1784640600000, "email_id": "b'1815'", "timestamp": "2026-07-21 16:01:25"}</t>
  </si>
  <si>
    <t>Buy: 97.3 | Sell: 16.4</t>
  </si>
  <si>
    <t>Buy: 10.1 | Sell: 93.7</t>
  </si>
  <si>
    <t>{"symbol": "JNJ", "strategy": "Daily", "action": "LONG", "alert_price": 248.83, "score": "", "dir_prob": "94.6", "net_sigma": "", "grade": "", "align": "", "premium": "", "wrong_if": "", "context": "", "subject": "Alert: Rev - Screener v1 (SPY, 12): Any alert() function call", "body": "{\"ticker\":\"JNJ\", \"setup\":\"A+ Trend Long\", \"side\":\"LONG\", \"price\":248.83, \"stage\":2, \"buy\":95.9, \"sell\":5.6, \"prime\":2, \"revL\":0, \"revS\":0, \"vcp\":0, \"dir_prob\":94.6, \"time\":1784554200000}", "ticker": "JNJ", "setup": "A+ Trend Long", "side": "LONG", "price": 248.83, "stage": 2, "buy": 95.9, "sell": 5.6, "prime": 2, "revL": 0, "revS": 0, "vcp": 0, "time": 1784554200000, "email_id": "b'1618'", "timestamp": "2026-07-20 16:01:00"}</t>
  </si>
  <si>
    <t>{"symbol": "DLR", "strategy": "Daily", "action": "SHORT", "alert_price": 179.32, "score": "", "dir_prob": "10", "net_sigma": "", "grade": "", "align": "", "premium": "", "wrong_if": "", "context": "", "subject": "Alert: Rev - Screener v1 (SPY, 12): Any alert() function call", "body": "{\"ticker\":\"DLR\", \"setup\":\"A+ Trend Short\", \"side\":\"SHORT\", \"price\":179.32, \"stage\":4, \"buy\":10.1, \"sell\":93.7, \"prime\":-2, \"revL\":0, \"revS\":0, \"vcp\":0, \"dir_prob\":10, \"time\":1784640600000}", "ticker": "DLR", "setup": "A+ Trend Short", "side": "SHORT", "price": 179.32, "stage": 4, "buy": 10.1, "sell": 93.7, "prime": -2, "revL": 0, "revS": 0, "vcp": 0, "time": 1784640600000, "email_id": "b'1816'", "timestamp": "2026-07-21 16:01:33"}</t>
  </si>
  <si>
    <t>TREND_LONG fires with buy=95.25 &gt;&gt; 65, dir_prob=82.79 &gt;&gt; 50, and stage=2 (up-trend). News is NEUTRAL with no specific catalyst, so it does not cap the setup. The 'pullback' flag indicates a healthy dip-buy within the trend, and the strong R</t>
  </si>
  <si>
    <t>{"symbol": "ES", "strategy": "Daily", "action": "LONG", "alert_price": 74.45, "score": "", "dir_prob": "93.6", "net_sigma": "", "grade": "", "align": "", "premium": "", "wrong_if": "", "context": "", "subject": "Alert: Rev - Screener v1 (SPY, 12): Any alert() function call", "body": "{\"ticker\":\"ES\", \"setup\":\"A+ Trend Long\", \"side\":\"LONG\", \"price\":74.45, \"stage\":2, \"buy\":97.3, \"sell\":16.4, \"prime\":2, \"revL\":0, \"revS\":0, \"vcp\":1, \"dir_prob\":93.6, \"time\":1784727000000}", "ticker": "ES", "setup": "A+ Trend Long", "side": "LONG", "price": 74.45, "stage": 2, "buy": 97.3, "sell": 16.4, "prime": 2, "revL": 0, "revS": 0, "vcp": 1, "time": 1784727000000, "email_id": "1913", "timestamp": "2026-07-22 16:01:06"}</t>
  </si>
  <si>
    <t>Buy: 94 | Sell: 12.7</t>
  </si>
  <si>
    <t>Buy: 91.3 | Sell: 37.2</t>
  </si>
  <si>
    <t>Buy: 15.9 | Sell: 91.5</t>
  </si>
  <si>
    <t>{"symbol": "ECHO", "strategy": "Daily", "action": "SHORT", "alert_price": 92.3, "score": "", "dir_prob": "10.1", "net_sigma": "", "grade": "", "align": "", "premium": "", "wrong_if": "", "context": "", "subject": "Alert: Rev - Screener v1 (SPY, 12): Any alert() function call", "body": "{\"ticker\":\"ECHO\", \"setup\":\"A+ Trend Short\", \"side\":\"SHORT\", \"price\":92.30, \"stage\":4, \"buy\":15.9, \"sell\":91.5, \"prime\":-2, \"revL\":0, \"revS\":0, \"vcp\":1, \"dir_prob\":10.1, \"time\":1784727000000}", "ticker": "ECHO", "setup": "A+ Trend Short", "side": "SHORT", "price": 92.3, "stage": 4, "buy": 15.9, "sell": 91.5, "prime": -2, "revL": 0, "revS": 0, "vcp": 1, "time": 1784727000000, "email_id": "1914", "timestamp": "2026-07-22 16:01:07"}</t>
  </si>
  <si>
    <t>{"symbol": "DG", "strategy": "Daily", "action": "LONG", "alert_price": 123.24, "score": "", "dir_prob": "96.4", "net_sigma": "", "grade": "", "align": "", "premium": "", "wrong_if": "", "context": "", "subject": "Alert: Rev - Screener v1 (SPY, 12): Any alert() function call", "body": "{\"ticker\":\"DG\", \"setup\":\"A+ Trend Long\", \"side\":\"LONG\", \"price\":123.24, \"stage\":2, \"buy\":94, \"sell\":12.7, \"prime\":2, \"revL\":0, \"revS\":0, \"vcp\":0, \"dir_prob\":96.4, \"time\":1784640600000}", "ticker": "DG", "setup": "A+ Trend Long", "side": "LONG", "price": 123.24, "stage": 2, "buy": 94, "sell": 12.7, "prime": 2, "revL": 0, "revS": 0, "vcp": 0, "time": 1784640600000, "email_id": "b'1817'", "timestamp": "2026-07-21 16:01:41"}</t>
  </si>
  <si>
    <t>Buy: 92.5 | Sell: 11.7</t>
  </si>
  <si>
    <t>{"symbol": "GL", "strategy": "Daily", "action": "LONG", "alert_price": 184.25, "score": "", "dir_prob": "75", "net_sigma": "", "grade": "", "align": "", "premium": "", "wrong_if": "", "context": "", "subject": "Alert: Rev - Screener v1 (SPY, 12): Any alert() function call", "body": "{\"ticker\":\"GL\", \"setup\":\"A+ Trend Long\", \"side\":\"LONG\", \"price\":184.25, \"stage\":2, \"buy\":91.3, \"sell\":37.2, \"prime\":2, \"revL\":0, \"revS\":0, \"vcp\":0, \"dir_prob\":75, \"time\":1784554200000}", "ticker": "GL", "setup": "A+ Trend Long", "side": "LONG", "price": 184.25, "stage": 2, "buy": 91.3, "sell": 37.2, "prime": 2, "revL": 0, "revS": 0, "vcp": 0, "time": 1784554200000, "email_id": "b'1601'", "timestamp": "2026-07-20 16:01:26"}</t>
  </si>
  <si>
    <t>Buy: 96.3 | Sell: 13.5</t>
  </si>
  <si>
    <t>Buy: 4.5 | Sell: 92.6</t>
  </si>
  <si>
    <t>{"symbol": "UNP", "strategy": "Daily", "action": "LONG", "alert_price": 293.11, "score": "", "dir_prob": "92.2", "net_sigma": "", "grade": "", "align": "", "premium": "", "wrong_if": "", "context": "", "subject": "Alert: Rev - Screener v1 (SPY, 12): Any alert() function call", "body": "{\"ticker\":\"UNP\", \"setup\":\"A+ Trend Long\", \"side\":\"LONG\", \"price\":293.11, \"stage\":2, \"buy\":96.3, \"sell\":13.5, \"prime\":2, \"revL\":0, \"revS\":0, \"vcp\":0, \"dir_prob\":92.2, \"time\":1784640600000}", "ticker": "UNP", "setup": "A+ Trend Long", "side": "LONG", "price": 293.11, "stage": 2, "buy": 96.3, "sell": 13.5, "prime": 2, "revL": 0, "revS": 0, "vcp": 0, "time": 1784640600000, "email_id": "b'1818'", "timestamp": "2026-07-21 16:01:34"}</t>
  </si>
  <si>
    <t>{"symbol": "AIZ", "strategy": "Daily", "action": "LONG", "alert_price": 273.25, "score": "", "dir_prob": "88.2", "net_sigma": "", "grade": "", "align": "", "premium": "", "wrong_if": "", "context": "", "subject": "Alert: Rev - Screener v1 (SPY, 12): Any alert() function call", "body": "{\"ticker\":\"AIZ\", \"setup\":\"A+ Trend Long\", \"side\":\"LONG\", \"price\":273.25, \"stage\":2, \"buy\":92.5, \"sell\":11.7, \"prime\":2, \"revL\":0, \"revS\":0, \"vcp\":0, \"dir_prob\":88.2, \"time\":1784727000000}", "ticker": "AIZ", "setup": "A+ Trend Long", "side": "LONG", "price": 273.25, "stage": 2, "buy": 92.5, "sell": 11.7, "prime": 2, "revL": 0, "revS": 0, "vcp": 0, "time": 1784727000000, "email_id": "1915", "timestamp": "2026-07-22 16:01:09"}</t>
  </si>
  <si>
    <t>Buy: 9.2 | Sell: 94.3</t>
  </si>
  <si>
    <t>{"symbol": "VZ", "strategy": "Daily", "action": "SHORT", "alert_price": 43.5, "score": "", "dir_prob": "9.6", "net_sigma": "", "grade": "", "align": "", "premium": "", "wrong_if": "", "context": "", "subject": "Alert: Rev - Screener v1 (SPY, 12): Any alert() function call", "body": "{\"ticker\":\"VZ\", \"setup\":\"A+ Trend Short\", \"side\":\"SHORT\", \"price\":43.50, \"stage\":4, \"buy\":4.5, \"sell\":92.6, \"prime\":-2, \"revL\":0, \"revS\":0, \"vcp\":0, \"dir_prob\":9.6, \"time\":1784554200000}", "ticker": "VZ", "setup": "A+ Trend Short", "side": "SHORT", "price": 43.5, "stage": 4, "buy": 4.5, "sell": 92.6, "prime": -2, "revL": 0, "revS": 0, "vcp": 0, "time": 1784554200000, "email_id": "b'1584'", "timestamp": "2026-07-20 16:01:13"}</t>
  </si>
  <si>
    <t>Buy: 6.9 | Sell: 85.3</t>
  </si>
  <si>
    <t>Buy: 96.8 | Sell: 7</t>
  </si>
  <si>
    <t>{"symbol": "AMT", "strategy": "Daily", "action": "SHORT", "alert_price": 163.38, "score": "", "dir_prob": "12.6", "net_sigma": "", "grade": "", "align": "", "premium": "", "wrong_if": "", "context": "", "subject": "Alert: Rev - Screener v1 (SPY, 12): Any alert() function call", "body": "{\"ticker\":\"AMT\", \"setup\":\"A+ Trend Short\", \"side\":\"SHORT\", \"price\":163.38, \"stage\":4, \"buy\":6.9, \"sell\":85.3, \"prime\":-2, \"revL\":0, \"revS\":0, \"vcp\":0, \"dir_prob\":12.6, \"time\":1784640600000}", "ticker": "AMT", "setup": "A+ Trend Short", "side": "SHORT", "price": 163.38, "stage": 4, "buy": 6.9, "sell": 85.3, "prime": -2, "revL": 0, "revS": 0, "vcp": 0, "time": 1784640600000, "email_id": "b'1819'", "timestamp": "2026-07-21 16:01:06"}</t>
  </si>
  <si>
    <t>Buy: 92.3 | Sell: 12.2</t>
  </si>
  <si>
    <t>{"symbol": "MPWR", "strategy": "Daily", "action": "SHORT", "alert_price": 1399.86, "score": "", "dir_prob": "5.3", "net_sigma": "", "grade": "", "align": "", "premium": "", "wrong_if": "", "context": "", "subject": "Alert: Rev - Screener v1 (SPY, 12): Any alert() function call", "body": "{\"ticker\":\"MPWR\", \"setup\":\"A+ Trend Short\", \"side\":\"SHORT\", \"price\":1399.86, \"stage\":4, \"buy\":9.2, \"sell\":94.3, \"prime\":-2, \"revL\":0, \"revS\":0, \"vcp\":1, \"dir_prob\":5.3, \"time\":1784727000000}", "ticker": "MPWR", "setup": "A+ Trend Short", "side": "SHORT", "price": 1399.86, "stage": 4, "buy": 9.2, "sell": 94.3, "prime": -2, "revL": 0, "revS": 0, "vcp": 1, "time": 1784727000000, "email_id": "1916", "timestamp": "2026-07-22 16:01:09"}</t>
  </si>
  <si>
    <t>Buy: 96.5 | Sell: 6.2</t>
  </si>
  <si>
    <t>{"symbol": "CB", "strategy": "Daily", "action": "LONG", "alert_price": 352.55, "score": "", "dir_prob": "95.1", "net_sigma": "", "grade": "", "align": "", "premium": "", "wrong_if": "", "context": "", "subject": "Alert: Rev - Screener v1 (SPY, 12): Any alert() function call", "body": "{\"ticker\":\"CB\", \"setup\":\"A+ Trend Long\", \"side\":\"LONG\", \"price\":352.55, \"stage\":2, \"buy\":96.8, \"sell\":7, \"prime\":2, \"revL\":0, \"revS\":0, \"vcp\":0, \"dir_prob\":95.1, \"time\":1784554200000}", "ticker": "CB", "setup": "A+ Trend Long", "side": "LONG", "price": 352.55, "stage": 2, "buy": 96.8, "sell": 7, "prime": 2, "revL": 0, "revS": 0, "vcp": 0, "time": 1784554200000, "email_id": "b'1546'", "timestamp": "2026-07-20 16:01:06"}</t>
  </si>
  <si>
    <t>Buy: 95.7 | Sell: 6.8</t>
  </si>
  <si>
    <t>{"symbol": "ESS", "strategy": "Daily", "action": "LONG", "alert_price": 293.97, "score": "", "dir_prob": "94.8", "net_sigma": "", "grade": "", "align": "", "premium": "", "wrong_if": "", "context": "", "subject": "Alert: Rev - Screener v1 (SPY, 12): Any alert() function call", "body": "{\"ticker\":\"ESS\", \"setup\":\"A+ Trend Long\", \"side\":\"LONG\", \"price\":293.97, \"stage\":2, \"buy\":92.3, \"sell\":12.2, \"prime\":2, \"revL\":0, \"revS\":0, \"vcp\":0, \"dir_prob\":94.8, \"time\":1784640600000}", "ticker": "ESS", "setup": "A+ Trend Long", "side": "LONG", "price": 293.97, "stage": 2, "buy": 92.3, "sell": 12.2, "prime": 2, "revL": 0, "revS": 0, "vcp": 0, "time": 1784640600000, "email_id": "b'1820'", "timestamp": "2026-07-21 16:01:29"}</t>
  </si>
  <si>
    <t>Buy: 91.6 | Sell: 14.4</t>
  </si>
  <si>
    <t>{"symbol": "AIG", "strategy": "Daily", "action": "LONG", "alert_price": 78.24, "score": "", "dir_prob": "97.7", "net_sigma": "", "grade": "", "align": "", "premium": "", "wrong_if": "", "context": "", "subject": "Alert: Rev - Screener v1 (SPY, 12): Any alert() function call", "body": "{\"ticker\":\"AIG\", \"setup\":\"A+ Trend Long\", \"side\":\"LONG\", \"price\":78.24, \"stage\":2, \"buy\":96.5, \"sell\":6.2, \"prime\":2, \"revL\":0, \"revS\":0, \"vcp\":0, \"dir_prob\":97.7, \"time\":1784727000000}", "ticker": "AIG", "setup": "A+ Trend Long", "side": "LONG", "price": 78.24, "stage": 2, "buy": 96.5, "sell": 6.2, "prime": 2, "revL": 0, "revS": 0, "vcp": 0, "time": 1784727000000, "email_id": "1917", "timestamp": "2026-07-22 16:01:30"}</t>
  </si>
  <si>
    <t>Buy: 96.1 | Sell: 7.4</t>
  </si>
  <si>
    <t>{"symbol": "SPG", "strategy": "Daily", "action": "LONG", "alert_price": 226.78, "score": "", "dir_prob": "84.7", "net_sigma": "", "grade": "", "align": "", "premium": "", "wrong_if": "", "context": "", "subject": "Alert: Rev - Screener v1 (SPY, 12): Any alert() function call", "body": "{\"ticker\":\"SPG\", \"setup\":\"A+ Trend Long\", \"side\":\"LONG\", \"price\":226.78, \"stage\":2, \"buy\":91.6, \"sell\":14.4, \"prime\":2, \"revL\":0, \"revS\":0, \"vcp\":0, \"dir_prob\":84.7, \"time\":1784640600000}", "ticker": "SPG", "setup": "A+ Trend Long", "side": "LONG", "price": 226.78, "stage": 2, "buy": 91.6, "sell": 14.4, "prime": 2, "revL": 0, "revS": 0, "vcp": 0, "time": 1784640600000, "email_id": "b'1821'", "timestamp": "2026-07-21 16:01:04"}</t>
  </si>
  <si>
    <t>Buy: 98.2 | Sell: 22.2</t>
  </si>
  <si>
    <t>{"symbol": "USB", "strategy": "Daily", "action": "LONG", "alert_price": 63.17, "score": "", "dir_prob": "92.5", "net_sigma": "", "grade": "", "align": "", "premium": "", "wrong_if": "", "context": "", "subject": "Alert: Rev - Screener v1 (SPY, 12): Any alert() function call", "body": "{\"ticker\":\"USB\", \"setup\":\"A+ Trend Long\", \"side\":\"LONG\", \"price\":63.17, \"stage\":2, \"buy\":95.7, \"sell\":6.8, \"prime\":2, \"revL\":0, \"revS\":0, \"vcp\":0, \"dir_prob\":92.5, \"time\":1784554200000}", "ticker": "USB", "setup": "A+ Trend Long", "side": "LONG", "price": 63.17, "stage": 2, "buy": 95.7, "sell": 6.8, "prime": 2, "revL": 0, "revS": 0, "vcp": 0, "time": 1784554200000, "email_id": "b'1609'", "timestamp": "2026-07-20 16:01:26"}</t>
  </si>
  <si>
    <t>{"symbol": "L", "strategy": "Daily", "action": "LONG", "alert_price": 114.69, "score": "", "dir_prob": "91.9", "net_sigma": "", "grade": "", "align": "", "premium": "", "wrong_if": "", "context": "", "subject": "Alert: Rev - Screener v1 (SPY, 12): Any alert() function call", "body": "{\"ticker\":\"L\", \"setup\":\"A+ Trend Long\", \"side\":\"LONG\", \"price\":114.69, \"stage\":2, \"buy\":96.1, \"sell\":7.4, \"prime\":2, \"revL\":0, \"revS\":0, \"vcp\":1, \"dir_prob\":91.9, \"time\":1784727000000}", "ticker": "L", "setup": "A+ Trend Long", "side": "LONG", "price": 114.69, "stage": 2, "buy": 96.1, "sell": 7.4, "prime": 2, "revL": 0, "revS": 0, "vcp": 1, "time": 1784727000000, "email_id": "1918", "timestamp": "2026-07-22 16:01:09"}</t>
  </si>
  <si>
    <t>Buy: 96 | Sell: 5.7</t>
  </si>
  <si>
    <t>Buy: 94.7 | Sell: 12.2</t>
  </si>
  <si>
    <t>{"symbol": "GPC", "strategy": "Daily", "action": "LONG", "alert_price": 119.12, "score": "", "dir_prob": "94.1", "net_sigma": "", "grade": "", "align": "", "premium": "", "wrong_if": "", "context": "", "subject": "Alert: Rev - Screener v1 (SPY, 12): Any alert() function call", "body": "{\"ticker\":\"GPC\", \"setup\":\"A+ Trend Long\", \"side\":\"LONG\", \"price\":119.12, \"stage\":2, \"buy\":98.2, \"sell\":22.2, \"prime\":2, \"revL\":0, \"revS\":0, \"vcp\":0, \"dir_prob\":94.1, \"time\":1784640600000}", "ticker": "GPC", "setup": "A+ Trend Long", "side": "LONG", "price": 119.12, "stage": 2, "buy": 98.2, "sell": 22.2, "prime": 2, "revL": 0, "revS": 0, "vcp": 0, "time": 1784640600000, "email_id": "b'1822'", "timestamp": "2026-07-21 16:01:43"}</t>
  </si>
  <si>
    <t>JKHY</t>
  </si>
  <si>
    <t>Buy: 93.5 | Sell: 3.4</t>
  </si>
  <si>
    <t>{"symbol": "HSIC", "strategy": "Daily", "action": "LONG", "alert_price": 84.83, "score": "", "dir_prob": "94.7", "net_sigma": "", "grade": "", "align": "", "premium": "", "wrong_if": "", "context": "", "subject": "Alert: Rev - Screener v1 (SPY, 12): Any alert() function call", "body": "{\"ticker\":\"HSIC\", \"setup\":\"A+ Trend Long\", \"side\":\"LONG\", \"price\":84.83, \"stage\":2, \"buy\":96, \"sell\":5.7, \"prime\":2, \"revL\":0, \"revS\":0, \"vcp\":0, \"dir_prob\":94.7, \"time\":1784727000000}", "ticker": "HSIC", "setup": "A+ Trend Long", "side": "LONG", "price": 84.83, "stage": 2, "buy": 96, "sell": 5.7, "prime": 2, "revL": 0, "revS": 0, "vcp": 0, "time": 1784727000000, "email_id": "1919", "timestamp": "2026-07-22 16:01:11"}</t>
  </si>
  <si>
    <t>{"symbol": "SNA", "strategy": "Daily", "action": "LONG", "alert_price": 406.51, "score": "", "dir_prob": "86.6", "net_sigma": "", "grade": "", "align": "", "premium": "", "wrong_if": "", "context": "", "subject": "Alert: Rev - Screener v1 (SPY, 12): Any alert() function call", "body": "{\"ticker\":\"SNA\", \"setup\":\"A+ Trend Long\", \"side\":\"LONG\", \"price\":406.51, \"stage\":2, \"buy\":94.7, \"sell\":12.2, \"prime\":2, \"revL\":0, \"revS\":0, \"vcp\":0, \"dir_prob\":86.6, \"time\":1784554200000}", "ticker": "SNA", "setup": "A+ Trend Long", "side": "LONG", "price": 406.51, "stage": 2, "buy": 94.7, "sell": 12.2, "prime": 2, "revL": 0, "revS": 0, "vcp": 0, "time": 1784554200000, "email_id": "b'1669'", "timestamp": "2026-07-20 16:01:33"}</t>
  </si>
  <si>
    <t>Buy: 93.7 | Sell: 8.5</t>
  </si>
  <si>
    <t>Buy: 87.2 | Sell: 29.4</t>
  </si>
  <si>
    <t>{"symbol": "JKHY", "strategy": "Daily", "action": "LONG", "alert_price": 148.96, "score": "", "dir_prob": "98.7", "net_sigma": "", "grade": "", "align": "", "premium": "", "wrong_if": "", "context": "", "subject": "Alert: Rev - Screener v1 (SPY, 12): Any alert() function call", "body": "{\"ticker\":\"JKHY\", \"setup\":\"A+ Trend Long\", \"side\":\"LONG\", \"price\":148.96, \"stage\":2, \"buy\":93.5, \"sell\":3.4, \"prime\":2, \"revL\":0, \"revS\":0, \"vcp\":0, \"dir_prob\":98.7, \"time\":1784640600000}", "ticker": "JKHY", "setup": "A+ Trend Long", "side": "LONG", "price": 148.96, "stage": 2, "buy": 93.5, "sell": 3.4, "prime": 2, "revL": 0, "revS": 0, "vcp": 0, "time": 1784640600000, "email_id": "b'1823'", "timestamp": "2026-07-21 16:01:23"}</t>
  </si>
  <si>
    <t>Buy: 80.4 | Sell: 7</t>
  </si>
  <si>
    <t>{"symbol": "STT", "strategy": "Daily", "action": "LONG", "alert_price": 185.22, "score": "", "dir_prob": "92", "net_sigma": "", "grade": "", "align": "", "premium": "", "wrong_if": "", "context": "", "subject": "Alert: Rev - Screener v1 (SPY, 12): Any alert() function call", "body": "{\"ticker\":\"STT\", \"setup\":\"A+ Trend Long\", \"side\":\"LONG\", \"price\":185.22, \"stage\":2, \"buy\":93.7, \"sell\":8.5, \"prime\":2, \"revL\":0, \"revS\":0, \"vcp\":0, \"dir_prob\":92, \"time\":1784727000000}", "ticker": "STT", "setup": "A+ Trend Long", "side": "LONG", "price": 185.22, "stage": 2, "buy": 93.7, "sell": 8.5, "prime": 2, "revL": 0, "revS": 0, "vcp": 0, "time": 1784727000000, "email_id": "1921", "timestamp": "2026-07-22 16:01:13"}</t>
  </si>
  <si>
    <t>Buy: 92.6 | Sell: 33.2</t>
  </si>
  <si>
    <t>{"symbol": "HIG", "strategy": "Daily", "action": "LONG", "alert_price": 141.99, "score": "", "dir_prob": "91.1", "net_sigma": "", "grade": "", "align": "", "premium": "", "wrong_if": "", "context": "", "subject": "Alert: Rev - Screener v1 (SPY, 12): Any alert() function call", "body": "{\"ticker\":\"HIG\", \"setup\":\"Early Action Long\", \"side\":\"LONG\", \"price\":141.99, \"stage\":2, \"buy\":80.4, \"sell\":7, \"prime\":1, \"revL\":0, \"revS\":0, \"vcp\":0, \"dir_prob\":91.1, \"time\":1784640600000}", "ticker": "HIG", "setup": "Early Action Long", "side": "LONG", "price": 141.99, "stage": 2, "buy": 80.4, "sell": 7, "prime": 1, "revL": 0, "revS": 0, "vcp": 0, "time": 1784640600000, "email_id": "b'1824'", "timestamp": "2026-07-21 16:01:34"}</t>
  </si>
  <si>
    <t>{"symbol": "DOC", "strategy": "Daily", "action": "LONG", "alert_price": 22.29, "score": "", "dir_prob": "87.8", "net_sigma": "", "grade": "", "align": "", "premium": "", "wrong_if": "", "context": "", "subject": "Alert: Rev - Screener v1 (SPY, 12): Any alert() function call", "body": "{\"ticker\":\"DOC\", \"setup\":\"A+ Trend Long\", \"side\":\"LONG\", \"price\":22.29, \"stage\":2, \"buy\":87.2, \"sell\":29.4, \"prime\":2, \"revL\":0, \"revS\":0, \"vcp\":0, \"dir_prob\":87.8, \"time\":1784554200000}", "ticker": "DOC", "setup": "A+ Trend Long", "side": "LONG", "price": 22.29, "stage": 2, "buy": 87.2, "sell": 29.4, "prime": 2, "revL": 0, "revS": 0, "vcp": 0, "time": 1784554200000, "email_id": "b'1602'", "timestamp": "2026-07-20 16:01:29"}</t>
  </si>
  <si>
    <t>Buy: 92.8 | Sell: 43.3</t>
  </si>
  <si>
    <t>Buy: 85.1 | Sell: 21.8</t>
  </si>
  <si>
    <t>{"symbol": "VRTX", "strategy": "Daily", "action": "LONG", "alert_price": 472.74, "score": "", "dir_prob": "84.4", "net_sigma": "", "grade": "", "align": "", "premium": "", "wrong_if": "", "context": "", "subject": "Alert: Rev - Screener v1 (SPY, 12): Any alert() function call", "body": "{\"ticker\":\"VRTX\", \"setup\":\"A+ Trend Long\", \"side\":\"LONG\", \"price\":472.74, \"stage\":2, \"buy\":92.6, \"sell\":33.2, \"prime\":2, \"revL\":0, \"revS\":0, \"vcp\":0, \"dir_prob\":84.4, \"time\":1784727000000}", "ticker": "VRTX", "setup": "A+ Trend Long", "side": "LONG", "price": 472.74, "stage": 2, "buy": 92.6, "sell": 33.2, "prime": 2, "revL": 0, "revS": 0, "vcp": 0, "time": 1784727000000, "email_id": "1922", "timestamp": "2026-07-22 16:01:09"}</t>
  </si>
  <si>
    <t>TREND_LONG fires with buy=96.46 &gt;&gt; 65, dir_prob=89.49, and stage=2. News is NEUTRAL (headline mentions small caps, not VRTX). Triage capped to WATCH due to 'earnings' flag (12 days out) and 'churn' risk (opposite_score=33.55 is moderate).</t>
  </si>
  <si>
    <t>Buy: 90.1 | Sell: 34.2</t>
  </si>
  <si>
    <t>{"symbol": "EA", "strategy": "Daily", "action": "LONG", "alert_price": 209.03, "score": "", "dir_prob": "81.1", "net_sigma": "", "grade": "", "align": "", "premium": "", "wrong_if": "", "context": "", "subject": "Alert: Rev - Screener v1 (SPY, 12): Any alert() function call", "body": "{\"ticker\":\"EA\", \"setup\":\"A+ Trend Long\", \"side\":\"LONG\", \"price\":209.03, \"stage\":2, \"buy\":92.8, \"sell\":43.3, \"prime\":2, \"revL\":0, \"revS\":0, \"vcp\":0, \"dir_prob\":81.1, \"time\":1784640600000}", "ticker": "EA", "setup": "A+ Trend Long", "side": "LONG", "price": 209.03, "stage": 2, "buy": 92.8, "sell": 43.3, "prime": 2, "revL": 0, "revS": 0, "vcp": 0, "time": 1784640600000, "email_id": "b'1825'", "timestamp": "2026-07-21 16:01:35"}</t>
  </si>
  <si>
    <t>Buy: 82.7 | Sell: 46</t>
  </si>
  <si>
    <t>{"symbol": "RJF", "strategy": "Daily", "action": "LONG", "alert_price": 168.27, "score": "", "dir_prob": "89", "net_sigma": "", "grade": "", "align": "", "premium": "", "wrong_if": "", "context": "", "subject": "Alert: Rev - Screener v1 (SPY, 12): Any alert() function call", "body": "{\"ticker\":\"RJF\", \"setup\":\"A+ Trend Long\", \"side\":\"LONG\", \"price\":168.27, \"stage\":2, \"buy\":85.1, \"sell\":21.8, \"prime\":2, \"revL\":0, \"revS\":0, \"vcp\":0, \"dir_prob\":89, \"time\":1784554200000}", "ticker": "RJF", "setup": "A+ Trend Long", "side": "LONG", "price": 168.27, "stage": 2, "buy": 85.1, "sell": 21.8, "prime": 2, "revL": 0, "revS": 0, "vcp": 0, "time": 1784554200000, "email_id": "b'1668'", "timestamp": "2026-07-20 16:01:33"}</t>
  </si>
  <si>
    <t>Buy: 95.6 | Sell: 6.1</t>
  </si>
  <si>
    <t>{"symbol": "UNH", "strategy": "Daily", "action": "LONG", "alert_price": 436.38, "score": "", "dir_prob": "75.7", "net_sigma": "", "grade": "", "align": "", "premium": "", "wrong_if": "", "context": "", "subject": "Alert: Rev - Screener v1 (SPY, 12): Any alert() function call", "body": "{\"ticker\":\"UNH\", \"setup\":\"Coiled VCP\", \"side\":\"LONG\", \"price\":436.38, \"stage\":2, \"buy\":82.7, \"sell\":46, \"prime\":1, \"revL\":0, \"revS\":0, \"vcp\":1, \"dir_prob\":75.7, \"time\":1784640600000}", "ticker": "UNH", "setup": "Coiled VCP", "side": "LONG", "price": 436.38, "stage": 2, "buy": 82.7, "sell": 46, "prime": 1, "revL": 0, "revS": 0, "vcp": 1, "time": 1784640600000, "email_id": "b'1826'", "timestamp": "2026-07-21 16:01:43"}</t>
  </si>
  <si>
    <t>{"symbol": "PNW", "strategy": "Daily", "action": "LONG", "alert_price": 106.31, "score": "", "dir_prob": "87.6", "net_sigma": "", "grade": "", "align": "", "premium": "", "wrong_if": "", "context": "", "subject": "Alert: Rev - Screener v1 (SPY, 12): Any alert() function call", "body": "{\"ticker\":\"PNW\", \"setup\":\"A+ Trend Long\", \"side\":\"LONG\", \"price\":106.31, \"stage\":2, \"buy\":90.1, \"sell\":34.2, \"prime\":2, \"revL\":0, \"revS\":0, \"vcp\":1, \"dir_prob\":87.6, \"time\":1784727000000}", "ticker": "PNW", "setup": "A+ Trend Long", "side": "LONG", "price": 106.31, "stage": 2, "buy": 90.1, "sell": 34.2, "prime": 2, "revL": 0, "revS": 0, "vcp": 1, "time": 1784727000000, "email_id": "1923", "timestamp": "2026-07-22 16:01:18"}</t>
  </si>
  <si>
    <t>Buy: 96.8 | Sell: 4.6</t>
  </si>
  <si>
    <t>Buy: 95.2 | Sell: 5.9</t>
  </si>
  <si>
    <t>{"symbol": "OMC", "strategy": "Daily", "action": "LONG", "alert_price": 79.22, "score": "", "dir_prob": "94.7", "net_sigma": "", "grade": "", "align": "", "premium": "", "wrong_if": "", "context": "", "subject": "Alert: Rev - Screener v1 (SPY, 12): Any alert() function call", "body": "{\"ticker\":\"OMC\", \"setup\":\"A+ Trend Long\", \"side\":\"LONG\", \"price\":79.22, \"stage\":2, \"buy\":96.8, \"sell\":4.6, \"prime\":2, \"revL\":0, \"revS\":0, \"vcp\":0, \"dir_prob\":94.7, \"time\":1784640600000}", "ticker": "OMC", "setup": "A+ Trend Long", "side": "LONG", "price": 79.22, "stage": 2, "buy": 96.8, "sell": 4.6, "prime": 2, "revL": 0, "revS": 0, "vcp": 0, "time": 1784640600000, "email_id": "b'1827'", "timestamp": "2026-07-21 16:01:34"}</t>
  </si>
  <si>
    <t>{"symbol": "ITW", "strategy": "Daily", "action": "LONG", "alert_price": 271.68, "score": "", "dir_prob": "94.8", "net_sigma": "", "grade": "", "align": "", "premium": "", "wrong_if": "", "context": "", "subject": "Alert: Rev - Screener v1 (SPY, 12): Any alert() function call", "body": "{\"ticker\":\"ITW\", \"setup\":\"A+ Trend Long\", \"side\":\"LONG\", \"price\":271.68, \"stage\":2, \"buy\":95.6, \"sell\":6.1, \"prime\":2, \"revL\":0, \"revS\":0, \"vcp\":0, \"dir_prob\":94.8, \"time\":1784554200000}", "ticker": "ITW", "setup": "A+ Trend Long", "side": "LONG", "price": 271.68, "stage": 2, "buy": 95.6, "sell": 6.1, "prime": 2, "revL": 0, "revS": 0, "vcp": 0, "time": 1784554200000, "email_id": "b'1616'", "timestamp": "2026-07-20 16:01:32"}</t>
  </si>
  <si>
    <t>Buy: 95.2 | Sell: 24.8</t>
  </si>
  <si>
    <t>**WAIT (Zone-Discipline Entry)** — don't chase today, but pre-position the trigger for tomorrow</t>
  </si>
  <si>
    <t>{"symbol": "XYL", "strategy": "Daily", "action": "LONG", "alert_price": 116.14, "score": "", "dir_prob": "97.7", "net_sigma": "", "grade": "", "align": "", "premium": "", "wrong_if": "", "context": "", "subject": "Alert: Rev - Screener v1 (SPY, 12): Any alert() function call", "body": "{\"ticker\":\"XYL\", \"setup\":\"A+ Trend Long\", \"side\":\"LONG\", \"price\":116.14, \"stage\":2, \"buy\":95.2, \"sell\":5.9, \"prime\":2, \"revL\":0, \"revS\":0, \"vcp\":0, \"dir_prob\":97.7, \"time\":1784727000000}", "ticker": "XYL", "setup": "A+ Trend Long", "side": "LONG", "price": 116.14, "stage": 2, "buy": 95.2, "sell": 5.9, "prime": 2, "revL": 0, "revS": 0, "vcp": 0, "time": 1784727000000, "email_id": "1920", "timestamp": "2026-07-22 16:01:13"}</t>
  </si>
  <si>
    <t>Buy: 93.3 | Sell: 11.5</t>
  </si>
  <si>
    <t>Buy: 96.4 | Sell: 9.4</t>
  </si>
  <si>
    <t>{"symbol": "HOOD", "strategy": "Daily", "action": "LONG", "alert_price": 106.36, "score": "", "dir_prob": "88.9", "net_sigma": "", "grade": "", "align": "", "premium": "", "wrong_if": "", "context": "", "subject": "Alert: Rev - Screener v1 (SPY, 12): Any alert() function call", "body": "{\"ticker\":\"HOOD\", \"setup\":\"A+ Trend Long\", \"side\":\"LONG\", \"price\":106.36, \"stage\":2, \"buy\":95.2, \"sell\":24.8, \"prime\":2, \"revL\":0, \"revS\":0, \"vcp\":0, \"dir_prob\":88.9, \"time\":1784640600000}", "ticker": "HOOD", "setup": "A+ Trend Long", "side": "LONG", "price": 106.36, "stage": 2, "buy": 95.2, "sell": 24.8, "prime": 2, "revL": 0, "revS": 0, "vcp": 0, "time": 1784640600000, "email_id": "b'1828'", "timestamp": "2026-07-21 16:01:43"}</t>
  </si>
  <si>
    <t xml:space="preserve">TREND_LONG fires with buy=76.64 &gt; 65, dir_prob=91.13 &gt;&gt; 50, and stage=2 (up-trend). News CONFIRMS with strong headlines including a price target raise to $123 and 'Rips Higher' momentum. PASS triage; conviction boosted by high dir_prob and </t>
  </si>
  <si>
    <t>Buy: 95.2 | Sell: 15.4</t>
  </si>
  <si>
    <t>{"symbol": "EIX", "strategy": "Daily", "action": "LONG", "alert_price": 77.25, "score": "", "dir_prob": "87.8", "net_sigma": "", "grade": "", "align": "", "premium": "", "wrong_if": "", "context": "", "subject": "Alert: Rev - Screener v1 (SPY, 12): Any alert() function call", "body": "{\"ticker\":\"EIX\", \"setup\":\"A+ Trend Long\", \"side\":\"LONG\", \"price\":77.25, \"stage\":2, \"buy\":93.3, \"sell\":11.5, \"prime\":2, \"revL\":0, \"revS\":0, \"vcp\":0, \"dir_prob\":87.8, \"time\":1784554200000}", "ticker": "EIX", "setup": "A+ Trend Long", "side": "LONG", "price": 77.25, "stage": 2, "buy": 93.3, "sell": 11.5, "prime": 2, "revL": 0, "revS": 0, "vcp": 0, "time": 1784554200000, "email_id": "b'1573'", "timestamp": "2026-07-20 16:01:14"}</t>
  </si>
  <si>
    <t>{"symbol": "WRB", "strategy": "Daily", "action": "LONG", "alert_price": 72.35, "score": "", "dir_prob": "96.1", "net_sigma": "", "grade": "", "align": "", "premium": "", "wrong_if": "", "context": "", "subject": "Alert: Rev - Screener v1 (SPY, 12): Any alert() function call", "body": "{\"ticker\":\"WRB\", \"setup\":\"A+ Trend Long\", \"side\":\"LONG\", \"price\":72.35, \"stage\":2, \"buy\":96.4, \"sell\":9.4, \"prime\":2, \"revL\":0, \"revS\":0, \"vcp\":1, \"dir_prob\":96.1, \"time\":1784727000000}", "ticker": "WRB", "setup": "A+ Trend Long", "side": "LONG", "price": 72.35, "stage": 2, "buy": 96.4, "sell": 9.4, "prime": 2, "revL": 0, "revS": 0, "vcp": 1, "time": 1784727000000, "email_id": "1924", "timestamp": "2026-07-22 16:01:11"}</t>
  </si>
  <si>
    <t>Buy: 95.8 | Sell: 27.4</t>
  </si>
  <si>
    <t>{"symbol": "SNA", "strategy": "Daily", "action": "LONG", "alert_price": 404.13, "score": "", "dir_prob": "85.6", "net_sigma": "", "grade": "", "align": "", "premium": "", "wrong_if": "", "context": "", "subject": "Alert: Rev - Screener v1 (SPY, 12): Any alert() function call", "body": "{\"ticker\":\"SNA\", \"setup\":\"A+ Trend Long\", \"side\":\"LONG\", \"price\":404.13, \"stage\":2, \"buy\":95.2, \"sell\":15.4, \"prime\":2, \"revL\":0, \"revS\":0, \"vcp\":0, \"dir_prob\":85.6, \"time\":1784640600000}", "ticker": "SNA", "setup": "A+ Trend Long", "side": "LONG", "price": 404.13, "stage": 2, "buy": 95.2, "sell": 15.4, "prime": 2, "revL": 0, "revS": 0, "vcp": 0, "time": 1784640600000, "email_id": "b'1829'", "timestamp": "2026-07-21 16:01:30"}</t>
  </si>
  <si>
    <t>HPQ</t>
  </si>
  <si>
    <t>Buy: 78 | Sell: 45</t>
  </si>
  <si>
    <t>{"symbol": "CTVA", "strategy": "Daily", "action": "LONG", "alert_price": 86.79, "score": "", "dir_prob": "94.8", "net_sigma": "", "grade": "", "align": "", "premium": "", "wrong_if": "", "context": "", "subject": "Alert: Rev - Screener v1 (SPY, 12): Any alert() function call", "body": "{\"ticker\":\"CTVA\", \"setup\":\"A+ Trend Long\", \"side\":\"LONG\", \"price\":86.79, \"stage\":2, \"buy\":96.4, \"sell\":5.4, \"prime\":2, \"revL\":0, \"revS\":0, \"vcp\":0, \"dir_prob\":94.8, \"time\":1784554200000}", "ticker": "CTVA", "setup": "A+ Trend Long", "side": "LONG", "price": 86.79, "stage": 2, "buy": 96.4, "sell": 5.4, "prime": 2, "revL": 0, "revS": 0, "vcp": 0, "time": 1784554200000, "email_id": "b'1563'", "timestamp": "2026-07-20 16:01:47"}</t>
  </si>
  <si>
    <t>{"symbol": "LH", "strategy": "Daily", "action": "LONG", "alert_price": 281.47, "score": "", "dir_prob": "90.8", "net_sigma": "", "grade": "", "align": "", "premium": "", "wrong_if": "", "context": "", "subject": "Alert: Rev - Screener v1 (SPY, 12): Any alert() function call", "body": "{\"ticker\":\"LH\", \"setup\":\"A+ Trend Long\", \"side\":\"LONG\", \"price\":281.47, \"stage\":2, \"buy\":95.8, \"sell\":27.4, \"prime\":2, \"revL\":0, \"revS\":0, \"vcp\":0, \"dir_prob\":90.8, \"time\":1784727000000}", "ticker": "LH", "setup": "A+ Trend Long", "side": "LONG", "price": 281.47, "stage": 2, "buy": 95.8, "sell": 27.4, "prime": 2, "revL": 0, "revS": 0, "vcp": 0, "time": 1784727000000, "email_id": "1925", "timestamp": "2026-07-22 16:01:08"}</t>
  </si>
  <si>
    <t>Buy: 7.5 | Sell: 92.4</t>
  </si>
  <si>
    <t>Buy: 94.2 | Sell: 7.6</t>
  </si>
  <si>
    <t>**WAIT / SKIP** fresh entries today. The signal hasn't fired, R:R is thin, and price is at 52W-high gravity.</t>
  </si>
  <si>
    <t>{"symbol": "HPQ", "strategy": "Daily", "action": "LONG", "alert_price": 24.81, "score": "", "dir_prob": "75.5", "net_sigma": "", "grade": "", "align": "", "premium": "", "wrong_if": "", "context": "", "subject": "Alert: Rev - Screener v1 (SPY, 12): Any alert() function call", "body": "{\"ticker\":\"HPQ\", \"setup\":\"Early Action Long\", \"side\":\"LONG\", \"price\":24.81, \"stage\":2, \"buy\":78, \"sell\":45, \"prime\":1, \"revL\":0, \"revS\":0, \"vcp\":0, \"dir_prob\":75.5, \"time\":1784640600000}", "ticker": "HPQ", "setup": "Early Action Long", "side": "LONG", "price": 24.81, "stage": 2, "buy": 78, "sell": 45, "prime": 1, "revL": 0, "revS": 0, "vcp": 0, "time": 1784640600000, "email_id": "b'1830'", "timestamp": "2026-07-21 16:01:41"}</t>
  </si>
  <si>
    <t>Buy: 58.4 | Sell: 85.5</t>
  </si>
  <si>
    <t>{"symbol": "JNJ", "strategy": "Daily", "action": "LONG", "alert_price": 255.64, "score": "", "dir_prob": "93.6", "net_sigma": "", "grade": "", "align": "", "premium": "", "wrong_if": "", "context": "", "subject": "Alert: Rev - Screener v1 (SPY, 12): Any alert() function call", "body": "{\"ticker\":\"JNJ\", \"setup\":\"A+ Trend Long\", \"side\":\"LONG\", \"price\":255.64, \"stage\":2, \"buy\":94.2, \"sell\":7.6, \"prime\":2, \"revL\":0, \"revS\":0, \"vcp\":0, \"dir_prob\":93.6, \"time\":1784727000000}", "ticker": "JNJ", "setup": "A+ Trend Long", "side": "LONG", "price": 255.64, "stage": 2, "buy": 94.2, "sell": 7.6, "prime": 2, "revL": 0, "revS": 0, "vcp": 0, "time": 1784727000000, "email_id": "1926", "timestamp": "2026-07-22 16:01:16"}</t>
  </si>
  <si>
    <t>TREND_LONG fires with buy=96.49 &gt;&gt; 65, dir_prob=93.12, and stage=2. News CONFIRMS with FDA approval for a new robotic system, a major catalyst. No key flags apply; regime=0 and zone_state=in_zone support the setup. PASS triage with high 8/1</t>
  </si>
  <si>
    <t>Buy: 91.1 | Sell: 22.5</t>
  </si>
  <si>
    <t>{"symbol": "TJX", "strategy": "Daily", "action": "SHORT", "alert_price": 155.69, "score": "", "dir_prob": "4.2", "net_sigma": "", "grade": "", "align": "", "premium": "", "wrong_if": "", "context": "", "subject": "Alert: Rev - Screener v1 (SPY, 12): Any alert() function call", "body": "{\"ticker\":\"TJX\", \"setup\":\"A+ Trend Short\", \"side\":\"SHORT\", \"price\":155.69, \"stage\":4, \"buy\":7.5, \"sell\":92.4, \"prime\":-2, \"revL\":0, \"revS\":0, \"vcp\":0, \"dir_prob\":4.2, \"time\":1784554200000}", "ticker": "TJX", "setup": "A+ Trend Short", "side": "SHORT", "price": 155.69, "stage": 4, "buy": 7.5, "sell": 92.4, "prime": -2, "revL": 0, "revS": 0, "vcp": 0, "time": 1784554200000, "email_id": "b'1580'", "timestamp": "2026-07-20 16:01:16"}</t>
  </si>
  <si>
    <t>{"symbol": "NTAP", "strategy": "Daily", "action": "SHORT", "alert_price": 165.72, "score": "", "dir_prob": "34.8", "net_sigma": "", "grade": "", "align": "", "premium": "", "wrong_if": "", "context": "", "subject": "Alert: Rev - Screener v1 (SPY, 12): Any alert() function call", "body": "{\"ticker\":\"NTAP\", \"setup\":\"A+ Trend Short\", \"side\":\"SHORT\", \"price\":165.72, \"stage\":4, \"buy\":58.4, \"sell\":85.5, \"prime\":-2, \"revL\":0, \"revS\":0, \"vcp\":0, \"dir_prob\":34.8, \"time\":1784640600000}", "ticker": "NTAP", "setup": "A+ Trend Short", "side": "SHORT", "price": 165.72, "stage": 4, "buy": 58.4, "sell": 85.5, "prime": -2, "revL": 0, "revS": 0, "vcp": 0, "time": 1784640600000, "email_id": "b'1831'", "timestamp": "2026-07-21 16:01:43"}</t>
  </si>
  <si>
    <t>Buy: 89.1 | Sell: 24.9</t>
  </si>
  <si>
    <t>{"symbol": "REG", "strategy": "Daily", "action": "LONG", "alert_price": 82.22, "score": "", "dir_prob": "92.9", "net_sigma": "", "grade": "", "align": "", "premium": "", "wrong_if": "", "context": "", "subject": "Alert: Rev - Screener v1 (SPY, 12): Any alert() function call", "body": "{\"ticker\":\"REG\", \"setup\":\"A+ Trend Long\", \"side\":\"LONG\", \"price\":82.22, \"stage\":2, \"buy\":91.1, \"sell\":22.5, \"prime\":2, \"revL\":0, \"revS\":0, \"vcp\":0, \"dir_prob\":92.9, \"time\":1784727000000}", "ticker": "REG", "setup": "A+ Trend Long", "side": "LONG", "price": 82.22, "stage": 2, "buy": 91.1, "sell": 22.5, "prime": 2, "revL": 0, "revS": 0, "vcp": 0, "time": 1784727000000, "email_id": "1927", "timestamp": "2026-07-22 16:01:16"}</t>
  </si>
  <si>
    <t>EQT</t>
  </si>
  <si>
    <t>Buy: 33.7 | Sell: 87.2</t>
  </si>
  <si>
    <t>{"symbol": "PCG", "strategy": "Daily", "action": "LONG", "alert_price": 17.43, "score": "", "dir_prob": "88.8", "net_sigma": "", "grade": "", "align": "", "premium": "", "wrong_if": "", "context": "", "subject": "Alert: Rev - Screener v1 (SPY, 12): Any alert() function call", "body": "{\"ticker\":\"PCG\", \"setup\":\"A+ Trend Long\", \"side\":\"LONG\", \"price\":17.43, \"stage\":2, \"buy\":89.1, \"sell\":24.9, \"prime\":2, \"revL\":0, \"revS\":0, \"vcp\":1, \"dir_prob\":88.8, \"time\":1784554200000}", "ticker": "PCG", "setup": "A+ Trend Long", "side": "LONG", "price": 17.43, "stage": 2, "buy": 89.1, "sell": 24.9, "prime": 2, "revL": 0, "revS": 0, "vcp": 1, "time": 1784554200000, "email_id": "b'1627'", "timestamp": "2026-07-20 16:01:33"}</t>
  </si>
  <si>
    <t>{"symbol": "CTVA", "strategy": "Daily", "action": "LONG", "alert_price": 86.97, "score": "", "dir_prob": "94.5", "net_sigma": "", "grade": "", "align": "", "premium": "", "wrong_if": "", "context": "", "subject": "Alert: Rev - Screener v1 (SPY, 12): Any alert() function call", "body": "{\"ticker\":\"CTVA\", \"setup\":\"A+ Trend Long\", \"side\":\"LONG\", \"price\":86.97, \"stage\":2, \"buy\":96.2, \"sell\":6, \"prime\":2, \"revL\":0, \"revS\":0, \"vcp\":0, \"dir_prob\":94.5, \"time\":1784640600000}", "ticker": "CTVA", "setup": "A+ Trend Long", "side": "LONG", "price": 86.97, "stage": 2, "buy": 96.2, "sell": 6, "prime": 2, "revL": 0, "revS": 0, "vcp": 0, "time": 1784640600000, "email_id": "b'1832'", "timestamp": "2026-07-21 16:01:43"}</t>
  </si>
  <si>
    <t>TREND_LONG fires with buy=92.83 &gt;&gt; 65, dir_prob=90.03, and stage=2. News CONFIRMS with analyst upgrades raising targets. Triage capped to WATCH due to 'chased' flag (price above zone with poor R:R=0.30) and earnings in 9 days. Conviction 6:</t>
  </si>
  <si>
    <t>Buy: 94.2 | Sell: 34.1</t>
  </si>
  <si>
    <t>Buy: 94.3 | Sell: 10.4</t>
  </si>
  <si>
    <t>{"symbol": "EQT", "strategy": "Daily", "action": "SHORT", "alert_price": 54.03, "score": "", "dir_prob": "25.4", "net_sigma": "", "grade": "", "align": "", "premium": "", "wrong_if": "", "context": "", "subject": "Alert: Rev - Screener v1 (SPY, 12): Any alert() function call", "body": "{\"ticker\":\"EQT\", \"setup\":\"A+ Trend Short\", \"side\":\"SHORT\", \"price\":54.03, \"stage\":4, \"buy\":33.7, \"sell\":87.2, \"prime\":-2, \"revL\":0, \"revS\":0, \"vcp\":0, \"dir_prob\":25.4, \"time\":1784727000000}", "ticker": "EQT", "setup": "A+ Trend Short", "side": "SHORT", "price": 54.03, "stage": 4, "buy": 33.7, "sell": 87.2, "prime": -2, "revL": 0, "revS": 0, "vcp": 0, "time": 1784727000000, "email_id": "1928", "timestamp": "2026-07-22 16:01:08"}</t>
  </si>
  <si>
    <t>{"symbol": "STT", "strategy": "Daily", "action": "LONG", "alert_price": 183.3, "score": "", "dir_prob": "91.7", "net_sigma": "", "grade": "", "align": "", "premium": "", "wrong_if": "", "context": "", "subject": "Alert: Rev - Screener v1 (SPY, 12): Any alert() function call", "body": "{\"ticker\":\"STT\", \"setup\":\"A+ Trend Long\", \"side\":\"LONG\", \"price\":183.30, \"stage\":2, \"buy\":94.3, \"sell\":10.4, \"prime\":2, \"revL\":0, \"revS\":0, \"vcp\":0, \"dir_prob\":91.7, \"time\":1784640600000}", "ticker": "STT", "setup": "A+ Trend Long", "side": "LONG", "price": 183.3, "stage": 2, "buy": 94.3, "sell": 10.4, "prime": 2, "revL": 0, "revS": 0, "vcp": 0, "time": 1784640600000, "email_id": "b'1833'", "timestamp": "2026-07-21 16:01:43"}</t>
  </si>
  <si>
    <t>{"symbol": "LUV", "strategy": "Daily", "action": "LONG", "alert_price": 48.36, "score": "", "dir_prob": "89.6", "net_sigma": "", "grade": "", "align": "", "premium": "", "wrong_if": "", "context": "", "subject": "Alert: Rev - Screener v1 (SPY, 12): Any alert() function call", "body": "{\"ticker\":\"LUV\", \"setup\":\"A+ Trend Long\", \"side\":\"LONG\", \"price\":48.36, \"stage\":2, \"buy\":94.2, \"sell\":34.1, \"prime\":2, \"revL\":0, \"revS\":0, \"vcp\":0, \"dir_prob\":89.6, \"time\":1784554200000}", "ticker": "LUV", "setup": "A+ Trend Long", "side": "LONG", "price": 48.36, "stage": 2, "buy": 94.2, "sell": 34.1, "prime": 2, "revL": 0, "revS": 0, "vcp": 0, "time": 1784554200000, "email_id": "b'1661'", "timestamp": "2026-07-20 16:01:03"}</t>
  </si>
  <si>
    <t>Buy: 8.4 | Sell: 85.5</t>
  </si>
  <si>
    <t>{"symbol": "AXP", "strategy": "Daily", "action": "LONG", "alert_price": 348.73, "score": "", "dir_prob": "95.4", "net_sigma": "", "grade": "", "align": "", "premium": "", "wrong_if": "", "context": "", "subject": "Alert: Rev - Screener v1 (SPY, 12): Any alert() function call", "body": "{\"ticker\":\"AXP\", \"setup\":\"A+ Trend Long\", \"side\":\"LONG\", \"price\":348.73, \"stage\":2, \"buy\":96.6, \"sell\":6, \"prime\":2, \"revL\":0, \"revS\":0, \"vcp\":0, \"dir_prob\":95.4, \"time\":1784727000000}", "ticker": "AXP", "setup": "A+ Trend Long", "side": "LONG", "price": 348.73, "stage": 2, "buy": 96.6, "sell": 6, "prime": 2, "revL": 0, "revS": 0, "vcp": 0, "time": 1784727000000, "email_id": "1929", "timestamp": "2026-07-22 16:01:12"}</t>
  </si>
  <si>
    <t>**WAIT — setup forming, not triggered. No fresh entry until FORMING flips to PRIME/ACTION.**</t>
  </si>
  <si>
    <t>Buy: 97.7 | Sell: 8.7</t>
  </si>
  <si>
    <t>{"symbol": "PSKY", "strategy": "Daily", "action": "SHORT", "alert_price": 8.52, "score": "", "dir_prob": "9.4", "net_sigma": "", "grade": "", "align": "", "premium": "", "wrong_if": "", "context": "", "subject": "Alert: Rev - Screener v1 (SPY, 12): Any alert() function call", "body": "{\"ticker\":\"PSKY\", \"setup\":\"A+ Trend Short\", \"side\":\"SHORT\", \"price\":8.52, \"stage\":4, \"buy\":8.4, \"sell\":85.5, \"prime\":-2, \"revL\":0, \"revS\":0, \"vcp\":0, \"dir_prob\":9.4, \"time\":1784640600000}", "ticker": "PSKY", "setup": "A+ Trend Short", "side": "SHORT", "price": 8.52, "stage": 4, "buy": 8.4, "sell": 85.5, "prime": -2, "revL": 0, "revS": 0, "vcp": 0, "time": 1784640600000, "email_id": "b'1835'", "timestamp": "2026-07-21 16:01:25"}</t>
  </si>
  <si>
    <t>Buy: 86.5 | Sell: 24.2</t>
  </si>
  <si>
    <t>{"symbol": "TROW", "strategy": "Daily", "action": "LONG", "alert_price": 116.51, "score": "", "dir_prob": "94.7", "net_sigma": "", "grade": "", "align": "", "premium": "", "wrong_if": "", "context": "", "subject": "Alert: Rev - Screener v1 (SPY, 12): Any alert() function call", "body": "{\"ticker\":\"TROW\", \"setup\":\"A+ Trend Long\", \"side\":\"LONG\", \"price\":116.51, \"stage\":2, \"buy\":96.4, \"sell\":6.3, \"prime\":2, \"revL\":0, \"revS\":0, \"vcp\":0, \"dir_prob\":94.7, \"time\":1784554200000}", "ticker": "TROW", "setup": "A+ Trend Long", "side": "LONG", "price": 116.51, "stage": 2, "buy": 96.4, "sell": 6.3, "prime": 2, "revL": 0, "revS": 0, "vcp": 0, "time": 1784554200000, "email_id": "b'1624'", "timestamp": "2026-07-20 16:01:31"}</t>
  </si>
  <si>
    <t>TREND_LONG fires with buy=97.4 &gt;&gt; 65 and dir_prob=90.19, indicating a strong bullish bias. However, the news CONTRADICTS this with a downgrade and price target cut to $107, which is below current price. This news veto caps the triage at 'no</t>
  </si>
  <si>
    <t>{"symbol": "AON", "strategy": "Daily", "action": "LONG", "alert_price": 352.29, "score": "", "dir_prob": "97.4", "net_sigma": "", "grade": "", "align": "", "premium": "", "wrong_if": "", "context": "", "subject": "Alert: Rev - Screener v1 (SPY, 12): Any alert() function call", "body": "{\"ticker\":\"AON\", \"setup\":\"A+ Trend Long\", \"side\":\"LONG\", \"price\":352.29, \"stage\":2, \"buy\":97.7, \"sell\":8.7, \"prime\":2, \"revL\":0, \"revS\":0, \"vcp\":0, \"dir_prob\":97.4, \"time\":1784727000000}", "ticker": "AON", "setup": "A+ Trend Long", "side": "LONG", "price": 352.29, "stage": 2, "buy": 97.7, "sell": 8.7, "prime": 2, "revL": 0, "revS": 0, "vcp": 0, "time": 1784727000000, "email_id": "1930", "timestamp": "2026-07-22 16:01:14"}</t>
  </si>
  <si>
    <t>Buy: 96.4 | Sell: 22.2</t>
  </si>
  <si>
    <t>{"symbol": "HUM", "strategy": "Daily", "action": "LONG", "alert_price": 404.54, "score": "", "dir_prob": "90.2", "net_sigma": "", "grade": "", "align": "", "premium": "", "wrong_if": "", "context": "", "subject": "Alert: Rev - Screener v1 (SPY, 12): Any alert() function call", "body": "{\"ticker\":\"HUM\", \"setup\":\"A+ Trend Long\", \"side\":\"LONG\", \"price\":404.54, \"stage\":2, \"buy\":86.5, \"sell\":24.2, \"prime\":2, \"revL\":0, \"revS\":0, \"vcp\":0, \"dir_prob\":90.2, \"time\":1784640600000}", "ticker": "HUM", "setup": "A+ Trend Long", "side": "LONG", "price": 404.54, "stage": 2, "buy": 86.5, "sell": 24.2, "prime": 2, "revL": 0, "revS": 0, "vcp": 0, "time": 1784640600000, "email_id": "b'1834'", "timestamp": "2026-07-21 16:01:28"}</t>
  </si>
  <si>
    <t>MCO</t>
  </si>
  <si>
    <t>Buy: 96.7 | Sell: 4.3</t>
  </si>
  <si>
    <t>Buy: 15.5 | Sell: 86.2</t>
  </si>
  <si>
    <t>{"symbol": "MCO", "strategy": "Daily", "action": "LONG", "alert_price": 490.59, "score": "", "dir_prob": "95.6", "net_sigma": "", "grade": "", "align": "", "premium": "", "wrong_if": "", "context": "", "subject": "Alert: Rev - Screener v1 (SPY, 12): Any alert() function call", "body": "{\"ticker\":\"MCO\", \"setup\":\"A+ Trend Long\", \"side\":\"LONG\", \"price\":490.59, \"stage\":2, \"buy\":96.7, \"sell\":4.3, \"prime\":2, \"revL\":0, \"revS\":0, \"vcp\":0, \"dir_prob\":95.6, \"time\":1784640600000}", "ticker": "MCO", "setup": "A+ Trend Long", "side": "LONG", "price": 490.59, "stage": 2, "buy": 96.7, "sell": 4.3, "prime": 2, "revL": 0, "revS": 0, "vcp": 0, "time": 1784640600000, "email_id": "b'1836'", "timestamp": "2026-07-21 16:01:31"}</t>
  </si>
  <si>
    <t>{"symbol": "SYY", "strategy": "Daily", "action": "LONG", "alert_price": 80.79, "score": "", "dir_prob": "94.4", "net_sigma": "", "grade": "", "align": "", "premium": "", "wrong_if": "", "context": "", "subject": "Alert: Rev - Screener v1 (SPY, 12): Any alert() function call", "body": "{\"ticker\":\"SYY\", \"setup\":\"A+ Trend Long\", \"side\":\"LONG\", \"price\":80.79, \"stage\":2, \"buy\":96.4, \"sell\":22.2, \"prime\":2, \"revL\":0, \"revS\":0, \"vcp\":0, \"dir_prob\":94.4, \"time\":1784554200000}", "ticker": "SYY", "setup": "A+ Trend Long", "side": "LONG", "price": 80.79, "stage": 2, "buy": 96.4, "sell": 22.2, "prime": 2, "revL": 0, "revS": 0, "vcp": 0, "time": 1784554200000, "email_id": "b'1633'", "timestamp": "2026-07-20 16:01:43"}</t>
  </si>
  <si>
    <t>Buy: 97.7 | Sell: 10.9</t>
  </si>
  <si>
    <t>{"symbol": "BKR", "strategy": "Daily", "action": "SHORT", "alert_price": 56.6, "score": "", "dir_prob": "6.5", "net_sigma": "", "grade": "", "align": "", "premium": "", "wrong_if": "", "context": "", "subject": "Alert: Rev - Screener v1 (SPY, 12): Any alert() function call", "body": "{\"ticker\":\"BKR\", \"setup\":\"A+ Trend Short\", \"side\":\"SHORT\", \"price\":56.60, \"stage\":4, \"buy\":15.5, \"sell\":86.2, \"prime\":-2, \"revL\":0, \"revS\":0, \"vcp\":0, \"dir_prob\":6.5, \"time\":1784727000000}", "ticker": "BKR", "setup": "A+ Trend Short", "side": "SHORT", "price": 56.6, "stage": 4, "buy": 15.5, "sell": 86.2, "prime": -2, "revL": 0, "revS": 0, "vcp": 0, "time": 1784727000000, "email_id": "1931", "timestamp": "2026-07-22 16:01:15"}</t>
  </si>
  <si>
    <t>Buy: 26.3 | Sell: 88.4</t>
  </si>
  <si>
    <t>Buy: 89.4 | Sell: 17.4</t>
  </si>
  <si>
    <t>{"symbol": "BRO", "strategy": "Daily", "action": "LONG", "alert_price": 66.64, "score": "", "dir_prob": "99.8", "net_sigma": "", "grade": "", "align": "", "premium": "", "wrong_if": "", "context": "", "subject": "Alert: Rev - Screener v1 (SPY, 12): Any alert() function call", "body": "{\"ticker\":\"BRO\", \"setup\":\"A+ Trend Long\", \"side\":\"LONG\", \"price\":66.64, \"stage\":2, \"buy\":97.7, \"sell\":10.9, \"prime\":2, \"revL\":0, \"revS\":0, \"vcp\":0, \"dir_prob\":99.8, \"time\":1784640600000}", "ticker": "BRO", "setup": "A+ Trend Long", "side": "LONG", "price": 66.64, "stage": 2, "buy": 97.7, "sell": 10.9, "prime": 2, "revL": 0, "revS": 0, "vcp": 0, "time": 1784640600000, "email_id": "b'1838'", "timestamp": "2026-07-21 16:01:21"}</t>
  </si>
  <si>
    <t>Buy: 94.9 | Sell: 27.7</t>
  </si>
  <si>
    <t>{"symbol": "AMZN", "strategy": "Daily", "action": "SHORT", "alert_price": 250.1, "score": "", "dir_prob": "18.7", "net_sigma": "", "grade": "", "align": "", "premium": "", "wrong_if": "", "context": "", "subject": "Alert: Rev - Screener v1 (SPY, 12): Any alert() function call", "body": "{\"ticker\":\"AMZN\", \"setup\":\"A+ Trend Short\", \"side\":\"SHORT\", \"price\":250.10, \"stage\":4, \"buy\":26.3, \"sell\":88.4, \"prime\":-2, \"revL\":0, \"revS\":0, \"vcp\":0, \"dir_prob\":18.7, \"time\":1784554200000}", "ticker": "AMZN", "setup": "A+ Trend Short", "side": "SHORT", "price": 250.1, "stage": 4, "buy": 26.3, "sell": 88.4, "prime": -2, "revL": 0, "revS": 0, "vcp": 0, "time": 1784554200000, "email_id": "b'1578'", "timestamp": "2026-07-20 16:01:15"}</t>
  </si>
  <si>
    <t>{"symbol": "AES", "strategy": "Daily", "action": "LONG", "alert_price": 14.85, "score": "", "dir_prob": "88.9", "net_sigma": "", "grade": "", "align": "", "premium": "", "wrong_if": "", "context": "", "subject": "Alert: Rev - Screener v1 (SPY, 12): Any alert() function call", "body": "{\"ticker\":\"AES\", \"setup\":\"A+ Trend Long\", \"side\":\"LONG\", \"price\":14.85, \"stage\":2, \"buy\":89.4, \"sell\":17.4, \"prime\":2, \"revL\":0, \"revS\":0, \"vcp\":0, \"dir_prob\":88.9, \"time\":1784727000000}", "ticker": "AES", "setup": "A+ Trend Long", "side": "LONG", "price": 14.85, "stage": 2, "buy": 89.4, "sell": 17.4, "prime": 2, "revL": 0, "revS": 0, "vcp": 0, "time": 1784727000000, "email_id": "1932", "timestamp": "2026-07-22 16:01:10"}</t>
  </si>
  <si>
    <t>{"symbol": "KMB", "strategy": "Daily", "action": "LONG", "alert_price": 108.04, "score": "", "dir_prob": "96.7", "net_sigma": "", "grade": "", "align": "", "premium": "", "wrong_if": "", "context": "", "subject": "Alert: Rev - Screener v1 (SPY, 12): Any alert() function call", "body": "{\"ticker\":\"KMB\", \"setup\":\"A+ Trend Long\", \"side\":\"LONG\", \"price\":108.04, \"stage\":2, \"buy\":94.9, \"sell\":27.7, \"prime\":2, \"revL\":0, \"revS\":0, \"vcp\":0, \"dir_prob\":96.7, \"time\":1784640600000}", "ticker": "KMB", "setup": "A+ Trend Long", "side": "LONG", "price": 108.04, "stage": 2, "buy": 94.9, "sell": 27.7, "prime": 2, "revL": 0, "revS": 0, "vcp": 0, "time": 1784640600000, "email_id": "b'1839'", "timestamp": "2026-07-21 16:01:30"}</t>
  </si>
  <si>
    <t>Buy: 77.8 | Sell: 22.8</t>
  </si>
  <si>
    <t>Buy: 96 | Sell: 6.9</t>
  </si>
  <si>
    <t>Buy: 94.2 | Sell: 32</t>
  </si>
  <si>
    <t>**WAIT** (high-quality setup, not yet triggered)</t>
  </si>
  <si>
    <t>{"symbol": "AMCR", "strategy": "Daily", "action": "LONG", "alert_price": 43.45, "score": "", "dir_prob": "94.3", "net_sigma": "", "grade": "", "align": "", "premium": "", "wrong_if": "", "context": "", "subject": "Alert: Rev - Screener v1 (SPY, 12): Any alert() function call", "body": "{\"ticker\":\"AMCR\", \"setup\":\"A+ Trend Long\", \"side\":\"LONG\", \"price\":43.45, \"stage\":2, \"buy\":96, \"sell\":6.9, \"prime\":2, \"revL\":0, \"revS\":0, \"vcp\":0, \"dir_prob\":94.3, \"time\":1784640600000}", "ticker": "AMCR", "setup": "A+ Trend Long", "side": "LONG", "price": 43.45, "stage": 2, "buy": 96, "sell": 6.9, "prime": 2, "revL": 0, "revS": 0, "vcp": 0, "time": 1784640600000, "email_id": "b'1837'", "timestamp": "2026-07-21 16:01:20"}</t>
  </si>
  <si>
    <t>TREND_LONG fires with buy=98.61 &gt;&gt; 65, dir_prob=96.5 &gt;&gt; 50, and stage=2 (up-trend). News is NEUTRAL with no catalyst. PASS triage; key_flags include 'pullback' from computed_flags. Conviction is high due to strong technicals and lack of vet</t>
  </si>
  <si>
    <t>Buy: 7.7 | Sell: 91.6</t>
  </si>
  <si>
    <t>{"symbol": "KVUE", "strategy": "Daily", "action": "LONG", "alert_price": 19.13, "score": "", "dir_prob": "88.5", "net_sigma": "", "grade": "", "align": "", "premium": "", "wrong_if": "", "context": "", "subject": "Alert: Rev - Screener v1 (SPY, 12): Any alert() function call", "body": "{\"ticker\":\"KVUE\", \"setup\":\"A+ Trend Long\", \"side\":\"LONG\", \"price\":19.13, \"stage\":2, \"buy\":94.2, \"sell\":32, \"prime\":2, \"revL\":0, \"revS\":0, \"vcp\":0, \"dir_prob\":88.5, \"time\":1784727000000}", "ticker": "KVUE", "setup": "A+ Trend Long", "side": "LONG", "price": 19.13, "stage": 2, "buy": 94.2, "sell": 32, "prime": 2, "revL": 0, "revS": 0, "vcp": 0, "time": 1784727000000, "email_id": "1933", "timestamp": "2026-07-22 16:01:15"}</t>
  </si>
  <si>
    <t>{"symbol": "WELL", "strategy": "Daily", "action": "LONG", "alert_price": 244.85, "score": "", "dir_prob": "74.9", "net_sigma": "", "grade": "", "align": "", "premium": "", "wrong_if": "", "context": "", "subject": "Alert: Rev - Screener v1 (SPY, 12): Any alert() function call", "body": "{\"ticker\":\"WELL\", \"setup\":\"Early Action Long\", \"side\":\"LONG\", \"price\":244.85, \"stage\":2, \"buy\":77.8, \"sell\":22.8, \"prime\":1, \"revL\":0, \"revS\":0, \"vcp\":0, \"dir_prob\":74.9, \"time\":1784554200000}", "ticker": "WELL", "setup": "Early Action Long", "side": "LONG", "price": 244.85, "stage": 2, "buy": 77.8, "sell": 22.8, "prime": 1, "revL": 0, "revS": 0, "vcp": 0, "time": 1784554200000, "email_id": "b'1550'", "timestamp": "2026-07-20 16:01:03"}</t>
  </si>
  <si>
    <t>Buy: 96.2 | Sell: 22</t>
  </si>
  <si>
    <t>Buy: 95.3 | Sell: 26.7</t>
  </si>
  <si>
    <t>{"symbol": "EQIX", "strategy": "Daily", "action": "SHORT", "alert_price": 1027.82, "score": "", "dir_prob": "8.1", "net_sigma": "", "grade": "", "align": "", "premium": "", "wrong_if": "", "context": "", "subject": "Alert: Rev - Screener v1 (SPY, 12): Any alert() function call", "body": "{\"ticker\":\"EQIX\", \"setup\":\"A+ Trend Short\", \"side\":\"SHORT\", \"price\":1027.82, \"stage\":4, \"buy\":7.7, \"sell\":91.6, \"prime\":-2, \"revL\":0, \"revS\":0, \"vcp\":0, \"dir_prob\":8.1, \"time\":1784640600000}", "ticker": "EQIX", "setup": "A+ Trend Short", "side": "SHORT", "price": 1027.82, "stage": 4, "buy": 7.7, "sell": 91.6, "prime": -2, "revL": 0, "revS": 0, "vcp": 0, "time": 1784640600000, "email_id": "b'1840'", "timestamp": "2026-07-21 16:01:28"}</t>
  </si>
  <si>
    <t>Buy: 95.2 | Sell: 7.3</t>
  </si>
  <si>
    <t>{"symbol": "BAX", "strategy": "Daily", "action": "LONG", "alert_price": 21.75, "score": "", "dir_prob": "93.6", "net_sigma": "", "grade": "", "align": "", "premium": "", "wrong_if": "", "context": "", "subject": "Alert: Rev - Screener v1 (SPY, 12): Any alert() function call", "body": "{\"ticker\":\"BAX\", \"setup\":\"A+ Trend Long\", \"side\":\"LONG\", \"price\":21.75, \"stage\":2, \"buy\":96.2, \"sell\":22, \"prime\":2, \"revL\":0, \"revS\":0, \"vcp\":1, \"dir_prob\":93.6, \"time\":1784727000000}", "ticker": "BAX", "setup": "A+ Trend Long", "side": "LONG", "price": 21.75, "stage": 2, "buy": 96.2, "sell": 22, "prime": 2, "revL": 0, "revS": 0, "vcp": 1, "time": 1784727000000, "email_id": "1934", "timestamp": "2026-07-22 16:01:19"}</t>
  </si>
  <si>
    <t>{"symbol": "ABBV", "strategy": "Daily", "action": "LONG", "alert_price": 253.47, "score": "", "dir_prob": "88.7", "net_sigma": "", "grade": "", "align": "", "premium": "", "wrong_if": "", "context": "", "subject": "Alert: Rev - Screener v1 (SPY, 12): Any alert() function call", "body": "{\"ticker\":\"ABBV\", \"setup\":\"A+ Trend Long\", \"side\":\"LONG\", \"price\":253.47, \"stage\":2, \"buy\":95.3, \"sell\":26.7, \"prime\":2, \"revL\":0, \"revS\":0, \"vcp\":0, \"dir_prob\":88.7, \"time\":1784554200000}", "ticker": "ABBV", "setup": "A+ Trend Long", "side": "LONG", "price": 253.47, "stage": 2, "buy": 95.3, "sell": 26.7, "prime": 2, "revL": 0, "revS": 0, "vcp": 0, "time": 1784554200000, "email_id": "b'1650'", "timestamp": "2026-07-20 16:01:19"}</t>
  </si>
  <si>
    <t>{"symbol": "AXON", "strategy": "Daily", "action": "LONG", "alert_price": 510.89, "score": "", "dir_prob": "98", "net_sigma": "", "grade": "", "align": "", "premium": "", "wrong_if": "", "context": "", "subject": "Alert: Rev - Screener v1 (SPY, 12): Any alert() function call", "body": "{\"ticker\":\"AXON\", \"setup\":\"A+ Trend Long\", \"side\":\"LONG\", \"price\":510.89, \"stage\":2, \"buy\":95.2, \"sell\":7.3, \"prime\":2, \"revL\":0, \"revS\":0, \"vcp\":0, \"dir_prob\":98, \"time\":1784640600000}", "ticker": "AXON", "setup": "A+ Trend Long", "side": "LONG", "price": 510.89, "stage": 2, "buy": 95.2, "sell": 7.3, "prime": 2, "revL": 0, "revS": 0, "vcp": 0, "time": 1784640600000, "email_id": "b'1841'", "timestamp": "2026-07-21 16:01:15"}</t>
  </si>
  <si>
    <t>Buy: 96.5 | Sell: 6.9</t>
  </si>
  <si>
    <t>Buy: 22.5 | Sell: 97.5</t>
  </si>
  <si>
    <t>{"symbol": "NSC", "strategy": "Daily", "action": "LONG", "alert_price": 331.38, "score": "", "dir_prob": "94", "net_sigma": "", "grade": "", "align": "", "premium": "", "wrong_if": "", "context": "", "subject": "Alert: Rev - Screener v1 (SPY, 12): Any alert() function call", "body": "{\"ticker\":\"NSC\", \"setup\":\"A+ Trend Long\", \"side\":\"LONG\", \"price\":331.38, \"stage\":2, \"buy\":95.6, \"sell\":9.3, \"prime\":2, \"revL\":0, \"revS\":0, \"vcp\":0, \"dir_prob\":94, \"time\":1784727000000}", "ticker": "NSC", "setup": "A+ Trend Long", "side": "LONG", "price": 331.38, "stage": 2, "buy": 95.6, "sell": 9.3, "prime": 2, "revL": 0, "revS": 0, "vcp": 0, "time": 1784727000000, "email_id": "1935", "timestamp": "2026-07-22 16:01:30"}</t>
  </si>
  <si>
    <t>Buy: 90.7 | Sell: 19.2</t>
  </si>
  <si>
    <t>{"symbol": "WRB", "strategy": "Daily", "action": "LONG", "alert_price": 72.72, "score": "", "dir_prob": "96.7", "net_sigma": "", "grade": "", "align": "", "premium": "", "wrong_if": "", "context": "", "subject": "Alert: Rev - Screener v1 (SPY, 12): Any alert() function call", "body": "{\"ticker\":\"WRB\", \"setup\":\"A+ Trend Long\", \"side\":\"LONG\", \"price\":72.72, \"stage\":2, \"buy\":96.5, \"sell\":6.9, \"prime\":2, \"revL\":0, \"revS\":0, \"vcp\":0, \"dir_prob\":96.7, \"time\":1784554200000}", "ticker": "WRB", "setup": "A+ Trend Long", "side": "LONG", "price": 72.72, "stage": 2, "buy": 96.5, "sell": 6.9, "prime": 2, "revL": 0, "revS": 0, "vcp": 0, "time": 1784554200000, "email_id": "b'1657'", "timestamp": "2026-07-20 16:01:13"}</t>
  </si>
  <si>
    <t>{"symbol": "STLD", "strategy": "Daily", "action": "SHORT", "alert_price": 233.31, "score": "", "dir_prob": "7", "net_sigma": "", "grade": "", "align": "", "premium": "", "wrong_if": "", "context": "", "subject": "Alert: Rev - Screener v1 (SPY, 12): Any alert() function call", "body": "{\"ticker\":\"STLD\", \"setup\":\"A+ Trend Short\", \"side\":\"SHORT\", \"price\":233.31, \"stage\":4, \"buy\":22.5, \"sell\":97.5, \"prime\":-2, \"revL\":0, \"revS\":0, \"vcp\":0, \"dir_prob\":7, \"time\":1784640600000}", "ticker": "STLD", "setup": "A+ Trend Short", "side": "SHORT", "price": 233.31, "stage": 4, "buy": 22.5, "sell": 97.5, "prime": -2, "revL": 0, "revS": 0, "vcp": 0, "time": 1784640600000, "email_id": "b'1842'", "timestamp": "2026-07-21 16:01:37"}</t>
  </si>
  <si>
    <t>Buy: 94.5 | Sell: 12.6</t>
  </si>
  <si>
    <t>{"symbol": "NWS", "strategy": "Daily", "action": "LONG", "alert_price": 30.96, "score": "", "dir_prob": "95.4", "net_sigma": "", "grade": "", "align": "", "premium": "", "wrong_if": "", "context": "", "subject": "Alert: Rev - Screener v1 (SPY, 12): Any alert() function call", "body": "{\"ticker\":\"NWS\", \"setup\":\"A+ Trend Long\", \"side\":\"LONG\", \"price\":30.96, \"stage\":2, \"buy\":90.7, \"sell\":19.2, \"prime\":2, \"revL\":0, \"revS\":0, \"vcp\":0, \"dir_prob\":95.4, \"time\":1784727000000}", "ticker": "NWS", "setup": "A+ Trend Long", "side": "LONG", "price": 30.96, "stage": 2, "buy": 90.7, "sell": 19.2, "prime": 2, "revL": 0, "revS": 0, "vcp": 0, "time": 1784727000000, "email_id": "1936", "timestamp": "2026-07-22 16:01:17"}</t>
  </si>
  <si>
    <t>Buy: 92.1 | Sell: 9.6</t>
  </si>
  <si>
    <t>{"symbol": "EXPD", "strategy": "Daily", "action": "LONG", "alert_price": 177.38, "score": "", "dir_prob": "89.3", "net_sigma": "", "grade": "", "align": "", "premium": "", "wrong_if": "", "context": "", "subject": "Alert: Rev - Screener v1 (SPY, 12): Any alert() function call", "body": "{\"ticker\":\"EXPD\", \"setup\":\"A+ Trend Long\", \"side\":\"LONG\", \"price\":177.38, \"stage\":2, \"buy\":94.5, \"sell\":12.6, \"prime\":2, \"revL\":0, \"revS\":0, \"vcp\":0, \"dir_prob\":89.3, \"time\":1784554200000}", "ticker": "EXPD", "setup": "A+ Trend Long", "side": "LONG", "price": 177.38, "stage": 2, "buy": 94.5, "sell": 12.6, "prime": 2, "revL": 0, "revS": 0, "vcp": 0, "time": 1784554200000, "email_id": "b'1565'", "timestamp": "2026-07-20 16:01:10"}</t>
  </si>
  <si>
    <t>Buy: 96.6 | Sell: 7.5</t>
  </si>
  <si>
    <t>{"symbol": "USB", "strategy": "Daily", "action": "LONG", "alert_price": 64.47, "score": "", "dir_prob": "91", "net_sigma": "", "grade": "", "align": "", "premium": "", "wrong_if": "", "context": "", "subject": "Alert: Rev - Screener v1 (SPY, 12): Any alert() function call", "body": "{\"ticker\":\"USB\", \"setup\":\"A+ Trend Long\", \"side\":\"LONG\", \"price\":64.47, \"stage\":2, \"buy\":92.1, \"sell\":9.6, \"prime\":2, \"revL\":0, \"revS\":0, \"vcp\":0, \"dir_prob\":91, \"time\":1784727000000}", "ticker": "USB", "setup": "A+ Trend Long", "side": "LONG", "price": 64.47, "stage": 2, "buy": 92.1, "sell": 9.6, "prime": 2, "revL": 0, "revS": 0, "vcp": 0, "time": 1784727000000, "email_id": "1937", "timestamp": "2026-07-22 16:01:21"}</t>
  </si>
  <si>
    <t>Buy: 97.3 | Sell: 16.3</t>
  </si>
  <si>
    <t>**PREPARE** (set alerts; do NOT chase current price)</t>
  </si>
  <si>
    <t>{"symbol": "AMCR", "strategy": "Daily", "action": "LONG", "alert_price": 43.23, "score": "", "dir_prob": "94.3", "net_sigma": "", "grade": "", "align": "", "premium": "", "wrong_if": "", "context": "", "subject": "Alert: Rev - Screener v1 (SPY, 12): Any alert() function call", "body": "{\"ticker\":\"AMCR\", \"setup\":\"A+ Trend Long\", \"side\":\"LONG\", \"price\":43.23, \"stage\":2, \"buy\":96.6, \"sell\":7.5, \"prime\":2, \"revL\":0, \"revS\":0, \"vcp\":0, \"dir_prob\":94.3, \"time\":1784554200000}", "ticker": "AMCR", "setup": "A+ Trend Long", "side": "LONG", "price": 43.23, "stage": 2, "buy": 96.6, "sell": 7.5, "prime": 2, "revL": 0, "revS": 0, "vcp": 0, "time": 1784554200000, "email_id": "b'1591'", "timestamp": "2026-07-20 16:01:25"}</t>
  </si>
  <si>
    <t>Entry: 214.59
Stop: 208.76
Target: 237.86
See markdown for full rationale.</t>
  </si>
  <si>
    <t>{"symbol": "CRL", "strategy": "Daily", "action": "LONG", "alert_price": 218.61, "score": "", "dir_prob": "93.5", "net_sigma": "", "grade": "", "align": "", "premium": "", "wrong_if": "", "context": "", "subject": "Alert: Rev - Screener v1 (SPY, 12): Any alert() function call", "body": "{\"ticker\":\"CRL\", \"setup\":\"A+ Trend Long\", \"side\":\"LONG\", \"price\":218.61, \"stage\":2, \"buy\":97.3, \"sell\":16.3, \"prime\":2, \"revL\":0, \"revS\":0, \"vcp\":0, \"dir_prob\":93.5, \"time\":1784727000000}", "ticker": "CRL", "setup": "A+ Trend Long", "side": "LONG", "price": 218.61, "stage": 2, "buy": 97.3, "sell": 16.3, "prime": 2, "revL": 0, "revS": 0, "vcp": 0, "time": 1784727000000, "email_id": "1938", "timestamp": "2026-07-22 16:01:24"}</t>
  </si>
  <si>
    <t>TREND_LONG fires with buy=93.91 &gt;&gt; 65, dir_prob=91.0, and stage=2. However, the news headline 'CLSA Downgrades Charles River Laboratories' CONTRADICTS the long bias. This news veto caps the triage at WATCH despite the strong technical setup</t>
  </si>
  <si>
    <t>{"symbol": "RTX", "strategy": "Daily", "action": "LONG", "alert_price": 194.47, "score": "", "dir_prob": "93.3", "net_sigma": "", "grade": "", "align": "", "premium": "", "wrong_if": "", "context": "", "subject": "Alert: Rev - Screener v1 (SPY, 12): Any alert() function call", "body": "{\"ticker\":\"RTX\", \"setup\":\"A+ Trend Long\", \"side\":\"LONG\", \"price\":194.47, \"stage\":2, \"buy\":96.1, \"sell\":4.4, \"prime\":2, \"revL\":0, \"revS\":0, \"vcp\":0, \"dir_prob\":93.3, \"time\":1784554200000}", "ticker": "RTX", "setup": "A+ Trend Long", "side": "LONG", "price": 194.47, "stage": 2, "buy": 96.1, "sell": 4.4, "prime": 2, "revL": 0, "revS": 0, "vcp": 0, "time": 1784554200000, "email_id": "b'1562'", "timestamp": "2026-07-20 16:01:10"}</t>
  </si>
  <si>
    <t>Buy: 17.4 | Sell: 92.1</t>
  </si>
  <si>
    <t>TREND_LONG fires with buy=96.4 &gt;&gt; 65, dir_prob=91.61, and stage=2. News CONFIRMS with multiple contract wins and positive sentiment. Triage capped to WATCH due to earnings_gate=CAUTION (3 days out) and rr_from_current=0.92 &lt; 1.0 (poor R:R).</t>
  </si>
  <si>
    <t>Buy: 95.8 | Sell: 13.5</t>
  </si>
  <si>
    <t>{"symbol": "SLB", "strategy": "Daily", "action": "SHORT", "alert_price": 47.67, "score": "", "dir_prob": "5.7", "net_sigma": "", "grade": "", "align": "", "premium": "", "wrong_if": "", "context": "", "subject": "Alert: Rev - Screener v1 (SPY, 12): Any alert() function call", "body": "{\"ticker\":\"SLB\", \"setup\":\"A+ Trend Short\", \"side\":\"SHORT\", \"price\":47.67, \"stage\":4, \"buy\":17.4, \"sell\":92.1, \"prime\":-2, \"revL\":0, \"revS\":0, \"vcp\":1, \"dir_prob\":5.7, \"time\":1784727000000}", "ticker": "SLB", "setup": "A+ Trend Short", "side": "SHORT", "price": 47.67, "stage": 4, "buy": 17.4, "sell": 92.1, "prime": -2, "revL": 0, "revS": 0, "vcp": 1, "time": 1784727000000, "email_id": "1939", "timestamp": "2026-07-22 16:01:24"}</t>
  </si>
  <si>
    <t>Buy: 96.3 | Sell: 2.6</t>
  </si>
  <si>
    <t>{"symbol": "IR", "strategy": "Daily", "action": "LONG", "alert_price": 80.19, "score": "", "dir_prob": "95.4", "net_sigma": "", "grade": "", "align": "", "premium": "", "wrong_if": "", "context": "", "subject": "Alert: Rev - Screener v1 (SPY, 12): Any alert() function call", "body": "{\"ticker\":\"IR\", \"setup\":\"A+ Trend Long\", \"side\":\"LONG\", \"price\":80.19, \"stage\":2, \"buy\":95.8, \"sell\":13.5, \"prime\":2, \"revL\":0, \"revS\":0, \"vcp\":0, \"dir_prob\":95.4, \"time\":1784554200000}", "ticker": "IR", "setup": "A+ Trend Long", "side": "LONG", "price": 80.19, "stage": 2, "buy": 95.8, "sell": 13.5, "prime": 2, "revL": 0, "revS": 0, "vcp": 0, "time": 1784554200000, "email_id": "b'1655'", "timestamp": "2026-07-20 16:01:05"}</t>
  </si>
  <si>
    <t>Buy: 91.1 | Sell: 15.6</t>
  </si>
  <si>
    <t>{"symbol": "JKHY", "strategy": "Daily", "action": "LONG", "alert_price": 146.19, "score": "", "dir_prob": "98.8", "net_sigma": "", "grade": "", "align": "", "premium": "", "wrong_if": "", "context": "", "subject": "Alert: Rev - Screener v1 (SPY, 12): Any alert() function call", "body": "{\"ticker\":\"JKHY\", \"setup\":\"A+ Trend Long\", \"side\":\"LONG\", \"price\":146.19, \"stage\":2, \"buy\":96.3, \"sell\":2.6, \"prime\":2, \"revL\":0, \"revS\":0, \"vcp\":0, \"dir_prob\":98.8, \"time\":1784727000000}", "ticker": "JKHY", "setup": "A+ Trend Long", "side": "LONG", "price": 146.19, "stage": 2, "buy": 96.3, "sell": 2.6, "prime": 2, "revL": 0, "revS": 0, "vcp": 0, "time": 1784727000000, "email_id": "1940", "timestamp": "2026-07-22 16:01:17"}</t>
  </si>
  <si>
    <t>Buy: 91.5 | Sell: 27.2</t>
  </si>
  <si>
    <t>**WAIT — DO NOT ENTER.** Set buy-stop alert at $174.82 (zone top); reassess after Jul 27 print.</t>
  </si>
  <si>
    <t>{"symbol": "LLY", "strategy": "Daily", "action": "LONG", "alert_price": 1146.8, "score": "", "dir_prob": "90.2", "net_sigma": "", "grade": "", "align": "", "premium": "", "wrong_if": "", "context": "", "subject": "Alert: Rev - Screener v1 (SPY, 12): Any alert() function call", "body": "{\"ticker\":\"LLY\", \"setup\":\"A+ Trend Long\", \"side\":\"LONG\", \"price\":1146.80, \"stage\":2, \"buy\":91.1, \"sell\":15.6, \"prime\":2, \"revL\":0, \"revS\":0, \"vcp\":0, \"dir_prob\":90.2, \"time\":1784554200000}", "ticker": "LLY", "setup": "A+ Trend Long", "side": "LONG", "price": 1146.8, "stage": 2, "buy": 91.1, "sell": 15.6, "prime": 2, "revL": 0, "revS": 0, "vcp": 0, "time": 1784554200000, "email_id": "b'1649'", "timestamp": "2026-07-20 16:01:13"}</t>
  </si>
  <si>
    <t>Buy: 93.6 | Sell: 18.5</t>
  </si>
  <si>
    <t>{"symbol": "CINF", "strategy": "Daily", "action": "LONG", "alert_price": 179.21, "score": "", "dir_prob": "88.7", "net_sigma": "", "grade": "", "align": "", "premium": "", "wrong_if": "", "context": "", "subject": "Alert: Rev - Screener v1 (SPY, 12): Any alert() function call", "body": "{\"ticker\":\"CINF\", \"setup\":\"A+ Trend Long\", \"side\":\"LONG\", \"price\":179.21, \"stage\":2, \"buy\":91.5, \"sell\":27.2, \"prime\":2, \"revL\":0, \"revS\":0, \"vcp\":0, \"dir_prob\":88.7, \"time\":1784727000000}", "ticker": "CINF", "setup": "A+ Trend Long", "side": "LONG", "price": 179.21, "stage": 2, "buy": 91.5, "sell": 27.2, "prime": 2, "revL": 0, "revS": 0, "vcp": 0, "time": 1784727000000, "email_id": "1941", "timestamp": "2026-07-22 16:01:24"}</t>
  </si>
  <si>
    <t>{"symbol": "DVA", "strategy": "Daily", "action": "LONG", "alert_price": 234.1, "score": "", "dir_prob": "93.9", "net_sigma": "", "grade": "", "align": "", "premium": "", "wrong_if": "", "context": "", "subject": "Alert: Rev - Screener v1 (SPY, 12): Any alert() function call", "body": "{\"ticker\":\"DVA\", \"setup\":\"A+ Trend Long\", \"side\":\"LONG\", \"price\":234.10, \"stage\":2, \"buy\":93.6, \"sell\":18.5, \"prime\":2, \"revL\":0, \"revS\":0, \"vcp\":0, \"dir_prob\":93.9, \"time\":1784554200000}", "ticker": "DVA", "setup": "A+ Trend Long", "side": "LONG", "price": 234.1, "stage": 2, "buy": 93.6, "sell": 18.5, "prime": 2, "revL": 0, "revS": 0, "vcp": 0, "time": 1784554200000, "email_id": "b'1648'", "timestamp": "2026-07-20 16:01:09"}</t>
  </si>
  <si>
    <t xml:space="preserve">TREND_LONG fires with buy=91.8 &gt; 65, dir_prob=86.41 &gt;= 50, and stage=2. However, the triage is capped to WATCH due to a 'news_contradict' veto (empty headlines imply no catalyst support for such a strong move) and the 'earnings' flag (earn </t>
  </si>
  <si>
    <t>TREND_LONG fires with buy=95.47 &gt;&gt; 65, dir_prob=97.76, and stage=2. News CONFIRMS the bullish bias with headlines predicting an earnings beat. Triage is capped to WATCH due to the 'earnings' soft flag (5 days out) and the 'chased' flag (RR=</t>
  </si>
  <si>
    <t>Buy: 94.3 | Sell: 21.9</t>
  </si>
  <si>
    <t>Buy: 14.7 | Sell: 86.2</t>
  </si>
  <si>
    <t>{"symbol": "STT", "strategy": "Daily", "action": "LONG", "alert_price": 182.49, "score": "", "dir_prob": "88.5", "net_sigma": "", "grade": "", "align": "", "premium": "", "wrong_if": "", "context": "", "subject": "Alert: Rev - Screener v1 (SPY, 12): Any alert() function call", "body": "{\"ticker\":\"STT\", \"setup\":\"A+ Trend Long\", \"side\":\"LONG\", \"price\":182.49, \"stage\":2, \"buy\":94.3, \"sell\":21.9, \"prime\":2, \"revL\":0, \"revS\":0, \"vcp\":0, \"dir_prob\":88.5, \"time\":1784554200000}", "ticker": "STT", "setup": "A+ Trend Long", "side": "LONG", "price": 182.49, "stage": 2, "buy": 94.3, "sell": 21.9, "prime": 2, "revL": 0, "revS": 0, "vcp": 0, "time": 1784554200000, "email_id": "b'1583'", "timestamp": "2026-07-20 16:01:09"}</t>
  </si>
  <si>
    <t>{"symbol": "APO", "strategy": "Daily", "action": "SHORT", "alert_price": 119.07, "score": "", "dir_prob": "15.8", "net_sigma": "", "grade": "", "align": "", "premium": "", "wrong_if": "", "context": "", "subject": "Alert: Rev - Screener v1 (SPY, 12): Any alert() function call", "body": "{\"ticker\":\"APO\", \"setup\":\"A+ Trend Short\", \"side\":\"SHORT\", \"price\":119.07, \"stage\":4, \"buy\":14.7, \"sell\":86.2, \"prime\":-2, \"revL\":0, \"revS\":0, \"vcp\":1, \"dir_prob\":15.8, \"time\":1784727000000}", "ticker": "APO", "setup": "A+ Trend Short", "side": "SHORT", "price": 119.07, "stage": 4, "buy": 14.7, "sell": 86.2, "prime": -2, "revL": 0, "revS": 0, "vcp": 1, "time": 1784727000000, "email_id": "1942", "timestamp": "2026-07-22 16:01:22"}</t>
  </si>
  <si>
    <t>No active entry mode fires: dominant_side is short but sell=85 is not &gt; opposite_score(22.63) per the strict TREND_SHORT logic, and rev_zone_s=5.5 is below the 7 threshold for WATCH. The 'chased' flag indicates poor R:R (0.8) and the 'earn'</t>
  </si>
  <si>
    <t>Buy: 93.7 | Sell: 5.7</t>
  </si>
  <si>
    <t>CUT (1/10) → Deep Research</t>
  </si>
  <si>
    <t>Buy: 95.9 | Sell: 22.3</t>
  </si>
  <si>
    <t>{"symbol": "BNY", "strategy": "Daily", "action": "LONG", "alert_price": 156.94, "score": "", "dir_prob": "88.8", "net_sigma": "", "grade": "", "align": "", "premium": "", "wrong_if": "", "context": "", "subject": "Alert: Rev - Screener v1 (SPY, 12): Any alert() function call", "body": "{\"ticker\":\"BNY\", \"setup\":\"A+ Trend Long\", \"side\":\"LONG\", \"price\":156.94, \"stage\":2, \"buy\":93.7, \"sell\":5.7, \"prime\":2, \"revL\":0, \"revS\":0, \"vcp\":0, \"dir_prob\":88.8, \"time\":1784554200000}", "ticker": "BNY", "setup": "A+ Trend Long", "side": "LONG", "price": 156.94, "stage": 2, "buy": 93.7, "sell": 5.7, "prime": 2, "revL": 0, "revS": 0, "vcp": 0, "time": 1784554200000, "email_id": "b'1586'", "timestamp": "2026-07-20 16:01:21"}</t>
  </si>
  <si>
    <t>Buy: 3.9 | Sell: 87.3</t>
  </si>
  <si>
    <t>{"symbol": "GD", "strategy": "Daily", "action": "LONG", "alert_price": 373.14, "score": "", "dir_prob": "93.7", "net_sigma": "", "grade": "", "align": "", "premium": "", "wrong_if": "", "context": "", "subject": "Alert: Rev - Screener v1 (SPY, 12): Any alert() function call", "body": "{\"ticker\":\"GD\", \"setup\":\"A+ Trend Long\", \"side\":\"LONG\", \"price\":373.14, \"stage\":2, \"buy\":95.9, \"sell\":22.3, \"prime\":2, \"revL\":0, \"revS\":0, \"vcp\":0, \"dir_prob\":93.7, \"time\":1784727000000}", "ticker": "GD", "setup": "A+ Trend Long", "side": "LONG", "price": 373.14, "stage": 2, "buy": 95.9, "sell": 22.3, "prime": 2, "revL": 0, "revS": 0, "vcp": 0, "time": 1784727000000, "email_id": "1945", "timestamp": "2026-07-22 16:01:23"}</t>
  </si>
  <si>
    <t>Buy: 95.3 | Sell: 10.5</t>
  </si>
  <si>
    <t>{"symbol": "CCI", "strategy": "Daily", "action": "SHORT", "alert_price": 78.17, "score": "", "dir_prob": "10.2", "net_sigma": "", "grade": "", "align": "", "premium": "", "wrong_if": "", "context": "", "subject": "Alert: Rev - Screener v1 (SPY, 12): Any alert() function call", "body": "{\"ticker\":\"CCI\", \"setup\":\"A+ Trend Short\", \"side\":\"SHORT\", \"price\":78.17, \"stage\":4, \"buy\":3.9, \"sell\":87.3, \"prime\":-2, \"revL\":0, \"revS\":0, \"vcp\":0, \"dir_prob\":10.2, \"time\":1784554200000}", "ticker": "CCI", "setup": "A+ Trend Short", "side": "SHORT", "price": 78.17, "stage": 4, "buy": 3.9, "sell": 87.3, "prime": -2, "revL": 0, "revS": 0, "vcp": 0, "time": 1784554200000, "email_id": "b'1576'", "timestamp": "2026-07-20 16:01:13"}</t>
  </si>
  <si>
    <t>Buy: 96.5 | Sell: 6.5</t>
  </si>
  <si>
    <t>{"symbol": "CFG", "strategy": "Daily", "action": "LONG", "alert_price": 72.43, "score": "", "dir_prob": "89.1", "net_sigma": "", "grade": "", "align": "", "premium": "", "wrong_if": "", "context": "", "subject": "Alert: Rev - Screener v1 (SPY, 12): Any alert() function call", "body": "{\"ticker\":\"CFG\", \"setup\":\"A+ Trend Long\", \"side\":\"LONG\", \"price\":72.43, \"stage\":2, \"buy\":95.3, \"sell\":10.5, \"prime\":2, \"revL\":0, \"revS\":0, \"vcp\":1, \"dir_prob\":89.1, \"time\":1784727000000}", "ticker": "CFG", "setup": "A+ Trend Long", "side": "LONG", "price": 72.43, "stage": 2, "buy": 95.3, "sell": 10.5, "prime": 2, "revL": 0, "revS": 0, "vcp": 1, "time": 1784727000000, "email_id": "1946", "timestamp": "2026-07-22 16:01:29"}</t>
  </si>
  <si>
    <t>Buy: 89.2 | Sell: 25.8</t>
  </si>
  <si>
    <t>{"symbol": "BALL", "strategy": "Daily", "action": "LONG", "alert_price": 62.25, "score": "", "dir_prob": "96.8", "net_sigma": "", "grade": "", "align": "", "premium": "", "wrong_if": "", "context": "", "subject": "Alert: Rev - Screener v1 (SPY, 12): Any alert() function call", "body": "{\"ticker\":\"BALL\", \"setup\":\"A+ Trend Long\", \"side\":\"LONG\", \"price\":62.25, \"stage\":2, \"buy\":96.5, \"sell\":6.5, \"prime\":2, \"revL\":0, \"revS\":0, \"vcp\":0, \"dir_prob\":96.8, \"time\":1784554200000}", "ticker": "BALL", "setup": "A+ Trend Long", "side": "LONG", "price": 62.25, "stage": 2, "buy": 96.5, "sell": 6.5, "prime": 2, "revL": 0, "revS": 0, "vcp": 0, "time": 1784554200000, "email_id": "b'1636'", "timestamp": "2026-07-20 16:01:12"}</t>
  </si>
  <si>
    <t>TREND_LONG fires with buy=98.37 &gt;&gt; 65 and dir_prob=97.04, indicating a massive bullish edge. However, the news headline explicitly labels the stock as 'Not An Appealing Investment Yet', which CONTRADICTS the strong technical long bias. This</t>
  </si>
  <si>
    <t>Buy: 5.2 | Sell: 89</t>
  </si>
  <si>
    <t>**WAIT / SKIP new entries** (setup not triggered; earnings binary risk)</t>
  </si>
  <si>
    <t>Entry: 168.50
Stop: 171.51
Target: 161.90
See markdown for full rationale.</t>
  </si>
  <si>
    <t>{"symbol": "HRL", "strategy": "Daily", "action": "LONG", "alert_price": 25.21, "score": "", "dir_prob": "90.7", "net_sigma": "", "grade": "", "align": "", "premium": "", "wrong_if": "", "context": "", "subject": "Alert: Rev - Screener v1 (SPY, 12): Any alert() function call", "body": "{\"ticker\":\"HRL\", \"setup\":\"A+ Trend Long\", \"side\":\"LONG\", \"price\":25.21, \"stage\":2, \"buy\":89.2, \"sell\":25.8, \"prime\":2, \"revL\":0, \"revS\":0, \"vcp\":0, \"dir_prob\":90.7, \"time\":1784727000000}", "ticker": "HRL", "setup": "A+ Trend Long", "side": "LONG", "price": 25.21, "stage": 2, "buy": 89.2, "sell": 25.8, "prime": 2, "revL": 0, "revS": 0, "vcp": 0, "time": 1784727000000, "email_id": "1947", "timestamp": "2026-07-22 16:01:26"}</t>
  </si>
  <si>
    <t>Buy: 4 | Sell: 88.4</t>
  </si>
  <si>
    <t>{"symbol": "AMT", "strategy": "Daily", "action": "SHORT", "alert_price": 167.09, "score": "", "dir_prob": "10.5", "net_sigma": "", "grade": "", "align": "", "premium": "", "wrong_if": "", "context": "", "subject": "Alert: Rev - Screener v1 (SPY, 12): Any alert() function call", "body": "{\"ticker\":\"AMT\", \"setup\":\"A+ Trend Short\", \"side\":\"SHORT\", \"price\":167.09, \"stage\":4, \"buy\":5.2, \"sell\":89, \"prime\":-2, \"revL\":0, \"revS\":0, \"vcp\":0, \"dir_prob\":10.5, \"time\":1784554200000}", "ticker": "AMT", "setup": "A+ Trend Short", "side": "SHORT", "price": 167.09, "stage": 4, "buy": 5.2, "sell": 89, "prime": -2, "revL": 0, "revS": 0, "vcp": 0, "time": 1784554200000, "email_id": "b'1570'", "timestamp": "2026-07-20 16:01:15"}</t>
  </si>
  <si>
    <t>No active entry mode fires: dominant_side is short but sell=80.81 is not &gt; buy=49.92 (opposite_score), and dir_prob=18.09 is too low for a clean short trend. rev_zone_s=3.5 is below the 4 threshold for Zone 2. News headlines suggest a dip/f</t>
  </si>
  <si>
    <t>Buy: 94 | Sell: 8.4</t>
  </si>
  <si>
    <t>{"symbol": "ORCL", "strategy": "Daily", "action": "SHORT", "alert_price": 125.86, "score": "", "dir_prob": "7.7", "net_sigma": "", "grade": "", "align": "", "premium": "", "wrong_if": "", "context": "", "subject": "Alert: Rev - Screener v1 (SPY, 12): Any alert() function call", "body": "{\"ticker\":\"ORCL\", \"setup\":\"A+ Trend Short\", \"side\":\"SHORT\", \"price\":125.86, \"stage\":4, \"buy\":4, \"sell\":88.4, \"prime\":-2, \"revL\":0, \"revS\":0, \"vcp\":0, \"dir_prob\":7.7, \"time\":1784727000000}", "ticker": "ORCL", "setup": "A+ Trend Short", "side": "SHORT", "price": 125.86, "stage": 4, "buy": 4, "sell": 88.4, "prime": -2, "revL": 0, "revS": 0, "vcp": 0, "time": 1784727000000, "email_id": "1948", "timestamp": "2026-07-22 16:01:00"}</t>
  </si>
  <si>
    <t>{"symbol": "NTRS", "strategy": "Daily", "action": "LONG", "alert_price": 182.77, "score": "", "dir_prob": "90.8", "net_sigma": "", "grade": "", "align": "", "premium": "", "wrong_if": "", "context": "", "subject": "Alert: Rev - Screener v1 (SPY, 12): Any alert() function call", "body": "{\"ticker\":\"NTRS\", \"setup\":\"A+ Trend Long\", \"side\":\"LONG\", \"price\":182.77, \"stage\":2, \"buy\":94, \"sell\":8.4, \"prime\":2, \"revL\":0, \"revS\":0, \"vcp\":0, \"dir_prob\":90.8, \"time\":1784554200000}", "ticker": "NTRS", "setup": "A+ Trend Long", "side": "LONG", "price": 182.77, "stage": 2, "buy": 94, "sell": 8.4, "prime": 2, "revL": 0, "revS": 0, "vcp": 0, "time": 1784554200000, "email_id": "b'1638'", "timestamp": "2026-07-20 16:01:09"}</t>
  </si>
  <si>
    <t>Buy: 91.8 | Sell: 20.9</t>
  </si>
  <si>
    <t>Buy: 92.9 | Sell: 14.3</t>
  </si>
  <si>
    <t>{"symbol": "XYZ", "strategy": "Daily", "action": "LONG", "alert_price": 79.32, "score": "", "dir_prob": "92.7", "net_sigma": "", "grade": "", "align": "", "premium": "", "wrong_if": "", "context": "", "subject": "Alert: Rev - Screener v1 (SPY, 12): Any alert() function call", "body": "{\"ticker\":\"XYZ\", \"setup\":\"A+ Trend Long\", \"side\":\"LONG\", \"price\":79.32, \"stage\":2, \"buy\":92.9, \"sell\":14.3, \"prime\":2, \"revL\":0, \"revS\":0, \"vcp\":0, \"dir_prob\":92.7, \"time\":1784554200000}", "ticker": "XYZ", "setup": "A+ Trend Long", "side": "LONG", "price": 79.32, "stage": 2, "buy": 92.9, "sell": 14.3, "prime": 2, "revL": 0, "revS": 0, "vcp": 0, "time": 1784554200000, "email_id": "b'1645'", "timestamp": "2026-07-20 16:01:14"}</t>
  </si>
  <si>
    <t>{"symbol": "WELL", "strategy": "Daily", "action": "LONG", "alert_price": 245.14, "score": "", "dir_prob": "83.1", "net_sigma": "", "grade": "", "align": "", "premium": "", "wrong_if": "", "context": "", "subject": "Alert: Rev - Screener v1 (SPY, 12): Any alert() function call", "body": "{\"ticker\":\"WELL\", \"setup\":\"A+ Trend Long\", \"side\":\"LONG\", \"price\":245.14, \"stage\":2, \"buy\":91.8, \"sell\":20.9, \"prime\":2, \"revL\":0, \"revS\":0, \"vcp\":0, \"dir_prob\":83.1, \"time\":1784727000000}", "ticker": "WELL", "setup": "A+ Trend Long", "side": "LONG", "price": 245.14, "stage": 2, "buy": 91.8, "sell": 20.9, "prime": 2, "revL": 0, "revS": 0, "vcp": 0, "time": 1784727000000, "email_id": "1949", "timestamp": "2026-07-22 16:01:04"}</t>
  </si>
  <si>
    <t>Buy: 97 | Sell: 4.4</t>
  </si>
  <si>
    <t>Buy: 9.4 | Sell: 88.5</t>
  </si>
  <si>
    <t>{"symbol": "MTD", "strategy": "Daily", "action": "LONG", "alert_price": 1271.75, "score": "", "dir_prob": "96.1", "net_sigma": "", "grade": "", "align": "", "premium": "", "wrong_if": "", "context": "", "subject": "Alert: Rev - Screener v1 (SPY, 12): Any alert() function call", "body": "{\"ticker\":\"MTD\", \"setup\":\"A+ Trend Long\", \"side\":\"LONG\", \"price\":1271.75, \"stage\":2, \"buy\":97, \"sell\":4.4, \"prime\":2, \"revL\":0, \"revS\":0, \"vcp\":0, \"dir_prob\":96.1, \"time\":1784554200000}", "ticker": "MTD", "setup": "A+ Trend Long", "side": "LONG", "price": 1271.75, "stage": 2, "buy": 97, "sell": 4.4, "prime": 2, "revL": 0, "revS": 0, "vcp": 0, "time": 1784554200000, "email_id": "b'1672'", "timestamp": "2026-07-20 16:01:23"}</t>
  </si>
  <si>
    <t>{"symbol": "MCHP", "strategy": "Daily", "action": "SHORT", "alert_price": 85.04, "score": "", "dir_prob": "15.3", "net_sigma": "", "grade": "", "align": "", "premium": "", "wrong_if": "", "context": "", "subject": "Alert: Rev - Screener v1 (SPY, 12): Any alert() function call", "body": "{\"ticker\":\"MCHP\", \"setup\":\"A+ Trend Short\", \"side\":\"SHORT\", \"price\":85.04, \"stage\":4, \"buy\":9.4, \"sell\":88.5, \"prime\":-2, \"revL\":0, \"revS\":0, \"vcp\":0, \"dir_prob\":15.3, \"time\":1784727000000}", "ticker": "MCHP", "setup": "A+ Trend Short", "side": "SHORT", "price": 85.04, "stage": 4, "buy": 9.4, "sell": 88.5, "prime": -2, "revL": 0, "revS": 0, "vcp": 0, "time": 1784727000000, "email_id": "1950", "timestamp": "2026-07-22 16:01:17"}</t>
  </si>
  <si>
    <t>Buy: 79.5 | Sell: 29</t>
  </si>
  <si>
    <t>Buy: 95.2 | Sell: 7.7</t>
  </si>
  <si>
    <t>{"symbol": "CVS", "strategy": "Daily", "action": "LONG", "alert_price": 107.61, "score": "", "dir_prob": "82.2", "net_sigma": "", "grade": "", "align": "", "premium": "", "wrong_if": "", "context": "", "subject": "Alert: Rev - Screener v1 (SPY, 12): Any alert() function call", "body": "{\"ticker\":\"CVS\", \"setup\":\"Coiled VCP\", \"side\":\"LONG\", \"price\":107.61, \"stage\":2, \"buy\":79.5, \"sell\":29, \"prime\":1, \"revL\":0, \"revS\":0, \"vcp\":1, \"dir_prob\":82.2, \"time\":1784554200000}", "ticker": "CVS", "setup": "Coiled VCP", "side": "LONG", "price": 107.61, "stage": 2, "buy": 79.5, "sell": 29, "prime": 1, "revL": 0, "revS": 0, "vcp": 1, "time": 1784554200000, "email_id": "b'1543'", "timestamp": "2026-07-20 16:01:13"}</t>
  </si>
  <si>
    <t>Buy: 95.6 | Sell: 25.3</t>
  </si>
  <si>
    <t>{"symbol": "TROW", "strategy": "Daily", "action": "LONG", "alert_price": 116.07, "score": "", "dir_prob": "94.1", "net_sigma": "", "grade": "", "align": "", "premium": "", "wrong_if": "", "context": "", "subject": "Alert: Rev - Screener v1 (SPY, 12): Any alert() function call", "body": "{\"ticker\":\"TROW\", \"setup\":\"A+ Trend Long\", \"side\":\"LONG\", \"price\":116.07, \"stage\":2, \"buy\":95.2, \"sell\":7.7, \"prime\":2, \"revL\":0, \"revS\":0, \"vcp\":0, \"dir_prob\":94.1, \"time\":1784727000000}", "ticker": "TROW", "setup": "A+ Trend Long", "side": "LONG", "price": 116.07, "stage": 2, "buy": 95.2, "sell": 7.7, "prime": 2, "revL": 0, "revS": 0, "vcp": 0, "time": 1784727000000, "email_id": "1951", "timestamp": "2026-07-22 16:01:26"}</t>
  </si>
  <si>
    <t>TREND_LONG fires with buy=95.77 &gt;&gt; 65 and dir_prob=90.77, indicating a strong bullish bias. However, the news CONTRADICTS this setup: while the crypto ETF launch is positive, TD Cowen lowered the price target to $107, which is below the $11</t>
  </si>
  <si>
    <t>Buy: 95 | Sell: 6.5</t>
  </si>
  <si>
    <t>{"symbol": "BAC", "strategy": "Daily", "action": "LONG", "alert_price": 60.44, "score": "", "dir_prob": "85.9", "net_sigma": "", "grade": "", "align": "", "premium": "", "wrong_if": "", "context": "", "subject": "Alert: Rev - Screener v1 (SPY, 12): Any alert() function call", "body": "{\"ticker\":\"BAC\", \"setup\":\"A+ Trend Long\", \"side\":\"LONG\", \"price\":60.44, \"stage\":2, \"buy\":95.6, \"sell\":25.3, \"prime\":2, \"revL\":0, \"revS\":0, \"vcp\":0, \"dir_prob\":85.9, \"time\":1784554200000}", "ticker": "BAC", "setup": "A+ Trend Long", "side": "LONG", "price": 60.44, "stage": 2, "buy": 95.6, "sell": 25.3, "prime": 2, "revL": 0, "revS": 0, "vcp": 0, "time": 1784554200000, "email_id": "b'1605'", "timestamp": "2026-07-20 16:01:30"}</t>
  </si>
  <si>
    <t>{"symbol": "FITB", "strategy": "Daily", "action": "LONG", "alert_price": 57.68, "score": "", "dir_prob": "91.8", "net_sigma": "", "grade": "", "align": "", "premium": "", "wrong_if": "", "context": "", "subject": "Alert: Rev - Screener v1 (SPY, 12): Any alert() function call", "body": "{\"ticker\":\"FITB\", \"setup\":\"A+ Trend Long\", \"side\":\"LONG\", \"price\":57.68, \"stage\":2, \"buy\":95, \"sell\":6.5, \"prime\":2, \"revL\":0, \"revS\":0, \"vcp\":1, \"dir_prob\":91.8, \"time\":1784727000000}", "ticker": "FITB", "setup": "A+ Trend Long", "side": "LONG", "price": 57.68, "stage": 2, "buy": 95, "sell": 6.5, "prime": 2, "revL": 0, "revS": 0, "vcp": 1, "time": 1784727000000, "email_id": "1952", "timestamp": "2026-07-22 16:01:26"}</t>
  </si>
  <si>
    <t>TREND_LONG fires with buy=96.67 &gt;&gt; 65, dir_prob=93.23 &gt;&gt; 50, and stage=2 (up-trend). News CONFIRMS with multiple analyst upgrades and price target raises following strong earnings. No VETO flags apply; computed_flags only show 'pullback' (a</t>
  </si>
  <si>
    <t>Buy: 94.2 | Sell: 38.1</t>
  </si>
  <si>
    <t>Buy: 97.9 | Sell: 9.6</t>
  </si>
  <si>
    <t>{"symbol": "VLTO", "strategy": "Daily", "action": "LONG", "alert_price": 91.16, "score": "", "dir_prob": "98.6", "net_sigma": "", "grade": "", "align": "", "premium": "", "wrong_if": "", "context": "", "subject": "Alert: Rev - Screener v1 (SPY, 12): Any alert() function call", "body": "{\"ticker\":\"VLTO\", \"setup\":\"A+ Trend Long\", \"side\":\"LONG\", \"price\":91.16, \"stage\":2, \"buy\":97.9, \"sell\":9.6, \"prime\":2, \"revL\":0, \"revS\":0, \"vcp\":0, \"dir_prob\":98.6, \"time\":1784727000000}", "ticker": "VLTO", "setup": "A+ Trend Long", "side": "LONG", "price": 91.16, "stage": 2, "buy": 97.9, "sell": 9.6, "prime": 2, "revL": 0, "revS": 0, "vcp": 0, "time": 1784727000000, "email_id": "1953", "timestamp": "2026-07-22 16:01:26"}</t>
  </si>
  <si>
    <t>Buy: 93.4 | Sell: 9.6</t>
  </si>
  <si>
    <t>**WAIT** (Plan the trade; do not execute today at $67.41)</t>
  </si>
  <si>
    <t>{"symbol": "CHRW", "strategy": "Daily", "action": "LONG", "alert_price": 205.78, "score": "", "dir_prob": "82.3", "net_sigma": "", "grade": "", "align": "", "premium": "", "wrong_if": "", "context": "", "subject": "Alert: Rev - Screener v1 (SPY, 12): Any alert() function call", "body": "{\"ticker\":\"CHRW\", \"setup\":\"A+ Trend Long\", \"side\":\"LONG\", \"price\":205.78, \"stage\":2, \"buy\":94.2, \"sell\":38.1, \"prime\":2, \"revL\":0, \"revS\":0, \"vcp\":0, \"dir_prob\":82.3, \"time\":1784554200000}", "ticker": "CHRW", "setup": "A+ Trend Long", "side": "LONG", "price": 205.78, "stage": 2, "buy": 94.2, "sell": 38.1, "prime": 2, "revL": 0, "revS": 0, "vcp": 0, "time": 1784554200000, "email_id": "b'1612'", "timestamp": "2026-07-20 16:01:24"}</t>
  </si>
  <si>
    <t>Buy: 95.1 | Sell: 6.8</t>
  </si>
  <si>
    <t>{"symbol": "BXP", "strategy": "Daily", "action": "LONG", "alert_price": 67.41, "score": "", "dir_prob": "93.9", "net_sigma": "", "grade": "", "align": "", "premium": "", "wrong_if": "", "context": "", "subject": "Alert: Rev - Screener v1 (SPY, 12): Any alert() function call", "body": "{\"ticker\":\"BXP\", \"setup\":\"A+ Trend Long\", \"side\":\"LONG\", \"price\":67.41, \"stage\":2, \"buy\":93.4, \"sell\":9.6, \"prime\":2, \"revL\":0, \"revS\":0, \"vcp\":0, \"dir_prob\":93.9, \"time\":1784727000000}", "ticker": "BXP", "setup": "A+ Trend Long", "side": "LONG", "price": 67.41, "stage": 2, "buy": 93.4, "sell": 9.6, "prime": 2, "revL": 0, "revS": 0, "vcp": 0, "time": 1784727000000, "email_id": "1954", "timestamp": "2026-07-22 16:01:34"}</t>
  </si>
  <si>
    <t>TREND_LONG fires with buy=94.37 &gt;&gt; 65, dir_prob=92.3, and stage=2. News CONFIRMS with multiple analyst upgrades raising targets. Earnings gate is CAUTION (6 days out) and computed_flags include 'pullback', capping the triage to WATCH. Conv=</t>
  </si>
  <si>
    <t>Buy: 91 | Sell: 22</t>
  </si>
  <si>
    <t>{"symbol": "JPM", "strategy": "Daily", "action": "LONG", "alert_price": 338.92, "score": "", "dir_prob": "94.2", "net_sigma": "", "grade": "", "align": "", "premium": "", "wrong_if": "", "context": "", "subject": "Alert: Rev - Screener v1 (SPY, 12): Any alert() function call", "body": "{\"ticker\":\"JPM\", \"setup\":\"A+ Trend Long\", \"side\":\"LONG\", \"price\":338.92, \"stage\":2, \"buy\":95.1, \"sell\":6.8, \"prime\":2, \"revL\":0, \"revS\":0, \"vcp\":1, \"dir_prob\":94.2, \"time\":1784554200000}", "ticker": "JPM", "setup": "A+ Trend Long", "side": "LONG", "price": 338.92, "stage": 2, "buy": 95.1, "sell": 6.8, "prime": 2, "revL": 0, "revS": 0, "vcp": 1, "time": 1784554200000, "email_id": "b'1626'", "timestamp": "2026-07-20 16:01:18"}</t>
  </si>
  <si>
    <t>TREND_LONG fires with buy=96.72 &gt;&gt; 65, dir_prob=79.55 &gt;&gt; 50, and stage=2 (up-trend). News CONFIRMS with a Citi price target raise to $360. PASS triage; squeeze flag (regime=6) indicates coiling/pre-breakout energy, not a contraindication. R</t>
  </si>
  <si>
    <t>Buy: 96.7 | Sell: 16.5</t>
  </si>
  <si>
    <t>{"symbol": "PCG", "strategy": "Daily", "action": "LONG", "alert_price": 18.09, "score": "", "dir_prob": "89.8", "net_sigma": "", "grade": "", "align": "", "premium": "", "wrong_if": "", "context": "", "subject": "Alert: Rev - Screener v1 (SPY, 12): Any alert() function call", "body": "{\"ticker\":\"PCG\", \"setup\":\"Bullish Squeeze Release\", \"side\":\"LONG\", \"price\":18.09, \"stage\":2, \"buy\":91, \"sell\":22, \"prime\":2, \"revL\":0, \"revS\":0, \"vcp\":2, \"dir_prob\":89.8, \"time\":1784727000000}", "ticker": "PCG", "setup": "Bullish Squeeze Release", "side": "LONG", "price": 18.09, "stage": 2, "buy": 91, "sell": 22, "prime": 2, "revL": 0, "revS": 0, "vcp": 2, "time": 1784727000000, "email_id": "1955", "timestamp": "2026-07-22 16:01:34"}</t>
  </si>
  <si>
    <t>Buy: 21.8 | Sell: 92</t>
  </si>
  <si>
    <t>{"symbol": "WFC", "strategy": "Daily", "action": "LONG", "alert_price": 86.34, "score": "", "dir_prob": "93", "net_sigma": "", "grade": "", "align": "", "premium": "", "wrong_if": "", "context": "", "subject": "Alert: Rev - Screener v1 (SPY, 12): Any alert() function call", "body": "{\"ticker\":\"WFC\", \"setup\":\"A+ Trend Long\", \"side\":\"LONG\", \"price\":86.34, \"stage\":2, \"buy\":96.7, \"sell\":16.5, \"prime\":2, \"revL\":0, \"revS\":0, \"vcp\":0, \"dir_prob\":93, \"time\":1784554200000}", "ticker": "WFC", "setup": "A+ Trend Long", "side": "LONG", "price": 86.34, "stage": 2, "buy": 96.7, "sell": 16.5, "prime": 2, "revL": 0, "revS": 0, "vcp": 0, "time": 1784554200000, "email_id": "b'1646'", "timestamp": "2026-07-20 16:01:13"}</t>
  </si>
  <si>
    <t>{"symbol": "PSKY", "strategy": "Daily", "action": "SHORT", "alert_price": 8.78, "score": "", "dir_prob": "11.7", "net_sigma": "", "grade": "", "align": "", "premium": "", "wrong_if": "", "context": "", "subject": "Alert: Rev - Screener v1 (SPY, 12): Any alert() function call", "body": "{\"ticker\":\"PSKY\", \"setup\":\"A+ Trend Short\", \"side\":\"SHORT\", \"price\":8.78, \"stage\":4, \"buy\":21.8, \"sell\":92, \"prime\":-2, \"revL\":0, \"revS\":0, \"vcp\":0, \"dir_prob\":11.7, \"time\":1784727000000}", "ticker": "PSKY", "setup": "A+ Trend Short", "side": "SHORT", "price": 8.78, "stage": 4, "buy": 21.8, "sell": 92, "prime": -2, "revL": 0, "revS": 0, "vcp": 0, "time": 1784727000000, "email_id": "1956", "timestamp": "2026-07-22 16:01:29"}</t>
  </si>
  <si>
    <t>Buy: 6.5 | Sell: 85.7</t>
  </si>
  <si>
    <t>TREND_SHORT fires with sell=82.66 &gt; 65, dir_prob=14.79 &lt; 50, and dominant_side=short. News CONFIRMS the bearish bias with headlines about the merger pause and 52-week lows. The 'pullback' flag and 'TOP' warning indicate a fresh top, while '</t>
  </si>
  <si>
    <t>Buy: 87.7 | Sell: 60</t>
  </si>
  <si>
    <t>{"symbol": "WMT", "strategy": "Daily", "action": "SHORT", "alert_price": 112.19, "score": "", "dir_prob": "5.7", "net_sigma": "", "grade": "", "align": "", "premium": "", "wrong_if": "", "context": "", "subject": "Alert: Rev - Screener v1 (SPY, 12): Any alert() function call", "body": "{\"ticker\":\"WMT\", \"setup\":\"A+ Trend Short\", \"side\":\"SHORT\", \"price\":112.19, \"stage\":4, \"buy\":6.5, \"sell\":85.7, \"prime\":-2, \"revL\":0, \"revS\":0, \"vcp\":0, \"dir_prob\":5.7, \"time\":1784554200000}", "ticker": "WMT", "setup": "A+ Trend Short", "side": "SHORT", "price": 112.19, "stage": 4, "buy": 6.5, "sell": 85.7, "prime": -2, "revL": 0, "revS": 0, "vcp": 0, "time": 1784554200000, "email_id": "b'1673'", "timestamp": "2026-07-20 16:01:20"}</t>
  </si>
  <si>
    <t>{"symbol": "TDY", "strategy": "Daily", "action": "LONG", "alert_price": 651.14, "score": "", "dir_prob": "78.3", "net_sigma": "", "grade": "", "align": "", "premium": "", "wrong_if": "", "context": "", "subject": "Alert: Rev - Screener v1 (SPY, 12): Any alert() function call", "body": "{\"ticker\":\"TDY\", \"setup\":\"Early Ignition\", \"side\":\"LONG\", \"price\":651.14, \"stage\":2, \"buy\":87.7, \"sell\":60, \"prime\":0, \"revL\":0, \"revS\":0, \"vcp\":1, \"dir_prob\":78.3, \"time\":1784727000000}", "ticker": "TDY", "setup": "Early Ignition", "side": "LONG", "price": 651.14, "stage": 2, "buy": 87.7, "sell": 60, "prime": 0, "revL": 0, "revS": 0, "vcp": 1, "time": 1784727000000, "email_id": "1957", "timestamp": "2026-07-22 16:01:36"}</t>
  </si>
  <si>
    <t>Buy: 95 | Sell: 29.9</t>
  </si>
  <si>
    <t>Buy: 93 | Sell: 27.2</t>
  </si>
  <si>
    <t>{"symbol": "SYY", "strategy": "Daily", "action": "LONG", "alert_price": 82.13, "score": "", "dir_prob": "92.4", "net_sigma": "", "grade": "", "align": "", "premium": "", "wrong_if": "", "context": "", "subject": "Alert: Rev - Screener v1 (SPY, 12): Any alert() function call", "body": "{\"ticker\":\"SYY\", \"setup\":\"A+ Trend Long\", \"side\":\"LONG\", \"price\":82.13, \"stage\":2, \"buy\":95, \"sell\":29.9, \"prime\":2, \"revL\":0, \"revS\":0, \"vcp\":1, \"dir_prob\":92.4, \"time\":1784727000000}", "ticker": "SYY", "setup": "A+ Trend Long", "side": "LONG", "price": 82.13, "stage": 2, "buy": 95, "sell": 29.9, "prime": 2, "revL": 0, "revS": 0, "vcp": 1, "time": 1784727000000, "email_id": "1958", "timestamp": "2026-07-22 16:01:30"}</t>
  </si>
  <si>
    <t>Buy: 90.4 | Sell: 12.7</t>
  </si>
  <si>
    <t>{"symbol": "PCAR", "strategy": "Daily", "action": "LONG", "alert_price": 124.31, "score": "", "dir_prob": "89.3", "net_sigma": "", "grade": "", "align": "", "premium": "", "wrong_if": "", "context": "", "subject": "Alert: Rev - Screener v1 (SPY, 12): Any alert() function call", "body": "{\"ticker\":\"PCAR\", \"setup\":\"A+ Trend Long\", \"side\":\"LONG\", \"price\":124.31, \"stage\":2, \"buy\":93, \"sell\":27.2, \"prime\":2, \"revL\":0, \"revS\":0, \"vcp\":0, \"dir_prob\":89.3, \"time\":1784554200000}", "ticker": "PCAR", "setup": "A+ Trend Long", "side": "LONG", "price": 124.31, "stage": 2, "buy": 93, "sell": 27.2, "prime": 2, "revL": 0, "revS": 0, "vcp": 0, "time": 1784554200000, "email_id": "b'1635'", "timestamp": "2026-07-20 16:01:23"}</t>
  </si>
  <si>
    <t>{"symbol": "PANW", "strategy": "Daily", "action": "LONG", "alert_price": 335.42, "score": "", "dir_prob": "91.5", "net_sigma": "", "grade": "", "align": "", "premium": "", "wrong_if": "", "context": "", "subject": "Alert: Rev - Screener v1 (SPY, 12): Any alert() function call", "body": "{\"ticker\":\"PANW\", \"setup\":\"A+ Trend Long\", \"side\":\"LONG\", \"price\":335.42, \"stage\":2, \"buy\":90.4, \"sell\":12.7, \"prime\":2, \"revL\":0, \"revS\":0, \"vcp\":0, \"dir_prob\":91.5, \"time\":1784727000000}", "ticker": "PANW", "setup": "A+ Trend Long", "side": "LONG", "price": 335.42, "stage": 2, "buy": 90.4, "sell": 12.7, "prime": 2, "revL": 0, "revS": 0, "vcp": 0, "time": 1784727000000, "email_id": "1959", "timestamp": "2026-07-22 16:01:32"}</t>
  </si>
  <si>
    <t>Buy: 94.9 | Sell: 19.1</t>
  </si>
  <si>
    <t>{"symbol": "INCY", "strategy": "Daily", "action": "LONG", "alert_price": 115.65, "score": "", "dir_prob": "95.1", "net_sigma": "", "grade": "", "align": "", "premium": "", "wrong_if": "", "context": "", "subject": "Alert: Rev - Screener v1 (SPY, 12): Any alert() function call", "body": "{\"ticker\":\"INCY\", \"setup\":\"A+ Trend Long\", \"side\":\"LONG\", \"price\":115.65, \"stage\":2, \"buy\":96.9, \"sell\":5.2, \"prime\":2, \"revL\":0, \"revS\":0, \"vcp\":0, \"dir_prob\":95.1, \"time\":1784554200000}", "ticker": "INCY", "setup": "A+ Trend Long", "side": "LONG", "price": 115.65, "stage": 2, "buy": 96.9, "sell": 5.2, "prime": 2, "revL": 0, "revS": 0, "vcp": 0, "time": 1784554200000, "email_id": "b'1589'", "timestamp": "2026-07-20 16:01:12"}</t>
  </si>
  <si>
    <t>{"symbol": "SNA", "strategy": "Daily", "action": "LONG", "alert_price": 406.2, "score": "", "dir_prob": "84", "net_sigma": "", "grade": "", "align": "", "premium": "", "wrong_if": "", "context": "", "subject": "Alert: Rev - Screener v1 (SPY, 12): Any alert() function call", "body": "{\"ticker\":\"SNA\", \"setup\":\"A+ Trend Long\", \"side\":\"LONG\", \"price\":406.20, \"stage\":2, \"buy\":94.9, \"sell\":19.1, \"prime\":2, \"revL\":0, \"revS\":0, \"vcp\":1, \"dir_prob\":84, \"time\":1784727000000}", "ticker": "SNA", "setup": "A+ Trend Long", "side": "LONG", "price": 406.2, "stage": 2, "buy": 94.9, "sell": 19.1, "prime": 2, "revL": 0, "revS": 0, "vcp": 1, "time": 1784727000000, "email_id": "1960", "timestamp": "2026-07-22 16:01:38"}</t>
  </si>
  <si>
    <t>Buy: 88.7 | Sell: 23.3</t>
  </si>
  <si>
    <t>Buy: 93.9 | Sell: 36.1</t>
  </si>
  <si>
    <t>{"symbol": "LUV", "strategy": "Daily", "action": "LONG", "alert_price": 47.65, "score": "", "dir_prob": "89.1", "net_sigma": "", "grade": "", "align": "", "premium": "", "wrong_if": "", "context": "", "subject": "Alert: Rev - Screener v1 (SPY, 12): Any alert() function call", "body": "{\"ticker\":\"LUV\", \"setup\":\"A+ Trend Long\", \"side\":\"LONG\", \"price\":47.65, \"stage\":2, \"buy\":93.9, \"sell\":36.1, \"prime\":2, \"revL\":0, \"revS\":0, \"vcp\":0, \"dir_prob\":89.1, \"time\":1784727000000}", "ticker": "LUV", "setup": "A+ Trend Long", "side": "LONG", "price": 47.65, "stage": 2, "buy": 93.9, "sell": 36.1, "prime": 2, "revL": 0, "revS": 0, "vcp": 0, "time": 1784727000000, "email_id": "1961", "timestamp": "2026-07-22 16:01:35"}</t>
  </si>
  <si>
    <t>Buy: 10.8 | Sell: 93.5</t>
  </si>
  <si>
    <t>{"symbol": "HUM", "strategy": "Daily", "action": "LONG", "alert_price": 398.09, "score": "", "dir_prob": "91.3", "net_sigma": "", "grade": "", "align": "", "premium": "", "wrong_if": "", "context": "", "subject": "Alert: Rev - Screener v1 (SPY, 12): Any alert() function call", "body": "{\"ticker\":\"HUM\", \"setup\":\"A+ Trend Long\", \"side\":\"LONG\", \"price\":398.09, \"stage\":2, \"buy\":88.7, \"sell\":23.3, \"prime\":2, \"revL\":0, \"revS\":0, \"vcp\":0, \"dir_prob\":91.3, \"time\":1784554200000}", "ticker": "HUM", "setup": "A+ Trend Long", "side": "LONG", "price": 398.09, "stage": 2, "buy": 88.7, "sell": 23.3, "prime": 2, "revL": 0, "revS": 0, "vcp": 0, "time": 1784554200000, "email_id": "b'1641'", "timestamp": "2026-07-20 16:01:16"}</t>
  </si>
  <si>
    <t>Buy: 87.7 | Sell: 18.1</t>
  </si>
  <si>
    <t>{"symbol": "DLR", "strategy": "Daily", "action": "SHORT", "alert_price": 178.51, "score": "", "dir_prob": "10.4", "net_sigma": "", "grade": "", "align": "", "premium": "", "wrong_if": "", "context": "", "subject": "Alert: Rev - Screener v1 (SPY, 12): Any alert() function call", "body": "{\"ticker\":\"DLR\", \"setup\":\"A+ Trend Short\", \"side\":\"SHORT\", \"price\":178.51, \"stage\":4, \"buy\":10.8, \"sell\":93.5, \"prime\":-2, \"revL\":0, \"revS\":0, \"vcp\":0, \"dir_prob\":10.4, \"time\":1784727000000}", "ticker": "DLR", "setup": "A+ Trend Short", "side": "SHORT", "price": 178.51, "stage": 4, "buy": 10.8, "sell": 93.5, "prime": -2, "revL": 0, "revS": 0, "vcp": 0, "time": 1784727000000, "email_id": "1962", "timestamp": "2026-07-22 16:01:34"}</t>
  </si>
  <si>
    <t>Buy: 29.1 | Sell: 87.4</t>
  </si>
  <si>
    <t>{"symbol": "IVZ", "strategy": "Daily", "action": "LONG", "alert_price": 29.67, "score": "", "dir_prob": "87.2", "net_sigma": "", "grade": "", "align": "", "premium": "", "wrong_if": "", "context": "", "subject": "Alert: Rev - Screener v1 (SPY, 12): Any alert() function call", "body": "{\"ticker\":\"IVZ\", \"setup\":\"A+ Trend Long\", \"side\":\"LONG\", \"price\":29.67, \"stage\":2, \"buy\":87.7, \"sell\":18.1, \"prime\":2, \"revL\":0, \"revS\":0, \"vcp\":0, \"dir_prob\":87.2, \"time\":1784554200000}", "ticker": "IVZ", "setup": "A+ Trend Long", "side": "LONG", "price": 29.67, "stage": 2, "buy": 87.7, "sell": 18.1, "prime": 2, "revL": 0, "revS": 0, "vcp": 0, "time": 1784554200000, "email_id": "b'1620'", "timestamp": "2026-07-20 16:01:27"}</t>
  </si>
  <si>
    <t>Buy: 9.9 | Sell: 88.7</t>
  </si>
  <si>
    <t>{"symbol": "CSCO", "strategy": "Daily", "action": "SHORT", "alert_price": 112.23, "score": "", "dir_prob": "13.8", "net_sigma": "", "grade": "", "align": "", "premium": "", "wrong_if": "", "context": "", "subject": "Alert: Rev - Screener v1 (SPY, 12): Any alert() function call", "body": "{\"ticker\":\"CSCO\", \"setup\":\"A+ Trend Short\", \"side\":\"SHORT\", \"price\":112.23, \"stage\":4, \"buy\":29.1, \"sell\":87.4, \"prime\":-2, \"revL\":0, \"revS\":0, \"vcp\":0, \"dir_prob\":13.8, \"time\":1784727000000}", "ticker": "CSCO", "setup": "A+ Trend Short", "side": "SHORT", "price": 112.23, "stage": 4, "buy": 29.1, "sell": 87.4, "prime": -2, "revL": 0, "revS": 0, "vcp": 0, "time": 1784727000000, "email_id": "1963", "timestamp": "2026-07-22 16:01:42"}</t>
  </si>
  <si>
    <t>Buy: 95.2 | Sell: 11</t>
  </si>
  <si>
    <t>{"symbol": "VRSN", "strategy": "Daily", "action": "SHORT", "alert_price": 277.53, "score": "", "dir_prob": "10.6", "net_sigma": "", "grade": "", "align": "", "premium": "", "wrong_if": "", "context": "", "subject": "Alert: Rev - Screener v1 (SPY, 12): Any alert() function call", "body": "{\"ticker\":\"VRSN\", \"setup\":\"A+ Trend Short\", \"side\":\"SHORT\", \"price\":277.53, \"stage\":4, \"buy\":9.9, \"sell\":88.7, \"prime\":-2, \"revL\":0, \"revS\":0, \"vcp\":0, \"dir_prob\":10.6, \"time\":1784554200000}", "ticker": "VRSN", "setup": "A+ Trend Short", "side": "SHORT", "price": 277.53, "stage": 4, "buy": 9.9, "sell": 88.7, "prime": -2, "revL": 0, "revS": 0, "vcp": 0, "time": 1784554200000, "email_id": "b'1663'", "timestamp": "2026-07-20 16:01:22"}</t>
  </si>
  <si>
    <t>{"symbol": "VRSK", "strategy": "Daily", "action": "LONG", "alert_price": 192.27, "score": "", "dir_prob": "97.4", "net_sigma": "", "grade": "", "align": "", "premium": "", "wrong_if": "", "context": "", "subject": "Alert: Rev - Screener v1 (SPY, 12): Any alert() function call", "body": "{\"ticker\":\"VRSK\", \"setup\":\"A+ Trend Long\", \"side\":\"LONG\", \"price\":192.27, \"stage\":2, \"buy\":95.2, \"sell\":11, \"prime\":2, \"revL\":0, \"revS\":0, \"vcp\":0, \"dir_prob\":97.4, \"time\":1784727000000}", "ticker": "VRSK", "setup": "A+ Trend Long", "side": "LONG", "price": 192.27, "stage": 2, "buy": 95.2, "sell": 11, "prime": 2, "revL": 0, "revS": 0, "vcp": 0, "time": 1784727000000, "email_id": "1964", "timestamp": "2026-07-22 16:01:42"}</t>
  </si>
  <si>
    <t>Buy: 96 | Sell: 16.2</t>
  </si>
  <si>
    <t>Buy: 14.6 | Sell: 88.9</t>
  </si>
  <si>
    <t>{"symbol": "EME", "strategy": "Daily", "action": "SHORT", "alert_price": 755.5, "score": "", "dir_prob": "8.2", "net_sigma": "", "grade": "", "align": "", "premium": "", "wrong_if": "", "context": "", "subject": "Alert: Rev - Screener v1 (SPY, 12): Any alert() function call", "body": "{\"ticker\":\"EME\", \"setup\":\"A+ Trend Short\", \"side\":\"SHORT\", \"price\":755.50, \"stage\":4, \"buy\":14.6, \"sell\":88.9, \"prime\":-2, \"revL\":0, \"revS\":0, \"vcp\":0, \"dir_prob\":8.2, \"time\":1784727000000}", "ticker": "EME", "setup": "A+ Trend Short", "side": "SHORT", "price": 755.5, "stage": 4, "buy": 14.6, "sell": 88.9, "prime": -2, "revL": 0, "revS": 0, "vcp": 0, "time": 1784727000000, "email_id": "1965", "timestamp": "2026-07-22 16:01:10"}</t>
  </si>
  <si>
    <t>{"symbol": "RVTY", "strategy": "Daily", "action": "LONG", "alert_price": 106.25, "score": "", "dir_prob": "92.6", "net_sigma": "", "grade": "", "align": "", "premium": "", "wrong_if": "", "context": "", "subject": "Alert: Rev - Screener v1 (SPY, 12): Any alert() function call", "body": "{\"ticker\":\"RVTY\", \"setup\":\"A+ Trend Long\", \"side\":\"LONG\", \"price\":106.25, \"stage\":2, \"buy\":96, \"sell\":16.2, \"prime\":2, \"revL\":0, \"revS\":0, \"vcp\":0, \"dir_prob\":92.6, \"time\":1784554200000}", "ticker": "RVTY", "setup": "A+ Trend Long", "side": "LONG", "price": 106.25, "stage": 2, "buy": 96, "sell": 16.2, "prime": 2, "revL": 0, "revS": 0, "vcp": 0, "time": 1784554200000, "email_id": "b'1575'", "timestamp": "2026-07-20 16:01:16"}</t>
  </si>
  <si>
    <t>Buy: 10.6 | Sell: 92</t>
  </si>
  <si>
    <t>Buy: 8.9 | Sell: 92.9</t>
  </si>
  <si>
    <t>{"symbol": "FCX", "strategy": "Daily", "action": "SHORT", "alert_price": 64.99, "score": "", "dir_prob": "10.3", "net_sigma": "", "grade": "", "align": "", "premium": "", "wrong_if": "", "context": "", "subject": "Alert: Rev - Screener v1 (SPY, 12): Any alert() function call", "body": "{\"ticker\":\"FCX\", \"setup\":\"A+ Trend Short\", \"side\":\"SHORT\", \"price\":64.99, \"stage\":4, \"buy\":10.6, \"sell\":92, \"prime\":-2, \"revL\":0, \"revS\":0, \"vcp\":1, \"dir_prob\":10.3, \"time\":1784727000000}", "ticker": "FCX", "setup": "A+ Trend Short", "side": "SHORT", "price": 64.99, "stage": 4, "buy": 10.6, "sell": 92, "prime": -2, "revL": 0, "revS": 0, "vcp": 1, "time": 1784727000000, "email_id": "1966", "timestamp": "2026-07-22 16:01:10"}</t>
  </si>
  <si>
    <t>Buy: 91.1 | Sell: 14.9</t>
  </si>
  <si>
    <t>{"symbol": "HAL", "strategy": "Daily", "action": "SHORT", "alert_price": 35.13, "score": "", "dir_prob": "1.3", "net_sigma": "", "grade": "", "align": "", "premium": "", "wrong_if": "", "context": "", "subject": "Alert: Rev - Screener v1 (SPY, 12): Any alert() function call", "body": "{\"ticker\":\"HAL\", \"setup\":\"A+ Trend Short\", \"side\":\"SHORT\", \"price\":35.13, \"stage\":4, \"buy\":8.9, \"sell\":92.9, \"prime\":-2, \"revL\":0, \"revS\":0, \"vcp\":1, \"dir_prob\":1.3, \"time\":1784554200000}", "ticker": "HAL", "setup": "A+ Trend Short", "side": "SHORT", "price": 35.13, "stage": 4, "buy": 8.9, "sell": 92.9, "prime": -2, "revL": 0, "revS": 0, "vcp": 1, "time": 1784554200000, "email_id": "b'1653'", "timestamp": "2026-07-20 16:01:03"}</t>
  </si>
  <si>
    <t>Buy: 95.8 | Sell: 14.7</t>
  </si>
  <si>
    <t>{"symbol": "SPG", "strategy": "Daily", "action": "LONG", "alert_price": 226.3, "score": "", "dir_prob": "84.3", "net_sigma": "", "grade": "", "align": "", "premium": "", "wrong_if": "", "context": "", "subject": "Alert: Rev - Screener v1 (SPY, 12): Any alert() function call", "body": "{\"ticker\":\"SPG\", \"setup\":\"A+ Trend Long\", \"side\":\"LONG\", \"price\":226.30, \"stage\":2, \"buy\":91.1, \"sell\":14.9, \"prime\":2, \"revL\":0, \"revS\":0, \"vcp\":0, \"dir_prob\":84.3, \"time\":1784727000000}", "ticker": "SPG", "setup": "A+ Trend Long", "side": "LONG", "price": 226.3, "stage": 2, "buy": 91.1, "sell": 14.9, "prime": 2, "revL": 0, "revS": 0, "vcp": 0, "time": 1784727000000, "email_id": "1967", "timestamp": "2026-07-22 16:01:43"}</t>
  </si>
  <si>
    <t>Buy: 24.6 | Sell: 92.4</t>
  </si>
  <si>
    <t>{"symbol": "HOOD", "strategy": "Daily", "action": "LONG", "alert_price": 99.29, "score": "", "dir_prob": "91.6", "net_sigma": "", "grade": "", "align": "", "premium": "", "wrong_if": "", "context": "", "subject": "Alert: Rev - Screener v1 (SPY, 12): Any alert() function call", "body": "{\"ticker\":\"HOOD\", \"setup\":\"A+ Trend Long\", \"side\":\"LONG\", \"price\":99.29, \"stage\":2, \"buy\":95.8, \"sell\":14.7, \"prime\":2, \"revL\":0, \"revS\":0, \"vcp\":0, \"dir_prob\":91.6, \"time\":1784554200000}", "ticker": "HOOD", "setup": "A+ Trend Long", "side": "LONG", "price": 99.29, "stage": 2, "buy": 95.8, "sell": 14.7, "prime": 2, "revL": 0, "revS": 0, "vcp": 0, "time": 1784554200000, "email_id": "b'1541'", "timestamp": "2026-07-20 16:01:00"}</t>
  </si>
  <si>
    <t xml:space="preserve">TREND_LONG fires with buy=74.14 &gt; 65, dir_prob=82.33 &gt;= 50, and stage=2 (up-trend). News CONFIRMS with a specific analyst upgrade (Bernstein) raising the PT to $160, despite other headlines being irrelevant. The 'pullback' flag indicates a </t>
  </si>
  <si>
    <t>{"symbol": "URI", "strategy": "Daily", "action": "SHORT", "alert_price": 1034.96, "score": "", "dir_prob": "11.1", "net_sigma": "", "grade": "", "align": "", "premium": "", "wrong_if": "", "context": "", "subject": "Alert: Rev - Screener v1 (SPY, 12): Any alert() function call", "body": "{\"ticker\":\"URI\", \"setup\":\"A+ Trend Short\", \"side\":\"SHORT\", \"price\":1034.96, \"stage\":4, \"buy\":24.6, \"sell\":92.4, \"prime\":-2, \"revL\":0, \"revS\":0, \"vcp\":0, \"dir_prob\":11.1, \"time\":1784727000000}", "ticker": "URI", "setup": "A+ Trend Short", "side": "SHORT", "price": 1034.96, "stage": 4, "buy": 24.6, "sell": 92.4, "prime": -2, "revL": 0, "revS": 0, "vcp": 0, "time": 1784727000000, "email_id": "1968", "timestamp": "2026-07-22 16:01:36"}</t>
  </si>
  <si>
    <t>Buy: 87.6 | Sell: 50.3</t>
  </si>
  <si>
    <t>Buy: 25.1 | Sell: 86.4</t>
  </si>
  <si>
    <t>{"symbol": "ELV", "strategy": "Daily", "action": "SHORT", "alert_price": 389.12, "score": "", "dir_prob": "14.6", "net_sigma": "", "grade": "", "align": "", "premium": "", "wrong_if": "", "context": "", "subject": "Alert: Rev - Screener v1 (SPY, 12): Any alert() function call", "body": "{\"ticker\":\"ELV\", \"setup\":\"A+ Trend Short\", \"side\":\"SHORT\", \"price\":389.12, \"stage\":4, \"buy\":25.1, \"sell\":86.4, \"prime\":-2, \"revL\":0, \"revS\":0, \"vcp\":0, \"dir_prob\":14.6, \"time\":1784727000000}", "ticker": "ELV", "setup": "A+ Trend Short", "side": "SHORT", "price": 389.12, "stage": 4, "buy": 25.1, "sell": 86.4, "prime": -2, "revL": 0, "revS": 0, "vcp": 0, "time": 1784727000000, "email_id": "1969", "timestamp": "2026-07-22 16:01:40"}</t>
  </si>
  <si>
    <t>Buy: 10.6 | Sell: 90.4</t>
  </si>
  <si>
    <t>{"symbol": "MMM", "strategy": "Daily", "action": "LONG", "alert_price": 159.32, "score": "", "dir_prob": "78.5", "net_sigma": "", "grade": "", "align": "", "premium": "", "wrong_if": "", "context": "", "subject": "Alert: Rev - Screener v1 (SPY, 12): Any alert() function call", "body": "{\"ticker\":\"MMM\", \"setup\":\"A+ Trend Long\", \"side\":\"LONG\", \"price\":159.32, \"stage\":2, \"buy\":87.6, \"sell\":50.3, \"prime\":2, \"revL\":0, \"revS\":0, \"vcp\":0, \"dir_prob\":78.5, \"time\":1784554200000}", "ticker": "MMM", "setup": "A+ Trend Long", "side": "LONG", "price": 159.32, "stage": 2, "buy": 87.6, "sell": 50.3, "prime": 2, "revL": 0, "revS": 0, "vcp": 0, "time": 1784554200000, "email_id": "b'1581'", "timestamp": "2026-07-20 16:01:18"}</t>
  </si>
  <si>
    <t>{"symbol": "DD", "strategy": "Daily", "action": "SHORT", "alert_price": 139.65, "score": "", "dir_prob": "5.5", "net_sigma": "", "grade": "", "align": "", "premium": "", "wrong_if": "", "context": "", "subject": "Alert: Rev - Screener v1 (SPY, 12): Any alert() function call", "body": "{\"ticker\":\"DD\", \"setup\":\"A+ Trend Short\", \"side\":\"SHORT\", \"price\":139.65, \"stage\":4, \"buy\":10.6, \"sell\":90.4, \"prime\":-2, \"revL\":0, \"revS\":0, \"vcp\":1, \"dir_prob\":5.5, \"time\":1784727000000}", "ticker": "DD", "setup": "A+ Trend Short", "side": "SHORT", "price": 139.65, "stage": 4, "buy": 10.6, "sell": 90.4, "prime": -2, "revL": 0, "revS": 0, "vcp": 1, "time": 1784727000000, "email_id": "1970", "timestamp": "2026-07-22 16:01:37"}</t>
  </si>
  <si>
    <t>Buy: 36.2 | Sell: 91</t>
  </si>
  <si>
    <t>{"symbol": "LVS", "strategy": "Daily", "action": "SHORT", "alert_price": 45.26, "score": "", "dir_prob": "25.7", "net_sigma": "", "grade": "", "align": "", "premium": "", "wrong_if": "", "context": "", "subject": "Alert: Rev - Screener v1 (SPY, 12): Any alert() function call", "body": "{\"ticker\":\"LVS\", \"setup\":\"A+ Trend Short\", \"side\":\"SHORT\", \"price\":45.26, \"stage\":4, \"buy\":36.2, \"sell\":91, \"prime\":-2, \"revL\":0, \"revS\":0, \"vcp\":1, \"dir_prob\":25.7, \"time\":1784727000000}", "ticker": "LVS", "setup": "A+ Trend Short", "side": "SHORT", "price": 45.26, "stage": 4, "buy": 36.2, "sell": 91, "prime": -2, "revL": 0, "revS": 0, "vcp": 1, "time": 1784727000000, "email_id": "1971", "timestamp": "2026-07-22 16:01:43"}</t>
  </si>
  <si>
    <t>Buy: 97.5 | Sell: 4</t>
  </si>
  <si>
    <t>{"symbol": "MCO", "strategy": "Daily", "action": "LONG", "alert_price": 489.79, "score": "", "dir_prob": "95.7", "net_sigma": "", "grade": "", "align": "", "premium": "", "wrong_if": "", "context": "", "subject": "Alert: Rev - Screener v1 (SPY, 12): Any alert() function call", "body": "{\"ticker\":\"MCO\", \"setup\":\"A+ Trend Long\", \"side\":\"LONG\", \"price\":489.79, \"stage\":2, \"buy\":97.5, \"sell\":4, \"prime\":2, \"revL\":0, \"revS\":0, \"vcp\":0, \"dir_prob\":95.7, \"time\":1784727000000}", "ticker": "MCO", "setup": "A+ Trend Long", "side": "LONG", "price": 489.79, "stage": 2, "buy": 97.5, "sell": 4, "prime": 2, "revL": 0, "revS": 0, "vcp": 0, "time": 1784727000000, "email_id": "1972", "timestamp": "2026-07-22 16:01:29"}</t>
  </si>
  <si>
    <t>Buy: 4 | Sell: 93.3</t>
  </si>
  <si>
    <t>{"symbol": "SWKS", "strategy": "Daily", "action": "SHORT", "alert_price": 63.14, "score": "", "dir_prob": "7.4", "net_sigma": "", "grade": "", "align": "", "premium": "", "wrong_if": "", "context": "", "subject": "Alert: Rev - Screener v1 (SPY, 12): Any alert() function call", "body": "{\"ticker\":\"SWKS\", \"setup\":\"A+ Trend Short\", \"side\":\"SHORT\", \"price\":63.14, \"stage\":4, \"buy\":4, \"sell\":93.3, \"prime\":-2, \"revL\":0, \"revS\":0, \"vcp\":0, \"dir_prob\":7.4, \"time\":1784727000000}", "ticker": "SWKS", "setup": "A+ Trend Short", "side": "SHORT", "price": 63.14, "stage": 4, "buy": 4, "sell": 93.3, "prime": -2, "revL": 0, "revS": 0, "vcp": 0, "time": 1784727000000, "email_id": "1975", "timestamp": "2026-07-22 16:01:46"}</t>
  </si>
  <si>
    <t>Buy: 92.1 | Sell: 14.6</t>
  </si>
  <si>
    <t>{"symbol": "FE", "strategy": "Daily", "action": "LONG", "alert_price": 49.31, "score": "", "dir_prob": "91.3", "net_sigma": "", "grade": "", "align": "", "premium": "", "wrong_if": "", "context": "", "subject": "Alert: Rev - Screener v1 (SPY, 12): Any alert() function call", "body": "{\"ticker\":\"FE\", \"setup\":\"A+ Trend Long\", \"side\":\"LONG\", \"price\":49.31, \"stage\":2, \"buy\":92.1, \"sell\":14.6, \"prime\":2, \"revL\":0, \"revS\":0, \"vcp\":1, \"dir_prob\":91.3, \"time\":1784727000000}", "ticker": "FE", "setup": "A+ Trend Long", "side": "LONG", "price": 49.31, "stage": 2, "buy": 92.1, "sell": 14.6, "prime": 2, "revL": 0, "revS": 0, "vcp": 1, "time": 1784727000000, "email_id": "1976", "timestamp": "2026-07-22 16:01:34"}</t>
  </si>
  <si>
    <t>Buy: 93.2 | Sell: 11.2</t>
  </si>
  <si>
    <t>{"symbol": "DVA", "strategy": "Daily", "action": "LONG", "alert_price": 232.12, "score": "", "dir_prob": "95", "net_sigma": "", "grade": "", "align": "", "premium": "", "wrong_if": "", "context": "", "subject": "Alert: Rev - Screener v1 (SPY, 12): Any alert() function call", "body": "{\"ticker\":\"DVA\", \"setup\":\"A+ Trend Long\", \"side\":\"LONG\", \"price\":232.12, \"stage\":2, \"buy\":93.2, \"sell\":11.2, \"prime\":2, \"revL\":0, \"revS\":0, \"vcp\":0, \"dir_prob\":95, \"time\":1784727000000}", "ticker": "DVA", "setup": "A+ Trend Long", "side": "LONG", "price": 232.12, "stage": 2, "buy": 93.2, "sell": 11.2, "prime": 2, "revL": 0, "revS": 0, "vcp": 0, "time": 1784727000000, "email_id": "1973", "timestamp": "2026-07-22 16:01:41"}</t>
  </si>
  <si>
    <t>Buy: 97 | Sell: 14.5</t>
  </si>
  <si>
    <t>{"symbol": "WFC", "strategy": "Daily", "action": "LONG", "alert_price": 86.43, "score": "", "dir_prob": "93.5", "net_sigma": "", "grade": "", "align": "", "premium": "", "wrong_if": "", "context": "", "subject": "Alert: Rev - Screener v1 (SPY, 12): Any alert() function call", "body": "{\"ticker\":\"WFC\", \"setup\":\"A+ Trend Long\", \"side\":\"LONG\", \"price\":86.43, \"stage\":2, \"buy\":97, \"sell\":14.5, \"prime\":2, \"revL\":0, \"revS\":0, \"vcp\":1, \"dir_prob\":93.5, \"time\":1784727000000}", "ticker": "WFC", "setup": "A+ Trend Long", "side": "LONG", "price": 86.43, "stage": 2, "buy": 97, "sell": 14.5, "prime": 2, "revL": 0, "revS": 0, "vcp": 1, "time": 1784727000000, "email_id": "1977", "timestamp": "2026-07-22 16:01:11"}</t>
  </si>
  <si>
    <t xml:space="preserve">TREND_LONG fires with buy=96.63 &gt;&gt; 65, dir_prob=67.52 &gt;= 50, and stage=2 (up-trend). News is NEUTRAL with no catalyst, so no veto applies. The 'squeeze' flag (regime=6) indicates a coiling pre-breakout phase, not a contrarian signal. While </t>
  </si>
  <si>
    <t>Buy: 98.1 | Sell: 13.5</t>
  </si>
  <si>
    <t>{"symbol": "EXPE", "strategy": "Daily", "action": "LONG", "alert_price": 261.09, "score": "", "dir_prob": "89", "net_sigma": "", "grade": "", "align": "", "premium": "", "wrong_if": "", "context": "", "subject": "Alert: Rev - Screener v1 (SPY, 12): Any alert() function call", "body": "{\"ticker\":\"EXPE\", \"setup\":\"A+ Trend Long\", \"side\":\"LONG\", \"price\":261.09, \"stage\":2, \"buy\":98.1, \"sell\":13.5, \"prime\":2, \"revL\":0, \"revS\":0, \"vcp\":1, \"dir_prob\":89, \"time\":1784727000000}", "ticker": "EXPE", "setup": "A+ Trend Long", "side": "LONG", "price": 261.09, "stage": 2, "buy": 98.1, "sell": 13.5, "prime": 2, "revL": 0, "revS": 0, "vcp": 1, "time": 1784727000000, "email_id": "1978", "timestamp": "2026-07-22 16:01:12"}</t>
  </si>
  <si>
    <t>TREND_LONG fires with buy=88.62 &gt; 65, dir_prob=81.25 &gt;= 50, and stage=2. News CONFIRMS with a bullish analyst upgrade. Triage capped to WATCH due to earnings_gate=PASS (14 days out) and the 'squeeze' flag indicating a coiling regime rather呢</t>
  </si>
  <si>
    <t>Buy: 96.1 | Sell: 12</t>
  </si>
  <si>
    <t>{"symbol": "CSX", "strategy": "Daily", "action": "LONG", "alert_price": 49.9, "score": "", "dir_prob": "89", "net_sigma": "", "grade": "", "align": "", "premium": "", "wrong_if": "", "context": "", "subject": "Alert: Rev - Screener v1 (SPY, 12): Any alert() function call", "body": "{\"ticker\":\"CSX\", \"setup\":\"A+ Trend Long\", \"side\":\"LONG\", \"price\":49.90, \"stage\":2, \"buy\":96.1, \"sell\":12, \"prime\":2, \"revL\":0, \"revS\":0, \"vcp\":0, \"dir_prob\":89, \"time\":1784727000000}", "ticker": "CSX", "setup": "A+ Trend Long", "side": "LONG", "price": 49.9, "stage": 2, "buy": 96.1, "sell": 12, "prime": 2, "revL": 0, "revS": 0, "vcp": 0, "time": 1784727000000, "email_id": "1979", "timestamp": "2026-07-22 16:01:33"}</t>
  </si>
  <si>
    <t>{"symbol": "ITW", "strategy": "Daily", "action": "LONG", "alert_price": 273.91, "score": "", "dir_prob": "94.8", "net_sigma": "", "grade": "", "align": "", "premium": "", "wrong_if": "", "context": "", "subject": "Alert: Rev - Screener v1 (SPY, 12): Any alert() function call", "body": "{\"ticker\":\"ITW\", \"setup\":\"A+ Trend Long\", \"side\":\"LONG\", \"price\":273.91, \"stage\":2, \"buy\":95.6, \"sell\":5.8, \"prime\":2, \"revL\":0, \"revS\":0, \"vcp\":1, \"dir_prob\":94.8, \"time\":1784727000000}", "ticker": "ITW", "setup": "A+ Trend Long", "side": "LONG", "price": 273.91, "stage": 2, "buy": 95.6, "sell": 5.8, "prime": 2, "revL": 0, "revS": 0, "vcp": 1, "time": 1784727000000, "email_id": "1974", "timestamp": "2026-07-22 16:01:45"}</t>
  </si>
  <si>
    <t>Buy: 92.2 | Sell: 10.2</t>
  </si>
  <si>
    <t>{"symbol": "D", "strategy": "Daily", "action": "LONG", "alert_price": 71.08, "score": "", "dir_prob": "93.3", "net_sigma": "", "grade": "", "align": "", "premium": "", "wrong_if": "", "context": "", "subject": "Alert: Rev - Screener v1 (SPY, 12): Any alert() function call", "body": "{\"ticker\":\"D\", \"setup\":\"A+ Trend Long\", \"side\":\"LONG\", \"price\":71.08, \"stage\":2, \"buy\":92.2, \"sell\":10.2, \"prime\":2, \"revL\":0, \"revS\":0, \"vcp\":0, \"dir_prob\":93.3, \"time\":1784727000000}", "ticker": "D", "setup": "A+ Trend Long", "side": "LONG", "price": 71.08, "stage": 2, "buy": 92.2, "sell": 10.2, "prime": 2, "revL": 0, "revS": 0, "vcp": 0, "time": 1784727000000, "email_id": "1980", "timestamp": "2026-07-22 16:01:09"}</t>
  </si>
  <si>
    <t>Buy: 81.3 | Sell: 31.8</t>
  </si>
  <si>
    <t>{"symbol": "CVS", "strategy": "Daily", "action": "LONG", "alert_price": 108.09, "score": "", "dir_prob": "81.4", "net_sigma": "", "grade": "", "align": "", "premium": "", "wrong_if": "", "context": "", "subject": "Alert: Rev - Screener v1 (SPY, 12): Any alert() function call", "body": "{\"ticker\":\"CVS\", \"setup\":\"Early Action Long\", \"side\":\"LONG\", \"price\":108.09, \"stage\":2, \"buy\":81.3, \"sell\":31.8, \"prime\":1, \"revL\":0, \"revS\":0, \"vcp\":0, \"dir_prob\":81.4, \"time\":1784727000000}", "ticker": "CVS", "setup": "Early Action Long", "side": "LONG", "price": 108.09, "stage": 2, "buy": 81.3, "sell": 31.8, "prime": 1, "revL": 0, "revS": 0, "vcp": 0, "time": 1784727000000, "email_id": "1981", "timestamp": "2026-07-22 16:01:18"}</t>
  </si>
  <si>
    <t>Buy: 25.8 | Sell: 86.8</t>
  </si>
  <si>
    <t>{"symbol": "NXPI", "strategy": "Daily", "action": "SHORT", "alert_price": 278.94, "score": "", "dir_prob": "17.7", "net_sigma": "", "grade": "", "align": "", "premium": "", "wrong_if": "", "context": "", "subject": "Alert: Rev - Screener v1 (SPY, 12): Any alert() function call", "body": "{\"ticker\":\"NXPI\", \"setup\":\"A+ Trend Short\", \"side\":\"SHORT\", \"price\":278.94, \"stage\":4, \"buy\":25.8, \"sell\":86.8, \"prime\":-2, \"revL\":0, \"revS\":0, \"vcp\":1, \"dir_prob\":17.7, \"time\":1784727000000}", "ticker": "NXPI", "setup": "A+ Trend Short", "side": "SHORT", "price": 278.94, "stage": 4, "buy": 25.8, "sell": 86.8, "prime": -2, "revL": 0, "revS": 0, "vcp": 1, "time": 1784727000000, "email_id": "1982", "timestamp": "2026-07-22 16:01:00"}</t>
  </si>
  <si>
    <t>BMY</t>
  </si>
  <si>
    <t>Buy: 84.3 | Sell: 19.5</t>
  </si>
  <si>
    <t>{"symbol": "BMY", "strategy": "Daily", "action": "LONG", "alert_price": 60.77, "score": "", "dir_prob": "88.8", "net_sigma": "", "grade": "", "align": "", "premium": "", "wrong_if": "", "context": "", "subject": "Alert: Rev - Screener v1 (SPY, 12): Any alert() function call", "body": "{\"ticker\":\"BMY\", \"setup\":\"Early Action Long\", \"side\":\"LONG\", \"price\":60.77, \"stage\":2, \"buy\":84.3, \"sell\":19.5, \"prime\":1, \"revL\":0, \"revS\":0, \"vcp\":0, \"dir_prob\":88.8, \"time\":1784727000000}", "ticker": "BMY", "setup": "Early Action Long", "side": "LONG", "price": 60.77, "stage": 2, "buy": 84.3, "sell": 19.5, "prime": 1, "revL": 0, "revS": 0, "vcp": 0, "time": 1784727000000, "email_id": "1983", "timestamp": "2026-07-22 16:01:22"}</t>
  </si>
  <si>
    <t>Buy: 91.1 | Sell: 12.5</t>
  </si>
  <si>
    <t>{"symbol": "AAPL", "strategy": "Daily", "action": "LONG", "alert_price": 325.86, "score": "", "dir_prob": "90.5", "net_sigma": "", "grade": "", "align": "", "premium": "", "wrong_if": "", "context": "", "subject": "Alert: Rev - Screener v1 (SPY, 12): Any alert() function call", "body": "{\"ticker\":\"AAPL\", \"setup\":\"A+ Trend Long\", \"side\":\"LONG\", \"price\":325.86, \"stage\":2, \"buy\":91.1, \"sell\":12.5, \"prime\":2, \"revL\":0, \"revS\":0, \"vcp\":0, \"dir_prob\":90.5, \"time\":1784727000000}", "ticker": "AAPL", "setup": "A+ Trend Long", "side": "LONG", "price": 325.86, "stage": 2, "buy": 91.1, "sell": 12.5, "prime": 2, "revL": 0, "revS": 0, "vcp": 0, "time": 1784727000000, "email_id": "1984", "timestamp": "2026-07-22 16:01:13"}</t>
  </si>
  <si>
    <t>Buy: 83.6 | Sell: 30.1</t>
  </si>
  <si>
    <t>{"symbol": "KIM", "strategy": "Daily", "action": "LONG", "alert_price": 26.13, "score": "", "dir_prob": "86.9", "net_sigma": "", "grade": "", "align": "", "premium": "", "wrong_if": "", "context": "", "subject": "Alert: Rev - Screener v1 (SPY, 12): Any alert() function call", "body": "{\"ticker\":\"KIM\", \"setup\":\"Early Action Long\", \"side\":\"LONG\", \"price\":26.13, \"stage\":2, \"buy\":83.6, \"sell\":30.1, \"prime\":1, \"revL\":0, \"revS\":0, \"vcp\":0, \"dir_prob\":86.9, \"time\":1784727000000}", "ticker": "KIM", "setup": "Early Action Long", "side": "LONG", "price": 26.13, "stage": 2, "buy": 83.6, "sell": 30.1, "prime": 1, "revL": 0, "revS": 0, "vcp": 0, "time": 1784727000000, "email_id": "1987", "timestamp": "2026-07-22 16:01:20"}</t>
  </si>
  <si>
    <t>Buy: 96.1 | Sell: 4.3</t>
  </si>
  <si>
    <t>{"symbol": "GPN", "strategy": "Daily", "action": "LONG", "alert_price": 78.96, "score": "", "dir_prob": "97.8", "net_sigma": "", "grade": "", "align": "", "premium": "", "wrong_if": "", "context": "", "subject": "Alert: Rev - Screener v1 (SPY, 12): Any alert() function call", "body": "{\"ticker\":\"GPN\", \"setup\":\"A+ Trend Long\", \"side\":\"LONG\", \"price\":78.96, \"stage\":2, \"buy\":96.1, \"sell\":4.3, \"prime\":2, \"revL\":0, \"revS\":0, \"vcp\":0, \"dir_prob\":97.8, \"time\":1784727000000}", "ticker": "GPN", "setup": "A+ Trend Long", "side": "LONG", "price": 78.96, "stage": 2, "buy": 96.1, "sell": 4.3, "prime": 2, "revL": 0, "revS": 0, "vcp": 0, "time": 1784727000000, "email_id": "1989", "timestamp": "2026-07-22 16:01:17"}</t>
  </si>
  <si>
    <t>Buy: 7.5 | Sell: 91.5</t>
  </si>
  <si>
    <t>{"symbol": "ON", "strategy": "Daily", "action": "SHORT", "alert_price": 92.36, "score": "", "dir_prob": "9.5", "net_sigma": "", "grade": "", "align": "", "premium": "", "wrong_if": "", "context": "", "subject": "Alert: Rev - Screener v1 (SPY, 12): Any alert() function call", "body": "{\"ticker\":\"ON\", \"setup\":\"A+ Trend Short\", \"side\":\"SHORT\", \"price\":92.36, \"stage\":4, \"buy\":7.5, \"sell\":91.5, \"prime\":-2, \"revL\":0, \"revS\":0, \"vcp\":0, \"dir_prob\":9.5, \"time\":1784727000000}", "ticker": "ON", "setup": "A+ Trend Short", "side": "SHORT", "price": 92.36, "stage": 4, "buy": 7.5, "sell": 91.5, "prime": -2, "revL": 0, "revS": 0, "vcp": 0, "time": 1784727000000, "email_id": "1990", "timestamp": "2026-07-22 16:01:26"}</t>
  </si>
  <si>
    <t>Buy: 93.1 | Sell: 11.6</t>
  </si>
  <si>
    <t>{"symbol": "IR", "strategy": "Daily", "action": "LONG", "alert_price": 83.54, "score": "", "dir_prob": "95.2", "net_sigma": "", "grade": "", "align": "", "premium": "", "wrong_if": "", "context": "", "subject": "Alert: Rev - Screener v1 (SPY, 12): Any alert() function call", "body": "{\"ticker\":\"IR\", \"setup\":\"A+ Trend Long\", \"side\":\"LONG\", \"price\":83.54, \"stage\":2, \"buy\":93.1, \"sell\":11.6, \"prime\":2, \"revL\":0, \"revS\":0, \"vcp\":0, \"dir_prob\":95.2, \"time\":1784727000000}", "ticker": "IR", "setup": "A+ Trend Long", "side": "LONG", "price": 83.54, "stage": 2, "buy": 93.1, "sell": 11.6, "prime": 2, "revL": 0, "revS": 0, "vcp": 0, "time": 1784727000000, "email_id": "1991", "timestamp": "2026-07-22 16:01:15"}</t>
  </si>
  <si>
    <t>Buy: 95.1 | Sell: 43</t>
  </si>
  <si>
    <t>{"symbol": "DGX", "strategy": "Daily", "action": "LONG", "alert_price": 210.27, "score": "", "dir_prob": "87.4", "net_sigma": "", "grade": "", "align": "", "premium": "", "wrong_if": "", "context": "", "subject": "Alert: Rev - Screener v1 (SPY, 12): Any alert() function call", "body": "{\"ticker\":\"DGX\", \"setup\":\"A+ Trend Long\", \"side\":\"LONG\", \"price\":210.27, \"stage\":2, \"buy\":95.1, \"sell\":43, \"prime\":2, \"revL\":0, \"revS\":0, \"vcp\":1, \"dir_prob\":87.4, \"time\":1784727000000}", "ticker": "DGX", "setup": "A+ Trend Long", "side": "LONG", "price": 210.27, "stage": 2, "buy": 95.1, "sell": 43, "prime": 2, "revL": 0, "revS": 0, "vcp": 1, "time": 1784727000000, "email_id": "1992", "timestamp": "2026-07-22 16:01:42"}</t>
  </si>
  <si>
    <t>Buy: 97.9 | Sell: 24.2</t>
  </si>
  <si>
    <t>**WAIT / SKIP** — Script Supremacy applies; no entry per Golden Rule 5.</t>
  </si>
  <si>
    <t>{"symbol": "CB", "strategy": "Daily", "action": "LONG", "alert_price": 343.07, "score": "", "dir_prob": "91.7", "net_sigma": "", "grade": "", "align": "", "premium": "", "wrong_if": "", "context": "", "subject": "Alert: Rev - Screener v1 (SPY, 12): Any alert() function call", "body": "{\"ticker\":\"CB\", \"setup\":\"A+ Trend Long\", \"side\":\"LONG\", \"price\":343.07, \"stage\":2, \"buy\":97.9, \"sell\":24.2, \"prime\":2, \"revL\":0, \"revS\":0, \"vcp\":0, \"dir_prob\":91.7, \"time\":1784727000000}", "ticker": "CB", "setup": "A+ Trend Long", "side": "LONG", "price": 343.07, "stage": 2, "buy": 97.9, "sell": 24.2, "prime": 2, "revL": 0, "revS": 0, "vcp": 0, "time": 1784727000000, "email_id": "1993", "timestamp": "2026-07-22 16:01:16"}</t>
  </si>
  <si>
    <t>TREND_LONG fires with buy=99.2 &gt;&gt; 65, dir_prob=96.77 &gt;&gt; 50, and stage=2 (up-trend). News CONFIRMS with a $400 target raise and EPS beat. PASS triage; key_flags include 'pullback' from computed_flags and 'extended' from ext_pct=8.22 (above 2</t>
  </si>
  <si>
    <t>Buy: 98 | Sell: 11.4</t>
  </si>
  <si>
    <t>{"symbol": "IQV", "strategy": "Daily", "action": "LONG", "alert_price": 198.53, "score": "", "dir_prob": "91.8", "net_sigma": "", "grade": "", "align": "", "premium": "", "wrong_if": "", "context": "", "subject": "Alert: Rev - Screener v1 (SPY, 12): Any alert() function call", "body": "{\"ticker\":\"IQV\", \"setup\":\"A+ Trend Long\", \"side\":\"LONG\", \"price\":198.53, \"stage\":2, \"buy\":98, \"sell\":11.4, \"prime\":2, \"revL\":0, \"revS\":0, \"vcp\":0, \"dir_prob\":91.8, \"time\":1784727000000}", "ticker": "IQV", "setup": "A+ Trend Long", "side": "LONG", "price": 198.53, "stage": 2, "buy": 98, "sell": 11.4, "prime": 2, "revL": 0, "revS": 0, "vcp": 0, "time": 1784727000000, "email_id": "1994", "timestamp": "2026-07-22 16:01:28"}</t>
  </si>
  <si>
    <t>Buy: 9.4 | Sell: 85.9</t>
  </si>
  <si>
    <t>{"symbol": "CCI", "strategy": "Daily", "action": "SHORT", "alert_price": 77.55, "score": "", "dir_prob": "12.8", "net_sigma": "", "grade": "", "align": "", "premium": "", "wrong_if": "", "context": "", "subject": "Alert: Rev - Screener v1 (SPY, 12): Any alert() function call", "body": "{\"ticker\":\"CCI\", \"setup\":\"A+ Trend Short\", \"side\":\"SHORT\", \"price\":77.55, \"stage\":4, \"buy\":9.4, \"sell\":85.9, \"prime\":-2, \"revL\":0, \"revS\":0, \"vcp\":0, \"dir_prob\":12.8, \"time\":1784727000000}", "ticker": "CCI", "setup": "A+ Trend Short", "side": "SHORT", "price": 77.55, "stage": 4, "buy": 9.4, "sell": 85.9, "prime": -2, "revL": 0, "revS": 0, "vcp": 0, "time": 1784727000000, "email_id": "1995", "timestamp": "2026-07-22 16:01:23"}</t>
  </si>
  <si>
    <t>Buy: 96 | Sell: 20.6</t>
  </si>
  <si>
    <t>{"symbol": "ED", "strategy": "Daily", "action": "LONG", "alert_price": 112.09, "score": "", "dir_prob": "92.5", "net_sigma": "", "grade": "", "align": "", "premium": "", "wrong_if": "", "context": "", "subject": "Alert: Rev - Screener v1 (SPY, 12): Any alert() function call", "body": "{\"ticker\":\"ED\", \"setup\":\"A+ Trend Long\", \"side\":\"LONG\", \"price\":112.09, \"stage\":2, \"buy\":96, \"sell\":20.6, \"prime\":2, \"revL\":0, \"revS\":0, \"vcp\":1, \"dir_prob\":92.5, \"time\":1784727000000}", "ticker": "ED", "setup": "A+ Trend Long", "side": "LONG", "price": 112.09, "stage": 2, "buy": 96, "sell": 20.6, "prime": 2, "revL": 0, "revS": 0, "vcp": 1, "time": 1784727000000, "email_id": "1996", "timestamp": "2026-07-22 16:01:27"}</t>
  </si>
  <si>
    <t>Buy: 96.6 | Sell: 14.6</t>
  </si>
  <si>
    <t>{"symbol": "HBAN", "strategy": "Daily", "action": "LONG", "alert_price": 18.3, "score": "", "dir_prob": "93", "net_sigma": "", "grade": "", "align": "", "premium": "", "wrong_if": "", "context": "", "subject": "Alert: Rev - Screener v1 (SPY, 12): Any alert() function call", "body": "{\"ticker\":\"HBAN\", \"setup\":\"A+ Trend Long\", \"side\":\"LONG\", \"price\":18.30, \"stage\":2, \"buy\":96.6, \"sell\":14.6, \"prime\":2, \"revL\":0, \"revS\":0, \"vcp\":1, \"dir_prob\":93, \"time\":1784727000000}", "ticker": "HBAN", "setup": "A+ Trend Long", "side": "LONG", "price": 18.3, "stage": 2, "buy": 96.6, "sell": 14.6, "prime": 2, "revL": 0, "revS": 0, "vcp": 1, "time": 1784727000000, "email_id": "1997", "timestamp": "2026-07-22 16:01:21"}</t>
  </si>
  <si>
    <t>Buy: 97.3 | Sell: 6.1</t>
  </si>
  <si>
    <t>{"symbol": "TMO", "strategy": "Daily", "action": "LONG", "alert_price": 526.25, "score": "", "dir_prob": "92.5", "net_sigma": "", "grade": "", "align": "", "premium": "", "wrong_if": "", "context": "", "subject": "Alert: Rev - Screener v1 (SPY, 12): Any alert() function call", "body": "{\"ticker\":\"TMO\", \"setup\":\"A+ Trend Long\", \"side\":\"LONG\", \"price\":526.25, \"stage\":2, \"buy\":97.3, \"sell\":6.1, \"prime\":2, \"revL\":0, \"revS\":0, \"vcp\":0, \"dir_prob\":92.5, \"time\":1784727000000}", "ticker": "TMO", "setup": "A+ Trend Long", "side": "LONG", "price": 526.25, "stage": 2, "buy": 97.3, "sell": 6.1, "prime": 2, "revL": 0, "revS": 0, "vcp": 0, "time": 1784727000000, "email_id": "1998", "timestamp": "2026-07-22 16:01:21"}</t>
  </si>
  <si>
    <t>AMGN</t>
  </si>
  <si>
    <t>Buy: 95.5 | Sell: 26</t>
  </si>
  <si>
    <t>🟡 **WAIT** (Setup is real, but the trigger is not at this price.)</t>
  </si>
  <si>
    <t>{"symbol": "AMGN", "strategy": "Daily", "action": "LONG", "alert_price": 366.04, "score": "", "dir_prob": "88.9", "net_sigma": "", "grade": "", "align": "", "premium": "", "wrong_if": "", "context": "", "subject": "Alert: Rev - Screener v1 (SPY, 12): Any alert() function call", "body": "{\"ticker\":\"AMGN\", \"setup\":\"A+ Trend Long\", \"side\":\"LONG\", \"price\":366.04, \"stage\":2, \"buy\":95.5, \"sell\":26, \"prime\":2, \"revL\":0, \"revS\":0, \"vcp\":1, \"dir_prob\":88.9, \"time\":1784727000000}", "ticker": "AMGN", "setup": "A+ Trend Long", "side": "LONG", "price": 366.04, "stage": 2, "buy": 95.5, "sell": 26, "prime": 2, "revL": 0, "revS": 0, "vcp": 1, "time": 1784727000000, "email_id": "1999", "timestamp": "2026-07-22 16:01:22"}</t>
  </si>
  <si>
    <t>TREND_LONG fires with buy=88.26 &gt; 65, dir_prob=92.23, and stage=2. News is NEUTRAL (tariff clock/generic drug context) and does not contradict the long bias. Triage capped to WATCH due to 'chased' flag (price above long_zone) and 'squeeze'/</t>
  </si>
  <si>
    <t>{"symbol": "RF", "strategy": "Daily", "action": "LONG", "alert_price": 30.86, "score": "", "dir_prob": "93.1", "net_sigma": "", "grade": "", "align": "", "premium": "", "wrong_if": "", "context": "", "subject": "Alert: Rev - Screener v1 (SPY, 12): Any alert() function call", "body": "{\"ticker\":\"RF\", \"setup\":\"A+ Trend Long\", \"side\":\"LONG\", \"price\":30.86, \"stage\":2, \"buy\":97, \"sell\":6, \"prime\":2, \"revL\":0, \"revS\":0, \"vcp\":0, \"dir_prob\":93.1, \"time\":1784727000000}", "ticker": "RF", "setup": "A+ Trend Long", "side": "LONG", "price": 30.86, "stage": 2, "buy": 97, "sell": 6, "prime": 2, "revL": 0, "revS": 0, "vcp": 0, "time": 1784727000000, "email_id": "2000", "timestamp": "2026-07-22 16:01:18"}</t>
  </si>
  <si>
    <t>Buy: 96.6 | Sell: 11.4</t>
  </si>
  <si>
    <t>{"symbol": "EXPD", "strategy": "Daily", "action": "LONG", "alert_price": 177.42, "score": "", "dir_prob": "90.1", "net_sigma": "", "grade": "", "align": "", "premium": "", "wrong_if": "", "context": "", "subject": "Alert: Rev - Screener v1 (SPY, 12): Any alert() function call", "body": "{\"ticker\":\"EXPD\", \"setup\":\"A+ Trend Long\", \"side\":\"LONG\", \"price\":177.42, \"stage\":2, \"buy\":96.6, \"sell\":11.4, \"prime\":2, \"revL\":0, \"revS\":0, \"vcp\":0, \"dir_prob\":90.1, \"time\":1784727000000}", "ticker": "EXPD", "setup": "A+ Trend Long", "side": "LONG", "price": 177.42, "stage": 2, "buy": 96.6, "sell": 11.4, "prime": 2, "revL": 0, "revS": 0, "vcp": 0, "time": 1784727000000, "email_id": "2001", "timestamp": "2026-07-22 16:01:22"}</t>
  </si>
  <si>
    <t>TREND_LONG fires with buy=97.69 &gt;&gt; 65, dir_prob=89.38, and stage=2. News CONFIRMS with a price target raise to $189. Triage capped to WATCH due to 'earnings' flag (13 days out) and 'churn' risk from opposite_score=20.53 being relatively low</t>
  </si>
  <si>
    <t>Buy: 97.3 | Sell: 8.9</t>
  </si>
  <si>
    <t>{"symbol": "EG", "strategy": "Daily", "action": "LONG", "alert_price": 373.04, "score": "", "dir_prob": "92.6", "net_sigma": "", "grade": "", "align": "", "premium": "", "wrong_if": "", "context": "", "subject": "Alert: Rev - Screener v1 (SPY, 12): Any alert() function call", "body": "{\"ticker\":\"EG\", \"setup\":\"A+ Trend Long\", \"side\":\"LONG\", \"price\":373.04, \"stage\":2, \"buy\":97.3, \"sell\":8.9, \"prime\":2, \"revL\":0, \"revS\":0, \"vcp\":0, \"dir_prob\":92.6, \"time\":1784727000000}", "ticker": "EG", "setup": "A+ Trend Long", "side": "LONG", "price": 373.04, "stage": 2, "buy": 97.3, "sell": 8.9, "prime": 2, "revL": 0, "revS": 0, "vcp": 0, "time": 1784727000000, "email_id": "2002", "timestamp": "2026-07-22 16:01:27"}</t>
  </si>
  <si>
    <t>Buy: 10.6 | Sell: 94.8</t>
  </si>
  <si>
    <t>{"symbol": "FIX", "strategy": "Daily", "action": "SHORT", "alert_price": 1792.03, "score": "", "dir_prob": "0.7", "net_sigma": "", "grade": "", "align": "", "premium": "", "wrong_if": "", "context": "", "subject": "Alert: Rev - Screener v1 (SPY, 12): Any alert() function call", "body": "{\"ticker\":\"FIX\", \"setup\":\"A+ Trend Short\", \"side\":\"SHORT\", \"price\":1792.03, \"stage\":4, \"buy\":10.6, \"sell\":94.8, \"prime\":-2, \"revL\":0, \"revS\":0, \"vcp\":0, \"dir_prob\":0.7, \"time\":1784727000000}", "ticker": "FIX", "setup": "A+ Trend Short", "side": "SHORT", "price": 1792.03, "stage": 4, "buy": 10.6, "sell": 94.8, "prime": -2, "revL": 0, "revS": 0, "vcp": 0, "time": 1784727000000, "email_id": "2003", "timestamp": "2026-07-22 16:01:26"}</t>
  </si>
  <si>
    <t>Buy: 88.2 | Sell: 19.6</t>
  </si>
  <si>
    <t>SKIP / WAIT (Setup is NOT triggered; set alerts at $1,110.95–$1,129.59)</t>
  </si>
  <si>
    <t>{"symbol": "LLY", "strategy": "Daily", "action": "LONG", "alert_price": 1163.0, "score": "", "dir_prob": "88.3", "net_sigma": "", "grade": "", "align": "", "premium": "", "wrong_if": "", "context": "", "subject": "Alert: Rev - Screener v1 (SPY, 12): Any alert() function call", "body": "{\"ticker\":\"LLY\", \"setup\":\"A+ Trend Long\", \"side\":\"LONG\", \"price\":1163.00, \"stage\":2, \"buy\":88.2, \"sell\":19.6, \"prime\":2, \"revL\":0, \"revS\":0, \"vcp\":0, \"dir_prob\":88.3, \"time\":1784727000000}", "ticker": "LLY", "setup": "A+ Trend Long", "side": "LONG", "price": 1163.0, "stage": 2, "buy": 88.2, "sell": 19.6, "prime": 2, "revL": 0, "revS": 0, "vcp": 0, "time": 1784727000000, "email_id": "2004", "timestamp": "2026-07-22 16:01:14"}</t>
  </si>
  <si>
    <t>TREND_LONG fires with buy=88.57 &gt; 65, dir_prob=80.69 &gt;= 50, and stage=2. However, the news headlines regarding the Novo Nordisk lawsuit CONTRADICT the long bias, creating a significant headwind. The 'chased' flag indicates the price is in '</t>
  </si>
  <si>
    <t>Buy: 45.8 | Sell: 86.1</t>
  </si>
  <si>
    <t>{"symbol": "FFIV", "strategy": "Daily", "action": "SHORT", "alert_price": 400.7, "score": "", "dir_prob": "7.5", "net_sigma": "", "grade": "", "align": "", "premium": "", "wrong_if": "", "context": "", "subject": "Alert: Rev - Screener v1 (SPY, 12): Any alert() function call", "body": "{\"ticker\":\"FFIV\", \"setup\":\"A+ Trend Short\", \"side\":\"SHORT\", \"price\":400.70, \"stage\":4, \"buy\":45.8, \"sell\":86.1, \"prime\":-2, \"revL\":0, \"revS\":0, \"vcp\":0, \"dir_prob\":7.5, \"time\":1784727000000}", "ticker": "FFIV", "setup": "A+ Trend Short", "side": "SHORT", "price": 400.7, "stage": 4, "buy": 45.8, "sell": 86.1, "prime": -2, "revL": 0, "revS": 0, "vcp": 0, "time": 1784727000000, "email_id": "2005", "timestamp": "2026-07-22 16:01:25"}</t>
  </si>
  <si>
    <t>Buy: 91 | Sell: 41.6</t>
  </si>
  <si>
    <t>{"symbol": "GL", "strategy": "Daily", "action": "LONG", "alert_price": 183.89, "score": "", "dir_prob": "72", "net_sigma": "", "grade": "", "align": "", "premium": "", "wrong_if": "", "context": "", "subject": "Alert: Rev - Screener v1 (SPY, 12): Any alert() function call", "body": "{\"ticker\":\"GL\", \"setup\":\"A+ Trend Long\", \"side\":\"LONG\", \"price\":183.89, \"stage\":2, \"buy\":91, \"sell\":41.6, \"prime\":2, \"revL\":0, \"revS\":0, \"vcp\":0, \"dir_prob\":72, \"time\":1784727000000}", "ticker": "GL", "setup": "A+ Trend Long", "side": "LONG", "price": 183.89, "stage": 2, "buy": 91, "sell": 41.6, "prime": 2, "revL": 0, "revS": 0, "vcp": 0, "time": 1784727000000, "email_id": "2006", "timestamp": "2026-07-22 16:01:15"}</t>
  </si>
  <si>
    <t>{"symbol": "INCY", "strategy": "Daily", "action": "LONG", "alert_price": 115.78, "score": "", "dir_prob": "94.8", "net_sigma": "", "grade": "", "align": "", "premium": "", "wrong_if": "", "context": "", "subject": "Alert: Rev - Screener v1 (SPY, 12): Any alert() function call", "body": "{\"ticker\":\"INCY\", \"setup\":\"A+ Trend Long\", \"side\":\"LONG\", \"price\":115.78, \"stage\":2, \"buy\":96.5, \"sell\":5.5, \"prime\":2, \"revL\":0, \"revS\":0, \"vcp\":0, \"dir_prob\":94.8, \"time\":1784727000000}", "ticker": "INCY", "setup": "A+ Trend Long", "side": "LONG", "price": 115.78, "stage": 2, "buy": 96.5, "sell": 5.5, "prime": 2, "revL": 0, "revS": 0, "vcp": 0, "time": 1784727000000, "email_id": "2007", "timestamp": "2026-07-22 16:01:33"}</t>
  </si>
  <si>
    <t>TREND_LONG fires with buy=96.19 &gt; 65, dir_prob=69.1 &gt;= 50, and stage=2. News CONFIRMS with a Buy rating and partnership deal. Triage capped to WATCH due to earnings_gate=CAUTION (6 days out) and the 'pullback' flag indicating a dip-buy zone</t>
  </si>
  <si>
    <t>Buy: 92.8 | Sell: 13</t>
  </si>
  <si>
    <t>{"symbol": "MAS", "strategy": "Daily", "action": "LONG", "alert_price": 78.03, "score": "", "dir_prob": "90.3", "net_sigma": "", "grade": "", "align": "", "premium": "", "wrong_if": "", "context": "", "subject": "Alert: Rev - Screener v1 (SPY, 12): Any alert() function call", "body": "{\"ticker\":\"MAS\", \"setup\":\"A+ Trend Long\", \"side\":\"LONG\", \"price\":78.03, \"stage\":2, \"buy\":92.8, \"sell\":13, \"prime\":2, \"revL\":0, \"revS\":0, \"vcp\":0, \"dir_prob\":90.3, \"time\":1784727000000}", "ticker": "MAS", "setup": "A+ Trend Long", "side": "LONG", "price": 78.03, "stage": 2, "buy": 92.8, "sell": 13, "prime": 2, "revL": 0, "revS": 0, "vcp": 0, "time": 1784727000000, "email_id": "2008", "timestamp": "2026-07-22 16:01:24"}</t>
  </si>
  <si>
    <t>Buy: 96.2 | Sell: 10.7</t>
  </si>
  <si>
    <t>{"symbol": "ADP", "strategy": "Daily", "action": "LONG", "alert_price": 243.1, "score": "", "dir_prob": "99.1", "net_sigma": "", "grade": "", "align": "", "premium": "", "wrong_if": "", "context": "", "subject": "Alert: Rev - Screener v1 (SPY, 12): Any alert() function call", "body": "{\"ticker\":\"ADP\", \"setup\":\"A+ Trend Long\", \"side\":\"LONG\", \"price\":243.10, \"stage\":2, \"buy\":96.2, \"sell\":10.7, \"prime\":2, \"revL\":0, \"revS\":0, \"vcp\":0, \"dir_prob\":99.1, \"time\":1784727000000}", "ticker": "ADP", "setup": "A+ Trend Long", "side": "LONG", "price": 243.1, "stage": 2, "buy": 96.2, "sell": 10.7, "prime": 2, "revL": 0, "revS": 0, "vcp": 0, "time": 1784727000000, "email_id": "2009", "timestamp": "2026-07-22 16:01:20"}</t>
  </si>
  <si>
    <t>Buy: 96.4 | Sell: 33.4</t>
  </si>
  <si>
    <t>{"symbol": "KEY", "strategy": "Daily", "action": "LONG", "alert_price": 23.09, "score": "", "dir_prob": "86.1", "net_sigma": "", "grade": "", "align": "", "premium": "", "wrong_if": "", "context": "", "subject": "Alert: Rev - Screener v1 (SPY, 12): Any alert() function call", "body": "{\"ticker\":\"KEY\", \"setup\":\"A+ Trend Long\", \"side\":\"LONG\", \"price\":23.09, \"stage\":2, \"buy\":96.4, \"sell\":33.4, \"prime\":2, \"revL\":0, \"revS\":0, \"vcp\":1, \"dir_prob\":86.1, \"time\":1784727000000}", "ticker": "KEY", "setup": "A+ Trend Long", "side": "LONG", "price": 23.09, "stage": 2, "buy": 96.4, "sell": 33.4, "prime": 2, "revL": 0, "revS": 0, "vcp": 1, "time": 1784727000000, "email_id": "2010", "timestamp": "2026-07-22 16:01:24"}</t>
  </si>
  <si>
    <t>Buy: 91.3 | Sell: 14.5</t>
  </si>
  <si>
    <t>⏳ **WAIT (Stalking the Long Zone)**</t>
  </si>
  <si>
    <t>{"symbol": "ESS", "strategy": "Daily", "action": "LONG", "alert_price": 292.95, "score": "", "dir_prob": "94.2", "net_sigma": "", "grade": "", "align": "", "premium": "", "wrong_if": "", "context": "", "subject": "Alert: Rev - Screener v1 (SPY, 12): Any alert() function call", "body": "{\"ticker\":\"ESS\", \"setup\":\"A+ Trend Long\", \"side\":\"LONG\", \"price\":292.95, \"stage\":2, \"buy\":91.3, \"sell\":14.5, \"prime\":2, \"revL\":0, \"revS\":0, \"vcp\":0, \"dir_prob\":94.2, \"time\":1784727000000}", "ticker": "ESS", "setup": "A+ Trend Long", "side": "LONG", "price": 292.95, "stage": 2, "buy": 91.3, "sell": 14.5, "prime": 2, "revL": 0, "revS": 0, "vcp": 0, "time": 1784727000000, "email_id": "2011", "timestamp": "2026-07-22 16:01:37"}</t>
  </si>
  <si>
    <t>TREND_LONG fires with buy=93.4 &gt; 65, dir_prob=79.81 &gt;= 50, and stage=2. News CONFIRMS with a price target raise to $352. Triage capped to WATCH due to earnings_gate=PASS (7 days out) and rr_from_current=1.04 (poor R:R while above_zone).</t>
  </si>
  <si>
    <t>Buy: 97.2 | Sell: 16.9</t>
  </si>
  <si>
    <t>{"symbol": "RJF", "strategy": "Daily", "action": "LONG", "alert_price": 168.0, "score": "", "dir_prob": "93.1", "net_sigma": "", "grade": "", "align": "", "premium": "", "wrong_if": "", "context": "", "subject": "Alert: Rev - Screener v1 (SPY, 12): Any alert() function call", "body": "{\"ticker\":\"RJF\", \"setup\":\"A+ Trend Long\", \"side\":\"LONG\", \"price\":168.00, \"stage\":2, \"buy\":97.2, \"sell\":16.9, \"prime\":2, \"revL\":0, \"revS\":0, \"vcp\":0, \"dir_prob\":93.1, \"time\":1784727000000}", "ticker": "RJF", "setup": "A+ Trend Long", "side": "LONG", "price": 168.0, "stage": 2, "buy": 97.2, "sell": 16.9, "prime": 2, "revL": 0, "revS": 0, "vcp": 0, "time": 1784727000000, "email_id": "2012", "timestamp": "2026-07-22 16:01:16"}</t>
  </si>
  <si>
    <t>Buy: 94.3 | Sell: 30</t>
  </si>
  <si>
    <t>{"symbol": "ABBV", "strategy": "Daily", "action": "LONG", "alert_price": 253.32, "score": "", "dir_prob": "87.3", "net_sigma": "", "grade": "", "align": "", "premium": "", "wrong_if": "", "context": "", "subject": "Alert: Rev - Screener v1 (SPY, 12): Any alert() function call", "body": "{\"ticker\":\"ABBV\", \"setup\":\"A+ Trend Long\", \"side\":\"LONG\", \"price\":253.32, \"stage\":2, \"buy\":94.3, \"sell\":30, \"prime\":2, \"revL\":0, \"revS\":0, \"vcp\":0, \"dir_prob\":87.3, \"time\":1784727000000}", "ticker": "ABBV", "setup": "A+ Trend Long", "side": "LONG", "price": 253.32, "stage": 2, "buy": 94.3, "sell": 30, "prime": 2, "revL": 0, "revS": 0, "vcp": 0, "time": 1784727000000, "email_id": "2013", "timestamp": "2026-07-22 16:01:24"}</t>
  </si>
  <si>
    <t>Buy: 94.2 | Sell: 28.1</t>
  </si>
  <si>
    <t>{"symbol": "O", "strategy": "Daily", "action": "LONG", "alert_price": 65.03, "score": "", "dir_prob": "92.2", "net_sigma": "", "grade": "", "align": "", "premium": "", "wrong_if": "", "context": "", "subject": "Alert: Rev - Screener v1 (SPY, 12): Any alert() function call", "body": "{\"ticker\":\"O\", \"setup\":\"A+ Trend Long\", \"side\":\"LONG\", \"price\":65.03, \"stage\":2, \"buy\":94.2, \"sell\":28.1, \"prime\":2, \"revL\":0, \"revS\":0, \"vcp\":0, \"dir_prob\":92.2, \"time\":1784727000000}", "ticker": "O", "setup": "A+ Trend Long", "side": "LONG", "price": 65.03, "stage": 2, "buy": 94.2, "sell": 28.1, "prime": 2, "revL": 0, "revS": 0, "vcp": 0, "time": 1784727000000, "email_id": "2014", "timestamp": "2026-07-22 16:01:33"}</t>
  </si>
  <si>
    <t>Buy: 97.5 | Sell: 11.9</t>
  </si>
  <si>
    <t>{"symbol": "WTW", "strategy": "Daily", "action": "LONG", "alert_price": 286.56, "score": "", "dir_prob": "96.8", "net_sigma": "", "grade": "", "align": "", "premium": "", "wrong_if": "", "context": "", "subject": "Alert: Rev - Screener v1 (SPY, 12): Any alert() function call", "body": "{\"ticker\":\"WTW\", \"setup\":\"A+ Trend Long\", \"side\":\"LONG\", \"price\":286.56, \"stage\":2, \"buy\":97.5, \"sell\":11.9, \"prime\":2, \"revL\":0, \"revS\":0, \"vcp\":0, \"dir_prob\":96.8, \"time\":1784727000000}", "ticker": "WTW", "setup": "A+ Trend Long", "side": "LONG", "price": 286.56, "stage": 2, "buy": 97.5, "sell": 11.9, "prime": 2, "revL": 0, "revS": 0, "vcp": 0, "time": 1784727000000, "email_id": "2015", "timestamp": "2026-07-22 16:01:16"}</t>
  </si>
  <si>
    <t>Buy: 74.2 | Sell: 6.5</t>
  </si>
  <si>
    <t>{"symbol": "PRU", "strategy": "Daily", "action": "LONG", "alert_price": 118.86, "score": "", "dir_prob": "88.3", "net_sigma": "", "grade": "", "align": "", "premium": "", "wrong_if": "", "context": "", "subject": "Alert: Rev - Screener v1 (SPY, 12): Any alert() function call", "body": "{\"ticker\":\"PRU\", \"setup\":\"Early Action Long\", \"side\":\"LONG\", \"price\":118.86, \"stage\":2, \"buy\":74.2, \"sell\":6.5, \"prime\":1, \"revL\":0, \"revS\":0, \"vcp\":0, \"dir_prob\":88.3, \"time\":1784727000000}", "ticker": "PRU", "setup": "Early Action Long", "side": "LONG", "price": 118.86, "stage": 2, "buy": 74.2, "sell": 6.5, "prime": 1, "revL": 0, "revS": 0, "vcp": 0, "time": 1784727000000, "email_id": "2016", "timestamp": "2026-07-22 16:01:29"}</t>
  </si>
  <si>
    <t>Buy: 38.2 | Sell: 87.1</t>
  </si>
  <si>
    <t>{"symbol": "SMCI", "strategy": "Daily", "action": "SHORT", "alert_price": 30.53, "score": "", "dir_prob": "27.8", "net_sigma": "", "grade": "", "align": "", "premium": "", "wrong_if": "", "context": "", "subject": "Alert: Rev - Screener v1 (SPY, 12): Any alert() function call", "body": "{\"ticker\":\"SMCI\", \"setup\":\"A+ Trend Short\", \"side\":\"SHORT\", \"price\":30.53, \"stage\":4, \"buy\":38.2, \"sell\":87.1, \"prime\":-2, \"revL\":0, \"revS\":0, \"vcp\":0, \"dir_prob\":27.8, \"time\":1784727000000}", "ticker": "SMCI", "setup": "A+ Trend Short", "side": "SHORT", "price": 30.53, "stage": 4, "buy": 38.2, "sell": 87.1, "prime": -2, "revL": 0, "revS": 0, "vcp": 0, "time": 1784727000000, "email_id": "2017", "timestamp": "2026-07-22 16:01:38"}</t>
  </si>
  <si>
    <t>Buy: 94.5 | Sell: 29.8</t>
  </si>
  <si>
    <t>WAIT (set alert at long entry zone; do NOT chase at $104)</t>
  </si>
  <si>
    <t>{"symbol": "HOOD", "strategy": "Daily", "action": "LONG", "alert_price": 104.48, "score": "", "dir_prob": "87.2", "net_sigma": "", "grade": "", "align": "", "premium": "", "wrong_if": "", "context": "", "subject": "Alert: Rev - Screener v1 (SPY, 12): Any alert() function call", "body": "{\"ticker\":\"HOOD\", \"setup\":\"A+ Trend Long\", \"side\":\"LONG\", \"price\":104.48, \"stage\":2, \"buy\":94.5, \"sell\":29.8, \"prime\":2, \"revL\":0, \"revS\":0, \"vcp\":0, \"dir_prob\":87.2, \"time\":1784727000000}", "ticker": "HOOD", "setup": "A+ Trend Long", "side": "LONG", "price": 104.48, "stage": 2, "buy": 94.5, "sell": 29.8, "prime": 2, "revL": 0, "revS": 0, "vcp": 0, "time": 1784727000000, "email_id": "2018", "timestamp": "2026-07-22 16:01:29"}</t>
  </si>
  <si>
    <t>TREND_LONG fires with buy=86.79 &gt; 65, dir_prob=95.56 &gt;&gt; 50, and stage=2 (up-trend). News CONFIRMS with KeyBank raising PT to $125 and positive headlines. PASS triage; conviction boosted by strong momentum and catalyst. No VETO flags apply (</t>
  </si>
  <si>
    <t>Buy: 97.7 | Sell: 8.5</t>
  </si>
  <si>
    <t>{"symbol": "AJG", "strategy": "Daily", "action": "LONG", "alert_price": 242.48, "score": "", "dir_prob": "99.1", "net_sigma": "", "grade": "", "align": "", "premium": "", "wrong_if": "", "context": "", "subject": "Alert: Rev - Screener v1 (SPY, 12): Any alert() function call", "body": "{\"ticker\":\"AJG\", \"setup\":\"A+ Trend Long\", \"side\":\"LONG\", \"price\":242.48, \"stage\":2, \"buy\":97.7, \"sell\":8.5, \"prime\":2, \"revL\":0, \"revS\":0, \"vcp\":0, \"dir_prob\":99.1, \"time\":1784727000000}", "ticker": "AJG", "setup": "A+ Trend Long", "side": "LONG", "price": 242.48, "stage": 2, "buy": 97.7, "sell": 8.5, "prime": 2, "revL": 0, "revS": 0, "vcp": 0, "time": 1784727000000, "email_id": "2019", "timestamp": "2026-07-22 16:01:18"}</t>
  </si>
  <si>
    <t>Buy: 10.6 | Sell: 91.4</t>
  </si>
  <si>
    <t>{"symbol": "VZ", "strategy": "Daily", "action": "SHORT", "alert_price": 44.29, "score": "", "dir_prob": "12.2", "net_sigma": "", "grade": "", "align": "", "premium": "", "wrong_if": "", "context": "", "subject": "Alert: Rev - Screener v1 (SPY, 12): Any alert() function call", "body": "{\"ticker\":\"VZ\", \"setup\":\"A+ Trend Short\", \"side\":\"SHORT\", \"price\":44.29, \"stage\":4, \"buy\":10.6, \"sell\":91.4, \"prime\":-2, \"revL\":0, \"revS\":0, \"vcp\":0, \"dir_prob\":12.2, \"time\":1784727000000}", "ticker": "VZ", "setup": "A+ Trend Short", "side": "SHORT", "price": 44.29, "stage": 4, "buy": 10.6, "sell": 91.4, "prime": -2, "revL": 0, "revS": 0, "vcp": 0, "time": 1784727000000, "email_id": "2020", "timestamp": "2026-07-22 16:01:26"}</t>
  </si>
  <si>
    <t>HLT</t>
  </si>
  <si>
    <t>Buy: 22.2 | Sell: 87.6</t>
  </si>
  <si>
    <t>{"symbol": "HLT", "strategy": "Daily", "action": "SHORT", "alert_price": 324.26, "score": "", "dir_prob": "13.1", "net_sigma": "", "grade": "", "align": "", "premium": "", "wrong_if": "", "context": "", "subject": "Alert: Rev - Screener v1 (SPY, 12): Any alert() function call", "body": "{\"ticker\":\"HLT\", \"setup\":\"A+ Trend Short\", \"side\":\"SHORT\", \"price\":324.26, \"stage\":4, \"buy\":22.2, \"sell\":87.6, \"prime\":-2, \"revL\":0, \"revS\":0, \"vcp\":0, \"dir_prob\":13.1, \"time\":1784727000000}", "ticker": "HLT", "setup": "A+ Trend Short", "side": "SHORT", "price": 324.26, "stage": 4, "buy": 22.2, "sell": 87.6, "prime": -2, "revL": 0, "revS": 0, "vcp": 0, "time": 1784727000000, "email_id": "2021", "timestamp": "2026-07-22 16:01:25"}</t>
  </si>
  <si>
    <t>Buy: 15 | Sell: 96.1</t>
  </si>
  <si>
    <t>{"symbol": "STLD", "strategy": "Daily", "action": "SHORT", "alert_price": 238.63, "score": "", "dir_prob": "6", "net_sigma": "", "grade": "", "align": "", "premium": "", "wrong_if": "", "context": "", "subject": "Alert: Rev - Screener v1 (SPY, 12): Any alert() function call", "body": "{\"ticker\":\"STLD\", \"setup\":\"A+ Trend Short\", \"side\":\"SHORT\", \"price\":238.63, \"stage\":4, \"buy\":15, \"sell\":96.1, \"prime\":-2, \"revL\":0, \"revS\":0, \"vcp\":0, \"dir_prob\":6, \"time\":1784727000000}", "ticker": "STLD", "setup": "A+ Trend Short", "side": "SHORT", "price": 238.63, "stage": 4, "buy": 15, "sell": 96.1, "prime": -2, "revL": 0, "revS": 0, "vcp": 0, "time": 1784727000000, "email_id": "2022", "timestamp": "2026-07-22 16:01:26"}</t>
  </si>
  <si>
    <t>{"symbol": "OMC", "strategy": "Daily", "action": "LONG", "alert_price": 79.38, "score": "", "dir_prob": "94.8", "net_sigma": "", "grade": "", "align": "", "premium": "", "wrong_if": "", "context": "", "subject": "Alert: Rev - Screener v1 (SPY, 12): Any alert() function call", "body": "{\"ticker\":\"OMC\", \"setup\":\"A+ Trend Long\", \"side\":\"LONG\", \"price\":79.38, \"stage\":2, \"buy\":97.5, \"sell\":4, \"prime\":2, \"revL\":0, \"revS\":0, \"vcp\":0, \"dir_prob\":94.8, \"time\":1784727000000}", "ticker": "OMC", "setup": "A+ Trend Long", "side": "LONG", "price": 79.38, "stage": 2, "buy": 97.5, "sell": 4, "prime": 2, "revL": 0, "revS": 0, "vcp": 0, "time": 1784727000000, "email_id": "2023", "timestamp": "2026-07-22 16:01:25"}</t>
  </si>
  <si>
    <t>Buy: 90.2 | Sell: 17.4</t>
  </si>
  <si>
    <t>{"symbol": "DOC", "strategy": "Daily", "action": "LONG", "alert_price": 22.18, "score": "", "dir_prob": "91.7", "net_sigma": "", "grade": "", "align": "", "premium": "", "wrong_if": "", "context": "", "subject": "Alert: Rev - Screener v1 (SPY, 12): Any alert() function call", "body": "{\"ticker\":\"DOC\", \"setup\":\"A+ Trend Long\", \"side\":\"LONG\", \"price\":22.18, \"stage\":2, \"buy\":90.2, \"sell\":17.4, \"prime\":2, \"revL\":0, \"revS\":0, \"vcp\":0, \"dir_prob\":91.7, \"time\":1784727000000}", "ticker": "DOC", "setup": "A+ Trend Long", "side": "LONG", "price": 22.18, "stage": 2, "buy": 90.2, "sell": 17.4, "prime": 2, "revL": 0, "revS": 0, "vcp": 0, "time": 1784727000000, "email_id": "2024", "timestamp": "2026-07-22 16:01:21"}</t>
  </si>
  <si>
    <t>TREND_LONG fires with buy=92.31 &gt;&gt; 65, dir_prob=86.24, and stage=2. News CONFIRMS the bullish bias with a major $2.1B JV announcement. Triage is capped to WATCH due to the 'chased' condition (zone_state=above_zone with rr_from_current=0.89)</t>
  </si>
  <si>
    <t>Buy: 71.7 | Sell: 36.6</t>
  </si>
  <si>
    <t>{"symbol": "HPQ", "strategy": "Daily", "action": "LONG", "alert_price": 25.11, "score": "", "dir_prob": "76.8", "net_sigma": "", "grade": "", "align": "", "premium": "", "wrong_if": "", "context": "", "subject": "Alert: Rev - Screener v1 (SPY, 12): Any alert() function call", "body": "{\"ticker\":\"HPQ\", \"setup\":\"Early Action Long\", \"side\":\"LONG\", \"price\":25.11, \"stage\":2, \"buy\":71.7, \"sell\":36.6, \"prime\":1, \"revL\":0, \"revS\":0, \"vcp\":0, \"dir_prob\":76.8, \"time\":1784727000000}", "ticker": "HPQ", "setup": "Early Action Long", "side": "LONG", "price": 25.11, "stage": 2, "buy": 71.7, "sell": 36.6, "prime": 1, "revL": 0, "revS": 0, "vcp": 0, "time": 1784727000000, "email_id": "2025", "timestamp": "2026-07-22 16:01:28"}</t>
  </si>
  <si>
    <t>Buy: 92.8 | Sell: 8.3</t>
  </si>
  <si>
    <t>{"symbol": "MTB", "strategy": "Daily", "action": "LONG", "alert_price": 250.76, "score": "", "dir_prob": "93.6", "net_sigma": "", "grade": "", "align": "", "premium": "", "wrong_if": "", "context": "", "subject": "Alert: Rev - Screener v1 (SPY, 12): Any alert() function call", "body": "{\"ticker\":\"MTB\", \"setup\":\"A+ Trend Long\", \"side\":\"LONG\", \"price\":250.76, \"stage\":2, \"buy\":92.8, \"sell\":8.3, \"prime\":2, \"revL\":0, \"revS\":0, \"vcp\":0, \"dir_prob\":93.6, \"time\":1784727000000}", "ticker": "MTB", "setup": "A+ Trend Long", "side": "LONG", "price": 250.76, "stage": 2, "buy": 92.8, "sell": 8.3, "prime": 2, "revL": 0, "revS": 0, "vcp": 0, "time": 1784727000000, "email_id": "2026", "timestamp": "2026-07-22 16:01:26"}</t>
  </si>
  <si>
    <t>Buy: 94.3 | Sell: 31.3</t>
  </si>
  <si>
    <t>Buy: 88.6 | Sell: 26.1</t>
  </si>
  <si>
    <t>{"symbol": "KMB", "strategy": "Daily", "action": "LONG", "alert_price": 108.89, "score": "", "dir_prob": "96", "net_sigma": "", "grade": "", "align": "", "premium": "", "wrong_if": "", "context": "", "subject": "Alert: Rev - Screener v1 (SPY, 12): Any alert() function call", "body": "{\"ticker\":\"KMB\", \"setup\":\"A+ Trend Long\", \"side\":\"LONG\", \"price\":108.89, \"stage\":2, \"buy\":94.3, \"sell\":31.3, \"prime\":2, \"revL\":0, \"revS\":0, \"vcp\":0, \"dir_prob\":96, \"time\":1784727000000}", "ticker": "KMB", "setup": "A+ Trend Long", "side": "LONG", "price": 108.89, "stage": 2, "buy": 94.3, "sell": 31.3, "prime": 2, "revL": 0, "revS": 0, "vcp": 0, "time": 1784727000000, "email_id": "2027", "timestamp": "2026-07-22 16:01:25"}</t>
  </si>
  <si>
    <t>Buy: 95.5 | Sell: 8.8</t>
  </si>
  <si>
    <t>{"symbol": "CVS", "strategy": "Daily", "action": "LONG", "alert_price": 106.89, "score": "", "dir_prob": "86.4", "net_sigma": "", "grade": "", "align": "", "premium": "", "wrong_if": "", "context": "", "subject": "Alert: Rev - Screener v1 (SPY, 12): Any alert() function call", "body": "{\"ticker\":\"CVS\", \"setup\":\"A+ Trend Long\", \"side\":\"LONG\", \"price\":106.89, \"stage\":2, \"buy\":88.6, \"sell\":26.1, \"prime\":2, \"revL\":0, \"revS\":0, \"vcp\":0, \"dir_prob\":86.4, \"time\":1784813400000}", "ticker": "CVS", "setup": "A+ Trend Long", "side": "LONG", "price": 106.89, "stage": 2, "buy": 88.6, "sell": 26.1, "prime": 2, "revL": 0, "revS": 0, "vcp": 0, "time": 1784813400000, "email_id": "2109", "timestamp": "2026-07-23 16:01:01"}</t>
  </si>
  <si>
    <t>TREND_LONG fires with buy=88.83 &gt; 65, dir_prob=84.31 &gt;= 50, and stage=2 (up-trend). News is NEUTRAL with no catalyst. PASS triage despite 'pullback' flag and low R:R (0.41) from current price to zone, as the trend signal is strong and no VV</t>
  </si>
  <si>
    <t>Buy: 94.2 | Sell: 33.8</t>
  </si>
  <si>
    <t>{"symbol": "DG", "strategy": "Daily", "action": "LONG", "alert_price": 120.27, "score": "", "dir_prob": "96.9", "net_sigma": "", "grade": "", "align": "", "premium": "", "wrong_if": "", "context": "", "subject": "Alert: Rev - Screener v1 (SPY, 12): Any alert() function call", "body": "{\"ticker\":\"DG\", \"setup\":\"A+ Trend Long\", \"side\":\"LONG\", \"price\":120.27, \"stage\":2, \"buy\":95.5, \"sell\":8.8, \"prime\":2, \"revL\":0, \"revS\":0, \"vcp\":0, \"dir_prob\":96.9, \"time\":1784727000000}", "ticker": "DG", "setup": "A+ Trend Long", "side": "LONG", "price": 120.27, "stage": 2, "buy": 95.5, "sell": 8.8, "prime": 2, "revL": 0, "revS": 0, "vcp": 0, "time": 1784727000000, "email_id": "2028", "timestamp": "2026-07-22 16:01:34"}</t>
  </si>
  <si>
    <t>Buy: 96.2 | Sell: 14.6</t>
  </si>
  <si>
    <t>{"symbol": "KVUE", "strategy": "Daily", "action": "LONG", "alert_price": 18.9, "score": "", "dir_prob": "87.8", "net_sigma": "", "grade": "", "align": "", "premium": "", "wrong_if": "", "context": "", "subject": "Alert: Rev - Screener v1 (SPY, 12): Any alert() function call", "body": "{\"ticker\":\"KVUE\", \"setup\":\"A+ Trend Long\", \"side\":\"LONG\", \"price\":18.90, \"stage\":2, \"buy\":94.2, \"sell\":33.8, \"prime\":2, \"revL\":0, \"revS\":0, \"vcp\":1, \"dir_prob\":87.8, \"time\":1784813400000}", "ticker": "KVUE", "setup": "A+ Trend Long", "side": "LONG", "price": 18.9, "stage": 2, "buy": 94.2, "sell": 33.8, "prime": 2, "revL": 0, "revS": 0, "vcp": 1, "time": 1784813400000, "email_id": "2107", "timestamp": "2026-07-23 16:01:01"}</t>
  </si>
  <si>
    <t>TREND_LONG fires with buy=97.6 &gt;&gt; 65, dir_prob=96.36, and stage=2. News CONFIRMS with a PT raise to $19. Triage capped to WATCH due to 'chased' flag (price above zone with rr&lt;1.0) and 'squeeze' regime (coiling, not extended). Earnings gate=</t>
  </si>
  <si>
    <t>Buy: 97 | Sell: 14.4</t>
  </si>
  <si>
    <t>WAIT (Set alerts at $349.60 zone top + $347.70 zone bottom)</t>
  </si>
  <si>
    <t>{"symbol": "TECH", "strategy": "Daily", "action": "LONG", "alert_price": 71.77, "score": "", "dir_prob": "95.9", "net_sigma": "", "grade": "", "align": "", "premium": "", "wrong_if": "", "context": "", "subject": "Alert: Rev - Screener v1 (SPY, 12): Any alert() function call", "body": "{\"ticker\":\"TECH\", \"setup\":\"A+ Trend Long\", \"side\":\"LONG\", \"price\":71.77, \"stage\":2, \"buy\":96.2, \"sell\":14.6, \"prime\":2, \"revL\":0, \"revS\":0, \"vcp\":0, \"dir_prob\":95.9, \"time\":1784727000000}", "ticker": "TECH", "setup": "A+ Trend Long", "side": "LONG", "price": 71.77, "stage": 2, "buy": 96.2, "sell": 14.6, "prime": 2, "revL": 0, "revS": 0, "vcp": 0, "time": 1784727000000, "email_id": "2031", "timestamp": "2026-07-22 16:01:37"}</t>
  </si>
  <si>
    <t>{"symbol": "V", "strategy": "Daily", "action": "LONG", "alert_price": 351.53, "score": "", "dir_prob": "96.8", "net_sigma": "", "grade": "", "align": "", "premium": "", "wrong_if": "", "context": "", "subject": "Alert: Rev - Screener v1 (SPY, 12): Any alert() function call", "body": "{\"ticker\":\"V\", \"setup\":\"A+ Trend Long\", \"side\":\"LONG\", \"price\":351.53, \"stage\":2, \"buy\":97, \"sell\":14.4, \"prime\":2, \"revL\":0, \"revS\":0, \"vcp\":0, \"dir_prob\":96.8, \"time\":1784813400000}", "ticker": "V", "setup": "A+ Trend Long", "side": "LONG", "price": 351.53, "stage": 2, "buy": 97, "sell": 14.4, "prime": 2, "revL": 0, "revS": 0, "vcp": 0, "time": 1784813400000, "email_id": "2110", "timestamp": "2026-07-23 16:01:05"}</t>
  </si>
  <si>
    <t>TREND_LONG fires with buy=98.34 &gt;&gt; 65, dir_prob=92.83, and stage=2. News is NEUTRAL (whale alerts/analyst commentary) and does not contradict the bullish bias. Triage capped to WATCH due to earnings_gate=CAUTION (5 days out) and the 'pull'k</t>
  </si>
  <si>
    <t>Buy: 28.6 | Sell: 91.8</t>
  </si>
  <si>
    <t>Buy: 97.2 | Sell: 14.3</t>
  </si>
  <si>
    <t>{"symbol": "WM", "strategy": "Daily", "action": "LONG", "alert_price": 237.18, "score": "", "dir_prob": "95.5", "net_sigma": "", "grade": "", "align": "", "premium": "", "wrong_if": "", "context": "", "subject": "Alert: Rev - Screener v1 (SPY, 12): Any alert() function call", "body": "{\"ticker\":\"WM\", \"setup\":\"A+ Trend Long\", \"side\":\"LONG\", \"price\":237.18, \"stage\":2, \"buy\":97.2, \"sell\":14.3, \"prime\":2, \"revL\":0, \"revS\":0, \"vcp\":0, \"dir_prob\":95.5, \"time\":1784813400000}", "ticker": "WM", "setup": "A+ Trend Long", "side": "LONG", "price": 237.18, "stage": 2, "buy": 97.2, "sell": 14.3, "prime": 2, "revL": 0, "revS": 0, "vcp": 0, "time": 1784813400000, "email_id": "2108", "timestamp": "2026-07-23 16:01:02"}</t>
  </si>
  <si>
    <t>Buy: 97.9 | Sell: 3.2</t>
  </si>
  <si>
    <t>{"symbol": "HAL", "strategy": "Daily", "action": "SHORT", "alert_price": 33.03, "score": "", "dir_prob": "3.1", "net_sigma": "", "grade": "", "align": "", "premium": "", "wrong_if": "", "context": "", "subject": "Alert: Rev - Screener v1 (SPY, 12): Any alert() function call", "body": "{\"ticker\":\"HAL\", \"setup\":\"A+ Trend Short\", \"side\":\"SHORT\", \"price\":33.03, \"stage\":4, \"buy\":28.6, \"sell\":91.8, \"prime\":-2, \"revL\":5, \"revS\":0, \"vcp\":1, \"dir_prob\":3.1, \"time\":1784727000000}", "ticker": "HAL", "setup": "A+ Trend Short", "side": "SHORT", "price": 33.03, "stage": 4, "buy": 28.6, "sell": 91.8, "prime": -2, "revL": 5, "revS": 0, "vcp": 1, "time": 1784727000000, "email_id": "2030", "timestamp": "2026-07-22 16:01:24"}</t>
  </si>
  <si>
    <t>Buy: 91.6 | Sell: 9</t>
  </si>
  <si>
    <t>{"symbol": "VEEV", "strategy": "Daily", "action": "LONG", "alert_price": 179.57, "score": "", "dir_prob": "99.1", "net_sigma": "", "grade": "", "align": "", "premium": "", "wrong_if": "", "context": "", "subject": "Alert: Rev - Screener v1 (SPY, 12): Any alert() function call", "body": "{\"ticker\":\"VEEV\", \"setup\":\"A+ Trend Long\", \"side\":\"LONG\", \"price\":179.57, \"stage\":2, \"buy\":97.9, \"sell\":3.2, \"prime\":2, \"revL\":0, \"revS\":0, \"vcp\":0, \"dir_prob\":99.1, \"time\":1784813400000}", "ticker": "VEEV", "setup": "A+ Trend Long", "side": "LONG", "price": 179.57, "stage": 2, "buy": 97.9, "sell": 3.2, "prime": 2, "revL": 0, "revS": 0, "vcp": 0, "time": 1784813400000, "email_id": "2111", "timestamp": "2026-07-23 16:01:07"}</t>
  </si>
  <si>
    <t>Research Reversal (Any Stage)</t>
  </si>
  <si>
    <t>Buy: 22.8 | Sell: 38.2</t>
  </si>
  <si>
    <t>{"symbol": "JPM", "strategy": "Daily", "action": "LONG", "alert_price": 348.33, "score": "", "dir_prob": "93.1", "net_sigma": "", "grade": "", "align": "", "premium": "", "wrong_if": "", "context": "", "subject": "Alert: Rev - Screener v1 (SPY, 12): Any alert() function call", "body": "{\"ticker\":\"JPM\", \"setup\":\"Bullish Squeeze Release\", \"side\":\"LONG\", \"price\":348.33, \"stage\":2, \"buy\":91.6, \"sell\":9, \"prime\":2, \"revL\":0, \"revS\":0, \"vcp\":2, \"dir_prob\":93.1, \"time\":1784727000000}", "ticker": "JPM", "setup": "Bullish Squeeze Release", "side": "LONG", "price": 348.33, "stage": 2, "buy": 91.6, "sell": 9, "prime": 2, "revL": 0, "revS": 0, "vcp": 2, "time": 1784727000000, "email_id": "2033", "timestamp": "2026-07-22 16:01:32"}</t>
  </si>
  <si>
    <t>{"symbol": "DAL", "strategy": "Daily", "action": "LONG", "alert_price": 81.99, "score": "", "dir_prob": "31.7", "net_sigma": "", "grade": "", "align": "", "premium": "", "wrong_if": "", "context": "", "subject": "Alert: Rev - Screener v1 (SPY, 12): Any alert() function call", "body": "{\"ticker\":\"DAL\", \"setup\":\"Research Reversal (Any Stage)\", \"side\":\"LONG\", \"price\":81.99, \"stage\":4, \"buy\":22.8, \"sell\":38.2, \"prime\":0, \"revL\":7.5, \"revS\":0, \"vcp\":0, \"dir_prob\":31.7, \"time\":1784813400000}", "ticker": "DAL", "setup": "Research Reversal (Any Stage)", "side": "LONG", "price": 81.99, "stage": 4, "buy": 22.8, "sell": 38.2, "prime": 0, "revL": 7.5, "revS": 0, "vcp": 0, "time": 1784813400000, "email_id": "2112", "timestamp": "2026-07-23 16:01:02"}</t>
  </si>
  <si>
    <t>Buy: 95.1 | Sell: 8.6</t>
  </si>
  <si>
    <t>Buy: 97.5 | Sell: 4.2</t>
  </si>
  <si>
    <t>{"symbol": "L", "strategy": "Daily", "action": "LONG", "alert_price": 115.65, "score": "", "dir_prob": "91.3", "net_sigma": "", "grade": "", "align": "", "premium": "", "wrong_if": "", "context": "", "subject": "Alert: Rev - Screener v1 (SPY, 12): Any alert() function call", "body": "{\"ticker\":\"L\", \"setup\":\"A+ Trend Long\", \"side\":\"LONG\", \"price\":115.65, \"stage\":2, \"buy\":95.1, \"sell\":8.6, \"prime\":2, \"revL\":0, \"revS\":0, \"vcp\":1, \"dir_prob\":91.3, \"time\":1784813400000}", "ticker": "L", "setup": "A+ Trend Long", "side": "LONG", "price": 115.65, "stage": 2, "buy": 95.1, "sell": 8.6, "prime": 2, "revL": 0, "revS": 0, "vcp": 1, "time": 1784813400000, "email_id": "2113", "timestamp": "2026-07-23 16:01:04"}</t>
  </si>
  <si>
    <t>Buy: 92.5 | Sell: 48.4</t>
  </si>
  <si>
    <t>{"symbol": "MTD", "strategy": "Daily", "action": "LONG", "alert_price": 1285.82, "score": "", "dir_prob": "96.1", "net_sigma": "", "grade": "", "align": "", "premium": "", "wrong_if": "", "context": "", "subject": "Alert: Rev - Screener v1 (SPY, 12): Any alert() function call", "body": "{\"ticker\":\"MTD\", \"setup\":\"A+ Trend Long\", \"side\":\"LONG\", \"price\":1285.82, \"stage\":2, \"buy\":97.5, \"sell\":4.2, \"prime\":2, \"revL\":0, \"revS\":0, \"vcp\":0, \"dir_prob\":96.1, \"time\":1784727000000}", "ticker": "MTD", "setup": "A+ Trend Long", "side": "LONG", "price": 1285.82, "stage": 2, "buy": 97.5, "sell": 4.2, "prime": 2, "revL": 0, "revS": 0, "vcp": 0, "time": 1784727000000, "email_id": "2034", "timestamp": "2026-07-22 16:01:23"}</t>
  </si>
  <si>
    <t>Buy: 97.2 | Sell: 3.1</t>
  </si>
  <si>
    <t>{"symbol": "DHR", "strategy": "Daily", "action": "LONG", "alert_price": 192.44, "score": "", "dir_prob": "76.9", "net_sigma": "", "grade": "", "align": "", "premium": "", "wrong_if": "", "context": "", "subject": "Alert: Rev - Screener v1 (SPY, 12): Any alert() function call", "body": "{\"ticker\":\"DHR\", \"setup\":\"A+ Trend Long\", \"side\":\"LONG\", \"price\":192.44, \"stage\":2, \"buy\":92.5, \"sell\":48.4, \"prime\":2, \"revL\":0, \"revS\":0, \"vcp\":0, \"dir_prob\":76.9, \"time\":1784813400000}", "ticker": "DHR", "setup": "A+ Trend Long", "side": "LONG", "price": 192.44, "stage": 2, "buy": 92.5, "sell": 48.4, "prime": 2, "revL": 0, "revS": 0, "vcp": 0, "time": 1784813400000, "email_id": "2114", "timestamp": "2026-07-23 16:01:03"}</t>
  </si>
  <si>
    <t>Buy: 95.9 | Sell: 24.1</t>
  </si>
  <si>
    <t>{"symbol": "MA", "strategy": "Daily", "action": "LONG", "alert_price": 532.11, "score": "", "dir_prob": "98.5", "net_sigma": "", "grade": "", "align": "", "premium": "", "wrong_if": "", "context": "", "subject": "Alert: Rev - Screener v1 (SPY, 12): Any alert() function call", "body": "{\"ticker\":\"MA\", \"setup\":\"A+ Trend Long\", \"side\":\"LONG\", \"price\":532.11, \"stage\":2, \"buy\":97.2, \"sell\":3.1, \"prime\":2, \"revL\":0, \"revS\":0, \"vcp\":0, \"dir_prob\":98.5, \"time\":1784727000000}", "ticker": "MA", "setup": "A+ Trend Long", "side": "LONG", "price": 532.11, "stage": 2, "buy": 97.2, "sell": 3.1, "prime": 2, "revL": 0, "revS": 0, "vcp": 0, "time": 1784727000000, "email_id": "2035", "timestamp": "2026-07-22 16:01:37"}</t>
  </si>
  <si>
    <t>Buy: 88.7 | Sell: 14.3</t>
  </si>
  <si>
    <t>{"symbol": "CRL", "strategy": "Daily", "action": "LONG", "alert_price": 229.24, "score": "", "dir_prob": "91.4", "net_sigma": "", "grade": "", "align": "", "premium": "", "wrong_if": "", "context": "", "subject": "Alert: Rev - Screener v1 (SPY, 12): Any alert() function call", "body": "{\"ticker\":\"CRL\", \"setup\":\"A+ Trend Long\", \"side\":\"LONG\", \"price\":229.24, \"stage\":2, \"buy\":95.9, \"sell\":24.1, \"prime\":2, \"revL\":0, \"revS\":0, \"vcp\":1, \"dir_prob\":91.4, \"time\":1784813400000}", "ticker": "CRL", "setup": "A+ Trend Long", "side": "LONG", "price": 229.24, "stage": 2, "buy": 95.9, "sell": 24.1, "prime": 2, "revL": 0, "revS": 0, "vcp": 1, "time": 1784813400000, "email_id": "2115", "timestamp": "2026-07-23 16:01:03"}</t>
  </si>
  <si>
    <t xml:space="preserve">TREND_LONG fires with buy=95.3 &gt;&gt; 65 and dir_prob=94.21, supported by a HIKKAKE_BULL reversal 21 bars ago. However, news headlines explicitly flag CRL as a 'Healthcare Stock We Approach with Caution' and 'Profitable Stocks with Warning,' a </t>
  </si>
  <si>
    <t>Buy: 93.9 | Sell: 37.9</t>
  </si>
  <si>
    <t>{"symbol": "CAH", "strategy": "Daily", "action": "LONG", "alert_price": 220.46, "score": "", "dir_prob": "96.1", "net_sigma": "", "grade": "", "align": "", "premium": "", "wrong_if": "", "context": "", "subject": "Alert: Rev - Screener v1 (SPY, 12): Any alert() function call", "body": "{\"ticker\":\"CAH\", \"setup\":\"A+ Trend Long\", \"side\":\"LONG\", \"price\":220.46, \"stage\":2, \"buy\":88.7, \"sell\":14.3, \"prime\":2, \"revL\":0, \"revS\":0, \"vcp\":0, \"dir_prob\":96.1, \"time\":1784727000000}", "ticker": "CAH", "setup": "A+ Trend Long", "side": "LONG", "price": 220.46, "stage": 2, "buy": 88.7, "sell": 14.3, "prime": 2, "revL": 0, "revS": 0, "vcp": 0, "time": 1784727000000, "email_id": "2029", "timestamp": "2026-07-22 16:01:23"}</t>
  </si>
  <si>
    <t>{"symbol": "EA", "strategy": "Daily", "action": "LONG", "alert_price": 208.95, "score": "", "dir_prob": "83.9", "net_sigma": "", "grade": "", "align": "", "premium": "", "wrong_if": "", "context": "", "subject": "Alert: Rev - Screener v1 (SPY, 12): Any alert() function call", "body": "{\"ticker\":\"EA\", \"setup\":\"A+ Trend Long\", \"side\":\"LONG\", \"price\":208.95, \"stage\":2, \"buy\":93.9, \"sell\":37.9, \"prime\":2, \"revL\":0, \"revS\":0, \"vcp\":0, \"dir_prob\":83.9, \"time\":1784813400000}", "ticker": "EA", "setup": "A+ Trend Long", "side": "LONG", "price": 208.95, "stage": 2, "buy": 93.9, "sell": 37.9, "prime": 2, "revL": 0, "revS": 0, "vcp": 0, "time": 1784813400000, "email_id": "2116", "timestamp": "2026-07-23 16:01:09"}</t>
  </si>
  <si>
    <t>TREND_LONG fires with buy=95.06 &gt; 65, dir_prob=79.17 &gt;= 50, and stage=2. However, the news headline 'Top 3 Tech... Stocks That May Fall Off A Cliff' CONTRADICTS the long bias. Additionally, earnings_gate is CAUTION (5 days out) and recency_</t>
  </si>
  <si>
    <t>Buy: 97 | Sell: 8.7</t>
  </si>
  <si>
    <t>Buy: 86.5 | Sell: 23.8</t>
  </si>
  <si>
    <t>{"symbol": "KIM", "strategy": "Daily", "action": "LONG", "alert_price": 25.75, "score": "", "dir_prob": "90.1", "net_sigma": "", "grade": "", "align": "", "premium": "", "wrong_if": "", "context": "", "subject": "Alert: Rev - Screener v1 (SPY, 12): Any alert() function call", "body": "{\"ticker\":\"KIM\", \"setup\":\"A+ Trend Long\", \"side\":\"LONG\", \"price\":25.75, \"stage\":2, \"buy\":86.5, \"sell\":23.8, \"prime\":2, \"revL\":0, \"revS\":0, \"vcp\":0, \"dir_prob\":90.1, \"time\":1784813400000}", "ticker": "KIM", "setup": "A+ Trend Long", "side": "LONG", "price": 25.75, "stage": 2, "buy": 86.5, "sell": 23.8, "prime": 2, "revL": 0, "revS": 0, "vcp": 0, "time": 1784813400000, "email_id": "2117", "timestamp": "2026-07-23 16:01:09"}</t>
  </si>
  <si>
    <t xml:space="preserve">TREND_LONG fires with buy=91.52 &gt; 65, dir_prob=93.16 &gt;= 50, and stage=2. News CONFIRMS with analyst upgrades raising targets. Triage capped to WATCH due to 'chased' status (zone_state=above_zone, rr_from_current=0.47 &lt; 1.0) and an upcoming </t>
  </si>
  <si>
    <t>{"symbol": "UNP", "strategy": "Daily", "action": "LONG", "alert_price": 292.28, "score": "", "dir_prob": "93.1", "net_sigma": "", "grade": "", "align": "", "premium": "", "wrong_if": "", "context": "", "subject": "Alert: Rev - Screener v1 (SPY, 12): Any alert() function call", "body": "{\"ticker\":\"UNP\", \"setup\":\"A+ Trend Long\", \"side\":\"LONG\", \"price\":292.28, \"stage\":2, \"buy\":97, \"sell\":8.7, \"prime\":2, \"revL\":0, \"revS\":0, \"vcp\":0, \"dir_prob\":93.1, \"time\":1784727000000}", "ticker": "UNP", "setup": "A+ Trend Long", "side": "LONG", "price": 292.28, "stage": 2, "buy": 97, "sell": 8.7, "prime": 2, "revL": 0, "revS": 0, "vcp": 0, "time": 1784727000000, "email_id": "2036", "timestamp": "2026-07-22 16:01:35"}</t>
  </si>
  <si>
    <t>Buy: 97.6 | Sell: 2.8</t>
  </si>
  <si>
    <t>{"symbol": "HIG", "strategy": "Daily", "action": "LONG", "alert_price": 142.26, "score": "", "dir_prob": "93.7", "net_sigma": "", "grade": "", "align": "", "premium": "", "wrong_if": "", "context": "", "subject": "Alert: Rev - Screener v1 (SPY, 12): Any alert() function call", "body": "{\"ticker\":\"HIG\", \"setup\":\"A+ Trend Long\", \"side\":\"LONG\", \"price\":142.26, \"stage\":2, \"buy\":96.1, \"sell\":7.6, \"prime\":2, \"revL\":0, \"revS\":0, \"vcp\":0, \"dir_prob\":93.7, \"time\":1784813400000}", "ticker": "HIG", "setup": "A+ Trend Long", "side": "LONG", "price": 142.26, "stage": 2, "buy": 96.1, "sell": 7.6, "prime": 2, "revL": 0, "revS": 0, "vcp": 0, "time": 1784813400000, "email_id": "2118", "timestamp": "2026-07-23 16:01:08"}</t>
  </si>
  <si>
    <t>Buy: 94.8 | Sell: 9.7</t>
  </si>
  <si>
    <t>{"symbol": "VEEV", "strategy": "Daily", "action": "LONG", "alert_price": 184.47, "score": "", "dir_prob": "99.1", "net_sigma": "", "grade": "", "align": "", "premium": "", "wrong_if": "", "context": "", "subject": "Alert: Rev - Screener v1 (SPY, 12): Any alert() function call", "body": "{\"ticker\":\"VEEV\", \"setup\":\"A+ Trend Long\", \"side\":\"LONG\", \"price\":184.47, \"stage\":2, \"buy\":97.6, \"sell\":2.8, \"prime\":2, \"revL\":0, \"revS\":0, \"vcp\":0, \"dir_prob\":99.1, \"time\":1784727000000}", "ticker": "VEEV", "setup": "A+ Trend Long", "side": "LONG", "price": 184.47, "stage": 2, "buy": 97.6, "sell": 2.8, "prime": 2, "revL": 0, "revS": 0, "vcp": 0, "time": 1784727000000, "email_id": "2037", "timestamp": "2026-07-22 16:01:40"}</t>
  </si>
  <si>
    <t>{"symbol": "ITW", "strategy": "Daily", "action": "LONG", "alert_price": 276.92, "score": "", "dir_prob": "94.2", "net_sigma": "", "grade": "", "align": "", "premium": "", "wrong_if": "", "context": "", "subject": "Alert: Rev - Screener v1 (SPY, 12): Any alert() function call", "body": "{\"ticker\":\"ITW\", \"setup\":\"A+ Trend Long\", \"side\":\"LONG\", \"price\":276.92, \"stage\":2, \"buy\":94.8, \"sell\":9.7, \"prime\":2, \"revL\":0, \"revS\":0, \"vcp\":1, \"dir_prob\":94.2, \"time\":1784813400000}", "ticker": "ITW", "setup": "A+ Trend Long", "side": "LONG", "price": 276.92, "stage": 2, "buy": 94.8, "sell": 9.7, "prime": 2, "revL": 0, "revS": 0, "vcp": 1, "time": 1784813400000, "email_id": "2119", "timestamp": "2026-07-23 16:01:01"}</t>
  </si>
  <si>
    <t>Buy: 73.2 | Sell: 33.1</t>
  </si>
  <si>
    <t>Buy: 97.7 | Sell: 13.6</t>
  </si>
  <si>
    <t>{"symbol": "WTW", "strategy": "Daily", "action": "LONG", "alert_price": 288.33, "score": "", "dir_prob": "96.5", "net_sigma": "", "grade": "", "align": "", "premium": "", "wrong_if": "", "context": "", "subject": "Alert: Rev - Screener v1 (SPY, 12): Any alert() function call", "body": "{\"ticker\":\"WTW\", \"setup\":\"A+ Trend Long\", \"side\":\"LONG\", \"price\":288.33, \"stage\":2, \"buy\":97.7, \"sell\":13.6, \"prime\":2, \"revL\":0, \"revS\":0, \"vcp\":0, \"dir_prob\":96.5, \"time\":1784813400000}", "ticker": "WTW", "setup": "A+ Trend Long", "side": "LONG", "price": 288.33, "stage": 2, "buy": 97.7, "sell": 13.6, "prime": 2, "revL": 0, "revS": 0, "vcp": 0, "time": 1784813400000, "email_id": "2120", "timestamp": "2026-07-23 16:01:06"}</t>
  </si>
  <si>
    <t>{"symbol": "VTR", "strategy": "Daily", "action": "LONG", "alert_price": 97.17, "score": "", "dir_prob": "68.6", "net_sigma": "", "grade": "", "align": "", "premium": "", "wrong_if": "", "context": "", "subject": "Alert: Rev - Screener v1 (SPY, 12): Any alert() function call", "body": "{\"ticker\":\"VTR\", \"setup\":\"Early Action Long\", \"side\":\"LONG\", \"price\":97.17, \"stage\":2, \"buy\":73.2, \"sell\":33.1, \"prime\":1, \"revL\":0, \"revS\":0, \"vcp\":0, \"dir_prob\":68.6, \"time\":1784727000000}", "ticker": "VTR", "setup": "Early Action Long", "side": "LONG", "price": 97.17, "stage": 2, "buy": 73.2, "sell": 33.1, "prime": 1, "revL": 0, "revS": 0, "vcp": 0, "time": 1784727000000, "email_id": "2038", "timestamp": "2026-07-22 16:01:29"}</t>
  </si>
  <si>
    <t>Buy: 94.8 | Sell: 6</t>
  </si>
  <si>
    <t>⚪ **WAIT** — Setup is structurally bullish but **NOT TRIGGERED** (Action Long Code = 8 = WATCH; Action Short Code = 10 = WAIT). Zone Discipline forbids fresh entry at current price.</t>
  </si>
  <si>
    <t>{"symbol": "COR", "strategy": "Daily", "action": "LONG", "alert_price": 300.8, "score": "", "dir_prob": "96.6", "net_sigma": "", "grade": "", "align": "", "premium": "", "wrong_if": "", "context": "", "subject": "Alert: Rev - Screener v1 (SPY, 12): Any alert() function call", "body": "{\"ticker\":\"COR\", \"setup\":\"A+ Trend Long\", \"side\":\"LONG\", \"price\":300.80, \"stage\":2, \"buy\":97.5, \"sell\":9.3, \"prime\":2, \"revL\":0, \"revS\":0, \"vcp\":0, \"dir_prob\":96.6, \"time\":1784727000000}", "ticker": "COR", "setup": "A+ Trend Long", "side": "LONG", "price": 300.8, "stage": 2, "buy": 97.5, "sell": 9.3, "prime": 2, "revL": 0, "revS": 0, "vcp": 0, "time": 1784727000000, "email_id": "2039", "timestamp": "2026-07-22 16:01:30"}</t>
  </si>
  <si>
    <t>{"symbol": "MTB", "strategy": "Daily", "action": "LONG", "alert_price": 245.96, "score": "", "dir_prob": "94.3", "net_sigma": "", "grade": "", "align": "", "premium": "", "wrong_if": "", "context": "", "subject": "Alert: Rev - Screener v1 (SPY, 12): Any alert() function call", "body": "{\"ticker\":\"MTB\", \"setup\":\"A+ Trend Long\", \"side\":\"LONG\", \"price\":245.96, \"stage\":2, \"buy\":94.8, \"sell\":6, \"prime\":2, \"revL\":0, \"revS\":0, \"vcp\":0, \"dir_prob\":94.3, \"time\":1784813400000}", "ticker": "MTB", "setup": "A+ Trend Long", "side": "LONG", "price": 245.96, "stage": 2, "buy": 94.8, "sell": 6, "prime": 2, "revL": 0, "revS": 0, "vcp": 0, "time": 1784813400000, "email_id": "2121", "timestamp": "2026-07-23 16:01:10"}</t>
  </si>
  <si>
    <t>TREND_LONG fires with buy=96.76 &gt;&gt; 65, dir_prob=92.38 &gt;&gt; 50, and stage=2 (up-trend). News CONFIRMS with a price target raise to $268. No VETO flags apply; computed_flags only show 'pullback' which is consistent with a dip-buy in an uptrend.</t>
  </si>
  <si>
    <t>Buy: 96.1 | Sell: 16.3</t>
  </si>
  <si>
    <t>Buy: 97.1 | Sell: 18.6</t>
  </si>
  <si>
    <t>{"symbol": "COO", "strategy": "Daily", "action": "LONG", "alert_price": 70.5, "score": "", "dir_prob": "94", "net_sigma": "", "grade": "", "align": "", "premium": "", "wrong_if": "", "context": "", "subject": "Alert: Rev - Screener v1 (SPY, 12): Any alert() function call", "body": "{\"ticker\":\"COO\", \"setup\":\"A+ Trend Long\", \"side\":\"LONG\", \"price\":70.50, \"stage\":2, \"buy\":96.1, \"sell\":16.3, \"prime\":2, \"revL\":0, \"revS\":0, \"vcp\":1, \"dir_prob\":94, \"time\":1784727000000}", "ticker": "COO", "setup": "A+ Trend Long", "side": "LONG", "price": 70.5, "stage": 2, "buy": 96.1, "sell": 16.3, "prime": 2, "revL": 0, "revS": 0, "vcp": 1, "time": 1784727000000, "email_id": "2040", "timestamp": "2026-07-22 16:01:21"}</t>
  </si>
  <si>
    <t>{"symbol": "IQV", "strategy": "Daily", "action": "LONG", "alert_price": 207.38, "score": "", "dir_prob": "89.4", "net_sigma": "", "grade": "", "align": "", "premium": "", "wrong_if": "", "context": "", "subject": "Alert: Rev - Screener v1 (SPY, 12): Any alert() function call", "body": "{\"ticker\":\"IQV\", \"setup\":\"A+ Trend Long\", \"side\":\"LONG\", \"price\":207.38, \"stage\":2, \"buy\":97.1, \"sell\":18.6, \"prime\":2, \"revL\":0, \"revS\":0, \"vcp\":0, \"dir_prob\":89.4, \"time\":1784813400000}", "ticker": "IQV", "setup": "A+ Trend Long", "side": "LONG", "price": 207.38, "stage": 2, "buy": 97.1, "sell": 18.6, "prime": 2, "revL": 0, "revS": 0, "vcp": 0, "time": 1784813400000, "email_id": "2122", "timestamp": "2026-07-23 16:01:07"}</t>
  </si>
  <si>
    <t>Buy: 95.2 | Sell: 9.7</t>
  </si>
  <si>
    <t>{"symbol": "HIG", "strategy": "Daily", "action": "LONG", "alert_price": 140.87, "score": "", "dir_prob": "94", "net_sigma": "", "grade": "", "align": "", "premium": "", "wrong_if": "", "context": "", "subject": "Alert: Rev - Screener v1 (SPY, 12): Any alert() function call", "body": "{\"ticker\":\"HIG\", \"setup\":\"A+ Trend Long\", \"side\":\"LONG\", \"price\":140.87, \"stage\":2, \"buy\":96.2, \"sell\":6.5, \"prime\":2, \"revL\":0, \"revS\":0, \"vcp\":0, \"dir_prob\":94, \"time\":1784727000000}", "ticker": "HIG", "setup": "A+ Trend Long", "side": "LONG", "price": 140.87, "stage": 2, "buy": 96.2, "sell": 6.5, "prime": 2, "revL": 0, "revS": 0, "vcp": 0, "time": 1784727000000, "email_id": "2041", "timestamp": "2026-07-22 16:01:25"}</t>
  </si>
  <si>
    <t>Buy: 11.7 | Sell: 86.8</t>
  </si>
  <si>
    <t>{"symbol": "CFG", "strategy": "Daily", "action": "LONG", "alert_price": 71.79, "score": "", "dir_prob": "89.3", "net_sigma": "", "grade": "", "align": "", "premium": "", "wrong_if": "", "context": "", "subject": "Alert: Rev - Screener v1 (SPY, 12): Any alert() function call", "body": "{\"ticker\":\"CFG\", \"setup\":\"A+ Trend Long\", \"side\":\"LONG\", \"price\":71.79, \"stage\":2, \"buy\":95.2, \"sell\":9.7, \"prime\":2, \"revL\":0, \"revS\":0, \"vcp\":1, \"dir_prob\":89.3, \"time\":1784813400000}", "ticker": "CFG", "setup": "A+ Trend Long", "side": "LONG", "price": 71.79, "stage": 2, "buy": 95.2, "sell": 9.7, "prime": 2, "revL": 0, "revS": 0, "vcp": 1, "time": 1784813400000, "email_id": "2123", "timestamp": "2026-07-23 16:01:10"}</t>
  </si>
  <si>
    <t>Buy: 94.4 | Sell: 15.7</t>
  </si>
  <si>
    <t>{"symbol": "AMT", "strategy": "Daily", "action": "SHORT", "alert_price": 166.08, "score": "", "dir_prob": "14", "net_sigma": "", "grade": "", "align": "", "premium": "", "wrong_if": "", "context": "", "subject": "Alert: Rev - Screener v1 (SPY, 12): Any alert() function call", "body": "{\"ticker\":\"AMT\", \"setup\":\"A+ Trend Short\", \"side\":\"SHORT\", \"price\":166.08, \"stage\":4, \"buy\":11.7, \"sell\":86.8, \"prime\":-2, \"revL\":0, \"revS\":0, \"vcp\":1, \"dir_prob\":14, \"time\":1784727000000}", "ticker": "AMT", "setup": "A+ Trend Short", "side": "SHORT", "price": 166.08, "stage": 4, "buy": 11.7, "sell": 86.8, "prime": -2, "revL": 0, "revS": 0, "vcp": 1, "time": 1784727000000, "email_id": "2042", "timestamp": "2026-07-22 16:01:37"}</t>
  </si>
  <si>
    <t xml:space="preserve">No active entry mode fires: sell=93.12 is high but buy=21.55 is not low enough for a clean short setup, and rev_zone_s=0.0 offers no mean-reversion edge. The dominant_side is short, but the low dir_prob (2.7) and the 'chased' flag indicate </t>
  </si>
  <si>
    <t>Buy: 95.6 | Sell: 5</t>
  </si>
  <si>
    <t>{"symbol": "CHRW", "strategy": "Daily", "action": "LONG", "alert_price": 205.53, "score": "", "dir_prob": "91.1", "net_sigma": "", "grade": "", "align": "", "premium": "", "wrong_if": "", "context": "", "subject": "Alert: Rev - Screener v1 (SPY, 12): Any alert() function call", "body": "{\"ticker\":\"CHRW\", \"setup\":\"A+ Trend Long\", \"side\":\"LONG\", \"price\":205.53, \"stage\":2, \"buy\":94.4, \"sell\":15.7, \"prime\":2, \"revL\":0, \"revS\":0, \"vcp\":0, \"dir_prob\":91.1, \"time\":1784813400000}", "ticker": "CHRW", "setup": "A+ Trend Long", "side": "LONG", "price": 205.53, "stage": 2, "buy": 94.4, "sell": 15.7, "prime": 2, "revL": 0, "revS": 0, "vcp": 0, "time": 1784813400000, "email_id": "2124", "timestamp": "2026-07-23 16:01:08"}</t>
  </si>
  <si>
    <t>{"symbol": "RTX", "strategy": "Daily", "action": "LONG", "alert_price": 194.74, "score": "", "dir_prob": "92.9", "net_sigma": "", "grade": "", "align": "", "premium": "", "wrong_if": "", "context": "", "subject": "Alert: Rev - Screener v1 (SPY, 12): Any alert() function call", "body": "{\"ticker\":\"RTX\", \"setup\":\"A+ Trend Long\", \"side\":\"LONG\", \"price\":194.74, \"stage\":2, \"buy\":95.6, \"sell\":5, \"prime\":2, \"revL\":0, \"revS\":0, \"vcp\":0, \"dir_prob\":92.9, \"time\":1784727000000}", "ticker": "RTX", "setup": "A+ Trend Long", "side": "LONG", "price": 194.74, "stage": 2, "buy": 95.6, "sell": 5, "prime": 2, "revL": 0, "revS": 0, "vcp": 0, "time": 1784727000000, "email_id": "2043", "timestamp": "2026-07-22 16:01:42"}</t>
  </si>
  <si>
    <t>{"symbol": "HSIC", "strategy": "Daily", "action": "LONG", "alert_price": 84.57, "score": "", "dir_prob": "94.5", "net_sigma": "", "grade": "", "align": "", "premium": "", "wrong_if": "", "context": "", "subject": "Alert: Rev - Screener v1 (SPY, 12): Any alert() function call", "body": "{\"ticker\":\"HSIC\", \"setup\":\"A+ Trend Long\", \"side\":\"LONG\", \"price\":84.57, \"stage\":2, \"buy\":96.2, \"sell\":6.5, \"prime\":2, \"revL\":0, \"revS\":0, \"vcp\":0, \"dir_prob\":94.5, \"time\":1784813400000}", "ticker": "HSIC", "setup": "A+ Trend Long", "side": "LONG", "price": 84.57, "stage": 2, "buy": 96.2, "sell": 6.5, "prime": 2, "revL": 0, "revS": 0, "vcp": 0, "time": 1784813400000, "email_id": "2125", "timestamp": "2026-07-23 16:01:11"}</t>
  </si>
  <si>
    <t>Buy: 9.9 | Sell: 91.5</t>
  </si>
  <si>
    <t>Buy: 97.1 | Sell: 5.1</t>
  </si>
  <si>
    <t>{"symbol": "TJX", "strategy": "Daily", "action": "SHORT", "alert_price": 155.44, "score": "", "dir_prob": "4.7", "net_sigma": "", "grade": "", "align": "", "premium": "", "wrong_if": "", "context": "", "subject": "Alert: Rev - Screener v1 (SPY, 12): Any alert() function call", "body": "{\"ticker\":\"TJX\", \"setup\":\"A+ Trend Short\", \"side\":\"SHORT\", \"price\":155.44, \"stage\":4, \"buy\":9.9, \"sell\":91.5, \"prime\":-2, \"revL\":0, \"revS\":0, \"vcp\":0, \"dir_prob\":4.7, \"time\":1784727000000}", "ticker": "TJX", "setup": "A+ Trend Short", "side": "SHORT", "price": 155.44, "stage": 4, "buy": 9.9, "sell": 91.5, "prime": -2, "revL": 0, "revS": 0, "vcp": 0, "time": 1784727000000, "email_id": "2044", "timestamp": "2026-07-22 16:01:44"}</t>
  </si>
  <si>
    <t>{"symbol": "GPN", "strategy": "Daily", "action": "LONG", "alert_price": 77.86, "score": "", "dir_prob": "97.8", "net_sigma": "", "grade": "", "align": "", "premium": "", "wrong_if": "", "context": "", "subject": "Alert: Rev - Screener v1 (SPY, 12): Any alert() function call", "body": "{\"ticker\":\"GPN\", \"setup\":\"A+ Trend Long\", \"side\":\"LONG\", \"price\":77.86, \"stage\":2, \"buy\":97.1, \"sell\":5.1, \"prime\":2, \"revL\":0, \"revS\":0, \"vcp\":0, \"dir_prob\":97.8, \"time\":1784813400000}", "ticker": "GPN", "setup": "A+ Trend Long", "side": "LONG", "price": 77.86, "stage": 2, "buy": 97.1, "sell": 5.1, "prime": 2, "revL": 0, "revS": 0, "vcp": 0, "time": 1784813400000, "email_id": "2126", "timestamp": "2026-07-23 16:01:14"}</t>
  </si>
  <si>
    <t>Buy: 97.4 | Sell: 3.6</t>
  </si>
  <si>
    <t>Buy: 96.7 | Sell: 7</t>
  </si>
  <si>
    <t>{"symbol": "SPGI", "strategy": "Daily", "action": "LONG", "alert_price": 429.09, "score": "", "dir_prob": "96.3", "net_sigma": "", "grade": "", "align": "", "premium": "", "wrong_if": "", "context": "", "subject": "Alert: Rev - Screener v1 (SPY, 12): Any alert() function call", "body": "{\"ticker\":\"SPGI\", \"setup\":\"A+ Trend Long\", \"side\":\"LONG\", \"price\":429.09, \"stage\":2, \"buy\":97.4, \"sell\":3.6, \"prime\":2, \"revL\":0, \"revS\":0, \"vcp\":0, \"dir_prob\":96.3, \"time\":1784727000000}", "ticker": "SPGI", "setup": "A+ Trend Long", "side": "LONG", "price": 429.09, "stage": 2, "buy": 97.4, "sell": 3.6, "prime": 2, "revL": 0, "revS": 0, "vcp": 0, "time": 1784727000000, "email_id": "2051", "timestamp": "2026-07-22 16:01:08"}</t>
  </si>
  <si>
    <t>{"symbol": "MTD", "strategy": "Daily", "action": "LONG", "alert_price": 1330.9, "score": "", "dir_prob": "95.6", "net_sigma": "", "grade": "", "align": "", "premium": "", "wrong_if": "", "context": "", "subject": "Alert: Rev - Screener v1 (SPY, 12): Any alert() function call", "body": "{\"ticker\":\"MTD\", \"setup\":\"A+ Trend Long\", \"side\":\"LONG\", \"price\":1330.90, \"stage\":2, \"buy\":96.7, \"sell\":7, \"prime\":2, \"revL\":0, \"revS\":0, \"vcp\":1, \"dir_prob\":95.6, \"time\":1784813400000}", "ticker": "MTD", "setup": "A+ Trend Long", "side": "LONG", "price": 1330.9, "stage": 2, "buy": 96.7, "sell": 7, "prime": 2, "revL": 0, "revS": 0, "vcp": 1, "time": 1784813400000, "email_id": "2128", "timestamp": "2026-07-23 16:01:39"}</t>
  </si>
  <si>
    <t>Buy: 95 | Sell: 8</t>
  </si>
  <si>
    <t>Buy: 97.5 | Sell: 4.9</t>
  </si>
  <si>
    <t>⏳ **WAIT** — Set alerts at $121.32 (zone top) for long entry trigger; do not initiate until price is inside the long zone</t>
  </si>
  <si>
    <t>{"symbol": "USB", "strategy": "Daily", "action": "LONG", "alert_price": 63.32, "score": "", "dir_prob": "91.9", "net_sigma": "", "grade": "", "align": "", "premium": "", "wrong_if": "", "context": "", "subject": "Alert: Rev - Screener v1 (SPY, 12): Any alert() function call", "body": "{\"ticker\":\"USB\", \"setup\":\"A+ Trend Long\", \"side\":\"LONG\", \"price\":63.32, \"stage\":2, \"buy\":95, \"sell\":8, \"prime\":2, \"revL\":0, \"revS\":0, \"vcp\":0, \"dir_prob\":91.9, \"time\":1784813400000}", "ticker": "USB", "setup": "A+ Trend Long", "side": "LONG", "price": 63.32, "stage": 2, "buy": 95, "sell": 8, "prime": 2, "revL": 0, "revS": 0, "vcp": 0, "time": 1784813400000, "email_id": "2129", "timestamp": "2026-07-23 16:01:12"}</t>
  </si>
  <si>
    <t>{"symbol": "DLTR", "strategy": "Daily", "action": "LONG", "alert_price": 122.17, "score": "", "dir_prob": "96.5", "net_sigma": "", "grade": "", "align": "", "premium": "", "wrong_if": "", "context": "", "subject": "Alert: Rev - Screener v1 (SPY, 12): Any alert() function call", "body": "{\"ticker\":\"DLTR\", \"setup\":\"A+ Trend Long\", \"side\":\"LONG\", \"price\":122.17, \"stage\":2, \"buy\":97.5, \"sell\":4.9, \"prime\":2, \"revL\":0, \"revS\":0, \"vcp\":1, \"dir_prob\":96.5, \"time\":1784727000000}", "ticker": "DLTR", "setup": "A+ Trend Long", "side": "LONG", "price": 122.17, "stage": 2, "buy": 97.5, "sell": 4.9, "prime": 2, "revL": 0, "revS": 0, "vcp": 1, "time": 1784727000000, "email_id": "2053", "timestamp": "2026-07-22 16:01:42"}</t>
  </si>
  <si>
    <t>TREND_LONG fires with buy=95.26 &gt;&gt; 65, dir_prob=88.44 &gt;&gt; 50, and stage=2 (up-trend). News CONFIRMS with a positive earnings call transcript and Fed-friendly coverage. The 'pullback' flag indicates a healthy dip-buy opportunity within the up</t>
  </si>
  <si>
    <t>TREND_LONG fires with buy=97.95 &gt;&gt; 65 and dir_prob=89.59, supported by regime=6 (squeeze/coiling) and low exhaustion. However, news CONTRADICTS the long bias with headlines about store closures and rising costs. The 'TOP' warning in recency</t>
  </si>
  <si>
    <t>Buy: 54.2 | Sell: 13.3</t>
  </si>
  <si>
    <t>Buy: 94.5 | Sell: 7</t>
  </si>
  <si>
    <t>{"symbol": "SHW", "strategy": "Daily", "action": "LONG", "alert_price": 310.51, "score": "", "dir_prob": "84", "net_sigma": "", "grade": "", "align": "", "premium": "", "wrong_if": "", "context": "", "subject": "Alert: Rev - Screener v1 (SPY, 12): Any alert() function call", "body": "{\"ticker\":\"SHW\", \"setup\":\"Research Reversal (Any Stage)\", \"side\":\"LONG\", \"price\":310.51, \"stage\":4, \"buy\":54.2, \"sell\":13.3, \"prime\":0, \"revL\":7, \"revS\":0, \"vcp\":0, \"dir_prob\":84, \"time\":1784813400000}", "ticker": "SHW", "setup": "Research Reversal (Any Stage)", "side": "LONG", "price": 310.51, "stage": 4, "buy": 54.2, "sell": 13.3, "prime": 0, "revL": 7, "revS": 0, "vcp": 0, "time": 1784813400000, "email_id": "2130", "timestamp": "2026-07-23 16:01:09"}</t>
  </si>
  <si>
    <t>{"symbol": "CTVA", "strategy": "Daily", "action": "LONG", "alert_price": 88.54, "score": "", "dir_prob": "93.9", "net_sigma": "", "grade": "", "align": "", "premium": "", "wrong_if": "", "context": "", "subject": "Alert: Rev - Screener v1 (SPY, 12): Any alert() function call", "body": "{\"ticker\":\"CTVA\", \"setup\":\"A+ Trend Long\", \"side\":\"LONG\", \"price\":88.54, \"stage\":2, \"buy\":94.5, \"sell\":7, \"prime\":2, \"revL\":0, \"revS\":0, \"vcp\":0, \"dir_prob\":93.9, \"time\":1784727000000}", "ticker": "CTVA", "setup": "A+ Trend Long", "side": "LONG", "price": 88.54, "stage": 2, "buy": 94.5, "sell": 7, "prime": 2, "revL": 0, "revS": 0, "vcp": 0, "time": 1784727000000, "email_id": "2055", "timestamp": "2026-07-22 16:01:42"}</t>
  </si>
  <si>
    <t>Buy: 96.6 | Sell: 14.2</t>
  </si>
  <si>
    <t>{"symbol": "AXP", "strategy": "Daily", "action": "LONG", "alert_price": 340.65, "score": "", "dir_prob": "93.8", "net_sigma": "", "grade": "", "align": "", "premium": "", "wrong_if": "", "context": "", "subject": "Alert: Rev - Screener v1 (SPY, 12): Any alert() function call", "body": "{\"ticker\":\"AXP\", \"setup\":\"A+ Trend Long\", \"side\":\"LONG\", \"price\":340.65, \"stage\":2, \"buy\":96.6, \"sell\":14.2, \"prime\":2, \"revL\":0, \"revS\":0, \"vcp\":0, \"dir_prob\":93.8, \"time\":1784813400000}", "ticker": "AXP", "setup": "A+ Trend Long", "side": "LONG", "price": 340.65, "stage": 2, "buy": 96.6, "sell": 14.2, "prime": 2, "revL": 0, "revS": 0, "vcp": 0, "time": 1784813400000, "email_id": "2131", "timestamp": "2026-07-23 16:01:15"}</t>
  </si>
  <si>
    <t>{"symbol": "MET", "strategy": "Daily", "action": "LONG", "alert_price": 93.27, "score": "", "dir_prob": "92.2", "net_sigma": "", "grade": "", "align": "", "premium": "", "wrong_if": "", "context": "", "subject": "Alert: Rev - Screener v1 (SPY, 12): Any alert() function call", "body": "{\"ticker\":\"MET\", \"setup\":\"A+ Trend Long\", \"side\":\"LONG\", \"price\":93.27, \"stage\":2, \"buy\":94.2, \"sell\":8.9, \"prime\":2, \"revL\":0, \"revS\":0, \"vcp\":0, \"dir_prob\":92.2, \"time\":1784727000000}", "ticker": "MET", "setup": "A+ Trend Long", "side": "LONG", "price": 93.27, "stage": 2, "buy": 94.2, "sell": 8.9, "prime": 2, "revL": 0, "revS": 0, "vcp": 0, "time": 1784727000000, "email_id": "2057", "timestamp": "2026-07-22 16:01:27"}</t>
  </si>
  <si>
    <t>Buy: 5 | Sell: 42.6</t>
  </si>
  <si>
    <t>Buy: 93.7 | Sell: 39.8</t>
  </si>
  <si>
    <t>{"symbol": "EA", "strategy": "Daily", "action": "LONG", "alert_price": 208.94, "score": "", "dir_prob": "83", "net_sigma": "", "grade": "", "align": "", "premium": "", "wrong_if": "", "context": "", "subject": "Alert: Rev - Screener v1 (SPY, 12): Any alert() function call", "body": "{\"ticker\":\"EA\", \"setup\":\"A+ Trend Long\", \"side\":\"LONG\", \"price\":208.94, \"stage\":2, \"buy\":93.7, \"sell\":39.8, \"prime\":2, \"revL\":0, \"revS\":0, \"vcp\":0, \"dir_prob\":83, \"time\":1784727000000}", "ticker": "EA", "setup": "A+ Trend Long", "side": "LONG", "price": 208.94, "stage": 2, "buy": 93.7, "sell": 39.8, "prime": 2, "revL": 0, "revS": 0, "vcp": 0, "time": 1784727000000, "email_id": "2059", "timestamp": "2026-07-22 16:01:42"}</t>
  </si>
  <si>
    <t>{"symbol": "ALLE", "strategy": "Daily", "action": "LONG", "alert_price": 154.6, "score": "", "dir_prob": "34", "net_sigma": "", "grade": "", "align": "", "premium": "", "wrong_if": "", "context": "", "subject": "Alert: Rev - Screener v1 (SPY, 12): Any alert() function call", "body": "{\"ticker\":\"ALLE\", \"setup\":\"Bullish Squeeze Release\", \"side\":\"LONG\", \"price\":154.60, \"stage\":2, \"buy\":5, \"sell\":42.6, \"prime\":0, \"revL\":0, \"revS\":0, \"vcp\":2, \"dir_prob\":34, \"time\":1784813400000}", "ticker": "ALLE", "setup": "Bullish Squeeze Release", "side": "LONG", "price": 154.6, "stage": 2, "buy": 5, "sell": 42.6, "prime": 0, "revL": 0, "revS": 0, "vcp": 2, "time": 1784813400000, "email_id": "2127", "timestamp": "2026-07-23 16:01:11"}</t>
  </si>
  <si>
    <t>WAIT (Stalk / Pre-Set) — for stock. **CONDITIONAL EXECUTE** for a defined-risk bull call spread with a 50% size discount.</t>
  </si>
  <si>
    <t>Buy: 96.1 | Sell: 6.2</t>
  </si>
  <si>
    <t>{"symbol": "V", "strategy": "Daily", "action": "LONG", "alert_price": 353.41, "score": "", "dir_prob": "97.8", "net_sigma": "", "grade": "", "align": "", "premium": "", "wrong_if": "", "context": "", "subject": "Alert: Rev - Screener v1 (SPY, 12): Any alert() function call", "body": "{\"ticker\":\"V\", \"setup\":\"A+ Trend Long\", \"side\":\"LONG\", \"price\":353.41, \"stage\":2, \"buy\":96.7, \"sell\":4.2, \"prime\":2, \"revL\":0, \"revS\":0, \"vcp\":0, \"dir_prob\":97.8, \"time\":1784727000000}", "ticker": "V", "setup": "A+ Trend Long", "side": "LONG", "price": 353.41, "stage": 2, "buy": 96.7, "sell": 4.2, "prime": 2, "revL": 0, "revS": 0, "vcp": 0, "time": 1784727000000, "email_id": "2060", "timestamp": "2026-07-22 16:01:37"}</t>
  </si>
  <si>
    <t>TREND_LONG fires with buy=97.28 &gt;&gt; 65, dir_prob=91.58, and stage=2. News is NEUTRAL (no specific catalyst) but sentiment is POSITIVE, confirming the long bias. Triage is capped to WATCH due to earnings_gate=CAUTION (6 days out) and rr_from=</t>
  </si>
  <si>
    <t>{"symbol": "INCY", "strategy": "Daily", "action": "LONG", "alert_price": 116.73, "score": "", "dir_prob": "94.5", "net_sigma": "", "grade": "", "align": "", "premium": "", "wrong_if": "", "context": "", "subject": "Alert: Rev - Screener v1 (SPY, 12): Any alert() function call", "body": "{\"ticker\":\"INCY\", \"setup\":\"A+ Trend Long\", \"side\":\"LONG\", \"price\":116.73, \"stage\":2, \"buy\":96.1, \"sell\":6.2, \"prime\":2, \"revL\":0, \"revS\":0, \"vcp\":1, \"dir_prob\":94.5, \"time\":1784813400000}", "ticker": "INCY", "setup": "A+ Trend Long", "side": "LONG", "price": 116.73, "stage": 2, "buy": 96.1, "sell": 6.2, "prime": 2, "revL": 0, "revS": 0, "vcp": 1, "time": 1784813400000, "email_id": "2132", "timestamp": "2026-07-23 16:01:14"}</t>
  </si>
  <si>
    <t>Buy: 97.6 | Sell: 21.3</t>
  </si>
  <si>
    <t>Buy: 97.1 | Sell: 16.7</t>
  </si>
  <si>
    <t>{"symbol": "GPC", "strategy": "Daily", "action": "LONG", "alert_price": 120.36, "score": "", "dir_prob": "94", "net_sigma": "", "grade": "", "align": "", "premium": "", "wrong_if": "", "context": "", "subject": "Alert: Rev - Screener v1 (SPY, 12): Any alert() function call", "body": "{\"ticker\":\"GPC\", \"setup\":\"A+ Trend Long\", \"side\":\"LONG\", \"price\":120.36, \"stage\":2, \"buy\":97.6, \"sell\":21.3, \"prime\":2, \"revL\":0, \"revS\":0, \"vcp\":0, \"dir_prob\":94, \"time\":1784727000000}", "ticker": "GPC", "setup": "A+ Trend Long", "side": "LONG", "price": 120.36, "stage": 2, "buy": 97.6, "sell": 21.3, "prime": 2, "revL": 0, "revS": 0, "vcp": 0, "time": 1784727000000, "email_id": "2062", "timestamp": "2026-07-22 16:01:30"}</t>
  </si>
  <si>
    <t>{"symbol": "ACGL", "strategy": "Daily", "action": "LONG", "alert_price": 100.14, "score": "", "dir_prob": "93.4", "net_sigma": "", "grade": "", "align": "", "premium": "", "wrong_if": "", "context": "", "subject": "Alert: Rev - Screener v1 (SPY, 12): Any alert() function call", "body": "{\"ticker\":\"ACGL\", \"setup\":\"A+ Trend Long\", \"side\":\"LONG\", \"price\":100.14, \"stage\":2, \"buy\":97.1, \"sell\":16.7, \"prime\":2, \"revL\":0, \"revS\":0, \"vcp\":0, \"dir_prob\":93.4, \"time\":1784813400000}", "ticker": "ACGL", "setup": "A+ Trend Long", "side": "LONG", "price": 100.14, "stage": 2, "buy": 97.1, "sell": 16.7, "prime": 2, "revL": 0, "revS": 0, "vcp": 0, "time": 1784813400000, "email_id": "2133", "timestamp": "2026-07-23 16:01:50"}</t>
  </si>
  <si>
    <t>Buy: 94.2 | Sell: 6.9</t>
  </si>
  <si>
    <t>{"symbol": "STT", "strategy": "Daily", "action": "LONG", "alert_price": 184.16, "score": "", "dir_prob": "92.5", "net_sigma": "", "grade": "", "align": "", "premium": "", "wrong_if": "", "context": "", "subject": "Alert: Rev - Screener v1 (SPY, 12): Any alert() function call", "body": "{\"ticker\":\"STT\", \"setup\":\"A+ Trend Long\", \"side\":\"LONG\", \"price\":184.16, \"stage\":2, \"buy\":94.2, \"sell\":6.9, \"prime\":2, \"revL\":0, \"revS\":0, \"vcp\":0, \"dir_prob\":92.5, \"time\":1784813400000}", "ticker": "STT", "setup": "A+ Trend Long", "side": "LONG", "price": 184.16, "stage": 2, "buy": 94.2, "sell": 6.9, "prime": 2, "revL": 0, "revS": 0, "vcp": 0, "time": 1784813400000, "email_id": "2134", "timestamp": "2026-07-23 16:01:13"}</t>
  </si>
  <si>
    <t>Buy: 95.1 | Sell: 25.4</t>
  </si>
  <si>
    <t>{"symbol": "O", "strategy": "Daily", "action": "LONG", "alert_price": 64.71, "score": "", "dir_prob": "93", "net_sigma": "", "grade": "", "align": "", "premium": "", "wrong_if": "", "context": "", "subject": "Alert: Rev - Screener v1 (SPY, 12): Any alert() function call", "body": "{\"ticker\":\"O\", \"setup\":\"A+ Trend Long\", \"side\":\"LONG\", \"price\":64.71, \"stage\":2, \"buy\":95.1, \"sell\":25.4, \"prime\":2, \"revL\":0, \"revS\":0, \"vcp\":0, \"dir_prob\":93, \"time\":1784813400000}", "ticker": "O", "setup": "A+ Trend Long", "side": "LONG", "price": 64.71, "stage": 2, "buy": 95.1, "sell": 25.4, "prime": 2, "revL": 0, "revS": 0, "vcp": 0, "time": 1784813400000, "email_id": "2135", "timestamp": "2026-07-23 16:01:16"}</t>
  </si>
  <si>
    <t xml:space="preserve">TREND_LONG fires with buy=97.4 &gt;&gt; 65 and dir_prob=88.6, indicating a strong long bias. However, the news CONTRADICTS this with a price target cut to $67, capping the setup at WATCH. The RR from current is poor (0.55) because price is above </t>
  </si>
  <si>
    <t>Buy: 96 | Sell: 22.9</t>
  </si>
  <si>
    <t>{"symbol": "PCG", "strategy": "Daily", "action": "LONG", "alert_price": 17.55, "score": "", "dir_prob": "90.7", "net_sigma": "", "grade": "", "align": "", "premium": "", "wrong_if": "", "context": "", "subject": "Alert: Rev - Screener v1 (SPY, 12): Any alert() function call", "body": "{\"ticker\":\"PCG\", \"setup\":\"A+ Trend Long\", \"side\":\"LONG\", \"price\":17.55, \"stage\":2, \"buy\":96, \"sell\":22.9, \"prime\":2, \"revL\":0, \"revS\":0, \"vcp\":0, \"dir_prob\":90.7, \"time\":1784813400000}", "ticker": "PCG", "setup": "A+ Trend Long", "side": "LONG", "price": 17.55, "stage": 2, "buy": 96, "sell": 22.9, "prime": 2, "revL": 0, "revS": 0, "vcp": 0, "time": 1784813400000, "email_id": "2136", "timestamp": "2026-07-23 16:01:19"}</t>
  </si>
  <si>
    <t>Buy: 95.6 | Sell: 12.7</t>
  </si>
  <si>
    <t>{"symbol": "WRB", "strategy": "Daily", "action": "LONG", "alert_price": 73.44, "score": "", "dir_prob": "95.5", "net_sigma": "", "grade": "", "align": "", "premium": "", "wrong_if": "", "context": "", "subject": "Alert: Rev - Screener v1 (SPY, 12): Any alert() function call", "body": "{\"ticker\":\"WRB\", \"setup\":\"A+ Trend Long\", \"side\":\"LONG\", \"price\":73.44, \"stage\":2, \"buy\":95.6, \"sell\":12.7, \"prime\":2, \"revL\":0, \"revS\":0, \"vcp\":1, \"dir_prob\":95.5, \"time\":1784813400000}", "ticker": "WRB", "setup": "A+ Trend Long", "side": "LONG", "price": 73.44, "stage": 2, "buy": 95.6, "sell": 12.7, "prime": 2, "revL": 0, "revS": 0, "vcp": 1, "time": 1784813400000, "email_id": "2137", "timestamp": "2026-07-23 16:01:14"}</t>
  </si>
  <si>
    <t>TREND_LONG fires with buy=82.51 &gt; 65 and dir_prob=90.57, but the setup is compromised by a 'chased' flag (price above long_zone) and a 'squeeze' regime (coiling). News CONTRADICTS the long bias: while EPS beat, sales missed and Wells Fargo/</t>
  </si>
  <si>
    <t>Buy: 97.7 | Sell: 13.4</t>
  </si>
  <si>
    <t>{"symbol": "VLTO", "strategy": "Daily", "action": "LONG", "alert_price": 91.51, "score": "", "dir_prob": "98.4", "net_sigma": "", "grade": "", "align": "", "premium": "", "wrong_if": "", "context": "", "subject": "Alert: Rev - Screener v1 (SPY, 12): Any alert() function call", "body": "{\"ticker\":\"VLTO\", \"setup\":\"A+ Trend Long\", \"side\":\"LONG\", \"price\":91.51, \"stage\":2, \"buy\":97.7, \"sell\":13.4, \"prime\":2, \"revL\":0, \"revS\":0, \"vcp\":0, \"dir_prob\":98.4, \"time\":1784813400000}", "ticker": "VLTO", "setup": "A+ Trend Long", "side": "LONG", "price": 91.51, "stage": 2, "buy": 97.7, "sell": 13.4, "prime": 2, "revL": 0, "revS": 0, "vcp": 0, "time": 1784813400000, "email_id": "2138", "timestamp": "2026-07-23 16:01:22"}</t>
  </si>
  <si>
    <t>Buy: 96.6 | Sell: 21.3</t>
  </si>
  <si>
    <t>{"symbol": "ES", "strategy": "Daily", "action": "LONG", "alert_price": 74.62, "score": "", "dir_prob": "92.4", "net_sigma": "", "grade": "", "align": "", "premium": "", "wrong_if": "", "context": "", "subject": "Alert: Rev - Screener v1 (SPY, 12): Any alert() function call", "body": "{\"ticker\":\"ES\", \"setup\":\"A+ Trend Long\", \"side\":\"LONG\", \"price\":74.62, \"stage\":2, \"buy\":96.6, \"sell\":21.3, \"prime\":2, \"revL\":0, \"revS\":0, \"vcp\":1, \"dir_prob\":92.4, \"time\":1784813400000}", "ticker": "ES", "setup": "A+ Trend Long", "side": "LONG", "price": 74.62, "stage": 2, "buy": 96.6, "sell": 21.3, "prime": 2, "revL": 0, "revS": 0, "vcp": 1, "time": 1784813400000, "email_id": "2139", "timestamp": "2026-07-23 16:01:20"}</t>
  </si>
  <si>
    <t>Buy: 98.1 | Sell: 13.7</t>
  </si>
  <si>
    <t>{"symbol": "EXPE", "strategy": "Daily", "action": "LONG", "alert_price": 257.68, "score": "", "dir_prob": "89", "net_sigma": "", "grade": "", "align": "", "premium": "", "wrong_if": "", "context": "", "subject": "Alert: Rev - Screener v1 (SPY, 12): Any alert() function call", "body": "{\"ticker\":\"EXPE\", \"setup\":\"A+ Trend Long\", \"side\":\"LONG\", \"price\":257.68, \"stage\":2, \"buy\":98.1, \"sell\":13.7, \"prime\":2, \"revL\":0, \"revS\":0, \"vcp\":1, \"dir_prob\":89, \"time\":1784813400000}", "ticker": "EXPE", "setup": "A+ Trend Long", "side": "LONG", "price": 257.68, "stage": 2, "buy": 98.1, "sell": 13.7, "prime": 2, "revL": 0, "revS": 0, "vcp": 1, "time": 1784813400000, "email_id": "2141", "timestamp": "2026-07-23 16:01:15"}</t>
  </si>
  <si>
    <t>Buy: 90.2 | Sell: 34.1</t>
  </si>
  <si>
    <t>**WAIT (Setup Pending LTF Confirmation)** — Set alerts at $24.72 (zone bottom) and $24.40 (deeper re-test). For existing shareholders: **HOLD, do not sell covered calls aggressively.**</t>
  </si>
  <si>
    <t>{"symbol": "HRL", "strategy": "Daily", "action": "LONG", "alert_price": 25.02, "score": "", "dir_prob": "88.4", "net_sigma": "", "grade": "", "align": "", "premium": "", "wrong_if": "", "context": "", "subject": "Alert: Rev - Screener v1 (SPY, 12): Any alert() function call", "body": "{\"ticker\":\"HRL\", \"setup\":\"A+ Trend Long\", \"side\":\"LONG\", \"price\":25.02, \"stage\":2, \"buy\":90.2, \"sell\":34.1, \"prime\":2, \"revL\":0, \"revS\":0, \"vcp\":0, \"dir_prob\":88.4, \"time\":1784813400000}", "ticker": "HRL", "setup": "A+ Trend Long", "side": "LONG", "price": 25.02, "stage": 2, "buy": 90.2, "sell": 34.1, "prime": 2, "revL": 0, "revS": 0, "vcp": 0, "time": 1784813400000, "email_id": "2142", "timestamp": "2026-07-23 16:01:18"}</t>
  </si>
  <si>
    <t>TREND_LONG fires with buy=96.51 &gt;&gt; 65, dir_prob=96.48 &gt;&gt; 50, and stage=2 (up-trend). News CONFIRMS with headlines citing a 24% rally and undervaluation. No active flags or vetoes apply; zone_state is 'in_zone' with healthy exhaustion (0.032</t>
  </si>
  <si>
    <t>Buy: 93.1 | Sell: 14.7</t>
  </si>
  <si>
    <t>{"symbol": "DVA", "strategy": "Daily", "action": "LONG", "alert_price": 234.16, "score": "", "dir_prob": "94.5", "net_sigma": "", "grade": "", "align": "", "premium": "", "wrong_if": "", "context": "", "subject": "Alert: Rev - Screener v1 (SPY, 12): Any alert() function call", "body": "{\"ticker\":\"DVA\", \"setup\":\"A+ Trend Long\", \"side\":\"LONG\", \"price\":234.16, \"stage\":2, \"buy\":93.1, \"sell\":14.7, \"prime\":2, \"revL\":0, \"revS\":0, \"vcp\":0, \"dir_prob\":94.5, \"time\":1784813400000}", "ticker": "DVA", "setup": "A+ Trend Long", "side": "LONG", "price": 234.16, "stage": 2, "buy": 93.1, "sell": 14.7, "prime": 2, "revL": 0, "revS": 0, "vcp": 0, "time": 1784813400000, "email_id": "2143", "timestamp": "2026-07-23 16:01:24"}</t>
  </si>
  <si>
    <t>Technical setup shows strong bullish momentum with buy=89.35 and dir_prob=93.47, but lacks a clean entry trigger (ignition_long=0, rev_zone_l=2). The news CONTRADICTS the long bias as Moon Capital exited the position with a 174% return, a '</t>
  </si>
  <si>
    <t>{"symbol": "RF", "strategy": "Daily", "action": "LONG", "alert_price": 30.65, "score": "", "dir_prob": "90.7", "net_sigma": "", "grade": "", "align": "", "premium": "", "wrong_if": "", "context": "", "subject": "Alert: Rev - Screener v1 (SPY, 12): Any alert() function call", "body": "{\"ticker\":\"RF\", \"setup\":\"A+ Trend Long\", \"side\":\"LONG\", \"price\":30.65, \"stage\":2, \"buy\":97.1, \"sell\":16.7, \"prime\":2, \"revL\":0, \"revS\":0, \"vcp\":0, \"dir_prob\":90.7, \"time\":1784813400000}", "ticker": "RF", "setup": "A+ Trend Long", "side": "LONG", "price": 30.65, "stage": 2, "buy": 97.1, "sell": 16.7, "prime": 2, "revL": 0, "revS": 0, "vcp": 0, "time": 1784813400000, "email_id": "2144", "timestamp": "2026-07-23 16:01:14"}</t>
  </si>
  <si>
    <t>Buy: 98 | Sell: 4.5</t>
  </si>
  <si>
    <t>{"symbol": "SCHW", "strategy": "Daily", "action": "LONG", "alert_price": 101.6, "score": "", "dir_prob": "97.3", "net_sigma": "", "grade": "", "align": "", "premium": "", "wrong_if": "", "context": "", "subject": "Alert: Rev - Screener v1 (SPY, 12): Any alert() function call", "body": "{\"ticker\":\"SCHW\", \"setup\":\"A+ Trend Long\", \"side\":\"LONG\", \"price\":101.60, \"stage\":2, \"buy\":98, \"sell\":4.5, \"prime\":2, \"revL\":0, \"revS\":0, \"vcp\":0, \"dir_prob\":97.3, \"time\":1784813400000}", "ticker": "SCHW", "setup": "A+ Trend Long", "side": "LONG", "price": 101.6, "stage": 2, "buy": 98, "sell": 4.5, "prime": 2, "revL": 0, "revS": 0, "vcp": 0, "time": 1784813400000, "email_id": "2145", "timestamp": "2026-07-23 16:01:15"}</t>
  </si>
  <si>
    <t>Buy: 92.8 | Sell: 35.1</t>
  </si>
  <si>
    <t>{"symbol": "ABBV", "strategy": "Daily", "action": "LONG", "alert_price": 256.86, "score": "", "dir_prob": "85", "net_sigma": "", "grade": "", "align": "", "premium": "", "wrong_if": "", "context": "", "subject": "Alert: Rev - Screener v1 (SPY, 12): Any alert() function call", "body": "{\"ticker\":\"ABBV\", \"setup\":\"A+ Trend Long\", \"side\":\"LONG\", \"price\":256.86, \"stage\":2, \"buy\":92.8, \"sell\":35.1, \"prime\":2, \"revL\":0, \"revS\":0, \"vcp\":1, \"dir_prob\":85, \"time\":1784813400000}", "ticker": "ABBV", "setup": "A+ Trend Long", "side": "LONG", "price": 256.86, "stage": 2, "buy": 92.8, "sell": 35.1, "prime": 2, "revL": 0, "revS": 0, "vcp": 1, "time": 1784813400000, "email_id": "2146", "timestamp": "2026-07-23 16:01:17"}</t>
  </si>
  <si>
    <t>Buy: 89.6 | Sell: 16.4</t>
  </si>
  <si>
    <t>{"symbol": "FE", "strategy": "Daily", "action": "LONG", "alert_price": 49.49, "score": "", "dir_prob": "90", "net_sigma": "", "grade": "", "align": "", "premium": "", "wrong_if": "", "context": "", "subject": "Alert: Rev - Screener v1 (SPY, 12): Any alert() function call", "body": "{\"ticker\":\"FE\", \"setup\":\"A+ Trend Long\", \"side\":\"LONG\", \"price\":49.49, \"stage\":2, \"buy\":89.6, \"sell\":16.4, \"prime\":2, \"revL\":0, \"revS\":0, \"vcp\":1, \"dir_prob\":90, \"time\":1784813400000}", "ticker": "FE", "setup": "A+ Trend Long", "side": "LONG", "price": 49.49, "stage": 2, "buy": 89.6, "sell": 16.4, "prime": 2, "revL": 0, "revS": 0, "vcp": 1, "time": 1784813400000, "email_id": "2147", "timestamp": "2026-07-23 16:01:12"}</t>
  </si>
  <si>
    <t>Buy: 92.4 | Sell: 13.6</t>
  </si>
  <si>
    <t>{"symbol": "DOC", "strategy": "Daily", "action": "LONG", "alert_price": 22.06, "score": "", "dir_prob": "92.9", "net_sigma": "", "grade": "", "align": "", "premium": "", "wrong_if": "", "context": "", "subject": "Alert: Rev - Screener v1 (SPY, 12): Any alert() function call", "body": "{\"ticker\":\"DOC\", \"setup\":\"A+ Trend Long\", \"side\":\"LONG\", \"price\":22.06, \"stage\":2, \"buy\":92.4, \"sell\":13.6, \"prime\":2, \"revL\":0, \"revS\":0, \"vcp\":0, \"dir_prob\":92.9, \"time\":1784813400000}", "ticker": "DOC", "setup": "A+ Trend Long", "side": "LONG", "price": 22.06, "stage": 2, "buy": 92.4, "sell": 13.6, "prime": 2, "revL": 0, "revS": 0, "vcp": 0, "time": 1784813400000, "email_id": "2149", "timestamp": "2026-07-23 16:01:21"}</t>
  </si>
  <si>
    <t>Buy: 92.3 | Sell: 12.6</t>
  </si>
  <si>
    <t>{"symbol": "MCK", "strategy": "Daily", "action": "LONG", "alert_price": 824.37, "score": "", "dir_prob": "94", "net_sigma": "", "grade": "", "align": "", "premium": "", "wrong_if": "", "context": "", "subject": "Alert: Rev - Screener v1 (SPY, 12): Any alert() function call", "body": "{\"ticker\":\"MCK\", \"setup\":\"A+ Trend Long\", \"side\":\"LONG\", \"price\":824.37, \"stage\":2, \"buy\":92.3, \"sell\":12.6, \"prime\":2, \"revL\":0, \"revS\":0, \"vcp\":0, \"dir_prob\":94, \"time\":1784813400000}", "ticker": "MCK", "setup": "A+ Trend Long", "side": "LONG", "price": 824.37, "stage": 2, "buy": 92.3, "sell": 12.6, "prime": 2, "revL": 0, "revS": 0, "vcp": 0, "time": 1784813400000, "email_id": "2150", "timestamp": "2026-07-23 16:01:20"}</t>
  </si>
  <si>
    <t>AMP</t>
  </si>
  <si>
    <t>Buy: 91 | Sell: 3.9</t>
  </si>
  <si>
    <t>{"symbol": "AMP", "strategy": "Daily", "action": "LONG", "alert_price": 520.17, "score": "", "dir_prob": "97.8", "net_sigma": "", "grade": "", "align": "", "premium": "", "wrong_if": "", "context": "", "subject": "Alert: Rev - Screener v1 (SPY, 12): Any alert() function call", "body": "{\"ticker\":\"AMP\", \"setup\":\"A+ Trend Long\", \"side\":\"LONG\", \"price\":520.17, \"stage\":2, \"buy\":91, \"sell\":3.9, \"prime\":2, \"revL\":0, \"revS\":0, \"vcp\":0, \"dir_prob\":97.8, \"time\":1784813400000}", "ticker": "AMP", "setup": "A+ Trend Long", "side": "LONG", "price": 520.17, "stage": 2, "buy": 91, "sell": 3.9, "prime": 2, "revL": 0, "revS": 0, "vcp": 0, "time": 1784813400000, "email_id": "2151", "timestamp": "2026-07-23 16:01:23"}</t>
  </si>
  <si>
    <t>Buy: 96 | Sell: 12.4</t>
  </si>
  <si>
    <t>{"symbol": "BAC", "strategy": "Daily", "action": "LONG", "alert_price": 61.29, "score": "", "dir_prob": "90.1", "net_sigma": "", "grade": "", "align": "", "premium": "", "wrong_if": "", "context": "", "subject": "Alert: Rev - Screener v1 (SPY, 12): Any alert() function call", "body": "{\"ticker\":\"BAC\", \"setup\":\"A+ Trend Long\", \"side\":\"LONG\", \"price\":61.29, \"stage\":2, \"buy\":96, \"sell\":12.4, \"prime\":2, \"revL\":0, \"revS\":0, \"vcp\":0, \"dir_prob\":90.1, \"time\":1784813400000}", "ticker": "BAC", "setup": "A+ Trend Long", "side": "LONG", "price": 61.29, "stage": 2, "buy": 96, "sell": 12.4, "prime": 2, "revL": 0, "revS": 0, "vcp": 0, "time": 1784813400000, "email_id": "2152", "timestamp": "2026-07-23 16:01:18"}</t>
  </si>
  <si>
    <t>TREND_LONG fires with buy=97.5 &gt;&gt; 65, dir_prob=85.69 &gt;&gt; 50, and stage=2 (up-trend). News is NEUTRAL (historical performance piece) and does not contradict the strong technicals. The 'pullback' flag indicates a dip-buy opportunity within the</t>
  </si>
  <si>
    <t>Buy: 91 | Sell: 14</t>
  </si>
  <si>
    <t>{"symbol": "D", "strategy": "Daily", "action": "LONG", "alert_price": 71.43, "score": "", "dir_prob": "92.2", "net_sigma": "", "grade": "", "align": "", "premium": "", "wrong_if": "", "context": "", "subject": "Alert: Rev - Screener v1 (SPY, 12): Any alert() function call", "body": "{\"ticker\":\"D\", \"setup\":\"A+ Trend Long\", \"side\":\"LONG\", \"price\":71.43, \"stage\":2, \"buy\":91, \"sell\":14, \"prime\":2, \"revL\":0, \"revS\":0, \"vcp\":0, \"dir_prob\":92.2, \"time\":1784813400000}", "ticker": "D", "setup": "A+ Trend Long", "side": "LONG", "price": 71.43, "stage": 2, "buy": 91, "sell": 14, "prime": 2, "revL": 0, "revS": 0, "vcp": 0, "time": 1784813400000, "email_id": "2153", "timestamp": "2026-07-23 16:01:20"}</t>
  </si>
  <si>
    <t>Buy: 97.9 | Sell: 4.1</t>
  </si>
  <si>
    <t>WAIT for zone touch (Conditional BUY trigger)</t>
  </si>
  <si>
    <t>{"symbol": "DLTR", "strategy": "Daily", "action": "LONG", "alert_price": 117.73, "score": "", "dir_prob": "96.6", "net_sigma": "", "grade": "", "align": "", "premium": "", "wrong_if": "", "context": "", "subject": "Alert: Rev - Screener v1 (SPY, 12): Any alert() function call", "body": "{\"ticker\":\"DLTR\", \"setup\":\"A+ Trend Long\", \"side\":\"LONG\", \"price\":117.73, \"stage\":2, \"buy\":97.9, \"sell\":4.1, \"prime\":2, \"revL\":0, \"revS\":0, \"vcp\":1, \"dir_prob\":96.6, \"time\":1784813400000}", "ticker": "DLTR", "setup": "A+ Trend Long", "side": "LONG", "price": 117.73, "stage": 2, "buy": 97.9, "sell": 4.1, "prime": 2, "revL": 0, "revS": 0, "vcp": 1, "time": 1784813400000, "email_id": "2154", "timestamp": "2026-07-23 16:01:23"}</t>
  </si>
  <si>
    <t>TREND_LONG fires with buy=93.69 &gt;&gt; 65 and dir_prob=88.6, indicating a strong bullish signal. However, the news CONTRADICTS this bias with headlines about 75 store closures and rising costs, creating a fundamental disconnect. The 'squeeze' (</t>
  </si>
  <si>
    <t>Buy: 97.3 | Sell: 23.1</t>
  </si>
  <si>
    <t>{"symbol": "GPC", "strategy": "Daily", "action": "LONG", "alert_price": 120.06, "score": "", "dir_prob": "93.5", "net_sigma": "", "grade": "", "align": "", "premium": "", "wrong_if": "", "context": "", "subject": "Alert: Rev - Screener v1 (SPY, 12): Any alert() function call", "body": "{\"ticker\":\"GPC\", \"setup\":\"A+ Trend Long\", \"side\":\"LONG\", \"price\":120.06, \"stage\":2, \"buy\":97.3, \"sell\":23.1, \"prime\":2, \"revL\":0, \"revS\":0, \"vcp\":0, \"dir_prob\":93.5, \"time\":1784813400000}", "ticker": "GPC", "setup": "A+ Trend Long", "side": "LONG", "price": 120.06, "stage": 2, "buy": 97.3, "sell": 23.1, "prime": 2, "revL": 0, "revS": 0, "vcp": 0, "time": 1784813400000, "email_id": "2155", "timestamp": "2026-07-23 16:01:19"}</t>
  </si>
  <si>
    <t>Buy: 96.2 | Sell: 23</t>
  </si>
  <si>
    <t>{"symbol": "COO", "strategy": "Daily", "action": "LONG", "alert_price": 70.25, "score": "", "dir_prob": "92.6", "net_sigma": "", "grade": "", "align": "", "premium": "", "wrong_if": "", "context": "", "subject": "Alert: Rev - Screener v1 (SPY, 12): Any alert() function call", "body": "{\"ticker\":\"COO\", \"setup\":\"A+ Trend Long\", \"side\":\"LONG\", \"price\":70.25, \"stage\":2, \"buy\":96.2, \"sell\":23, \"prime\":2, \"revL\":0, \"revS\":0, \"vcp\":1, \"dir_prob\":92.6, \"time\":1784813400000}", "ticker": "COO", "setup": "A+ Trend Long", "side": "LONG", "price": 70.25, "stage": 2, "buy": 96.2, "sell": 23, "prime": 2, "revL": 0, "revS": 0, "vcp": 1, "time": 1784813400000, "email_id": "2156", "timestamp": "2026-07-23 16:01:18"}</t>
  </si>
  <si>
    <t>Buy: 15.8 | Sell: 60</t>
  </si>
  <si>
    <t>{"symbol": "DGX", "strategy": "Daily", "action": "LONG", "alert_price": 227.73, "score": "", "dir_prob": "24.6", "net_sigma": "", "grade": "", "align": "", "premium": "", "wrong_if": "", "context": "", "subject": "Alert: Rev - Screener v1 (SPY, 12): Any alert() function call", "body": "{\"ticker\":\"DGX\", \"setup\":\"Bullish Squeeze Release\", \"side\":\"LONG\", \"price\":227.73, \"stage\":2, \"buy\":15.8, \"sell\":60, \"prime\":0, \"revL\":0, \"revS\":0, \"vcp\":2, \"dir_prob\":24.6, \"time\":1784813400000}", "ticker": "DGX", "setup": "Bullish Squeeze Release", "side": "LONG", "price": 227.73, "stage": 2, "buy": 15.8, "sell": 60, "prime": 0, "revL": 0, "revS": 0, "vcp": 2, "time": 1784813400000, "email_id": "2157", "timestamp": "2026-07-23 16:01:28"}</t>
  </si>
  <si>
    <t>Buy: 99 | Sell: 31.9</t>
  </si>
  <si>
    <t>{"symbol": "HBAN", "strategy": "Daily", "action": "LONG", "alert_price": 17.38, "score": "", "dir_prob": "89.4", "net_sigma": "", "grade": "", "align": "", "premium": "", "wrong_if": "", "context": "", "subject": "Alert: Rev - Screener v1 (SPY, 12): Any alert() function call", "body": "{\"ticker\":\"HBAN\", \"setup\":\"A+ Trend Long\", \"side\":\"LONG\", \"price\":17.38, \"stage\":2, \"buy\":99, \"sell\":31.9, \"prime\":2, \"revL\":0, \"revS\":0, \"vcp\":1, \"dir_prob\":89.4, \"time\":1784813400000}", "ticker": "HBAN", "setup": "A+ Trend Long", "side": "LONG", "price": 17.38, "stage": 2, "buy": 99, "sell": 31.9, "prime": 2, "revL": 0, "revS": 0, "vcp": 1, "time": 1784813400000, "email_id": "2158", "timestamp": "2026-07-23 16:01:23"}</t>
  </si>
  <si>
    <t>Buy: 90.3 | Sell: 11.7</t>
  </si>
  <si>
    <t>{"symbol": "PAYX", "strategy": "Daily", "action": "LONG", "alert_price": 110.65, "score": "", "dir_prob": "98.5", "net_sigma": "", "grade": "", "align": "", "premium": "", "wrong_if": "", "context": "", "subject": "Alert: Rev - Screener v1 (SPY, 12): Any alert() function call", "body": "{\"ticker\":\"PAYX\", \"setup\":\"A+ Trend Long\", \"side\":\"LONG\", \"price\":110.65, \"stage\":2, \"buy\":90.3, \"sell\":11.7, \"prime\":2, \"revL\":0, \"revS\":0, \"vcp\":0, \"dir_prob\":98.5, \"time\":1784813400000}", "ticker": "PAYX", "setup": "A+ Trend Long", "side": "LONG", "price": 110.65, "stage": 2, "buy": 90.3, "sell": 11.7, "prime": 2, "revL": 0, "revS": 0, "vcp": 0, "time": 1784813400000, "email_id": "2159", "timestamp": "2026-07-23 16:01:24"}</t>
  </si>
  <si>
    <t>Buy: 97.8 | Sell: 13.6</t>
  </si>
  <si>
    <t>{"symbol": "MRSH", "strategy": "Daily", "action": "LONG", "alert_price": 176.48, "score": "", "dir_prob": "99.4", "net_sigma": "", "grade": "", "align": "", "premium": "", "wrong_if": "", "context": "", "subject": "Alert: Rev - Screener v1 (SPY, 12): Any alert() function call", "body": "{\"ticker\":\"MRSH\", \"setup\":\"A+ Trend Long\", \"side\":\"LONG\", \"price\":176.48, \"stage\":2, \"buy\":97.8, \"sell\":13.6, \"prime\":2, \"revL\":0, \"revS\":0, \"vcp\":0, \"dir_prob\":99.4, \"time\":1784813400000}", "ticker": "MRSH", "setup": "A+ Trend Long", "side": "LONG", "price": 176.48, "stage": 2, "buy": 97.8, "sell": 13.6, "prime": 2, "revL": 0, "revS": 0, "vcp": 0, "time": 1784813400000, "email_id": "2160", "timestamp": "2026-07-23 16:01:18"}</t>
  </si>
  <si>
    <t>Buy: 92.7 | Sell: 13.6</t>
  </si>
  <si>
    <t>Buy: 97.2 | Sell: 14</t>
  </si>
  <si>
    <t>{"symbol": "MAS", "strategy": "Daily", "action": "LONG", "alert_price": 77.34, "score": "", "dir_prob": "90", "net_sigma": "", "grade": "", "align": "", "premium": "", "wrong_if": "", "context": "", "subject": "Alert: Rev - Screener v1 (SPY, 12): Any alert() function call", "body": "{\"ticker\":\"MAS\", \"setup\":\"A+ Trend Long\", \"side\":\"LONG\", \"price\":77.34, \"stage\":2, \"buy\":92.7, \"sell\":13.6, \"prime\":2, \"revL\":0, \"revS\":0, \"vcp\":0, \"dir_prob\":90, \"time\":1784813400000}", "ticker": "MAS", "setup": "A+ Trend Long", "side": "LONG", "price": 77.34, "stage": 2, "buy": 92.7, "sell": 13.6, "prime": 2, "revL": 0, "revS": 0, "vcp": 0, "time": 1784813400000, "email_id": "2161", "timestamp": "2026-07-23 16:01:21"}</t>
  </si>
  <si>
    <t>Buy: 97.7 | Sell: 11.6</t>
  </si>
  <si>
    <t>{"symbol": "SPGI", "strategy": "Daily", "action": "LONG", "alert_price": 419.85, "score": "", "dir_prob": "95.2", "net_sigma": "", "grade": "", "align": "", "premium": "", "wrong_if": "", "context": "", "subject": "Alert: Rev - Screener v1 (SPY, 12): Any alert() function call", "body": "{\"ticker\":\"SPGI\", \"setup\":\"A+ Trend Long\", \"side\":\"LONG\", \"price\":419.85, \"stage\":2, \"buy\":97.7, \"sell\":11.6, \"prime\":2, \"revL\":0, \"revS\":0, \"vcp\":0, \"dir_prob\":95.2, \"time\":1784813400000}", "ticker": "SPGI", "setup": "A+ Trend Long", "side": "LONG", "price": 419.85, "stage": 2, "buy": 97.7, "sell": 11.6, "prime": 2, "revL": 0, "revS": 0, "vcp": 0, "time": 1784813400000, "email_id": "2162", "timestamp": "2026-07-23 16:01:20"}</t>
  </si>
  <si>
    <t>Buy: 94.2 | Sell: 33.9</t>
  </si>
  <si>
    <t>{"symbol": "MA", "strategy": "Daily", "action": "LONG", "alert_price": 539.66, "score": "", "dir_prob": "97.5", "net_sigma": "", "grade": "", "align": "", "premium": "", "wrong_if": "", "context": "", "subject": "Alert: Rev - Screener v1 (SPY, 12): Any alert() function call", "body": "{\"ticker\":\"MA\", \"setup\":\"A+ Trend Long\", \"side\":\"LONG\", \"price\":539.66, \"stage\":2, \"buy\":97.2, \"sell\":14, \"prime\":2, \"revL\":0, \"revS\":0, \"vcp\":0, \"dir_prob\":97.5, \"time\":1784899800000}", "ticker": "MA", "setup": "A+ Trend Long", "side": "LONG", "price": 539.66, "stage": 2, "buy": 97.2, "sell": 14, "prime": 2, "revL": 0, "revS": 0, "vcp": 0, "time": 1784899800000, "email_id": "2285", "timestamp": "2026-07-24 16:01:01"}</t>
  </si>
  <si>
    <t>Buy: 96.9 | Sell: 19.5</t>
  </si>
  <si>
    <t>{"symbol": "KMB", "strategy": "Daily", "action": "LONG", "alert_price": 107.29, "score": "", "dir_prob": "95.5", "net_sigma": "", "grade": "", "align": "", "premium": "", "wrong_if": "", "context": "", "subject": "Alert: Rev - Screener v1 (SPY, 12): Any alert() function call", "body": "{\"ticker\":\"KMB\", \"setup\":\"A+ Trend Long\", \"side\":\"LONG\", \"price\":107.29, \"stage\":2, \"buy\":94.2, \"sell\":33.9, \"prime\":2, \"revL\":0, \"revS\":0, \"vcp\":0, \"dir_prob\":95.5, \"time\":1784813400000}", "ticker": "KMB", "setup": "A+ Trend Long", "side": "LONG", "price": 107.29, "stage": 2, "buy": 94.2, "sell": 33.9, "prime": 2, "revL": 0, "revS": 0, "vcp": 0, "time": 1784813400000, "email_id": "2163", "timestamp": "2026-07-23 16:01:22"}</t>
  </si>
  <si>
    <t>Buy: 98.2 | Sell: 17.7</t>
  </si>
  <si>
    <t>{"symbol": "AJG", "strategy": "Daily", "action": "LONG", "alert_price": 247.64, "score": "", "dir_prob": "98.3", "net_sigma": "", "grade": "", "align": "", "premium": "", "wrong_if": "", "context": "", "subject": "Alert: Rev - Screener v1 (SPY, 12): Any alert() function call", "body": "{\"ticker\":\"AJG\", \"setup\":\"A+ Trend Long\", \"side\":\"LONG\", \"price\":247.64, \"stage\":2, \"buy\":96.9, \"sell\":19.5, \"prime\":2, \"revL\":0, \"revS\":0, \"vcp\":0, \"dir_prob\":98.3, \"time\":1784899800000}", "ticker": "AJG", "setup": "A+ Trend Long", "side": "LONG", "price": 247.64, "stage": 2, "buy": 96.9, "sell": 19.5, "prime": 2, "revL": 0, "revS": 0, "vcp": 0, "time": 1784899800000, "email_id": "2286", "timestamp": "2026-07-24 16:01:01"}</t>
  </si>
  <si>
    <t>Buy: 91.7 | Sell: 12.8</t>
  </si>
  <si>
    <t>{"symbol": "BRO", "strategy": "Daily", "action": "LONG", "alert_price": 65.75, "score": "", "dir_prob": "99.6", "net_sigma": "", "grade": "", "align": "", "premium": "", "wrong_if": "", "context": "", "subject": "Alert: Rev - Screener v1 (SPY, 12): Any alert() function call", "body": "{\"ticker\":\"BRO\", \"setup\":\"A+ Trend Long\", \"side\":\"LONG\", \"price\":65.75, \"stage\":2, \"buy\":98.2, \"sell\":17.7, \"prime\":2, \"revL\":0, \"revS\":0, \"vcp\":0, \"dir_prob\":99.6, \"time\":1784813400000}", "ticker": "BRO", "setup": "A+ Trend Long", "side": "LONG", "price": 65.75, "stage": 2, "buy": 98.2, "sell": 17.7, "prime": 2, "revL": 0, "revS": 0, "vcp": 0, "time": 1784813400000, "email_id": "2164", "timestamp": "2026-07-23 16:01:21"}</t>
  </si>
  <si>
    <t>{"symbol": "DVA", "strategy": "Daily", "action": "LONG", "alert_price": 235.43, "score": "", "dir_prob": "94.5", "net_sigma": "", "grade": "", "align": "", "premium": "", "wrong_if": "", "context": "", "subject": "Alert: Rev - Screener v1 (SPY, 12): Any alert() function call", "body": "{\"ticker\":\"DVA\", \"setup\":\"A+ Trend Long\", \"side\":\"LONG\", \"price\":235.43, \"stage\":2, \"buy\":91.7, \"sell\":12.8, \"prime\":2, \"revL\":0, \"revS\":0, \"vcp\":0, \"dir_prob\":94.5, \"time\":1784899800000}", "ticker": "DVA", "setup": "A+ Trend Long", "side": "LONG", "price": 235.43, "stage": 2, "buy": 91.7, "sell": 12.8, "prime": 2, "revL": 0, "revS": 0, "vcp": 0, "time": 1784899800000, "email_id": "2287", "timestamp": "2026-07-24 16:01:02"}</t>
  </si>
  <si>
    <t>Technical setup shows strong bullish momentum (buy=85, dir_prob=93) but lacks a clean entry trigger as ignition_long=0 and rev_zone_l=2 is too low for reversion. The news CONTRADICTS the long bias with a headline of a major fund exiting the</t>
  </si>
  <si>
    <t>Buy: 96 | Sell: 6.8</t>
  </si>
  <si>
    <t>{"symbol": "MA", "strategy": "Daily", "action": "LONG", "alert_price": 530.1, "score": "", "dir_prob": "98.1", "net_sigma": "", "grade": "", "align": "", "premium": "", "wrong_if": "", "context": "", "subject": "Alert: Rev - Screener v1 (SPY, 12): Any alert() function call", "body": "{\"ticker\":\"MA\", \"setup\":\"A+ Trend Long\", \"side\":\"LONG\", \"price\":530.10, \"stage\":2, \"buy\":97.6, \"sell\":7.9, \"prime\":2, \"revL\":0, \"revS\":0, \"vcp\":0, \"dir_prob\":98.1, \"time\":1784813400000}", "ticker": "MA", "setup": "A+ Trend Long", "side": "LONG", "price": 530.1, "stage": 2, "buy": 97.6, "sell": 7.9, "prime": 2, "revL": 0, "revS": 0, "vcp": 0, "time": 1784813400000, "email_id": "2165", "timestamp": "2026-07-23 16:01:23"}</t>
  </si>
  <si>
    <t>Buy: 55.9 | Sell: 39</t>
  </si>
  <si>
    <t>{"symbol": "PNC", "strategy": "Daily", "action": "LONG", "alert_price": 250.94, "score": "", "dir_prob": "93.6", "net_sigma": "", "grade": "", "align": "", "premium": "", "wrong_if": "", "context": "", "subject": "Alert: Rev - Screener v1 (SPY, 12): Any alert() function call", "body": "{\"ticker\":\"PNC\", \"setup\":\"A+ Trend Long\", \"side\":\"LONG\", \"price\":250.94, \"stage\":2, \"buy\":96, \"sell\":6.8, \"prime\":2, \"revL\":0, \"revS\":0, \"vcp\":1, \"dir_prob\":93.6, \"time\":1784899800000}", "ticker": "PNC", "setup": "A+ Trend Long", "side": "LONG", "price": 250.94, "stage": 2, "buy": 96, "sell": 6.8, "prime": 2, "revL": 0, "revS": 0, "vcp": 1, "time": 1784899800000, "email_id": "2288", "timestamp": "2026-07-24 16:01:02"}</t>
  </si>
  <si>
    <t>{"symbol": "UNP", "strategy": "Daily", "action": "LONG", "alert_price": 304.11, "score": "", "dir_prob": "63.2", "net_sigma": "", "grade": "", "align": "", "premium": "", "wrong_if": "", "context": "", "subject": "Alert: Rev - Screener v1 (SPY, 12): Any alert() function call", "body": "{\"ticker\":\"UNP\", \"setup\":\"Early Ignition\", \"side\":\"LONG\", \"price\":304.11, \"stage\":2, \"buy\":55.9, \"sell\":39, \"prime\":0, \"revL\":0, \"revS\":0, \"vcp\":0, \"dir_prob\":63.2, \"time\":1784813400000}", "ticker": "UNP", "setup": "Early Ignition", "side": "LONG", "price": 304.11, "stage": 2, "buy": 55.9, "sell": 39, "prime": 0, "revL": 0, "revS": 0, "vcp": 0, "time": 1784813400000, "email_id": "2166", "timestamp": "2026-07-23 16:01:24"}</t>
  </si>
  <si>
    <t>Buy: 97 | Sell: 19</t>
  </si>
  <si>
    <t>Buy: 96.2 | Sell: 5.5</t>
  </si>
  <si>
    <t>{"symbol": "PNC", "strategy": "Daily", "action": "LONG", "alert_price": 249.24, "score": "", "dir_prob": "93.8", "net_sigma": "", "grade": "", "align": "", "premium": "", "wrong_if": "", "context": "", "subject": "Alert: Rev - Screener v1 (SPY, 12): Any alert() function call", "body": "{\"ticker\":\"PNC\", \"setup\":\"A+ Trend Long\", \"side\":\"LONG\", \"price\":249.24, \"stage\":2, \"buy\":96.2, \"sell\":5.5, \"prime\":2, \"revL\":0, \"revS\":0, \"vcp\":1, \"dir_prob\":93.8, \"time\":1784813400000}", "ticker": "PNC", "setup": "A+ Trend Long", "side": "LONG", "price": 249.24, "stage": 2, "buy": 96.2, "sell": 5.5, "prime": 2, "revL": 0, "revS": 0, "vcp": 1, "time": 1784813400000, "email_id": "2167", "timestamp": "2026-07-23 16:01:22"}</t>
  </si>
  <si>
    <t>VLO</t>
  </si>
  <si>
    <t>{"symbol": "XYL", "strategy": "Daily", "action": "LONG", "alert_price": 119.77, "score": "", "dir_prob": "96.6", "net_sigma": "", "grade": "", "align": "", "premium": "", "wrong_if": "", "context": "", "subject": "Alert: Rev - Screener v1 (SPY, 12): Any alert() function call", "body": "{\"ticker\":\"XYL\", \"setup\":\"A+ Trend Long\", \"side\":\"LONG\", \"price\":119.77, \"stage\":2, \"buy\":97, \"sell\":19, \"prime\":2, \"revL\":0, \"revS\":0, \"vcp\":0, \"dir_prob\":96.6, \"time\":1784899800000}", "ticker": "XYL", "setup": "A+ Trend Long", "side": "LONG", "price": 119.77, "stage": 2, "buy": 97, "sell": 19, "prime": 2, "revL": 0, "revS": 0, "vcp": 0, "time": 1784899800000, "email_id": "2289", "timestamp": "2026-07-24 16:01:03"}</t>
  </si>
  <si>
    <t>Buy: 94 | Sell: 10.7</t>
  </si>
  <si>
    <t>Buy: 91.3 | Sell: 14.6</t>
  </si>
  <si>
    <t>{"symbol": "VLO", "strategy": "Daily", "action": "LONG", "alert_price": 305.41, "score": "", "dir_prob": "92.7", "net_sigma": "", "grade": "", "align": "", "premium": "", "wrong_if": "", "context": "", "subject": "Alert: Rev - Screener v1 (SPY, 12): Any alert() function call", "body": "{\"ticker\":\"VLO\", \"setup\":\"A+ Trend Long\", \"side\":\"LONG\", \"price\":305.41, \"stage\":2, \"buy\":94, \"sell\":10.7, \"prime\":2, \"revL\":0, \"revS\":0, \"vcp\":0, \"dir_prob\":92.7, \"time\":1784813400000}", "ticker": "VLO", "setup": "A+ Trend Long", "side": "LONG", "price": 305.41, "stage": 2, "buy": 94, "sell": 10.7, "prime": 2, "revL": 0, "revS": 0, "vcp": 0, "time": 1784813400000, "email_id": "2168", "timestamp": "2026-07-23 16:01:20"}</t>
  </si>
  <si>
    <t>TREND_LONG fires with buy=94.42 &gt;&gt; 65, dir_prob=89.1, and stage=2. News CONFIRMS with multiple analyst upgrades and price target hikes. Triage capped to WATCH due to 'earnings' flag (7 days out) and 'churn' risk from high opposite_score (23</t>
  </si>
  <si>
    <t>{"symbol": "AES", "strategy": "Daily", "action": "LONG", "alert_price": 14.84, "score": "", "dir_prob": "90", "net_sigma": "", "grade": "", "align": "", "premium": "", "wrong_if": "", "context": "", "subject": "Alert: Rev - Screener v1 (SPY, 12): Any alert() function call", "body": "{\"ticker\":\"AES\", \"setup\":\"A+ Trend Long\", \"side\":\"LONG\", \"price\":14.84, \"stage\":2, \"buy\":91.3, \"sell\":14.6, \"prime\":2, \"revL\":0, \"revS\":0, \"vcp\":0, \"dir_prob\":90, \"time\":1784899800000}", "ticker": "AES", "setup": "A+ Trend Long", "side": "LONG", "price": 14.84, "stage": 2, "buy": 91.3, "sell": 14.6, "prime": 2, "revL": 0, "revS": 0, "vcp": 0, "time": 1784899800000, "email_id": "2290", "timestamp": "2026-07-24 16:01:04"}</t>
  </si>
  <si>
    <t>Buy: 97.5 | Sell: 14.9</t>
  </si>
  <si>
    <t>Buy: 96.4 | Sell: 16.8</t>
  </si>
  <si>
    <t>{"symbol": "XYL", "strategy": "Daily", "action": "LONG", "alert_price": 116.87, "score": "", "dir_prob": "97.1", "net_sigma": "", "grade": "", "align": "", "premium": "", "wrong_if": "", "context": "", "subject": "Alert: Rev - Screener v1 (SPY, 12): Any alert() function call", "body": "{\"ticker\":\"XYL\", \"setup\":\"A+ Trend Long\", \"side\":\"LONG\", \"price\":116.87, \"stage\":2, \"buy\":97.5, \"sell\":14.9, \"prime\":2, \"revL\":0, \"revS\":0, \"vcp\":0, \"dir_prob\":97.1, \"time\":1784813400000}", "ticker": "XYL", "setup": "A+ Trend Long", "side": "LONG", "price": 116.87, "stage": 2, "buy": 97.5, "sell": 14.9, "prime": 2, "revL": 0, "revS": 0, "vcp": 0, "time": 1784813400000, "email_id": "2169", "timestamp": "2026-07-23 16:01:28"}</t>
  </si>
  <si>
    <t>{"symbol": "DG", "strategy": "Daily", "action": "LONG", "alert_price": 117.2, "score": "", "dir_prob": "95.8", "net_sigma": "", "grade": "", "align": "", "premium": "", "wrong_if": "", "context": "", "subject": "Alert: Rev - Screener v1 (SPY, 12): Any alert() function call", "body": "{\"ticker\":\"DG\", \"setup\":\"A+ Trend Long\", \"side\":\"LONG\", \"price\":117.20, \"stage\":2, \"buy\":96.4, \"sell\":16.8, \"prime\":2, \"revL\":0, \"revS\":0, \"vcp\":0, \"dir_prob\":95.8, \"time\":1784899800000}", "ticker": "DG", "setup": "A+ Trend Long", "side": "LONG", "price": 117.2, "stage": 2, "buy": 96.4, "sell": 16.8, "prime": 2, "revL": 0, "revS": 0, "vcp": 0, "time": 1784899800000, "email_id": "2291", "timestamp": "2026-07-24 16:01:06"}</t>
  </si>
  <si>
    <t>Buy: 86.2 | Sell: 14.2</t>
  </si>
  <si>
    <t>Buy: 96.4 | Sell: 21.9</t>
  </si>
  <si>
    <t>{"symbol": "AXON", "strategy": "Daily", "action": "LONG", "alert_price": 492.09, "score": "", "dir_prob": "96.3", "net_sigma": "", "grade": "", "align": "", "premium": "", "wrong_if": "", "context": "", "subject": "Alert: Rev - Screener v1 (SPY, 12): Any alert() function call", "body": "{\"ticker\":\"AXON\", \"setup\":\"A+ Trend Long\", \"side\":\"LONG\", \"price\":492.09, \"stage\":2, \"buy\":86.2, \"sell\":14.2, \"prime\":2, \"revL\":0, \"revS\":0, \"vcp\":0, \"dir_prob\":96.3, \"time\":1784813400000}", "ticker": "AXON", "setup": "A+ Trend Long", "side": "LONG", "price": 492.09, "stage": 2, "buy": 86.2, "sell": 14.2, "prime": 2, "revL": 0, "revS": 0, "vcp": 0, "time": 1784813400000, "email_id": "2170", "timestamp": "2026-07-23 16:01:36"}</t>
  </si>
  <si>
    <t>Buy: 93.3 | Sell: 34.3</t>
  </si>
  <si>
    <t>{"symbol": "RF", "strategy": "Daily", "action": "LONG", "alert_price": 30.85, "score": "", "dir_prob": "89", "net_sigma": "", "grade": "", "align": "", "premium": "", "wrong_if": "", "context": "", "subject": "Alert: Rev - Screener v1 (SPY, 12): Any alert() function call", "body": "{\"ticker\":\"RF\", \"setup\":\"A+ Trend Long\", \"side\":\"LONG\", \"price\":30.85, \"stage\":2, \"buy\":96.4, \"sell\":21.9, \"prime\":2, \"revL\":0, \"revS\":0, \"vcp\":0, \"dir_prob\":89, \"time\":1784899800000}", "ticker": "RF", "setup": "A+ Trend Long", "side": "LONG", "price": 30.85, "stage": 2, "buy": 96.4, "sell": 21.9, "prime": 2, "revL": 0, "revS": 0, "vcp": 0, "time": 1784899800000, "email_id": "2292", "timestamp": "2026-07-24 16:01:04"}</t>
  </si>
  <si>
    <t>Buy: 90.1 | Sell: 16.7</t>
  </si>
  <si>
    <t>{"symbol": "CAH", "strategy": "Daily", "action": "LONG", "alert_price": 226.0, "score": "", "dir_prob": "93.2", "net_sigma": "", "grade": "", "align": "", "premium": "", "wrong_if": "", "context": "", "subject": "Alert: Rev - Screener v1 (SPY, 12): Any alert() function call", "body": "{\"ticker\":\"CAH\", \"setup\":\"A+ Trend Long\", \"side\":\"LONG\", \"price\":226.00, \"stage\":2, \"buy\":93.3, \"sell\":34.3, \"prime\":2, \"revL\":0, \"revS\":0, \"vcp\":0, \"dir_prob\":93.2, \"time\":1784813400000}", "ticker": "CAH", "setup": "A+ Trend Long", "side": "LONG", "price": 226.0, "stage": 2, "buy": 93.3, "sell": 34.3, "prime": 2, "revL": 0, "revS": 0, "vcp": 0, "time": 1784813400000, "email_id": "2171", "timestamp": "2026-07-23 16:01:32"}</t>
  </si>
  <si>
    <t>Buy: 91.1 | Sell: 38</t>
  </si>
  <si>
    <t>{"symbol": "AIZ", "strategy": "Daily", "action": "LONG", "alert_price": 276.76, "score": "", "dir_prob": "85.4", "net_sigma": "", "grade": "", "align": "", "premium": "", "wrong_if": "", "context": "", "subject": "Alert: Rev - Screener v1 (SPY, 12): Any alert() function call", "body": "{\"ticker\":\"AIZ\", \"setup\":\"A+ Trend Long\", \"side\":\"LONG\", \"price\":276.76, \"stage\":2, \"buy\":90.1, \"sell\":16.7, \"prime\":2, \"revL\":0, \"revS\":0, \"vcp\":0, \"dir_prob\":85.4, \"time\":1784899800000}", "ticker": "AIZ", "setup": "A+ Trend Long", "side": "LONG", "price": 276.76, "stage": 2, "buy": 90.1, "sell": 16.7, "prime": 2, "revL": 0, "revS": 0, "vcp": 0, "time": 1784899800000, "email_id": "2293", "timestamp": "2026-07-24 16:01:05"}</t>
  </si>
  <si>
    <t>Buy: 95.9 | Sell: 18.8</t>
  </si>
  <si>
    <t>WAIT (Trigger: Pullback to RM 1.85–1.87 zone; CAUTION due to 5-day earnings gate)</t>
  </si>
  <si>
    <t>{"symbol": "SPG", "strategy": "Daily", "action": "LONG", "alert_price": 225.34, "score": "", "dir_prob": "72.5", "net_sigma": "", "grade": "", "align": "", "premium": "", "wrong_if": "", "context": "", "subject": "Alert: Rev - Screener v1 (SPY, 12): Any alert() function call", "body": "{\"ticker\":\"SPG\", \"setup\":\"A+ Trend Long\", \"side\":\"LONG\", \"price\":225.34, \"stage\":2, \"buy\":91.1, \"sell\":38, \"prime\":2, \"revL\":0, \"revS\":0, \"vcp\":0, \"dir_prob\":72.5, \"time\":1784813400000}", "ticker": "SPG", "setup": "A+ Trend Long", "side": "LONG", "price": 225.34, "stage": 2, "buy": 91.1, "sell": 38, "prime": 2, "revL": 0, "revS": 0, "vcp": 0, "time": 1784813400000, "email_id": "2172", "timestamp": "2026-07-23 16:01:26"}</t>
  </si>
  <si>
    <t>TREND_LONG fires with buy=91.41 &gt; 65, dir_prob=73.61 &gt;= 50, and stage=2. News CONFIRMS with a price target raise to $285. Triage capped to WATCH due to rr_from_current=0.60 &lt; 1.0 (chased entry) and earnings_days=18 (earnings imminent).</t>
  </si>
  <si>
    <t>Buy: 94.5 | Sell: 16.3</t>
  </si>
  <si>
    <t>{"symbol": "EG", "strategy": "Daily", "action": "LONG", "alert_price": 385.15, "score": "", "dir_prob": "89.9", "net_sigma": "", "grade": "", "align": "", "premium": "", "wrong_if": "", "context": "", "subject": "Alert: Rev - Screener v1 (SPY, 12): Any alert() function call", "body": "{\"ticker\":\"EG\", \"setup\":\"A+ Trend Long\", \"side\":\"LONG\", \"price\":385.15, \"stage\":2, \"buy\":95.9, \"sell\":18.8, \"prime\":2, \"revL\":0, \"revS\":0, \"vcp\":0, \"dir_prob\":89.9, \"time\":1784899800000}", "ticker": "EG", "setup": "A+ Trend Long", "side": "LONG", "price": 385.15, "stage": 2, "buy": 95.9, "sell": 18.8, "prime": 2, "revL": 0, "revS": 0, "vcp": 0, "time": 1784899800000, "email_id": "2294", "timestamp": "2026-07-24 16:01:07"}</t>
  </si>
  <si>
    <t>TREND_LONG fires with buy=89.09 &gt; 65, dir_prob=79.47 &gt;= 50, and stage=2 (up-trend). News CONFIRMS the bullish bias with an earnings beat expectation. Triage is capped to WATCH due to the 'earnings' soft flag (5 days out) and the 'churn' VET</t>
  </si>
  <si>
    <t>Buy: 93.3 | Sell: 15.4</t>
  </si>
  <si>
    <t>{"symbol": "ED", "strategy": "Daily", "action": "LONG", "alert_price": 112.74, "score": "", "dir_prob": "92.9", "net_sigma": "", "grade": "", "align": "", "premium": "", "wrong_if": "", "context": "", "subject": "Alert: Rev - Screener v1 (SPY, 12): Any alert() function call", "body": "{\"ticker\":\"ED\", \"setup\":\"A+ Trend Long\", \"side\":\"LONG\", \"price\":112.74, \"stage\":2, \"buy\":94.5, \"sell\":16.3, \"prime\":2, \"revL\":0, \"revS\":0, \"vcp\":1, \"dir_prob\":92.9, \"time\":1784813400000}", "ticker": "ED", "setup": "A+ Trend Long", "side": "LONG", "price": 112.74, "stage": 2, "buy": 94.5, "sell": 16.3, "prime": 2, "revL": 0, "revS": 0, "vcp": 1, "time": 1784813400000, "email_id": "2173", "timestamp": "2026-07-23 16:01:27"}</t>
  </si>
  <si>
    <t>Buy: 92 | Sell: 36.7</t>
  </si>
  <si>
    <t>{"symbol": "ED", "strategy": "Daily", "action": "LONG", "alert_price": 113.0, "score": "", "dir_prob": "92.7", "net_sigma": "", "grade": "", "align": "", "premium": "", "wrong_if": "", "context": "", "subject": "Alert: Rev - Screener v1 (SPY, 12): Any alert() function call", "body": "{\"ticker\":\"ED\", \"setup\":\"A+ Trend Long\", \"side\":\"LONG\", \"price\":113.00, \"stage\":2, \"buy\":93.3, \"sell\":15.4, \"prime\":2, \"revL\":0, \"revS\":0, \"vcp\":1, \"dir_prob\":92.7, \"time\":1784899800000}", "ticker": "ED", "setup": "A+ Trend Long", "side": "LONG", "price": 113.0, "stage": 2, "buy": 93.3, "sell": 15.4, "prime": 2, "revL": 0, "revS": 0, "vcp": 1, "time": 1784899800000, "email_id": "2295", "timestamp": "2026-07-24 16:01:08"}</t>
  </si>
  <si>
    <t>Buy: 93.8 | Sell: 29</t>
  </si>
  <si>
    <t>{"symbol": "VRTX", "strategy": "Daily", "action": "LONG", "alert_price": 473.17, "score": "", "dir_prob": "82.7", "net_sigma": "", "grade": "", "align": "", "premium": "", "wrong_if": "", "context": "", "subject": "Alert: Rev - Screener v1 (SPY, 12): Any alert() function call", "body": "{\"ticker\":\"VRTX\", \"setup\":\"A+ Trend Long\", \"side\":\"LONG\", \"price\":473.17, \"stage\":2, \"buy\":92, \"sell\":36.7, \"prime\":2, \"revL\":0, \"revS\":0, \"vcp\":0, \"dir_prob\":82.7, \"time\":1784813400000}", "ticker": "VRTX", "setup": "A+ Trend Long", "side": "LONG", "price": 473.17, "stage": 2, "buy": 92, "sell": 36.7, "prime": 2, "revL": 0, "revS": 0, "vcp": 0, "time": 1784813400000, "email_id": "2174", "timestamp": "2026-07-23 16:01:35"}</t>
  </si>
  <si>
    <t>Buy: 94 | Sell: 9.4</t>
  </si>
  <si>
    <t>**WAIT for pullback to zone** (primary) · **Bull Call Spread** for aggressive defined-risk exposure · **Covered Call** for shareholders</t>
  </si>
  <si>
    <t>{"symbol": "O", "strategy": "Daily", "action": "LONG", "alert_price": 65.6, "score": "", "dir_prob": "91.9", "net_sigma": "", "grade": "", "align": "", "premium": "", "wrong_if": "", "context": "", "subject": "Alert: Rev - Screener v1 (SPY, 12): Any alert() function call", "body": "{\"ticker\":\"O\", \"setup\":\"A+ Trend Long\", \"side\":\"LONG\", \"price\":65.60, \"stage\":2, \"buy\":93.8, \"sell\":29, \"prime\":2, \"revL\":0, \"revS\":0, \"vcp\":0, \"dir_prob\":91.9, \"time\":1784899800000}", "ticker": "O", "setup": "A+ Trend Long", "side": "LONG", "price": 65.6, "stage": 2, "buy": 93.8, "sell": 29, "prime": 2, "revL": 0, "revS": 0, "vcp": 0, "time": 1784899800000, "email_id": "2296", "timestamp": "2026-07-24 16:01:08"}</t>
  </si>
  <si>
    <t>{"symbol": "AAPL", "strategy": "Daily", "action": "LONG", "alert_price": 321.68, "score": "", "dir_prob": "92", "net_sigma": "", "grade": "", "align": "", "premium": "", "wrong_if": "", "context": "", "subject": "Alert: Rev - Screener v1 (SPY, 12): Any alert() function call", "body": "{\"ticker\":\"AAPL\", \"setup\":\"A+ Trend Long\", \"side\":\"LONG\", \"price\":321.68, \"stage\":2, \"buy\":94, \"sell\":9.4, \"prime\":2, \"revL\":0, \"revS\":0, \"vcp\":0, \"dir_prob\":92, \"time\":1784813400000}", "ticker": "AAPL", "setup": "A+ Trend Long", "side": "LONG", "price": 321.68, "stage": 2, "buy": 94, "sell": 9.4, "prime": 2, "revL": 0, "revS": 0, "vcp": 0, "time": 1784813400000, "email_id": "2175", "timestamp": "2026-07-23 16:01:28"}</t>
  </si>
  <si>
    <t>Buy: 95.8 | Sell: 26.3</t>
  </si>
  <si>
    <t>TREND_LONG fires with buy=96.15 &gt;&gt; 65, dir_prob=85.24 &gt;&gt; 50, and stage=2 (up-trend). News CONFIRMS with positive headlines on EV integration and foldable phones. No VETO flags apply; earnings_gate is PASS and no contradictory news exists. T</t>
  </si>
  <si>
    <t>Buy: 86.3 | Sell: 23.7</t>
  </si>
  <si>
    <t>{"symbol": "ES", "strategy": "Daily", "action": "LONG", "alert_price": 74.92, "score": "", "dir_prob": "91.1", "net_sigma": "", "grade": "", "align": "", "premium": "", "wrong_if": "", "context": "", "subject": "Alert: Rev - Screener v1 (SPY, 12): Any alert() function call", "body": "{\"ticker\":\"ES\", \"setup\":\"A+ Trend Long\", \"side\":\"LONG\", \"price\":74.92, \"stage\":2, \"buy\":95.8, \"sell\":26.3, \"prime\":2, \"revL\":0, \"revS\":0, \"vcp\":1, \"dir_prob\":91.1, \"time\":1784899800000}", "ticker": "ES", "setup": "A+ Trend Long", "side": "LONG", "price": 74.92, "stage": 2, "buy": 95.8, "sell": 26.3, "prime": 2, "revL": 0, "revS": 0, "vcp": 1, "time": 1784899800000, "email_id": "2297", "timestamp": "2026-07-24 16:01:11"}</t>
  </si>
  <si>
    <t xml:space="preserve">Technical setup shows no active entry mode: buy=93.41 is high but ignition_long=0 and rev_zone_l=2.0 are low, failing to trigger TREND_LONG or REVERSION_LONG. News CONTRADICTS the long bias with a negative headline lowering a target, while </t>
  </si>
  <si>
    <t>Buy: 97 | Sell: 19.6</t>
  </si>
  <si>
    <t>{"symbol": "BBY", "strategy": "Daily", "action": "LONG", "alert_price": 84.39, "score": "", "dir_prob": "89.5", "net_sigma": "", "grade": "", "align": "", "premium": "", "wrong_if": "", "context": "", "subject": "Alert: Rev - Screener v1 (SPY, 12): Any alert() function call", "body": "{\"ticker\":\"BBY\", \"setup\":\"A+ Trend Long\", \"side\":\"LONG\", \"price\":84.39, \"stage\":2, \"buy\":86.3, \"sell\":23.7, \"prime\":2, \"revL\":0, \"revS\":0, \"vcp\":0, \"dir_prob\":89.5, \"time\":1784813400000}", "ticker": "BBY", "setup": "A+ Trend Long", "side": "LONG", "price": 84.39, "stage": 2, "buy": 86.3, "sell": 23.7, "prime": 2, "revL": 0, "revS": 0, "vcp": 0, "time": 1784813400000, "email_id": "2176", "timestamp": "2026-07-23 16:01:31"}</t>
  </si>
  <si>
    <t>**WAIT / SET ALERTS** — High-quality underlying thesis (Stage 2, Q2 beat, raised buyback) but neither entry zone is active. **Set buy-stop at $456.27 (KEY SUP) and Sell-stop / short-trigger above $476.36 (Short Zone Top).** Do not chase at $471.50.</t>
  </si>
  <si>
    <t>Entry: 467
Stop: 462
Target: 490
See markdown for full rationale.</t>
  </si>
  <si>
    <t>Buy: 96.4 | Sell: 25.7</t>
  </si>
  <si>
    <t>{"symbol": "MCO", "strategy": "Daily", "action": "LONG", "alert_price": 471.43, "score": "", "dir_prob": "93", "net_sigma": "", "grade": "", "align": "", "premium": "", "wrong_if": "", "context": "", "subject": "Alert: Rev - Screener v1 (SPY, 12): Any alert() function call", "body": "{\"ticker\":\"MCO\", \"setup\":\"A+ Trend Long\", \"side\":\"LONG\", \"price\":471.43, \"stage\":2, \"buy\":97, \"sell\":19.6, \"prime\":2, \"revL\":0, \"revS\":0, \"vcp\":0, \"dir_prob\":93, \"time\":1784899800000}", "ticker": "MCO", "setup": "A+ Trend Long", "side": "LONG", "price": 471.43, "stage": 2, "buy": 97, "sell": 19.6, "prime": 2, "revL": 0, "revS": 0, "vcp": 0, "time": 1784899800000, "email_id": "2298", "timestamp": "2026-07-24 16:01:11"}</t>
  </si>
  <si>
    <t>TREND_LONG fires with buy=84.18 &gt; 65, dir_prob=91.42 &gt;&gt; 50, and stage=2 (up-trend). News CONFIRMS with multiple analyst upgrades and an earnings beat, despite a minor guidance narrowing. The 'pullback' flag indicates a healthy dip-buy setup</t>
  </si>
  <si>
    <t>{"symbol": "AMCR", "strategy": "Daily", "action": "LONG", "alert_price": 42.64, "score": "", "dir_prob": "90.5", "net_sigma": "", "grade": "", "align": "", "premium": "", "wrong_if": "", "context": "", "subject": "Alert: Rev - Screener v1 (SPY, 12): Any alert() function call", "body": "{\"ticker\":\"AMCR\", \"setup\":\"A+ Trend Long\", \"side\":\"LONG\", \"price\":42.64, \"stage\":2, \"buy\":96.4, \"sell\":25.7, \"prime\":2, \"revL\":0, \"revS\":0, \"vcp\":1, \"dir_prob\":90.5, \"time\":1784813400000}", "ticker": "AMCR", "setup": "A+ Trend Long", "side": "LONG", "price": 42.64, "stage": 2, "buy": 96.4, "sell": 25.7, "prime": 2, "revL": 0, "revS": 0, "vcp": 1, "time": 1784813400000, "email_id": "2177", "timestamp": "2026-07-23 16:01:37"}</t>
  </si>
  <si>
    <t>Buy: 92.5 | Sell: 27.6</t>
  </si>
  <si>
    <t>{"symbol": "BAC", "strategy": "Daily", "action": "LONG", "alert_price": 62.05, "score": "", "dir_prob": "90", "net_sigma": "", "grade": "", "align": "", "premium": "", "wrong_if": "", "context": "", "subject": "Alert: Rev - Screener v1 (SPY, 12): Any alert() function call", "body": "{\"ticker\":\"BAC\", \"setup\":\"A+ Trend Long\", \"side\":\"LONG\", \"price\":62.05, \"stage\":2, \"buy\":93.9, \"sell\":10.4, \"prime\":2, \"revL\":0, \"revS\":0, \"vcp\":0, \"dir_prob\":90, \"time\":1784899800000}", "ticker": "BAC", "setup": "A+ Trend Long", "side": "LONG", "price": 62.05, "stage": 2, "buy": 93.9, "sell": 10.4, "prime": 2, "revL": 0, "revS": 0, "vcp": 0, "time": 1784899800000, "email_id": "2299", "timestamp": "2026-07-24 16:01:12"}</t>
  </si>
  <si>
    <t>{"symbol": "REG", "strategy": "Daily", "action": "LONG", "alert_price": 81.17, "score": "", "dir_prob": "91.9", "net_sigma": "", "grade": "", "align": "", "premium": "", "wrong_if": "", "context": "", "subject": "Alert: Rev - Screener v1 (SPY, 12): Any alert() function call", "body": "{\"ticker\":\"REG\", \"setup\":\"A+ Trend Long\", \"side\":\"LONG\", \"price\":81.17, \"stage\":2, \"buy\":92.5, \"sell\":27.6, \"prime\":2, \"revL\":0, \"revS\":0, \"vcp\":0, \"dir_prob\":91.9, \"time\":1784813400000}", "ticker": "REG", "setup": "A+ Trend Long", "side": "LONG", "price": 81.17, "stage": 2, "buy": 92.5, "sell": 27.6, "prime": 2, "revL": 0, "revS": 0, "vcp": 0, "time": 1784813400000, "email_id": "2178", "timestamp": "2026-07-23 16:01:28"}</t>
  </si>
  <si>
    <t>TREND_LONG fires with buy=95.2 &gt; 65, dir_prob=92.61, and stage=2. News CONFIRMS with a Wells Fargo upgrade and target raise. Triage capped to WATCH due to earnings_gate=CAUTION (6 days out) and rr_from_current=0.58 indicating a poor risk-re</t>
  </si>
  <si>
    <t>Buy: 92.9 | Sell: 11.2</t>
  </si>
  <si>
    <t>Buy: 94.7 | Sell: 10.1</t>
  </si>
  <si>
    <t>WAIT (set alert at $67.50 for FORMING → PRIME/ACTION flip)</t>
  </si>
  <si>
    <t>{"symbol": "CFG", "strategy": "Daily", "action": "LONG", "alert_price": 71.88, "score": "", "dir_prob": "89", "net_sigma": "", "grade": "", "align": "", "premium": "", "wrong_if": "", "context": "", "subject": "Alert: Rev - Screener v1 (SPY, 12): Any alert() function call", "body": "{\"ticker\":\"CFG\", \"setup\":\"A+ Trend Long\", \"side\":\"LONG\", \"price\":71.88, \"stage\":2, \"buy\":94.7, \"sell\":10.1, \"prime\":2, \"revL\":0, \"revS\":0, \"vcp\":1, \"dir_prob\":89, \"time\":1784899800000}", "ticker": "CFG", "setup": "A+ Trend Long", "side": "LONG", "price": 71.88, "stage": 2, "buy": 94.7, "sell": 10.1, "prime": 2, "revL": 0, "revS": 0, "vcp": 1, "time": 1784899800000, "email_id": "2300", "timestamp": "2026-07-24 16:01:11"}</t>
  </si>
  <si>
    <t xml:space="preserve">TREND_LONG fires with buy=96.58 &gt;&gt; 65, dir_prob=85.91 &gt;&gt; 50, and stage=2 (up-trend). News CONFIRMS with a price target raise to $80. PASS triage; squeeze flag (regime=6) indicates coiling/pre-breakout energy, not a contrarian signal. RR is </t>
  </si>
  <si>
    <t>Buy: 97.6 | Sell: 28.7</t>
  </si>
  <si>
    <t>{"symbol": "BXP", "strategy": "Daily", "action": "LONG", "alert_price": 67.85, "score": "", "dir_prob": "93.5", "net_sigma": "", "grade": "", "align": "", "premium": "", "wrong_if": "", "context": "", "subject": "Alert: Rev - Screener v1 (SPY, 12): Any alert() function call", "body": "{\"ticker\":\"BXP\", \"setup\":\"A+ Trend Long\", \"side\":\"LONG\", \"price\":67.85, \"stage\":2, \"buy\":92.9, \"sell\":11.2, \"prime\":2, \"revL\":0, \"revS\":0, \"vcp\":1, \"dir_prob\":93.5, \"time\":1784813400000}", "ticker": "BXP", "setup": "A+ Trend Long", "side": "LONG", "price": 67.85, "stage": 2, "buy": 92.9, "sell": 11.2, "prime": 2, "revL": 0, "revS": 0, "vcp": 1, "time": 1784813400000, "email_id": "2180", "timestamp": "2026-07-23 16:01:36"}</t>
  </si>
  <si>
    <t>TREND_LONG fires with buy=96.2 &gt;&gt; 65, dir_prob=93.28, and stage=2. News CONFIRMS with multiple analyst upgrades raising targets. Earnings gate is CAUTION (5 days out) and rr_from_current=1.17 is low, capping the setup at WATCH.</t>
  </si>
  <si>
    <t>Buy: 91.3 | Sell: 13.8</t>
  </si>
  <si>
    <t>{"symbol": "PCG", "strategy": "Daily", "action": "LONG", "alert_price": 17.86, "score": "", "dir_prob": "89.4", "net_sigma": "", "grade": "", "align": "", "premium": "", "wrong_if": "", "context": "", "subject": "Alert: Rev - Screener v1 (SPY, 12): Any alert() function call", "body": "{\"ticker\":\"PCG\", \"setup\":\"A+ Trend Long\", \"side\":\"LONG\", \"price\":17.86, \"stage\":2, \"buy\":97.6, \"sell\":28.7, \"prime\":2, \"revL\":0, \"revS\":0, \"vcp\":0, \"dir_prob\":89.4, \"time\":1784899800000}", "ticker": "PCG", "setup": "A+ Trend Long", "side": "LONG", "price": 17.86, "stage": 2, "buy": 97.6, "sell": 28.7, "prime": 2, "revL": 0, "revS": 0, "vcp": 0, "time": 1784899800000, "email_id": "2301", "timestamp": "2026-07-24 16:01:12"}</t>
  </si>
  <si>
    <t>Buy: 93.1 | Sell: 13.7</t>
  </si>
  <si>
    <t>**WAIT** (setup not triggered; do not chase above the zone)</t>
  </si>
  <si>
    <t>Entry: 109.15
Stop: 106.73
Target: 114.08
See markdown for full rationale.</t>
  </si>
  <si>
    <t>{"symbol": "IVZ", "strategy": "Daily", "action": "LONG", "alert_price": 29.81, "score": "", "dir_prob": "89.3", "net_sigma": "", "grade": "", "align": "", "premium": "", "wrong_if": "", "context": "", "subject": "Alert: Rev - Screener v1 (SPY, 12): Any alert() function call", "body": "{\"ticker\":\"IVZ\", \"setup\":\"A+ Trend Long\", \"side\":\"LONG\", \"price\":29.81, \"stage\":2, \"buy\":91.3, \"sell\":13.8, \"prime\":2, \"revL\":0, \"revS\":0, \"vcp\":0, \"dir_prob\":89.3, \"time\":1784813400000}", "ticker": "IVZ", "setup": "A+ Trend Long", "side": "LONG", "price": 29.81, "stage": 2, "buy": 91.3, "sell": 13.8, "prime": 2, "revL": 0, "revS": 0, "vcp": 0, "time": 1784813400000, "email_id": "2181", "timestamp": "2026-07-23 16:01:36"}</t>
  </si>
  <si>
    <t>TREND_LONG fires with buy=96.16 &gt;&gt; 65, dir_prob=77.81, and stage=2. News CONFIRMS with an analyst raise to $33. Triage capped to WATCH due to earnings_gate=CAUTION (5 days out) and rr_from_current=0.76 (poor R:R from current price).</t>
  </si>
  <si>
    <t>KHC</t>
  </si>
  <si>
    <t>Buy: 94.7 | Sell: 14.1</t>
  </si>
  <si>
    <t>**WAIT — No fresh entry.** Set alerts at $24.85 → $24.61 zone. Trigger may flip ACTION to PRIME BUY on retest.</t>
  </si>
  <si>
    <t>{"symbol": "RVTY", "strategy": "Daily", "action": "LONG", "alert_price": 110.46, "score": "", "dir_prob": "92.3", "net_sigma": "", "grade": "", "align": "", "premium": "", "wrong_if": "", "context": "", "subject": "Alert: Rev - Screener v1 (SPY, 12): Any alert() function call", "body": "{\"ticker\":\"RVTY\", \"setup\":\"A+ Trend Long\", \"side\":\"LONG\", \"price\":110.46, \"stage\":2, \"buy\":93.1, \"sell\":13.7, \"prime\":2, \"revL\":0, \"revS\":0, \"vcp\":1, \"dir_prob\":92.3, \"time\":1784899800000}", "ticker": "RVTY", "setup": "A+ Trend Long", "side": "LONG", "price": 110.46, "stage": 2, "buy": 93.1, "sell": 13.7, "prime": 2, "revL": 0, "revS": 0, "vcp": 1, "time": 1784899800000, "email_id": "2302", "timestamp": "2026-07-24 16:01:14"}</t>
  </si>
  <si>
    <t>TREND_LONG fires with buy=95.78 &gt;&gt; 65, dir_prob=96.55, and stage=2. News CONFIRMS with positive catalysts (T-SPOT platform, startup signals). Flags include 'chased' (price above zone) and 'squeeze' (regime=6, coiling). Earnings gate is PASS</t>
  </si>
  <si>
    <t>Buy: 97.1 | Sell: 5.6</t>
  </si>
  <si>
    <t>WAIT (per Rule 5 + Action Long Code = 8 WATCH). Setup not triggered.</t>
  </si>
  <si>
    <t>Entry: 116.00
Stop: 112.91
Target: 128.79
See markdown for full rationale.</t>
  </si>
  <si>
    <t>{"symbol": "KHC", "strategy": "Daily", "action": "LONG", "alert_price": 25.37, "score": "", "dir_prob": "94.2", "net_sigma": "", "grade": "", "align": "", "premium": "", "wrong_if": "", "context": "", "subject": "Alert: Rev - Screener v1 (SPY, 12): Any alert() function call", "body": "{\"ticker\":\"KHC\", \"setup\":\"A+ Trend Long\", \"side\":\"LONG\", \"price\":25.37, \"stage\":2, \"buy\":94.7, \"sell\":14.1, \"prime\":2, \"revL\":0, \"revS\":0, \"vcp\":0, \"dir_prob\":94.2, \"time\":1784813400000}", "ticker": "KHC", "setup": "A+ Trend Long", "side": "LONG", "price": 25.37, "stage": 2, "buy": 94.7, "sell": 14.1, "prime": 2, "revL": 0, "revS": 0, "vcp": 0, "time": 1784813400000, "email_id": "2182", "timestamp": "2026-07-23 16:01:33"}</t>
  </si>
  <si>
    <t>TREND_LONG fires with buy=97.71 &gt;&gt; 65, dir_prob=94.47 &gt;&gt; 50, and stage=2 (up-trend). News CONFIRMS with Disney partnership headlines and a price target raise. No VETO flags apply; earnings_gate is PASS and ext_pct=6.54 is low. PASS triage.</t>
  </si>
  <si>
    <t>{"symbol": "DLTR", "strategy": "Daily", "action": "LONG", "alert_price": 120.46, "score": "", "dir_prob": "96.3", "net_sigma": "", "grade": "", "align": "", "premium": "", "wrong_if": "", "context": "", "subject": "Alert: Rev - Screener v1 (SPY, 12): Any alert() function call", "body": "{\"ticker\":\"DLTR\", \"setup\":\"A+ Trend Long\", \"side\":\"LONG\", \"price\":120.46, \"stage\":2, \"buy\":97.1, \"sell\":5.6, \"prime\":2, \"revL\":0, \"revS\":0, \"vcp\":1, \"dir_prob\":96.3, \"time\":1784899800000}", "ticker": "DLTR", "setup": "A+ Trend Long", "side": "LONG", "price": 120.46, "stage": 2, "buy": 97.1, "sell": 5.6, "prime": 2, "revL": 0, "revS": 0, "vcp": 1, "time": 1784899800000, "email_id": "2303", "timestamp": "2026-07-24 16:01:15"}</t>
  </si>
  <si>
    <t>TREND_LONG fires with buy=89.38 &gt; 65, dir_prob=90.81, and stage=2. However, news CONTRADICTS the long bias with headlines on store closures, price scanner backlash, and falling shares. The 'TOP' warning in recency and the 'squeeze' flag (co</t>
  </si>
  <si>
    <t>Buy: 97.4 | Sell: 9.6</t>
  </si>
  <si>
    <t>{"symbol": "CTVA", "strategy": "Daily", "action": "LONG", "alert_price": 88.79, "score": "", "dir_prob": "93.4", "net_sigma": "", "grade": "", "align": "", "premium": "", "wrong_if": "", "context": "", "subject": "Alert: Rev - Screener v1 (SPY, 12): Any alert() function call", "body": "{\"ticker\":\"CTVA\", \"setup\":\"A+ Trend Long\", \"side\":\"LONG\", \"price\":88.79, \"stage\":2, \"buy\":93.4, \"sell\":8.1, \"prime\":2, \"revL\":0, \"revS\":0, \"vcp\":0, \"dir_prob\":93.4, \"time\":1784813400000}", "ticker": "CTVA", "setup": "A+ Trend Long", "side": "LONG", "price": 88.79, "stage": 2, "buy": 93.4, "sell": 8.1, "prime": 2, "revL": 0, "revS": 0, "vcp": 0, "time": 1784813400000, "email_id": "2183", "timestamp": "2026-07-23 16:01:35"}</t>
  </si>
  <si>
    <t xml:space="preserve">TREND_LONG fires with buy=76.46 &gt; 65, dir_prob=88.85 &gt;= 50, and stage=2. News CONFIRMS with multiple analyst upgrades raising targets to $95-$103. Triage capped to WATCH due to 'chased' flag (price above long_zone) and imminent earnings in </t>
  </si>
  <si>
    <t>Buy: 97.5 | Sell: 14.8</t>
  </si>
  <si>
    <t>{"symbol": "VLTO", "strategy": "Daily", "action": "LONG", "alert_price": 92.02, "score": "", "dir_prob": "98.5", "net_sigma": "", "grade": "", "align": "", "premium": "", "wrong_if": "", "context": "", "subject": "Alert: Rev - Screener v1 (SPY, 12): Any alert() function call", "body": "{\"ticker\":\"VLTO\", \"setup\":\"A+ Trend Long\", \"side\":\"LONG\", \"price\":92.02, \"stage\":2, \"buy\":97.4, \"sell\":9.6, \"prime\":2, \"revL\":0, \"revS\":0, \"vcp\":1, \"dir_prob\":98.5, \"time\":1784899800000}", "ticker": "VLTO", "setup": "A+ Trend Long", "side": "LONG", "price": 92.02, "stage": 2, "buy": 97.4, "sell": 9.6, "prime": 2, "revL": 0, "revS": 0, "vcp": 1, "time": 1784899800000, "email_id": "2304", "timestamp": "2026-07-24 16:01:13"}</t>
  </si>
  <si>
    <t>{"symbol": "AJG", "strategy": "Daily", "action": "LONG", "alert_price": 242.26, "score": "", "dir_prob": "98.7", "net_sigma": "", "grade": "", "align": "", "premium": "", "wrong_if": "", "context": "", "subject": "Alert: Rev - Screener v1 (SPY, 12): Any alert() function call", "body": "{\"ticker\":\"AJG\", \"setup\":\"A+ Trend Long\", \"side\":\"LONG\", \"price\":242.26, \"stage\":2, \"buy\":97.5, \"sell\":14.8, \"prime\":2, \"revL\":0, \"revS\":0, \"vcp\":0, \"dir_prob\":98.7, \"time\":1784813400000}", "ticker": "AJG", "setup": "A+ Trend Long", "side": "LONG", "price": 242.26, "stage": 2, "buy": 97.5, "sell": 14.8, "prime": 2, "revL": 0, "revS": 0, "vcp": 0, "time": 1784813400000, "email_id": "2184", "timestamp": "2026-07-23 16:01:36"}</t>
  </si>
  <si>
    <t>Buy: 97.6 | Sell: 2.9</t>
  </si>
  <si>
    <t>{"symbol": "JKHY", "strategy": "Daily", "action": "LONG", "alert_price": 148.2, "score": "", "dir_prob": "98.7", "net_sigma": "", "grade": "", "align": "", "premium": "", "wrong_if": "", "context": "", "subject": "Alert: Rev - Screener v1 (SPY, 12): Any alert() function call", "body": "{\"ticker\":\"JKHY\", \"setup\":\"A+ Trend Long\", \"side\":\"LONG\", \"price\":148.20, \"stage\":2, \"buy\":97.6, \"sell\":2.9, \"prime\":2, \"revL\":0, \"revS\":0, \"vcp\":0, \"dir_prob\":98.7, \"time\":1784813400000}", "ticker": "JKHY", "setup": "A+ Trend Long", "side": "LONG", "price": 148.2, "stage": 2, "buy": 97.6, "sell": 2.9, "prime": 2, "revL": 0, "revS": 0, "vcp": 0, "time": 1784813400000, "email_id": "2179", "timestamp": "2026-07-23 16:01:35"}</t>
  </si>
  <si>
    <t>{"symbol": "AWK", "strategy": "Daily", "action": "LONG", "alert_price": 134.66, "score": "", "dir_prob": "96.9", "net_sigma": "", "grade": "", "align": "", "premium": "", "wrong_if": "", "context": "", "subject": "Alert: Rev - Screener v1 (SPY, 12): Any alert() function call", "body": "{\"ticker\":\"AWK\", \"setup\":\"A+ Trend Long\", \"side\":\"LONG\", \"price\":134.66, \"stage\":2, \"buy\":93.7, \"sell\":10.9, \"prime\":2, \"revL\":0, \"revS\":0, \"vcp\":1, \"dir_prob\":96.9, \"time\":1784899800000}", "ticker": "AWK", "setup": "A+ Trend Long", "side": "LONG", "price": 134.66, "stage": 2, "buy": 93.7, "sell": 10.9, "prime": 2, "revL": 0, "revS": 0, "vcp": 1, "time": 1784899800000, "email_id": "2305", "timestamp": "2026-07-24 16:01:15"}</t>
  </si>
  <si>
    <t>Buy: 93.7 | Sell: 28.1</t>
  </si>
  <si>
    <t>Buy: 92.1 | Sell: 39.9</t>
  </si>
  <si>
    <t>{"symbol": "AFL", "strategy": "Daily", "action": "LONG", "alert_price": 124.39, "score": "", "dir_prob": "84.1", "net_sigma": "", "grade": "", "align": "", "premium": "", "wrong_if": "", "context": "", "subject": "Alert: Rev - Screener v1 (SPY, 12): Any alert() function call", "body": "{\"ticker\":\"AFL\", \"setup\":\"A+ Trend Long\", \"side\":\"LONG\", \"price\":124.39, \"stage\":2, \"buy\":93.7, \"sell\":28.1, \"prime\":2, \"revL\":0, \"revS\":0, \"vcp\":0, \"dir_prob\":84.1, \"time\":1784813400000}", "ticker": "AFL", "setup": "A+ Trend Long", "side": "LONG", "price": 124.39, "stage": 2, "buy": 93.7, "sell": 28.1, "prime": 2, "revL": 0, "revS": 0, "vcp": 0, "time": 1784813400000, "email_id": "2185", "timestamp": "2026-07-23 16:01:38"}</t>
  </si>
  <si>
    <t>Buy: 95.5 | Sell: 27</t>
  </si>
  <si>
    <t>{"symbol": "CAH", "strategy": "Daily", "action": "LONG", "alert_price": 227.85, "score": "", "dir_prob": "91.2", "net_sigma": "", "grade": "", "align": "", "premium": "", "wrong_if": "", "context": "", "subject": "Alert: Rev - Screener v1 (SPY, 12): Any alert() function call", "body": "{\"ticker\":\"CAH\", \"setup\":\"A+ Trend Long\", \"side\":\"LONG\", \"price\":227.85, \"stage\":2, \"buy\":92.1, \"sell\":39.9, \"prime\":2, \"revL\":0, \"revS\":0, \"vcp\":0, \"dir_prob\":91.2, \"time\":1784899800000}", "ticker": "CAH", "setup": "A+ Trend Long", "side": "LONG", "price": 227.85, "stage": 2, "buy": 92.1, "sell": 39.9, "prime": 2, "revL": 0, "revS": 0, "vcp": 0, "time": 1784899800000, "email_id": "2306", "timestamp": "2026-07-24 16:01:09"}</t>
  </si>
  <si>
    <t>Buy: 91.6 | Sell: 41</t>
  </si>
  <si>
    <t>{"symbol": "BAX", "strategy": "Daily", "action": "LONG", "alert_price": 21.69, "score": "", "dir_prob": "92.3", "net_sigma": "", "grade": "", "align": "", "premium": "", "wrong_if": "", "context": "", "subject": "Alert: Rev - Screener v1 (SPY, 12): Any alert() function call", "body": "{\"ticker\":\"BAX\", \"setup\":\"A+ Trend Long\", \"side\":\"LONG\", \"price\":21.69, \"stage\":2, \"buy\":95.5, \"sell\":27, \"prime\":2, \"revL\":0, \"revS\":0, \"vcp\":1, \"dir_prob\":92.3, \"time\":1784813400000}", "ticker": "BAX", "setup": "A+ Trend Long", "side": "LONG", "price": 21.69, "stage": 2, "buy": 95.5, "sell": 27, "prime": 2, "revL": 0, "revS": 0, "vcp": 1, "time": 1784813400000, "email_id": "2186", "timestamp": "2026-07-23 16:01:37"}</t>
  </si>
  <si>
    <t>Buy: 90.7 | Sell: 30.7</t>
  </si>
  <si>
    <t>{"symbol": "VRTX", "strategy": "Daily", "action": "LONG", "alert_price": 477.43, "score": "", "dir_prob": "80.8", "net_sigma": "", "grade": "", "align": "", "premium": "", "wrong_if": "", "context": "", "subject": "Alert: Rev - Screener v1 (SPY, 12): Any alert() function call", "body": "{\"ticker\":\"VRTX\", \"setup\":\"A+ Trend Long\", \"side\":\"LONG\", \"price\":477.43, \"stage\":2, \"buy\":91.6, \"sell\":41, \"prime\":2, \"revL\":0, \"revS\":0, \"vcp\":0, \"dir_prob\":80.8, \"time\":1784899800000}", "ticker": "VRTX", "setup": "A+ Trend Long", "side": "LONG", "price": 477.43, "stage": 2, "buy": 91.6, "sell": 41, "prime": 2, "revL": 0, "revS": 0, "vcp": 0, "time": 1784899800000, "email_id": "2307", "timestamp": "2026-07-24 16:01:14"}</t>
  </si>
  <si>
    <t>{"symbol": "WELL", "strategy": "Daily", "action": "LONG", "alert_price": 247.09, "score": "", "dir_prob": "77.9", "net_sigma": "", "grade": "", "align": "", "premium": "", "wrong_if": "", "context": "", "subject": "Alert: Rev - Screener v1 (SPY, 12): Any alert() function call", "body": "{\"ticker\":\"WELL\", \"setup\":\"A+ Trend Long\", \"side\":\"LONG\", \"price\":247.09, \"stage\":2, \"buy\":90.7, \"sell\":30.7, \"prime\":2, \"revL\":0, \"revS\":0, \"vcp\":0, \"dir_prob\":77.9, \"time\":1784813400000}", "ticker": "WELL", "setup": "A+ Trend Long", "side": "LONG", "price": 247.09, "stage": 2, "buy": 90.7, "sell": 30.7, "prime": 2, "revL": 0, "revS": 0, "vcp": 0, "time": 1784813400000, "email_id": "2190", "timestamp": "2026-07-23 16:01:17"}</t>
  </si>
  <si>
    <t>TREND_LONG fires with buy=82.35 &gt; 65, dir_prob=84.56 &gt;= 50, and stage=2. News CONFIRMS with a price target raise. Triage capped to WATCH due to earnings_gate=CAUTION (4 days out) and the 'chased' flag (price above zone with low R:R).</t>
  </si>
  <si>
    <t>Buy: 89.9 | Sell: 5.7</t>
  </si>
  <si>
    <t>Buy: 95.8 | Sell: 12.1</t>
  </si>
  <si>
    <t>{"symbol": "DG", "strategy": "Daily", "action": "LONG", "alert_price": 115.17, "score": "", "dir_prob": "96.4", "net_sigma": "", "grade": "", "align": "", "premium": "", "wrong_if": "", "context": "", "subject": "Alert: Rev - Screener v1 (SPY, 12): Any alert() function call", "body": "{\"ticker\":\"DG\", \"setup\":\"A+ Trend Long\", \"side\":\"LONG\", \"price\":115.17, \"stage\":2, \"buy\":95.8, \"sell\":12.1, \"prime\":2, \"revL\":0, \"revS\":0, \"vcp\":0, \"dir_prob\":96.4, \"time\":1784813400000}", "ticker": "DG", "setup": "A+ Trend Long", "side": "LONG", "price": 115.17, "stage": 2, "buy": 95.8, "sell": 12.1, "prime": 2, "revL": 0, "revS": 0, "vcp": 0, "time": 1784813400000, "email_id": "2191", "timestamp": "2026-07-23 16:01:21"}</t>
  </si>
  <si>
    <t>Buy: 96.4 | Sell: 7.9</t>
  </si>
  <si>
    <t>**WAIT (with prepared buy/put-sell plan if price retraces to zone)**</t>
  </si>
  <si>
    <t>{"symbol": "GPN", "strategy": "Daily", "action": "LONG", "alert_price": 80.96, "score": "", "dir_prob": "97.1", "net_sigma": "", "grade": "", "align": "", "premium": "", "wrong_if": "", "context": "", "subject": "Alert: Rev - Screener v1 (SPY, 12): Any alert() function call", "body": "{\"ticker\":\"GPN\", \"setup\":\"A+ Trend Long\", \"side\":\"LONG\", \"price\":80.96, \"stage\":2, \"buy\":89.9, \"sell\":5.7, \"prime\":2, \"revL\":0, \"revS\":0, \"vcp\":0, \"dir_prob\":97.1, \"time\":1784899800000}", "ticker": "GPN", "setup": "A+ Trend Long", "side": "LONG", "price": 80.96, "stage": 2, "buy": 89.9, "sell": 5.7, "prime": 2, "revL": 0, "revS": 0, "vcp": 0, "time": 1784899800000, "email_id": "2308", "timestamp": "2026-07-24 16:01:14"}</t>
  </si>
  <si>
    <t>Buy: 95.8 | Sell: 7.3</t>
  </si>
  <si>
    <t>WAIT (trend-following) | SELL COVERED CALLS (income) | BULL CALL SPREAD (directional)</t>
  </si>
  <si>
    <t>{"symbol": "MET", "strategy": "Daily", "action": "LONG", "alert_price": 92.56, "score": "", "dir_prob": "92.7", "net_sigma": "", "grade": "", "align": "", "premium": "", "wrong_if": "", "context": "", "subject": "Alert: Rev - Screener v1 (SPY, 12): Any alert() function call", "body": "{\"ticker\":\"MET\", \"setup\":\"A+ Trend Long\", \"side\":\"LONG\", \"price\":92.56, \"stage\":2, \"buy\":96.4, \"sell\":7.9, \"prime\":2, \"revL\":0, \"revS\":0, \"vcp\":0, \"dir_prob\":92.7, \"time\":1784813400000}", "ticker": "MET", "setup": "A+ Trend Long", "side": "LONG", "price": 92.56, "stage": 2, "buy": 96.4, "sell": 7.9, "prime": 2, "revL": 0, "revS": 0, "vcp": 0, "time": 1784813400000, "email_id": "2192", "timestamp": "2026-07-23 16:01:17"}</t>
  </si>
  <si>
    <t>TREND_LONG fires with buy=97.19 &gt;&gt; 65, dir_prob=88.44 &gt;&gt; 50, and stage=2 (up-trend). News CONFIRMS with two major upgrades raising targets to $105-$106. No VETO flags apply; computed_flags only show 'pullback' which is consistent with a dip</t>
  </si>
  <si>
    <t>{"symbol": "VLO", "strategy": "Daily", "action": "LONG", "alert_price": 302.43, "score": "", "dir_prob": "93.8", "net_sigma": "", "grade": "", "align": "", "premium": "", "wrong_if": "", "context": "", "subject": "Alert: Rev - Screener v1 (SPY, 12): Any alert() function call", "body": "{\"ticker\":\"VLO\", \"setup\":\"A+ Trend Long\", \"side\":\"LONG\", \"price\":302.43, \"stage\":2, \"buy\":95.8, \"sell\":7.3, \"prime\":2, \"revL\":0, \"revS\":0, \"vcp\":0, \"dir_prob\":93.8, \"time\":1784899800000}", "ticker": "VLO", "setup": "A+ Trend Long", "side": "LONG", "price": 302.43, "stage": 2, "buy": 95.8, "sell": 7.3, "prime": 2, "revL": 0, "revS": 0, "vcp": 0, "time": 1784899800000, "email_id": "2309", "timestamp": "2026-07-24 16:01:15"}</t>
  </si>
  <si>
    <t>Buy: 97.8 | Sell: 23.8</t>
  </si>
  <si>
    <t>TREND_LONG fires with buy=96.36 &gt;&gt; 65, dir_prob=90.08, and stage=2. News CONFIRMS with strong analyst upgrades (Piper Sandler/Goldman) raising targets. Triage capped to WATCH due to earnings_gate=CAUTION (6 days out) and rr_from_current=0.7</t>
  </si>
  <si>
    <t>Buy: 91.7 | Sell: 14</t>
  </si>
  <si>
    <t>{"symbol": "SNA", "strategy": "Daily", "action": "LONG", "alert_price": 395.28, "score": "", "dir_prob": "83.4", "net_sigma": "", "grade": "", "align": "", "premium": "", "wrong_if": "", "context": "", "subject": "Alert: Rev - Screener v1 (SPY, 12): Any alert() function call", "body": "{\"ticker\":\"SNA\", \"setup\":\"A+ Trend Long\", \"side\":\"LONG\", \"price\":395.28, \"stage\":2, \"buy\":97.8, \"sell\":23.8, \"prime\":2, \"revL\":0, \"revS\":0, \"vcp\":1, \"dir_prob\":83.4, \"time\":1784813400000}", "ticker": "SNA", "setup": "A+ Trend Long", "side": "LONG", "price": 395.28, "stage": 2, "buy": 97.8, "sell": 23.8, "prime": 2, "revL": 0, "revS": 0, "vcp": 1, "time": 1784813400000, "email_id": "2193", "timestamp": "2026-07-23 16:01:05"}</t>
  </si>
  <si>
    <t>{"symbol": "BXP", "strategy": "Daily", "action": "LONG", "alert_price": 69.11, "score": "", "dir_prob": "92.7", "net_sigma": "", "grade": "", "align": "", "premium": "", "wrong_if": "", "context": "", "subject": "Alert: Rev - Screener v1 (SPY, 12): Any alert() function call", "body": "{\"ticker\":\"BXP\", \"setup\":\"A+ Trend Long\", \"side\":\"LONG\", \"price\":69.11, \"stage\":2, \"buy\":91.7, \"sell\":14, \"prime\":2, \"revL\":0, \"revS\":0, \"vcp\":1, \"dir_prob\":92.7, \"time\":1784899800000}", "ticker": "BXP", "setup": "A+ Trend Long", "side": "LONG", "price": 69.11, "stage": 2, "buy": 91.7, "sell": 14, "prime": 2, "revL": 0, "revS": 0, "vcp": 1, "time": 1784899800000, "email_id": "2310", "timestamp": "2026-07-24 16:01:16"}</t>
  </si>
  <si>
    <t>Buy: 97.2 | Sell: 15.6</t>
  </si>
  <si>
    <t>Buy: 89.2 | Sell: 45.5</t>
  </si>
  <si>
    <t>{"symbol": "COR", "strategy": "Daily", "action": "LONG", "alert_price": 304.98, "score": "", "dir_prob": "95.7", "net_sigma": "", "grade": "", "align": "", "premium": "", "wrong_if": "", "context": "", "subject": "Alert: Rev - Screener v1 (SPY, 12): Any alert() function call", "body": "{\"ticker\":\"COR\", \"setup\":\"A+ Trend Long\", \"side\":\"LONG\", \"price\":304.98, \"stage\":2, \"buy\":97.2, \"sell\":15.6, \"prime\":2, \"revL\":0, \"revS\":0, \"vcp\":0, \"dir_prob\":95.7, \"time\":1784813400000}", "ticker": "COR", "setup": "A+ Trend Long", "side": "LONG", "price": 304.98, "stage": 2, "buy": 97.2, "sell": 15.6, "prime": 2, "revL": 0, "revS": 0, "vcp": 0, "time": 1784813400000, "email_id": "2194", "timestamp": "2026-07-23 16:01:25"}</t>
  </si>
  <si>
    <t>Buy: 94.5 | Sell: 33.2</t>
  </si>
  <si>
    <t>{"symbol": "SPG", "strategy": "Daily", "action": "LONG", "alert_price": 229.68, "score": "", "dir_prob": "66.4", "net_sigma": "", "grade": "", "align": "", "premium": "", "wrong_if": "", "context": "", "subject": "Alert: Rev - Screener v1 (SPY, 12): Any alert() function call", "body": "{\"ticker\":\"SPG\", \"setup\":\"A+ Trend Long\", \"side\":\"LONG\", \"price\":229.68, \"stage\":2, \"buy\":89.2, \"sell\":45.5, \"prime\":2, \"revL\":0, \"revS\":0, \"vcp\":0, \"dir_prob\":66.4, \"time\":1784899800000}", "ticker": "SPG", "setup": "A+ Trend Long", "side": "LONG", "price": 229.68, "stage": 2, "buy": 89.2, "sell": 45.5, "prime": 2, "revL": 0, "revS": 0, "vcp": 0, "time": 1784899800000, "email_id": "2311", "timestamp": "2026-07-24 16:01:18"}</t>
  </si>
  <si>
    <t>Buy: 96.2 | Sell: 26.8</t>
  </si>
  <si>
    <t>{"symbol": "SYY", "strategy": "Daily", "action": "LONG", "alert_price": 81.74, "score": "", "dir_prob": "91.4", "net_sigma": "", "grade": "", "align": "", "premium": "", "wrong_if": "", "context": "", "subject": "Alert: Rev - Screener v1 (SPY, 12): Any alert() function call", "body": "{\"ticker\":\"SYY\", \"setup\":\"A+ Trend Long\", \"side\":\"LONG\", \"price\":81.74, \"stage\":2, \"buy\":94.5, \"sell\":33.2, \"prime\":2, \"revL\":0, \"revS\":0, \"vcp\":1, \"dir_prob\":91.4, \"time\":1784813400000}", "ticker": "SYY", "setup": "A+ Trend Long", "side": "LONG", "price": 81.74, "stage": 2, "buy": 94.5, "sell": 33.2, "prime": 2, "revL": 0, "revS": 0, "vcp": 1, "time": 1784813400000, "email_id": "2195", "timestamp": "2026-07-23 16:01:27"}</t>
  </si>
  <si>
    <t>Buy: 97.8 | Sell: 13.1</t>
  </si>
  <si>
    <t>{"symbol": "AON", "strategy": "Daily", "action": "LONG", "alert_price": 355.63, "score": "", "dir_prob": "96.9", "net_sigma": "", "grade": "", "align": "", "premium": "", "wrong_if": "", "context": "", "subject": "Alert: Rev - Screener v1 (SPY, 12): Any alert() function call", "body": "{\"ticker\":\"AON\", \"setup\":\"A+ Trend Long\", \"side\":\"LONG\", \"price\":355.63, \"stage\":2, \"buy\":97.8, \"sell\":13.1, \"prime\":2, \"revL\":0, \"revS\":0, \"vcp\":0, \"dir_prob\":96.9, \"time\":1784813400000}", "ticker": "AON", "setup": "A+ Trend Long", "side": "LONG", "price": 355.63, "stage": 2, "buy": 97.8, "sell": 13.1, "prime": 2, "revL": 0, "revS": 0, "vcp": 0, "time": 1784813400000, "email_id": "2196", "timestamp": "2026-07-23 16:01:30"}</t>
  </si>
  <si>
    <t>{"symbol": "GPC", "strategy": "Daily", "action": "LONG", "alert_price": 124.18, "score": "", "dir_prob": "92.4", "net_sigma": "", "grade": "", "align": "", "premium": "", "wrong_if": "", "context": "", "subject": "Alert: Rev - Screener v1 (SPY, 12): Any alert() function call", "body": "{\"ticker\":\"GPC\", \"setup\":\"A+ Trend Long\", \"side\":\"LONG\", \"price\":124.18, \"stage\":2, \"buy\":96.2, \"sell\":26.8, \"prime\":2, \"revL\":0, \"revS\":0, \"vcp\":0, \"dir_prob\":92.4, \"time\":1784899800000}", "ticker": "GPC", "setup": "A+ Trend Long", "side": "LONG", "price": 124.18, "stage": 2, "buy": 96.2, "sell": 26.8, "prime": 2, "revL": 0, "revS": 0, "vcp": 0, "time": 1784899800000, "email_id": "2313", "timestamp": "2026-07-24 16:01:18"}</t>
  </si>
  <si>
    <t>Buy: 93.4 | Sell: 35.2</t>
  </si>
  <si>
    <t>{"symbol": "ALL", "strategy": "Daily", "action": "LONG", "alert_price": 254.6, "score": "", "dir_prob": "91.3", "net_sigma": "", "grade": "", "align": "", "premium": "", "wrong_if": "", "context": "", "subject": "Alert: Rev - Screener v1 (SPY, 12): Any alert() function call", "body": "{\"ticker\":\"ALL\", \"setup\":\"A+ Trend Long\", \"side\":\"LONG\", \"price\":254.60, \"stage\":2, \"buy\":96.3, \"sell\":7.3, \"prime\":2, \"revL\":0, \"revS\":0, \"vcp\":0, \"dir_prob\":91.3, \"time\":1784813400000}", "ticker": "ALL", "setup": "A+ Trend Long", "side": "LONG", "price": 254.6, "stage": 2, "buy": 96.3, "sell": 7.3, "prime": 2, "revL": 0, "revS": 0, "vcp": 0, "time": 1784813400000, "email_id": "2197", "timestamp": "2026-07-23 16:01:25"}</t>
  </si>
  <si>
    <t>Buy: 96.2 | Sell: 14.5</t>
  </si>
  <si>
    <t>{"symbol": "EA", "strategy": "Daily", "action": "LONG", "alert_price": 209.07, "score": "", "dir_prob": "84.6", "net_sigma": "", "grade": "", "align": "", "premium": "", "wrong_if": "", "context": "", "subject": "Alert: Rev - Screener v1 (SPY, 12): Any alert() function call", "body": "{\"ticker\":\"EA\", \"setup\":\"A+ Trend Long\", \"side\":\"LONG\", \"price\":209.07, \"stage\":2, \"buy\":93.4, \"sell\":35.2, \"prime\":2, \"revL\":0, \"revS\":0, \"vcp\":0, \"dir_prob\":84.6, \"time\":1784899800000}", "ticker": "EA", "setup": "A+ Trend Long", "side": "LONG", "price": 209.07, "stage": 2, "buy": 93.4, "sell": 35.2, "prime": 2, "revL": 0, "revS": 0, "vcp": 0, "time": 1784899800000, "email_id": "2315", "timestamp": "2026-07-24 16:01:36"}</t>
  </si>
  <si>
    <t>Buy: 92.1 | Sell: 38.3</t>
  </si>
  <si>
    <t>{"symbol": "VRSK", "strategy": "Daily", "action": "LONG", "alert_price": 193.18, "score": "", "dir_prob": "97.1", "net_sigma": "", "grade": "", "align": "", "premium": "", "wrong_if": "", "context": "", "subject": "Alert: Rev - Screener v1 (SPY, 12): Any alert() function call", "body": "{\"ticker\":\"VRSK\", \"setup\":\"A+ Trend Long\", \"side\":\"LONG\", \"price\":193.18, \"stage\":2, \"buy\":96.2, \"sell\":14.5, \"prime\":2, \"revL\":0, \"revS\":0, \"vcp\":0, \"dir_prob\":97.1, \"time\":1784813400000}", "ticker": "VRSK", "setup": "A+ Trend Long", "side": "LONG", "price": 193.18, "stage": 2, "buy": 96.2, "sell": 14.5, "prime": 2, "revL": 0, "revS": 0, "vcp": 0, "time": 1784813400000, "email_id": "2198", "timestamp": "2026-07-23 16:01:19"}</t>
  </si>
  <si>
    <t>Buy: 93.3 | Sell: 19</t>
  </si>
  <si>
    <t>{"symbol": "BALL", "strategy": "Daily", "action": "LONG", "alert_price": 63.81, "score": "", "dir_prob": "90.2", "net_sigma": "", "grade": "", "align": "", "premium": "", "wrong_if": "", "context": "", "subject": "Alert: Rev - Screener v1 (SPY, 12): Any alert() function call", "body": "{\"ticker\":\"BALL\", \"setup\":\"A+ Trend Long\", \"side\":\"LONG\", \"price\":63.81, \"stage\":2, \"buy\":92.1, \"sell\":38.3, \"prime\":2, \"revL\":0, \"revS\":0, \"vcp\":1, \"dir_prob\":90.2, \"time\":1784899800000}", "ticker": "BALL", "setup": "A+ Trend Long", "side": "LONG", "price": 63.81, "stage": 2, "buy": 92.1, "sell": 38.3, "prime": 2, "revL": 0, "revS": 0, "vcp": 1, "time": 1784899800000, "email_id": "2314", "timestamp": "2026-07-24 16:01:17"}</t>
  </si>
  <si>
    <t>Buy: 91.2 | Sell: 12.3</t>
  </si>
  <si>
    <t>{"symbol": "EIX", "strategy": "Daily", "action": "LONG", "alert_price": 79.62, "score": "", "dir_prob": "84.7", "net_sigma": "", "grade": "", "align": "", "premium": "", "wrong_if": "", "context": "", "subject": "Alert: Rev - Screener v1 (SPY, 12): Any alert() function call", "body": "{\"ticker\":\"EIX\", \"setup\":\"A+ Trend Long\", \"side\":\"LONG\", \"price\":79.62, \"stage\":2, \"buy\":93.3, \"sell\":19, \"prime\":2, \"revL\":0, \"revS\":0, \"vcp\":0, \"dir_prob\":84.7, \"time\":1784813400000}", "ticker": "EIX", "setup": "A+ Trend Long", "side": "LONG", "price": 79.62, "stage": 2, "buy": 93.3, "sell": 19, "prime": 2, "revL": 0, "revS": 0, "vcp": 0, "time": 1784813400000, "email_id": "2199", "timestamp": "2026-07-23 16:01:20"}</t>
  </si>
  <si>
    <t>Buy: 92.3 | Sell: 16</t>
  </si>
  <si>
    <t>{"symbol": "IR", "strategy": "Daily", "action": "LONG", "alert_price": 84.32, "score": "", "dir_prob": "94.4", "net_sigma": "", "grade": "", "align": "", "premium": "", "wrong_if": "", "context": "", "subject": "Alert: Rev - Screener v1 (SPY, 12): Any alert() function call", "body": "{\"ticker\":\"IR\", \"setup\":\"A+ Trend Long\", \"side\":\"LONG\", \"price\":84.32, \"stage\":2, \"buy\":92.3, \"sell\":16, \"prime\":2, \"revL\":0, \"revS\":0, \"vcp\":0, \"dir_prob\":94.4, \"time\":1784813400000}", "ticker": "IR", "setup": "A+ Trend Long", "side": "LONG", "price": 84.32, "stage": 2, "buy": 92.3, "sell": 16, "prime": 2, "revL": 0, "revS": 0, "vcp": 0, "time": 1784813400000, "email_id": "2200", "timestamp": "2026-07-23 16:01:27"}</t>
  </si>
  <si>
    <t>{"symbol": "D", "strategy": "Daily", "action": "LONG", "alert_price": 71.09, "score": "", "dir_prob": "92.6", "net_sigma": "", "grade": "", "align": "", "premium": "", "wrong_if": "", "context": "", "subject": "Alert: Rev - Screener v1 (SPY, 12): Any alert() function call", "body": "{\"ticker\":\"D\", \"setup\":\"A+ Trend Long\", \"side\":\"LONG\", \"price\":71.09, \"stage\":2, \"buy\":91.2, \"sell\":12.3, \"prime\":2, \"revL\":0, \"revS\":0, \"vcp\":0, \"dir_prob\":92.6, \"time\":1784899800000}", "ticker": "D", "setup": "A+ Trend Long", "side": "LONG", "price": 71.09, "stage": 2, "buy": 91.2, "sell": 12.3, "prime": 2, "revL": 0, "revS": 0, "vcp": 0, "time": 1784899800000, "email_id": "2316", "timestamp": "2026-07-24 16:01:18"}</t>
  </si>
  <si>
    <t>BREAKOUT_LONG fires with ignition_long=1.0, though buy=74.43 is high rather than low. News CONFIRMS with a dividend declaration and positive earnings expectations. Triage is capped to WATCH due to the 'chased' flag (price above long zone) +</t>
  </si>
  <si>
    <t>Buy: 96.3 | Sell: 9.3</t>
  </si>
  <si>
    <t>**WAIT (Directional Bias: BULLISH — Setup NOT Triggered)**</t>
  </si>
  <si>
    <t>Buy: 92.9 | Sell: 39.1</t>
  </si>
  <si>
    <t>{"symbol": "EXPD", "strategy": "Daily", "action": "LONG", "alert_price": 176.03, "score": "", "dir_prob": "90.5", "net_sigma": "", "grade": "", "align": "", "premium": "", "wrong_if": "", "context": "", "subject": "Alert: Rev - Screener v1 (SPY, 12): Any alert() function call", "body": "{\"ticker\":\"EXPD\", \"setup\":\"A+ Trend Long\", \"side\":\"LONG\", \"price\":176.03, \"stage\":2, \"buy\":96.3, \"sell\":9.3, \"prime\":2, \"revL\":0, \"revS\":0, \"vcp\":0, \"dir_prob\":90.5, \"time\":1784813400000}", "ticker": "EXPD", "setup": "A+ Trend Long", "side": "LONG", "price": 176.03, "stage": 2, "buy": 96.3, "sell": 9.3, "prime": 2, "revL": 0, "revS": 0, "vcp": 0, "time": 1784813400000, "email_id": "2201", "timestamp": "2026-07-23 16:01:36"}</t>
  </si>
  <si>
    <t>TREND_LONG fires with buy=97.39 &gt;&gt; 65, dir_prob=87.05 &gt;&gt; 50, and stage=2 (up-trend). News CONFIRMS with a price target raise to $189. No VETO flags apply; computed_flags only show 'pullback' which is consistent with a dip-buy in an uptrend.</t>
  </si>
  <si>
    <t>{"symbol": "KVUE", "strategy": "Daily", "action": "LONG", "alert_price": 19.26, "score": "", "dir_prob": "85.2", "net_sigma": "", "grade": "", "align": "", "premium": "", "wrong_if": "", "context": "", "subject": "Alert: Rev - Screener v1 (SPY, 12): Any alert() function call", "body": "{\"ticker\":\"KVUE\", \"setup\":\"A+ Trend Long\", \"side\":\"LONG\", \"price\":19.26, \"stage\":2, \"buy\":92.9, \"sell\":39.1, \"prime\":2, \"revL\":0, \"revS\":0, \"vcp\":1, \"dir_prob\":85.2, \"time\":1784899800000}", "ticker": "KVUE", "setup": "A+ Trend Long", "side": "LONG", "price": 19.26, "stage": 2, "buy": 92.9, "sell": 39.1, "prime": 2, "revL": 0, "revS": 0, "vcp": 1, "time": 1784899800000, "email_id": "2317", "timestamp": "2026-07-24 16:01:16"}</t>
  </si>
  <si>
    <t>Buy: 96.4 | Sell: 14.1</t>
  </si>
  <si>
    <t>Buy: 88.3 | Sell: 28.7</t>
  </si>
  <si>
    <t>{"symbol": "TECH", "strategy": "Daily", "action": "LONG", "alert_price": 71.75, "score": "", "dir_prob": "95.9", "net_sigma": "", "grade": "", "align": "", "premium": "", "wrong_if": "", "context": "", "subject": "Alert: Rev - Screener v1 (SPY, 12): Any alert() function call", "body": "{\"ticker\":\"TECH\", \"setup\":\"A+ Trend Long\", \"side\":\"LONG\", \"price\":71.75, \"stage\":2, \"buy\":96.4, \"sell\":14.1, \"prime\":2, \"revL\":0, \"revS\":0, \"vcp\":1, \"dir_prob\":95.9, \"time\":1784813400000}", "ticker": "TECH", "setup": "A+ Trend Long", "side": "LONG", "price": 71.75, "stage": 2, "buy": 96.4, "sell": 14.1, "prime": 2, "revL": 0, "revS": 0, "vcp": 1, "time": 1784813400000, "email_id": "2204", "timestamp": "2026-07-23 16:01:22"}</t>
  </si>
  <si>
    <t>TREND_LONG fires with buy=96.72 &gt;&gt; 65, dir_prob=96.25 &gt;&gt; 50, and stage=2 (up-trend). Regime=6 (squeeze) indicates coiling/pre-breakout energy rather than exhaustion. News is NEUTRAL with no catalyst, which does not veto the strong technical</t>
  </si>
  <si>
    <t>Buy: 97.7 | Sell: 15.2</t>
  </si>
  <si>
    <t>{"symbol": "HRL", "strategy": "Daily", "action": "LONG", "alert_price": 25.31, "score": "", "dir_prob": "89.3", "net_sigma": "", "grade": "", "align": "", "premium": "", "wrong_if": "", "context": "", "subject": "Alert: Rev - Screener v1 (SPY, 12): Any alert() function call", "body": "{\"ticker\":\"HRL\", \"setup\":\"A+ Trend Long\", \"side\":\"LONG\", \"price\":25.31, \"stage\":2, \"buy\":88.3, \"sell\":28.7, \"prime\":2, \"revL\":0, \"revS\":0, \"vcp\":0, \"dir_prob\":89.3, \"time\":1784899800000}", "ticker": "HRL", "setup": "A+ Trend Long", "side": "LONG", "price": 25.31, "stage": 2, "buy": 88.3, "sell": 28.7, "prime": 2, "revL": 0, "revS": 0, "vcp": 0, "time": 1784899800000, "email_id": "2312", "timestamp": "2026-07-24 16:01:14"}</t>
  </si>
  <si>
    <t>**WAIT** (set alert at $470.50 for FORMING → PRIME BUY transition)</t>
  </si>
  <si>
    <t>Buy: 81.2 | Sell: 10.3</t>
  </si>
  <si>
    <t>{"symbol": "MCO", "strategy": "Daily", "action": "LONG", "alert_price": 472.02, "score": "", "dir_prob": "94", "net_sigma": "", "grade": "", "align": "", "premium": "", "wrong_if": "", "context": "", "subject": "Alert: Rev - Screener v1 (SPY, 12): Any alert() function call", "body": "{\"ticker\":\"MCO\", \"setup\":\"A+ Trend Long\", \"side\":\"LONG\", \"price\":472.02, \"stage\":2, \"buy\":97.7, \"sell\":15.2, \"prime\":2, \"revL\":0, \"revS\":0, \"vcp\":0, \"dir_prob\":94, \"time\":1784813400000}", "ticker": "MCO", "setup": "A+ Trend Long", "side": "LONG", "price": 472.02, "stage": 2, "buy": 97.7, "sell": 15.2, "prime": 2, "revL": 0, "revS": 0, "vcp": 0, "time": 1784813400000, "email_id": "2203", "timestamp": "2026-07-23 16:01:34"}</t>
  </si>
  <si>
    <t xml:space="preserve">TREND_LONG fires with buy=87.99 &gt; 65, dir_prob=90.75 &gt;= 50, and stage=2. News CONFIRMS with a Wells Fargo upgrade and earnings beat. The 'pullback' flag indicates a dip-buy opportunity within the trend. No VETO caps apply; earnings gate is </t>
  </si>
  <si>
    <t>{"symbol": "ITW", "strategy": "Daily", "action": "LONG", "alert_price": 282.99, "score": "", "dir_prob": "91.4", "net_sigma": "", "grade": "", "align": "", "premium": "", "wrong_if": "", "context": "", "subject": "Alert: Rev - Screener v1 (SPY, 12): Any alert() function call", "body": "{\"ticker\":\"ITW\", \"setup\":\"Bullish Squeeze Release\", \"side\":\"LONG\", \"price\":282.99, \"stage\":2, \"buy\":81.2, \"sell\":10.3, \"prime\":1, \"revL\":0, \"revS\":0, \"vcp\":2, \"dir_prob\":91.4, \"time\":1784899800000}", "ticker": "ITW", "setup": "Bullish Squeeze Release", "side": "LONG", "price": 282.99, "stage": 2, "buy": 81.2, "sell": 10.3, "prime": 1, "revL": 0, "revS": 0, "vcp": 2, "time": 1784899800000, "email_id": "2318", "timestamp": "2026-07-24 16:01:21"}</t>
  </si>
  <si>
    <t>Buy: 97.2 | Sell: 15.3</t>
  </si>
  <si>
    <t>{"symbol": "EG", "strategy": "Daily", "action": "LONG", "alert_price": 375.56, "score": "", "dir_prob": "91.2", "net_sigma": "", "grade": "", "align": "", "premium": "", "wrong_if": "", "context": "", "subject": "Alert: Rev - Screener v1 (SPY, 12): Any alert() function call", "body": "{\"ticker\":\"EG\", \"setup\":\"A+ Trend Long\", \"side\":\"LONG\", \"price\":375.56, \"stage\":2, \"buy\":97.2, \"sell\":15.3, \"prime\":2, \"revL\":0, \"revS\":0, \"vcp\":0, \"dir_prob\":91.2, \"time\":1784813400000}", "ticker": "EG", "setup": "A+ Trend Long", "side": "LONG", "price": 375.56, "stage": 2, "buy": 97.2, "sell": 15.3, "prime": 2, "revL": 0, "revS": 0, "vcp": 0, "time": 1784813400000, "email_id": "2205", "timestamp": "2026-07-23 16:01:26"}</t>
  </si>
  <si>
    <t>{"symbol": "MTD", "strategy": "Daily", "action": "LONG", "alert_price": 1328.49, "score": "", "dir_prob": "95.3", "net_sigma": "", "grade": "", "align": "", "premium": "", "wrong_if": "", "context": "", "subject": "Alert: Rev - Screener v1 (SPY, 12): Any alert() function call", "body": "{\"ticker\":\"MTD\", \"setup\":\"A+ Trend Long\", \"side\":\"LONG\", \"price\":1328.49, \"stage\":2, \"buy\":95.7, \"sell\":7.6, \"prime\":2, \"revL\":0, \"revS\":0, \"vcp\":1, \"dir_prob\":95.3, \"time\":1784899800000}", "ticker": "MTD", "setup": "A+ Trend Long", "side": "LONG", "price": 1328.49, "stage": 2, "buy": 95.7, "sell": 7.6, "prime": 2, "revL": 0, "revS": 0, "vcp": 1, "time": 1784899800000, "email_id": "2319", "timestamp": "2026-07-24 16:01:19"}</t>
  </si>
  <si>
    <t>Buy: 6.8 | Sell: 20.8</t>
  </si>
  <si>
    <t>Buy: 95.9 | Sell: 8.2</t>
  </si>
  <si>
    <t>{"symbol": "EW", "strategy": "Daily", "action": "LONG", "alert_price": 83.77, "score": "", "dir_prob": "37.8", "net_sigma": "", "grade": "", "align": "", "premium": "", "wrong_if": "", "context": "", "subject": "Alert: Rev - Screener v1 (SPY, 12): Any alert() function call", "body": "{\"ticker\":\"EW\", \"setup\":\"Research Reversal (Any Stage)\", \"side\":\"LONG\", \"price\":83.77, \"stage\":4, \"buy\":6.8, \"sell\":20.8, \"prime\":0, \"revL\":7, \"revS\":0, \"vcp\":0, \"dir_prob\":37.8, \"time\":1784813400000}", "ticker": "EW", "setup": "Research Reversal (Any Stage)", "side": "LONG", "price": 83.77, "stage": 4, "buy": 6.8, "sell": 20.8, "prime": 0, "revL": 7, "revS": 0, "vcp": 0, "time": 1784813400000, "email_id": "2206", "timestamp": "2026-07-23 16:01:25"}</t>
  </si>
  <si>
    <t>{"symbol": "EXPD", "strategy": "Daily", "action": "LONG", "alert_price": 175.22, "score": "", "dir_prob": "90.5", "net_sigma": "", "grade": "", "align": "", "premium": "", "wrong_if": "", "context": "", "subject": "Alert: Rev - Screener v1 (SPY, 12): Any alert() function call", "body": "{\"ticker\":\"EXPD\", \"setup\":\"A+ Trend Long\", \"side\":\"LONG\", \"price\":175.22, \"stage\":2, \"buy\":95.9, \"sell\":8.2, \"prime\":2, \"revL\":0, \"revS\":0, \"vcp\":0, \"dir_prob\":90.5, \"time\":1784899800000}", "ticker": "EXPD", "setup": "A+ Trend Long", "side": "LONG", "price": 175.22, "stage": 2, "buy": 95.9, "sell": 8.2, "prime": 2, "revL": 0, "revS": 0, "vcp": 0, "time": 1784899800000, "email_id": "2320", "timestamp": "2026-07-24 16:01:18"}</t>
  </si>
  <si>
    <t>Buy: 97.1 | Sell: 17.1</t>
  </si>
  <si>
    <t>Buy: 97.4 | Sell: 21.1</t>
  </si>
  <si>
    <t>{"symbol": "BRO", "strategy": "Daily", "action": "LONG", "alert_price": 67.67, "score": "", "dir_prob": "99.4", "net_sigma": "", "grade": "", "align": "", "premium": "", "wrong_if": "", "context": "", "subject": "Alert: Rev - Screener v1 (SPY, 12): Any alert() function call", "body": "{\"ticker\":\"BRO\", \"setup\":\"A+ Trend Long\", \"side\":\"LONG\", \"price\":67.67, \"stage\":2, \"buy\":97.4, \"sell\":21.1, \"prime\":2, \"revL\":0, \"revS\":0, \"vcp\":0, \"dir_prob\":99.4, \"time\":1784899800000}", "ticker": "BRO", "setup": "A+ Trend Long", "side": "LONG", "price": 67.67, "stage": 2, "buy": 97.4, "sell": 21.1, "prime": 2, "revL": 0, "revS": 0, "vcp": 0, "time": 1784899800000, "email_id": "2321", "timestamp": "2026-07-24 16:01:21"}</t>
  </si>
  <si>
    <t>{"symbol": "WFC", "strategy": "Daily", "action": "LONG", "alert_price": 86.21, "score": "", "dir_prob": "93", "net_sigma": "", "grade": "", "align": "", "premium": "", "wrong_if": "", "context": "", "subject": "Alert: Rev - Screener v1 (SPY, 12): Any alert() function call", "body": "{\"ticker\":\"WFC\", \"setup\":\"A+ Trend Long\", \"side\":\"LONG\", \"price\":86.21, \"stage\":2, \"buy\":97.1, \"sell\":17.1, \"prime\":2, \"revL\":0, \"revS\":0, \"vcp\":1, \"dir_prob\":93, \"time\":1784813400000}", "ticker": "WFC", "setup": "A+ Trend Long", "side": "LONG", "price": 86.21, "stage": 2, "buy": 97.1, "sell": 17.1, "prime": 2, "revL": 0, "revS": 0, "vcp": 1, "time": 1784813400000, "email_id": "2207", "timestamp": "2026-07-23 16:01:18"}</t>
  </si>
  <si>
    <t>Buy: 94.8 | Sell: 9.2</t>
  </si>
  <si>
    <t>{"symbol": "AWK", "strategy": "Daily", "action": "LONG", "alert_price": 134.42, "score": "", "dir_prob": "97.3", "net_sigma": "", "grade": "", "align": "", "premium": "", "wrong_if": "", "context": "", "subject": "Alert: Rev - Screener v1 (SPY, 12): Any alert() function call", "body": "{\"ticker\":\"AWK\", \"setup\":\"A+ Trend Long\", \"side\":\"LONG\", \"price\":134.42, \"stage\":2, \"buy\":94.8, \"sell\":9.2, \"prime\":2, \"revL\":0, \"revS\":0, \"vcp\":1, \"dir_prob\":97.3, \"time\":1784813400000}", "ticker": "AWK", "setup": "A+ Trend Long", "side": "LONG", "price": 134.42, "stage": 2, "buy": 94.8, "sell": 9.2, "prime": 2, "revL": 0, "revS": 0, "vcp": 1, "time": 1784813400000, "email_id": "2208", "timestamp": "2026-07-23 16:01:31"}</t>
  </si>
  <si>
    <t>Buy: 91.5 | Sell: 14</t>
  </si>
  <si>
    <t>{"symbol": "VEEV", "strategy": "Daily", "action": "LONG", "alert_price": 186.29, "score": "", "dir_prob": "98.9", "net_sigma": "", "grade": "", "align": "", "premium": "", "wrong_if": "", "context": "", "subject": "Alert: Rev - Screener v1 (SPY, 12): Any alert() function call", "body": "{\"ticker\":\"VEEV\", \"setup\":\"A+ Trend Long\", \"side\":\"LONG\", \"price\":186.29, \"stage\":2, \"buy\":97.3, \"sell\":4.4, \"prime\":2, \"revL\":0, \"revS\":0, \"vcp\":0, \"dir_prob\":98.9, \"time\":1784899800000}", "ticker": "VEEV", "setup": "A+ Trend Long", "side": "LONG", "price": 186.29, "stage": 2, "buy": 97.3, "sell": 4.4, "prime": 2, "revL": 0, "revS": 0, "vcp": 0, "time": 1784899800000, "email_id": "2322", "timestamp": "2026-07-24 16:01:20"}</t>
  </si>
  <si>
    <t>ADM</t>
  </si>
  <si>
    <t>Buy: 86.7 | Sell: 20.9</t>
  </si>
  <si>
    <t>{"symbol": "AIZ", "strategy": "Daily", "action": "LONG", "alert_price": 273.73, "score": "", "dir_prob": "87", "net_sigma": "", "grade": "", "align": "", "premium": "", "wrong_if": "", "context": "", "subject": "Alert: Rev - Screener v1 (SPY, 12): Any alert() function call", "body": "{\"ticker\":\"AIZ\", \"setup\":\"A+ Trend Long\", \"side\":\"LONG\", \"price\":273.73, \"stage\":2, \"buy\":91.5, \"sell\":14, \"prime\":2, \"revL\":0, \"revS\":0, \"vcp\":0, \"dir_prob\":87, \"time\":1784813400000}", "ticker": "AIZ", "setup": "A+ Trend Long", "side": "LONG", "price": 273.73, "stage": 2, "buy": 91.5, "sell": 14, "prime": 2, "revL": 0, "revS": 0, "vcp": 0, "time": 1784813400000, "email_id": "2202", "timestamp": "2026-07-23 16:01:19"}</t>
  </si>
  <si>
    <t>{"symbol": "ADM", "strategy": "Daily", "action": "LONG", "alert_price": 85.91, "score": "", "dir_prob": "88.6", "net_sigma": "", "grade": "", "align": "", "premium": "", "wrong_if": "", "context": "", "subject": "Alert: Rev - Screener v1 (SPY, 12): Any alert() function call", "body": "{\"ticker\":\"ADM\", \"setup\":\"A+ Trend Long\", \"side\":\"LONG\", \"price\":85.91, \"stage\":2, \"buy\":86.7, \"sell\":20.9, \"prime\":2, \"revL\":0, \"revS\":0, \"vcp\":0, \"dir_prob\":88.6, \"time\":1784899800000}", "ticker": "ADM", "setup": "A+ Trend Long", "side": "LONG", "price": 85.91, "stage": 2, "buy": 86.7, "sell": 20.9, "prime": 2, "revL": 0, "revS": 0, "vcp": 0, "time": 1784899800000, "email_id": "2323", "timestamp": "2026-07-24 16:01:22"}</t>
  </si>
  <si>
    <t>Buy: 90 | Sell: 14.8</t>
  </si>
  <si>
    <t>Buy: 92.9 | Sell: 15.3</t>
  </si>
  <si>
    <t>{"symbol": "BBY", "strategy": "Daily", "action": "LONG", "alert_price": 85.43, "score": "", "dir_prob": "92.5", "net_sigma": "", "grade": "", "align": "", "premium": "", "wrong_if": "", "context": "", "subject": "Alert: Rev - Screener v1 (SPY, 12): Any alert() function call", "body": "{\"ticker\":\"BBY\", \"setup\":\"A+ Trend Long\", \"side\":\"LONG\", \"price\":85.43, \"stage\":2, \"buy\":90, \"sell\":14.8, \"prime\":2, \"revL\":0, \"revS\":0, \"vcp\":0, \"dir_prob\":92.5, \"time\":1784899800000}", "ticker": "BBY", "setup": "A+ Trend Long", "side": "LONG", "price": 85.43, "stage": 2, "buy": 90, "sell": 14.8, "prime": 2, "revL": 0, "revS": 0, "vcp": 0, "time": 1784899800000, "email_id": "2324", "timestamp": "2026-07-24 16:01:20"}</t>
  </si>
  <si>
    <t>{"symbol": "RVTY", "strategy": "Daily", "action": "LONG", "alert_price": 113.15, "score": "", "dir_prob": "92", "net_sigma": "", "grade": "", "align": "", "premium": "", "wrong_if": "", "context": "", "subject": "Alert: Rev - Screener v1 (SPY, 12): Any alert() function call", "body": "{\"ticker\":\"RVTY\", \"setup\":\"A+ Trend Long\", \"side\":\"LONG\", \"price\":113.15, \"stage\":2, \"buy\":92.9, \"sell\":15.3, \"prime\":2, \"revL\":0, \"revS\":0, \"vcp\":1, \"dir_prob\":92, \"time\":1784813400000}", "ticker": "RVTY", "setup": "A+ Trend Long", "side": "LONG", "price": 113.15, "stage": 2, "buy": 92.9, "sell": 15.3, "prime": 2, "revL": 0, "revS": 0, "vcp": 1, "time": 1784813400000, "email_id": "2209", "timestamp": "2026-07-23 16:01:17"}</t>
  </si>
  <si>
    <t>Buy: 92.9 | Sell: 37.9</t>
  </si>
  <si>
    <t>Buy: 94.9 | Sell: 5.1</t>
  </si>
  <si>
    <t>{"symbol": "PRU", "strategy": "Daily", "action": "LONG", "alert_price": 117.81, "score": "", "dir_prob": "93.5", "net_sigma": "", "grade": "", "align": "", "premium": "", "wrong_if": "", "context": "", "subject": "Alert: Rev - Screener v1 (SPY, 12): Any alert() function call", "body": "{\"ticker\":\"PRU\", \"setup\":\"A+ Trend Long\", \"side\":\"LONG\", \"price\":117.81, \"stage\":2, \"buy\":94.9, \"sell\":5.1, \"prime\":2, \"revL\":0, \"revS\":0, \"vcp\":0, \"dir_prob\":93.5, \"time\":1784813400000}", "ticker": "PRU", "setup": "A+ Trend Long", "side": "LONG", "price": 117.81, "stage": 2, "buy": 94.9, "sell": 5.1, "prime": 2, "revL": 0, "revS": 0, "vcp": 0, "time": 1784813400000, "email_id": "2213", "timestamp": "2026-07-23 16:01:17"}</t>
  </si>
  <si>
    <t>TREND_LONG fires with buy=90.23 &gt; 65, dir_prob=91.35 &gt;= 50, and stage=2. News CONFIRMS with analyst price target raises. Triage capped to WATCH due to earnings_gate=PASS (12 days out) and rr_from_current=0.70 &lt; 1.0 (poor R:R from current).</t>
  </si>
  <si>
    <t>{"symbol": "KMB", "strategy": "Daily", "action": "LONG", "alert_price": 109.69, "score": "", "dir_prob": "94.5", "net_sigma": "", "grade": "", "align": "", "premium": "", "wrong_if": "", "context": "", "subject": "Alert: Rev - Screener v1 (SPY, 12): Any alert() function call", "body": "{\"ticker\":\"KMB\", \"setup\":\"A+ Trend Long\", \"side\":\"LONG\", \"price\":109.69, \"stage\":2, \"buy\":92.9, \"sell\":37.9, \"prime\":2, \"revL\":0, \"revS\":0, \"vcp\":0, \"dir_prob\":94.5, \"time\":1784899800000}", "ticker": "KMB", "setup": "A+ Trend Long", "side": "LONG", "price": 109.69, "stage": 2, "buy": 92.9, "sell": 37.9, "prime": 2, "revL": 0, "revS": 0, "vcp": 0, "time": 1784899800000, "email_id": "2325", "timestamp": "2026-07-24 16:01:20"}</t>
  </si>
  <si>
    <t>Buy: 95.6 | Sell: 7.3</t>
  </si>
  <si>
    <t>Buy: 88.1 | Sell: 19.4</t>
  </si>
  <si>
    <t>{"symbol": "FITB", "strategy": "Daily", "action": "LONG", "alert_price": 57.15, "score": "", "dir_prob": "91.7", "net_sigma": "", "grade": "", "align": "", "premium": "", "wrong_if": "", "context": "", "subject": "Alert: Rev - Screener v1 (SPY, 12): Any alert() function call", "body": "{\"ticker\":\"FITB\", \"setup\":\"A+ Trend Long\", \"side\":\"LONG\", \"price\":57.15, \"stage\":2, \"buy\":95.6, \"sell\":7.3, \"prime\":2, \"revL\":0, \"revS\":0, \"vcp\":1, \"dir_prob\":91.7, \"time\":1784813400000}", "ticker": "FITB", "setup": "A+ Trend Long", "side": "LONG", "price": 57.15, "stage": 2, "buy": 95.6, "sell": 7.3, "prime": 2, "revL": 0, "revS": 0, "vcp": 1, "time": 1784813400000, "email_id": "2214", "timestamp": "2026-07-23 16:01:37"}</t>
  </si>
  <si>
    <t>{"symbol": "CVS", "strategy": "Daily", "action": "LONG", "alert_price": 107.74, "score": "", "dir_prob": "88.2", "net_sigma": "", "grade": "", "align": "", "premium": "", "wrong_if": "", "context": "", "subject": "Alert: Rev - Screener v1 (SPY, 12): Any alert() function call", "body": "{\"ticker\":\"CVS\", \"setup\":\"A+ Trend Long\", \"side\":\"LONG\", \"price\":107.74, \"stage\":2, \"buy\":88.1, \"sell\":19.4, \"prime\":2, \"revL\":0, \"revS\":0, \"vcp\":0, \"dir_prob\":88.2, \"time\":1784899800000}", "ticker": "CVS", "setup": "A+ Trend Long", "side": "LONG", "price": 107.74, "stage": 2, "buy": 88.1, "sell": 19.4, "prime": 2, "revL": 0, "revS": 0, "vcp": 0, "time": 1784899800000, "email_id": "2326", "timestamp": "2026-07-24 16:01:21"}</t>
  </si>
  <si>
    <t>TREND_LONG fires with buy=80.26 &gt; 65, dir_prob=83.47 &gt;= 50, and stage=2 (up-trend). News is NEUTRAL regarding the dominant long bias. PASS triage with 'pullback' flag from computed_flags; no VETO caps apply.</t>
  </si>
  <si>
    <t>Buy: 94.6 | Sell: 9.5</t>
  </si>
  <si>
    <t>MPC</t>
  </si>
  <si>
    <t>Buy: 95.3 | Sell: 11.4</t>
  </si>
  <si>
    <t>SKIP (setup not triggered) | **Set alert at $294.16** for long trigger</t>
  </si>
  <si>
    <t>{"symbol": "TROW", "strategy": "Daily", "action": "LONG", "alert_price": 114.97, "score": "", "dir_prob": "93.6", "net_sigma": "", "grade": "", "align": "", "premium": "", "wrong_if": "", "context": "", "subject": "Alert: Rev - Screener v1 (SPY, 12): Any alert() function call", "body": "{\"ticker\":\"TROW\", \"setup\":\"A+ Trend Long\", \"side\":\"LONG\", \"price\":114.97, \"stage\":2, \"buy\":94.6, \"sell\":9.5, \"prime\":2, \"revL\":0, \"revS\":0, \"vcp\":0, \"dir_prob\":93.6, \"time\":1784813400000}", "ticker": "TROW", "setup": "A+ Trend Long", "side": "LONG", "price": 114.97, "stage": 2, "buy": 94.6, "sell": 9.5, "prime": 2, "revL": 0, "revS": 0, "vcp": 0, "time": 1784813400000, "email_id": "2216", "timestamp": "2026-07-23 16:01:22"}</t>
  </si>
  <si>
    <t xml:space="preserve">TREND_LONG fires with buy=97.28 &gt;&gt; 65, dir_prob=90.23, and stage=2. News CONFIRMS the bullish bias with a crypto ETF launch. Triage is capped to WATCH due to 'earnings' flag (8 days out) and 'churn' risk from high opposite_score proximity, </t>
  </si>
  <si>
    <t>Buy: 95.3 | Sell: 24.4</t>
  </si>
  <si>
    <t>{"symbol": "MPC", "strategy": "Daily", "action": "LONG", "alert_price": 309.23, "score": "", "dir_prob": "93.4", "net_sigma": "", "grade": "", "align": "", "premium": "", "wrong_if": "", "context": "", "subject": "Alert: Rev - Screener v1 (SPY, 12): Any alert() function call", "body": "{\"ticker\":\"MPC\", \"setup\":\"A+ Trend Long\", \"side\":\"LONG\", \"price\":309.23, \"stage\":2, \"buy\":95.3, \"sell\":11.4, \"prime\":2, \"revL\":0, \"revS\":0, \"vcp\":0, \"dir_prob\":93.4, \"time\":1784899800000}", "ticker": "MPC", "setup": "A+ Trend Long", "side": "LONG", "price": 309.23, "stage": 2, "buy": 95.3, "sell": 11.4, "prime": 2, "revL": 0, "revS": 0, "vcp": 0, "time": 1784899800000, "email_id": "2327", "timestamp": "2026-07-24 16:01:24"}</t>
  </si>
  <si>
    <t>TREND_LONG fires with buy=96.03 &gt;&gt; 65, dir_prob=86.38, and stage=2. News CONFIRMS with multiple analyst upgrades and price target hikes. Triage capped to WATCH due to 'earnings' flag (11 days out) and 'churn' risk from high opposite_score (</t>
  </si>
  <si>
    <t>Buy: 97.3 | Sell: 17.7</t>
  </si>
  <si>
    <t>{"symbol": "BALL", "strategy": "Daily", "action": "LONG", "alert_price": 62.23, "score": "", "dir_prob": "94.1", "net_sigma": "", "grade": "", "align": "", "premium": "", "wrong_if": "", "context": "", "subject": "Alert: Rev - Screener v1 (SPY, 12): Any alert() function call", "body": "{\"ticker\":\"BALL\", \"setup\":\"A+ Trend Long\", \"side\":\"LONG\", \"price\":62.23, \"stage\":2, \"buy\":95.3, \"sell\":24.4, \"prime\":2, \"revL\":0, \"revS\":0, \"vcp\":1, \"dir_prob\":94.1, \"time\":1784813400000}", "ticker": "BALL", "setup": "A+ Trend Long", "side": "LONG", "price": 62.23, "stage": 2, "buy": 95.3, "sell": 24.4, "prime": 2, "revL": 0, "revS": 0, "vcp": 1, "time": 1784813400000, "email_id": "2217", "timestamp": "2026-07-23 16:01:22"}</t>
  </si>
  <si>
    <t>Buy: 86.6 | Sell: 22.3</t>
  </si>
  <si>
    <t>{"symbol": "RJF", "strategy": "Daily", "action": "LONG", "alert_price": 169.31, "score": "", "dir_prob": "92.9", "net_sigma": "", "grade": "", "align": "", "premium": "", "wrong_if": "", "context": "", "subject": "Alert: Rev - Screener v1 (SPY, 12): Any alert() function call", "body": "{\"ticker\":\"RJF\", \"setup\":\"A+ Trend Long\", \"side\":\"LONG\", \"price\":169.31, \"stage\":2, \"buy\":97.3, \"sell\":17.7, \"prime\":2, \"revL\":0, \"revS\":0, \"vcp\":0, \"dir_prob\":92.9, \"time\":1784899800000}", "ticker": "RJF", "setup": "A+ Trend Long", "side": "LONG", "price": 169.31, "stage": 2, "buy": 97.3, "sell": 17.7, "prime": 2, "revL": 0, "revS": 0, "vcp": 0, "time": 1784899800000, "email_id": "2328", "timestamp": "2026-07-24 16:01:16"}</t>
  </si>
  <si>
    <t>CAG</t>
  </si>
  <si>
    <t>Buy: 73.1 | Sell: 25.7</t>
  </si>
  <si>
    <t>{"symbol": "LLY", "strategy": "Daily", "action": "LONG", "alert_price": 1185.77, "score": "", "dir_prob": "86.9", "net_sigma": "", "grade": "", "align": "", "premium": "", "wrong_if": "", "context": "", "subject": "Alert: Rev - Screener v1 (SPY, 12): Any alert() function call", "body": "{\"ticker\":\"LLY\", \"setup\":\"A+ Trend Long\", \"side\":\"LONG\", \"price\":1185.77, \"stage\":2, \"buy\":86.6, \"sell\":22.3, \"prime\":2, \"revL\":0, \"revS\":0, \"vcp\":1, \"dir_prob\":86.9, \"time\":1784813400000}", "ticker": "LLY", "setup": "A+ Trend Long", "side": "LONG", "price": 1185.77, "stage": 2, "buy": 86.6, "sell": 22.3, "prime": 2, "revL": 0, "revS": 0, "vcp": 1, "time": 1784813400000, "email_id": "2218", "timestamp": "2026-07-23 16:01:26"}</t>
  </si>
  <si>
    <t>Buy: 96.9 | Sell: 18.3</t>
  </si>
  <si>
    <t>{"symbol": "CAG", "strategy": "Daily", "action": "LONG", "alert_price": 14.78, "score": "", "dir_prob": "95", "net_sigma": "", "grade": "", "align": "", "premium": "", "wrong_if": "", "context": "", "subject": "Alert: Rev - Screener v1 (SPY, 12): Any alert() function call", "body": "{\"ticker\":\"CAG\", \"setup\":\"Bullish Squeeze Release\", \"side\":\"LONG\", \"price\":14.78, \"stage\":2, \"buy\":73.1, \"sell\":25.7, \"prime\":0, \"revL\":0, \"revS\":0, \"vcp\":2, \"dir_prob\":95, \"time\":1784899800000}", "ticker": "CAG", "setup": "Bullish Squeeze Release", "side": "LONG", "price": 14.78, "stage": 2, "buy": 73.1, "sell": 25.7, "prime": 0, "revL": 0, "revS": 0, "vcp": 2, "time": 1784899800000, "email_id": "2329", "timestamp": "2026-07-24 16:01:23"}</t>
  </si>
  <si>
    <t>Buy: 93.1 | Sell: 37.6</t>
  </si>
  <si>
    <t>{"symbol": "CB", "strategy": "Daily", "action": "LONG", "alert_price": 353.2, "score": "", "dir_prob": "92.7", "net_sigma": "", "grade": "", "align": "", "premium": "", "wrong_if": "", "context": "", "subject": "Alert: Rev - Screener v1 (SPY, 12): Any alert() function call", "body": "{\"ticker\":\"CB\", \"setup\":\"A+ Trend Long\", \"side\":\"LONG\", \"price\":353.20, \"stage\":2, \"buy\":96.9, \"sell\":18.3, \"prime\":2, \"revL\":0, \"revS\":0, \"vcp\":0, \"dir_prob\":92.7, \"time\":1784813400000}", "ticker": "CB", "setup": "A+ Trend Long", "side": "LONG", "price": 353.2, "stage": 2, "buy": 96.9, "sell": 18.3, "prime": 2, "revL": 0, "revS": 0, "vcp": 0, "time": 1784813400000, "email_id": "2219", "timestamp": "2026-07-23 16:01:38"}</t>
  </si>
  <si>
    <t>{"symbol": "SYY", "strategy": "Daily", "action": "LONG", "alert_price": 83.13, "score": "", "dir_prob": "89.8", "net_sigma": "", "grade": "", "align": "", "premium": "", "wrong_if": "", "context": "", "subject": "Alert: Rev - Screener v1 (SPY, 12): Any alert() function call", "body": "{\"ticker\":\"SYY\", \"setup\":\"A+ Trend Long\", \"side\":\"LONG\", \"price\":83.13, \"stage\":2, \"buy\":93.1, \"sell\":37.6, \"prime\":2, \"revL\":0, \"revS\":0, \"vcp\":1, \"dir_prob\":89.8, \"time\":1784899800000}", "ticker": "SYY", "setup": "A+ Trend Long", "side": "LONG", "price": 83.13, "stage": 2, "buy": 93.1, "sell": 37.6, "prime": 2, "revL": 0, "revS": 0, "vcp": 1, "time": 1784899800000, "email_id": "2330", "timestamp": "2026-07-24 16:01:25"}</t>
  </si>
  <si>
    <t>Buy: 98 | Sell: 13</t>
  </si>
  <si>
    <t>Buy: 96.3 | Sell: 19.1</t>
  </si>
  <si>
    <t>{"symbol": "ADP", "strategy": "Daily", "action": "LONG", "alert_price": 250.12, "score": "", "dir_prob": "98.5", "net_sigma": "", "grade": "", "align": "", "premium": "", "wrong_if": "", "context": "", "subject": "Alert: Rev - Screener v1 (SPY, 12): Any alert() function call", "body": "{\"ticker\":\"ADP\", \"setup\":\"A+ Trend Long\", \"side\":\"LONG\", \"price\":250.12, \"stage\":2, \"buy\":96.3, \"sell\":19.1, \"prime\":2, \"revL\":0, \"revS\":0, \"vcp\":0, \"dir_prob\":98.5, \"time\":1784899800000}", "ticker": "ADP", "setup": "A+ Trend Long", "side": "LONG", "price": 250.12, "stage": 2, "buy": 96.3, "sell": 19.1, "prime": 2, "revL": 0, "revS": 0, "vcp": 0, "time": 1784899800000, "email_id": "2331", "timestamp": "2026-07-24 16:01:25"}</t>
  </si>
  <si>
    <t>{"symbol": "RJF", "strategy": "Daily", "action": "LONG", "alert_price": 166.14, "score": "", "dir_prob": "93.9", "net_sigma": "", "grade": "", "align": "", "premium": "", "wrong_if": "", "context": "", "subject": "Alert: Rev - Screener v1 (SPY, 12): Any alert() function call", "body": "{\"ticker\":\"RJF\", \"setup\":\"A+ Trend Long\", \"side\":\"LONG\", \"price\":166.14, \"stage\":2, \"buy\":98, \"sell\":13, \"prime\":2, \"revL\":0, \"revS\":0, \"vcp\":0, \"dir_prob\":93.9, \"time\":1784813400000}", "ticker": "RJF", "setup": "A+ Trend Long", "side": "LONG", "price": 166.14, "stage": 2, "buy": 98, "sell": 13, "prime": 2, "revL": 0, "revS": 0, "vcp": 0, "time": 1784813400000, "email_id": "2220", "timestamp": "2026-07-23 16:01:22"}</t>
  </si>
  <si>
    <t>Buy: 90.1 | Sell: 21.8</t>
  </si>
  <si>
    <t>Buy: 91.5 | Sell: 37.1</t>
  </si>
  <si>
    <t>SKIP (Wait for FORMING → PRIME transition + earnings clearance)</t>
  </si>
  <si>
    <t>Entry: 178.50
Stop: 172.77
Target: 191.80
See markdown for full rationale.</t>
  </si>
  <si>
    <t>{"symbol": "AFL", "strategy": "Daily", "action": "LONG", "alert_price": 125.61, "score": "", "dir_prob": "84.9", "net_sigma": "", "grade": "", "align": "", "premium": "", "wrong_if": "", "context": "", "subject": "Alert: Rev - Screener v1 (SPY, 12): Any alert() function call", "body": "{\"ticker\":\"AFL\", \"setup\":\"A+ Trend Long\", \"side\":\"LONG\", \"price\":125.61, \"stage\":2, \"buy\":90.1, \"sell\":21.8, \"prime\":2, \"revL\":0, \"revS\":0, \"vcp\":0, \"dir_prob\":84.9, \"time\":1784899800000}", "ticker": "AFL", "setup": "A+ Trend Long", "side": "LONG", "price": 125.61, "stage": 2, "buy": 90.1, "sell": 21.8, "prime": 2, "revL": 0, "revS": 0, "vcp": 0, "time": 1784899800000, "email_id": "2332", "timestamp": "2026-07-24 16:01:22"}</t>
  </si>
  <si>
    <t>Buy: 90.4 | Sell: 27.7</t>
  </si>
  <si>
    <t>**SKIP fresh long entry** (hold off 3-7 days post-earnings) — pivot to **SELL covered calls** for income &amp; management</t>
  </si>
  <si>
    <t>{"symbol": "CINF", "strategy": "Daily", "action": "LONG", "alert_price": 179.44, "score": "", "dir_prob": "84.7", "net_sigma": "", "grade": "", "align": "", "premium": "", "wrong_if": "", "context": "", "subject": "Alert: Rev - Screener v1 (SPY, 12): Any alert() function call", "body": "{\"ticker\":\"CINF\", \"setup\":\"A+ Trend Long\", \"side\":\"LONG\", \"price\":179.44, \"stage\":2, \"buy\":91.5, \"sell\":37.1, \"prime\":2, \"revL\":0, \"revS\":0, \"vcp\":0, \"dir_prob\":84.7, \"time\":1784813400000}", "ticker": "CINF", "setup": "A+ Trend Long", "side": "LONG", "price": 179.44, "stage": 2, "buy": 91.5, "sell": 37.1, "prime": 2, "revL": 0, "revS": 0, "vcp": 0, "time": 1784813400000, "email_id": "2221", "timestamp": "2026-07-23 16:01:37"}</t>
  </si>
  <si>
    <t>TREND_LONG fires with buy=97.46 &gt;&gt; 65, dir_prob=97.99, and stage=2. News is NEUTRAL (speculative headlines) and does not contradict the technicals. Triage is capped to WATCH due to earnings_gate=CAUTION (4 days out) and the 'TOP' warning in</t>
  </si>
  <si>
    <t>Buy: 96.8 | Sell: 15</t>
  </si>
  <si>
    <t>{"symbol": "CINF", "strategy": "Daily", "action": "LONG", "alert_price": 182.76, "score": "", "dir_prob": "88", "net_sigma": "", "grade": "", "align": "", "premium": "", "wrong_if": "", "context": "", "subject": "Alert: Rev - Screener v1 (SPY, 12): Any alert() function call", "body": "{\"ticker\":\"CINF\", \"setup\":\"A+ Trend Long\", \"side\":\"LONG\", \"price\":182.76, \"stage\":2, \"buy\":90.4, \"sell\":27.7, \"prime\":2, \"revL\":0, \"revS\":0, \"vcp\":0, \"dir_prob\":88, \"time\":1784899800000}", "ticker": "CINF", "setup": "A+ Trend Long", "side": "LONG", "price": 182.76, "stage": 2, "buy": 90.4, "sell": 27.7, "prime": 2, "revL": 0, "revS": 0, "vcp": 0, "time": 1784899800000, "email_id": "2333", "timestamp": "2026-07-24 16:01:26"}</t>
  </si>
  <si>
    <t>TREND_LONG fires with buy=98.16 &gt;&gt; 65, dir_prob=98.04, and stage=2. News is NEUTRAL (earnings speculation) with no contradiction. Triage capped to WATCH due to earnings_gate=CAUTION (3 days out) and rr_from_current=1.23 being below the 2.0+</t>
  </si>
  <si>
    <t>Buy: 93.6 | Sell: 40.3</t>
  </si>
  <si>
    <t>{"symbol": "ADP", "strategy": "Daily", "action": "LONG", "alert_price": 242.93, "score": "", "dir_prob": "98.9", "net_sigma": "", "grade": "", "align": "", "premium": "", "wrong_if": "", "context": "", "subject": "Alert: Rev - Screener v1 (SPY, 12): Any alert() function call", "body": "{\"ticker\":\"ADP\", \"setup\":\"A+ Trend Long\", \"side\":\"LONG\", \"price\":242.93, \"stage\":2, \"buy\":96.8, \"sell\":15, \"prime\":2, \"revL\":0, \"revS\":0, \"vcp\":0, \"dir_prob\":98.9, \"time\":1784813400000}", "ticker": "ADP", "setup": "A+ Trend Long", "side": "LONG", "price": 242.93, "stage": 2, "buy": 96.8, "sell": 15, "prime": 2, "revL": 0, "revS": 0, "vcp": 0, "time": 1784813400000, "email_id": "2222", "timestamp": "2026-07-23 16:01:34"}</t>
  </si>
  <si>
    <t>Buy: 90.7 | Sell: 15.5</t>
  </si>
  <si>
    <t>{"symbol": "DHR", "strategy": "Daily", "action": "LONG", "alert_price": 191.5, "score": "", "dir_prob": "81.6", "net_sigma": "", "grade": "", "align": "", "premium": "", "wrong_if": "", "context": "", "subject": "Alert: Rev - Screener v1 (SPY, 12): Any alert() function call", "body": "{\"ticker\":\"DHR\", \"setup\":\"A+ Trend Long\", \"side\":\"LONG\", \"price\":191.50, \"stage\":2, \"buy\":93.6, \"sell\":40.3, \"prime\":2, \"revL\":0, \"revS\":0, \"vcp\":0, \"dir_prob\":81.6, \"time\":1784899800000}", "ticker": "DHR", "setup": "A+ Trend Long", "side": "LONG", "price": 191.5, "stage": 2, "buy": 93.6, "sell": 40.3, "prime": 2, "revL": 0, "revS": 0, "vcp": 0, "time": 1784899800000, "email_id": "2334", "timestamp": "2026-07-24 16:01:25"}</t>
  </si>
  <si>
    <t>Buy: 93.1 | Sell: 13.9</t>
  </si>
  <si>
    <t>{"symbol": "AES", "strategy": "Daily", "action": "LONG", "alert_price": 14.83, "score": "", "dir_prob": "89.7", "net_sigma": "", "grade": "", "align": "", "premium": "", "wrong_if": "", "context": "", "subject": "Alert: Rev - Screener v1 (SPY, 12): Any alert() function call", "body": "{\"ticker\":\"AES\", \"setup\":\"A+ Trend Long\", \"side\":\"LONG\", \"price\":14.83, \"stage\":2, \"buy\":90.7, \"sell\":15.5, \"prime\":2, \"revL\":0, \"revS\":0, \"vcp\":0, \"dir_prob\":89.7, \"time\":1784813400000}", "ticker": "AES", "setup": "A+ Trend Long", "side": "LONG", "price": 14.83, "stage": 2, "buy": 90.7, "sell": 15.5, "prime": 2, "revL": 0, "revS": 0, "vcp": 0, "time": 1784813400000, "email_id": "2223", "timestamp": "2026-07-23 16:01:38"}</t>
  </si>
  <si>
    <t>Buy: 93.7 | Sell: 30.8</t>
  </si>
  <si>
    <t>{"symbol": "EIX", "strategy": "Daily", "action": "LONG", "alert_price": 79.74, "score": "", "dir_prob": "86.4", "net_sigma": "", "grade": "", "align": "", "premium": "", "wrong_if": "", "context": "", "subject": "Alert: Rev - Screener v1 (SPY, 12): Any alert() function call", "body": "{\"ticker\":\"EIX\", \"setup\":\"A+ Trend Long\", \"side\":\"LONG\", \"price\":79.74, \"stage\":2, \"buy\":93.1, \"sell\":13.9, \"prime\":2, \"revL\":0, \"revS\":0, \"vcp\":0, \"dir_prob\":86.4, \"time\":1784899800000}", "ticker": "EIX", "setup": "A+ Trend Long", "side": "LONG", "price": 79.74, "stage": 2, "buy": 93.1, "sell": 13.9, "prime": 2, "revL": 0, "revS": 0, "vcp": 0, "time": 1784899800000, "email_id": "2335", "timestamp": "2026-07-24 16:01:24"}</t>
  </si>
  <si>
    <t>No active entry mode fires: buy=98.43 is high but ignition_long=0 and rev_zone_l=2.0 is too low for reversion; stage=2 (up-trend) prevents counter-trend logic. News is NEUTRAL regarding direction despite positive sentiment, as it focuses on</t>
  </si>
  <si>
    <t>Buy: 94.2 | Sell: 4.7</t>
  </si>
  <si>
    <t>BUY (Trend-Following Momentum) — STOCK OR DEBIT SPREAD</t>
  </si>
  <si>
    <t>{"symbol": "HOOD", "strategy": "Daily", "action": "LONG", "alert_price": 101.58, "score": "", "dir_prob": "86.6", "net_sigma": "", "grade": "", "align": "", "premium": "", "wrong_if": "", "context": "", "subject": "Alert: Rev - Screener v1 (SPY, 12): Any alert() function call", "body": "{\"ticker\":\"HOOD\", \"setup\":\"A+ Trend Long\", \"side\":\"LONG\", \"price\":101.58, \"stage\":2, \"buy\":93.7, \"sell\":30.8, \"prime\":2, \"revL\":0, \"revS\":0, \"vcp\":0, \"dir_prob\":86.6, \"time\":1784813400000}", "ticker": "HOOD", "setup": "A+ Trend Long", "side": "LONG", "price": 101.58, "stage": 2, "buy": 93.7, "sell": 30.8, "prime": 2, "revL": 0, "revS": 0, "vcp": 0, "time": 1784813400000, "email_id": "2224", "timestamp": "2026-07-23 16:01:30"}</t>
  </si>
  <si>
    <t>TREND_LONG fires with buy=76.83 &gt; 65, dir_prob=91.35, and stage=2. News CONFIRMS with a Keybanc upgrade to $125. Triage capped to WATCH due to earnings_gate=CAUTION (6 days out) and rr_from_current=1.08 (poor R:R while above_zone).</t>
  </si>
  <si>
    <t>Buy: 93.9 | Sell: 9.8</t>
  </si>
  <si>
    <t>{"symbol": "BNY", "strategy": "Daily", "action": "LONG", "alert_price": 158.92, "score": "", "dir_prob": "89", "net_sigma": "", "grade": "", "align": "", "premium": "", "wrong_if": "", "context": "", "subject": "Alert: Rev - Screener v1 (SPY, 12): Any alert() function call", "body": "{\"ticker\":\"BNY\", \"setup\":\"A+ Trend Long\", \"side\":\"LONG\", \"price\":158.92, \"stage\":2, \"buy\":94.2, \"sell\":4.7, \"prime\":2, \"revL\":0, \"revS\":0, \"vcp\":0, \"dir_prob\":89, \"time\":1784899800000}", "ticker": "BNY", "setup": "A+ Trend Long", "side": "LONG", "price": 158.92, "stage": 2, "buy": 94.2, "sell": 4.7, "prime": 2, "revL": 0, "revS": 0, "vcp": 0, "time": 1784899800000, "email_id": "2336", "timestamp": "2026-07-24 16:01:28"}</t>
  </si>
  <si>
    <t>TREND_LONG fires with buy=97.87 &gt;&gt; 65, dir_prob=87.49 &gt;&gt; 50, and stage=2 (up-trend). News CONFIRMS with a PT raise to $180 and CEO appointment. No active flags or vetoes; ext_pct=25.33 is moderate extension but not a hard cap. High RR (1.23</t>
  </si>
  <si>
    <t>Buy: 96.8 | Sell: 16.8</t>
  </si>
  <si>
    <t>{"symbol": "JNJ", "strategy": "Daily", "action": "LONG", "alert_price": 259.29, "score": "", "dir_prob": "92.9", "net_sigma": "", "grade": "", "align": "", "premium": "", "wrong_if": "", "context": "", "subject": "Alert: Rev - Screener v1 (SPY, 12): Any alert() function call", "body": "{\"ticker\":\"JNJ\", \"setup\":\"A+ Trend Long\", \"side\":\"LONG\", \"price\":259.29, \"stage\":2, \"buy\":93.9, \"sell\":9.8, \"prime\":2, \"revL\":0, \"revS\":0, \"vcp\":0, \"dir_prob\":92.9, \"time\":1784813400000}", "ticker": "JNJ", "setup": "A+ Trend Long", "side": "LONG", "price": 259.29, "stage": 2, "buy": 93.9, "sell": 9.8, "prime": 2, "revL": 0, "revS": 0, "vcp": 0, "time": 1784813400000, "email_id": "2225", "timestamp": "2026-07-23 16:01:37"}</t>
  </si>
  <si>
    <t>{"symbol": "WM", "strategy": "Daily", "action": "LONG", "alert_price": 238.84, "score": "", "dir_prob": "94.9", "net_sigma": "", "grade": "", "align": "", "premium": "", "wrong_if": "", "context": "", "subject": "Alert: Rev - Screener v1 (SPY, 12): Any alert() function call", "body": "{\"ticker\":\"WM\", \"setup\":\"A+ Trend Long\", \"side\":\"LONG\", \"price\":238.84, \"stage\":2, \"buy\":96.8, \"sell\":16.8, \"prime\":2, \"revL\":0, \"revS\":0, \"vcp\":0, \"dir_prob\":94.9, \"time\":1784899800000}", "ticker": "WM", "setup": "A+ Trend Long", "side": "LONG", "price": 238.84, "stage": 2, "buy": 96.8, "sell": 16.8, "prime": 2, "revL": 0, "revS": 0, "vcp": 0, "time": 1784899800000, "email_id": "2337", "timestamp": "2026-07-24 16:01:29"}</t>
  </si>
  <si>
    <t>Buy: 89.3 | Sell: 31.1</t>
  </si>
  <si>
    <t>{"symbol": "TDY", "strategy": "Daily", "action": "LONG", "alert_price": 655.42, "score": "", "dir_prob": "91.1", "net_sigma": "", "grade": "", "align": "", "premium": "", "wrong_if": "", "context": "", "subject": "Alert: Rev - Screener v1 (SPY, 12): Any alert() function call", "body": "{\"ticker\":\"TDY\", \"setup\":\"A+ Trend Long\", \"side\":\"LONG\", \"price\":655.42, \"stage\":2, \"buy\":89.3, \"sell\":31.1, \"prime\":2, \"revL\":0, \"revS\":0, \"vcp\":1, \"dir_prob\":91.1, \"time\":1784899800000}", "ticker": "TDY", "setup": "A+ Trend Long", "side": "LONG", "price": 655.42, "stage": 2, "buy": 89.3, "sell": 31.1, "prime": 2, "revL": 0, "revS": 0, "vcp": 1, "time": 1784899800000, "email_id": "2338", "timestamp": "2026-07-24 16:01:27"}</t>
  </si>
  <si>
    <t>{"symbol": "L", "strategy": "Daily", "action": "LONG", "alert_price": 117.88, "score": "", "dir_prob": "89.9", "net_sigma": "", "grade": "", "align": "", "premium": "", "wrong_if": "", "context": "", "subject": "Alert: Rev - Screener v1 (SPY, 12): Any alert() function call", "body": "{\"ticker\":\"L\", \"setup\":\"A+ Trend Long\", \"side\":\"LONG\", \"price\":117.88, \"stage\":2, \"buy\":93.3, \"sell\":11.9, \"prime\":2, \"revL\":0, \"revS\":0, \"vcp\":1, \"dir_prob\":89.9, \"time\":1784899800000}", "ticker": "L", "setup": "A+ Trend Long", "side": "LONG", "price": 117.88, "stage": 2, "buy": 93.3, "sell": 11.9, "prime": 2, "revL": 0, "revS": 0, "vcp": 1, "time": 1784899800000, "email_id": "2339", "timestamp": "2026-07-24 16:01:30"}</t>
  </si>
  <si>
    <t>Buy: 93.5 | Sell: 10.2</t>
  </si>
  <si>
    <t>{"symbol": "MCK", "strategy": "Daily", "action": "LONG", "alert_price": 841.29, "score": "", "dir_prob": "94.4", "net_sigma": "", "grade": "", "align": "", "premium": "", "wrong_if": "", "context": "", "subject": "Alert: Rev - Screener v1 (SPY, 12): Any alert() function call", "body": "{\"ticker\":\"MCK\", \"setup\":\"A+ Trend Long\", \"side\":\"LONG\", \"price\":841.29, \"stage\":2, \"buy\":93.5, \"sell\":10.2, \"prime\":2, \"revL\":0, \"revS\":0, \"vcp\":0, \"dir_prob\":94.4, \"time\":1784899800000}", "ticker": "MCK", "setup": "A+ Trend Long", "side": "LONG", "price": 841.29, "stage": 2, "buy": 93.5, "sell": 10.2, "prime": 2, "revL": 0, "revS": 0, "vcp": 0, "time": 1784899800000, "email_id": "2340", "timestamp": "2026-07-24 16:01:30"}</t>
  </si>
  <si>
    <t>J</t>
  </si>
  <si>
    <t>Buy: 72.6 | Sell: 13.9</t>
  </si>
  <si>
    <t>{"symbol": "J", "strategy": "Daily", "action": "LONG", "alert_price": 134.56, "score": "", "dir_prob": "91.7", "net_sigma": "", "grade": "", "align": "", "premium": "", "wrong_if": "", "context": "", "subject": "Alert: Rev - Screener v1 (SPY, 12): Any alert() function call", "body": "{\"ticker\":\"J\", \"setup\":\"Bullish Squeeze Release\", \"side\":\"LONG\", \"price\":134.56, \"stage\":2, \"buy\":72.6, \"sell\":13.9, \"prime\":1, \"revL\":0, \"revS\":5.5, \"vcp\":2, \"dir_prob\":91.7, \"time\":1784899800000}", "ticker": "J", "setup": "Bullish Squeeze Release", "side": "LONG", "price": 134.56, "stage": 2, "buy": 72.6, "sell": 13.9, "prime": 1, "revL": 0, "revS": 5.5, "vcp": 2, "time": 1784899800000, "email_id": "2341", "timestamp": "2026-07-24 16:01:29"}</t>
  </si>
  <si>
    <t>Buy: 97.1 | Sell: 17</t>
  </si>
  <si>
    <t>{"symbol": "MRSH", "strategy": "Daily", "action": "LONG", "alert_price": 180.73, "score": "", "dir_prob": "99.2", "net_sigma": "", "grade": "", "align": "", "premium": "", "wrong_if": "", "context": "", "subject": "Alert: Rev - Screener v1 (SPY, 12): Any alert() function call", "body": "{\"ticker\":\"MRSH\", \"setup\":\"A+ Trend Long\", \"side\":\"LONG\", \"price\":180.73, \"stage\":2, \"buy\":97.1, \"sell\":17, \"prime\":2, \"revL\":0, \"revS\":0, \"vcp\":0, \"dir_prob\":99.2, \"time\":1784899800000}", "ticker": "MRSH", "setup": "A+ Trend Long", "side": "LONG", "price": 180.73, "stage": 2, "buy": 97.1, "sell": 17, "prime": 2, "revL": 0, "revS": 0, "vcp": 0, "time": 1784899800000, "email_id": "2342", "timestamp": "2026-07-24 16:01:32"}</t>
  </si>
  <si>
    <t>Buy: 88.9 | Sell: 18.5</t>
  </si>
  <si>
    <t>{"symbol": "MAS", "strategy": "Daily", "action": "LONG", "alert_price": 79.3, "score": "", "dir_prob": "87.6", "net_sigma": "", "grade": "", "align": "", "premium": "", "wrong_if": "", "context": "", "subject": "Alert: Rev - Screener v1 (SPY, 12): Any alert() function call", "body": "{\"ticker\":\"MAS\", \"setup\":\"A+ Trend Long\", \"side\":\"LONG\", \"price\":79.30, \"stage\":2, \"buy\":88.9, \"sell\":18.5, \"prime\":2, \"revL\":0, \"revS\":0, \"vcp\":0, \"dir_prob\":87.6, \"time\":1784899800000}", "ticker": "MAS", "setup": "A+ Trend Long", "side": "LONG", "price": 79.3, "stage": 2, "buy": 88.9, "sell": 18.5, "prime": 2, "revL": 0, "revS": 0, "vcp": 0, "time": 1784899800000, "email_id": "2343", "timestamp": "2026-07-24 16:01:30"}</t>
  </si>
  <si>
    <t>Buy: 94.9 | Sell: 7.6</t>
  </si>
  <si>
    <t>{"symbol": "INCY", "strategy": "Daily", "action": "LONG", "alert_price": 117.72, "score": "", "dir_prob": "93.9", "net_sigma": "", "grade": "", "align": "", "premium": "", "wrong_if": "", "context": "", "subject": "Alert: Rev - Screener v1 (SPY, 12): Any alert() function call", "body": "{\"ticker\":\"INCY\", \"setup\":\"A+ Trend Long\", \"side\":\"LONG\", \"price\":117.72, \"stage\":2, \"buy\":94.9, \"sell\":7.6, \"prime\":2, \"revL\":0, \"revS\":0, \"vcp\":1, \"dir_prob\":93.9, \"time\":1784899800000}", "ticker": "INCY", "setup": "A+ Trend Long", "side": "LONG", "price": 117.72, "stage": 2, "buy": 94.9, "sell": 7.6, "prime": 2, "revL": 0, "revS": 0, "vcp": 1, "time": 1784899800000, "email_id": "2344", "timestamp": "2026-07-24 16:01:32"}</t>
  </si>
  <si>
    <t>Buy: 97.4 | Sell: 15.6</t>
  </si>
  <si>
    <t>{"symbol": "SPGI", "strategy": "Daily", "action": "LONG", "alert_price": 426.42, "score": "", "dir_prob": "94.5", "net_sigma": "", "grade": "", "align": "", "premium": "", "wrong_if": "", "context": "", "subject": "Alert: Rev - Screener v1 (SPY, 12): Any alert() function call", "body": "{\"ticker\":\"SPGI\", \"setup\":\"A+ Trend Long\", \"side\":\"LONG\", \"price\":426.42, \"stage\":2, \"buy\":97.4, \"sell\":15.6, \"prime\":2, \"revL\":0, \"revS\":0, \"vcp\":0, \"dir_prob\":94.5, \"time\":1784899800000}", "ticker": "SPGI", "setup": "A+ Trend Long", "side": "LONG", "price": 426.42, "stage": 2, "buy": 97.4, "sell": 15.6, "prime": 2, "revL": 0, "revS": 0, "vcp": 0, "time": 1784899800000, "email_id": "2345", "timestamp": "2026-07-24 16:01:36"}</t>
  </si>
  <si>
    <t>Buy: 95.5 | Sell: 27.2</t>
  </si>
  <si>
    <t>**WAIT** (Setup Not Triggered — Action Long Code 8 = WATCH)</t>
  </si>
  <si>
    <t>{"symbol": "CRL", "strategy": "Daily", "action": "LONG", "alert_price": 226.7, "score": "", "dir_prob": "90.4", "net_sigma": "", "grade": "", "align": "", "premium": "", "wrong_if": "", "context": "", "subject": "Alert: Rev - Screener v1 (SPY, 12): Any alert() function call", "body": "{\"ticker\":\"CRL\", \"setup\":\"A+ Trend Long\", \"side\":\"LONG\", \"price\":226.70, \"stage\":2, \"buy\":95.5, \"sell\":27.2, \"prime\":2, \"revL\":0, \"revS\":0, \"vcp\":1, \"dir_prob\":90.4, \"time\":1784899800000}", "ticker": "CRL", "setup": "A+ Trend Long", "side": "LONG", "price": 226.7, "stage": 2, "buy": 95.5, "sell": 27.2, "prime": 2, "revL": 0, "revS": 0, "vcp": 1, "time": 1784899800000, "email_id": "2346", "timestamp": "2026-07-24 16:01:33"}</t>
  </si>
  <si>
    <t>TREND_LONG fires with buy=96.83 &gt;&gt; 65, dir_prob=95.44 &gt;&gt; 50, and stage=2 (up-trend). News is NEUTRAL (HCA earnings beat is irrelevant to CRL). PASS triage despite 'chased' flag (price above zone) and 'squeeze' regime (coiling/pre-breakout),</t>
  </si>
  <si>
    <t>{"symbol": "FITB", "strategy": "Daily", "action": "LONG", "alert_price": 57.41, "score": "", "dir_prob": "91.4", "net_sigma": "", "grade": "", "align": "", "premium": "", "wrong_if": "", "context": "", "subject": "Alert: Rev - Screener v1 (SPY, 12): Any alert() function call", "body": "{\"ticker\":\"FITB\", \"setup\":\"A+ Trend Long\", \"side\":\"LONG\", \"price\":57.41, \"stage\":2, \"buy\":95.4, \"sell\":8.2, \"prime\":2, \"revL\":0, \"revS\":0, \"vcp\":1, \"dir_prob\":91.4, \"time\":1784899800000}", "ticker": "FITB", "setup": "A+ Trend Long", "side": "LONG", "price": 57.41, "stage": 2, "buy": 95.4, "sell": 8.2, "prime": 2, "revL": 0, "revS": 0, "vcp": 1, "time": 1784899800000, "email_id": "2347", "timestamp": "2026-07-24 16:01:34"}</t>
  </si>
  <si>
    <t>Buy: 94.4 | Sell: 32.6</t>
  </si>
  <si>
    <t>{"symbol": "BAX", "strategy": "Daily", "action": "LONG", "alert_price": 22.4, "score": "", "dir_prob": "90.6", "net_sigma": "", "grade": "", "align": "", "premium": "", "wrong_if": "", "context": "", "subject": "Alert: Rev - Screener v1 (SPY, 12): Any alert() function call", "body": "{\"ticker\":\"BAX\", \"setup\":\"A+ Trend Long\", \"side\":\"LONG\", \"price\":22.40, \"stage\":2, \"buy\":94.4, \"sell\":32.6, \"prime\":2, \"revL\":0, \"revS\":0, \"vcp\":1, \"dir_prob\":90.6, \"time\":1784899800000}", "ticker": "BAX", "setup": "A+ Trend Long", "side": "LONG", "price": 22.4, "stage": 2, "buy": 94.4, "sell": 32.6, "prime": 2, "revL": 0, "revS": 0, "vcp": 1, "time": 1784899800000, "email_id": "2348", "timestamp": "2026-07-24 16:01:34"}</t>
  </si>
  <si>
    <t>Buy: 93.5 | Sell: 6.9</t>
  </si>
  <si>
    <t>{"symbol": "STT", "strategy": "Daily", "action": "LONG", "alert_price": 185.42, "score": "", "dir_prob": "92.4", "net_sigma": "", "grade": "", "align": "", "premium": "", "wrong_if": "", "context": "", "subject": "Alert: Rev - Screener v1 (SPY, 12): Any alert() function call", "body": "{\"ticker\":\"STT\", \"setup\":\"A+ Trend Long\", \"side\":\"LONG\", \"price\":185.42, \"stage\":2, \"buy\":93.5, \"sell\":6.9, \"prime\":2, \"revL\":0, \"revS\":0, \"vcp\":0, \"dir_prob\":92.4, \"time\":1784899800000}", "ticker": "STT", "setup": "A+ Trend Long", "side": "LONG", "price": 185.42, "stage": 2, "buy": 93.5, "sell": 6.9, "prime": 2, "revL": 0, "revS": 0, "vcp": 0, "time": 1784899800000, "email_id": "2349", "timestamp": "2026-07-24 16:01:32"}</t>
  </si>
  <si>
    <t>Buy: 95.7 | Sell: 14.1</t>
  </si>
  <si>
    <t>{"symbol": "CB", "strategy": "Daily", "action": "LONG", "alert_price": 359.74, "score": "", "dir_prob": "93.2", "net_sigma": "", "grade": "", "align": "", "premium": "", "wrong_if": "", "context": "", "subject": "Alert: Rev - Screener v1 (SPY, 12): Any alert() function call", "body": "{\"ticker\":\"CB\", \"setup\":\"A+ Trend Long\", \"side\":\"LONG\", \"price\":359.74, \"stage\":2, \"buy\":95.7, \"sell\":14.1, \"prime\":2, \"revL\":0, \"revS\":0, \"vcp\":0, \"dir_prob\":93.2, \"time\":1784899800000}", "ticker": "CB", "setup": "A+ Trend Long", "side": "LONG", "price": 359.74, "stage": 2, "buy": 95.7, "sell": 14.1, "prime": 2, "revL": 0, "revS": 0, "vcp": 0, "time": 1784899800000, "email_id": "2350", "timestamp": "2026-07-24 16:01:32"}</t>
  </si>
  <si>
    <t>TREND_LONG fires with buy=67.92 &gt;= 65, dir_prob=91.03, and stage=2. However, news CONTRADICTS the long bias: headlines show a price target cut to $356 and a sales miss, despite EPS beats. The 'chased' flag and low R:R (0.30) from current to</t>
  </si>
  <si>
    <t>Buy: 91 | Sell: 44.9</t>
  </si>
  <si>
    <t>WAIT (do NOT chase; wait for pullback to $466–470 zone OR post-earnings reset)</t>
  </si>
  <si>
    <t>{"symbol": "V", "strategy": "Daily", "action": "LONG", "alert_price": 355.6, "score": "", "dir_prob": "96.1", "net_sigma": "", "grade": "", "align": "", "premium": "", "wrong_if": "", "context": "", "subject": "Alert: Rev - Screener v1 (SPY, 12): Any alert() function call", "body": "{\"ticker\":\"V\", \"setup\":\"A+ Trend Long\", \"side\":\"LONG\", \"price\":355.60, \"stage\":2, \"buy\":96.6, \"sell\":19.7, \"prime\":2, \"revL\":0, \"revS\":0, \"vcp\":0, \"dir_prob\":96.1, \"time\":1784899800000}", "ticker": "V", "setup": "A+ Trend Long", "side": "LONG", "price": 355.6, "stage": 2, "buy": 96.6, "sell": 19.7, "prime": 2, "revL": 0, "revS": 0, "vcp": 0, "time": 1784899800000, "email_id": "2351", "timestamp": "2026-07-24 16:01:34"}</t>
  </si>
  <si>
    <t>Buy: 96.1 | Sell: 24.9</t>
  </si>
  <si>
    <t>{"symbol": "COO", "strategy": "Daily", "action": "LONG", "alert_price": 70.28, "score": "", "dir_prob": "92", "net_sigma": "", "grade": "", "align": "", "premium": "", "wrong_if": "", "context": "", "subject": "Alert: Rev - Screener v1 (SPY, 12): Any alert() function call", "body": "{\"ticker\":\"COO\", \"setup\":\"A+ Trend Long\", \"side\":\"LONG\", \"price\":70.28, \"stage\":2, \"buy\":96.1, \"sell\":24.9, \"prime\":2, \"revL\":0, \"revS\":0, \"vcp\":1, \"dir_prob\":92, \"time\":1784899800000}", "ticker": "COO", "setup": "A+ Trend Long", "side": "LONG", "price": 70.28, "stage": 2, "buy": 96.1, "sell": 24.9, "prime": 2, "revL": 0, "revS": 0, "vcp": 1, "time": 1784899800000, "email_id": "2352", "timestamp": "2026-07-24 16:01:34"}</t>
  </si>
  <si>
    <t>{"symbol": "VRTX", "strategy": "Daily", "action": "LONG", "alert_price": 478.95, "score": "", "dir_prob": "78.6", "net_sigma": "", "grade": "", "align": "", "premium": "", "wrong_if": "", "context": "", "subject": "Alert: Rev - Screener v1 (SPY, 12): Any alert() function call", "body": "{\"ticker\":\"VRTX\", \"setup\":\"A+ Trend Long\", \"side\":\"LONG\", \"price\":478.95, \"stage\":2, \"buy\":91, \"sell\":44.9, \"prime\":2, \"revL\":0, \"revS\":0, \"vcp\":0, \"dir_prob\":78.6, \"time\":1785159000000}", "ticker": "VRTX", "setup": "A+ Trend Long", "side": "LONG", "price": 478.95, "stage": 2, "buy": 91, "sell": 44.9, "prime": 2, "revL": 0, "revS": 0, "vcp": 0, "time": 1785159000000, "email_id": "2390", "timestamp": "2026-07-27 16:01:04"}</t>
  </si>
  <si>
    <t>TREND_LONG fires with buy=97.06 &gt;&gt; 65, dir_prob=95.44, and stage=2. News is NEUTRAL (earnings preview only). Triage capped to WATCH due to 'chased' flag (price above zone with RR&lt;1.0) and upcoming earnings in 7 days.</t>
  </si>
  <si>
    <t>Buy: 87.2 | Sell: 21.1</t>
  </si>
  <si>
    <t>Buy: 94.5 | Sell: 9.9</t>
  </si>
  <si>
    <t>{"symbol": "KIM", "strategy": "Daily", "action": "LONG", "alert_price": 26.11, "score": "", "dir_prob": "91.2", "net_sigma": "", "grade": "", "align": "", "premium": "", "wrong_if": "", "context": "", "subject": "Alert: Rev - Screener v1 (SPY, 12): Any alert() function call", "body": "{\"ticker\":\"KIM\", \"setup\":\"A+ Trend Long\", \"side\":\"LONG\", \"price\":26.11, \"stage\":2, \"buy\":87.2, \"sell\":21.1, \"prime\":2, \"revL\":0, \"revS\":0, \"vcp\":0, \"dir_prob\":91.2, \"time\":1784899800000}", "ticker": "KIM", "setup": "A+ Trend Long", "side": "LONG", "price": 26.11, "stage": 2, "buy": 87.2, "sell": 21.1, "prime": 2, "revL": 0, "revS": 0, "vcp": 0, "time": 1784899800000, "email_id": "2353", "timestamp": "2026-07-24 16:01:36"}</t>
  </si>
  <si>
    <t>{"symbol": "EIX", "strategy": "Daily", "action": "LONG", "alert_price": 78.63, "score": "", "dir_prob": "88.2", "net_sigma": "", "grade": "", "align": "", "premium": "", "wrong_if": "", "context": "", "subject": "Alert: Rev - Screener v1 (SPY, 12): Any alert() function call", "body": "{\"ticker\":\"EIX\", \"setup\":\"A+ Trend Long\", \"side\":\"LONG\", \"price\":78.63, \"stage\":2, \"buy\":94.5, \"sell\":9.9, \"prime\":2, \"revL\":0, \"revS\":0, \"vcp\":0, \"dir_prob\":88.2, \"time\":1785159000000}", "ticker": "EIX", "setup": "A+ Trend Long", "side": "LONG", "price": 78.63, "stage": 2, "buy": 94.5, "sell": 9.9, "prime": 2, "revL": 0, "revS": 0, "vcp": 0, "time": 1785159000000, "email_id": "2388", "timestamp": "2026-07-27 16:01:01"}</t>
  </si>
  <si>
    <t>Buy: 97.3 | Sell: 8.8</t>
  </si>
  <si>
    <t>TREND_LONG fires with buy=98.03 &gt;&gt; 65, dir_prob=90.73, and stage=2. News is NEUTRAL (earnings headlines only, no specific result). Triage capped to WATCH due to earnings_gate=CAUTION (3 days out) and rr_from_current=0.625 (poor R:R from a '</t>
  </si>
  <si>
    <t>Buy: 92.3 | Sell: 16.9</t>
  </si>
  <si>
    <t>{"symbol": "HIG", "strategy": "Daily", "action": "LONG", "alert_price": 140.49, "score": "", "dir_prob": "93.5", "net_sigma": "", "grade": "", "align": "", "premium": "", "wrong_if": "", "context": "", "subject": "Alert: Rev - Screener v1 (SPY, 12): Any alert() function call", "body": "{\"ticker\":\"HIG\", \"setup\":\"A+ Trend Long\", \"side\":\"LONG\", \"price\":140.49, \"stage\":2, \"buy\":97.3, \"sell\":8.8, \"prime\":2, \"revL\":0, \"revS\":0, \"vcp\":0, \"dir_prob\":93.5, \"time\":1784899800000}", "ticker": "HIG", "setup": "A+ Trend Long", "side": "LONG", "price": 140.49, "stage": 2, "buy": 97.3, "sell": 8.8, "prime": 2, "revL": 0, "revS": 0, "vcp": 0, "time": 1784899800000, "email_id": "2354", "timestamp": "2026-07-24 16:01:39"}</t>
  </si>
  <si>
    <t>Buy: 96.6 | Sell: 19.9</t>
  </si>
  <si>
    <t>{"symbol": "REG", "strategy": "Daily", "action": "LONG", "alert_price": 82.33, "score": "", "dir_prob": "93.9", "net_sigma": "", "grade": "", "align": "", "premium": "", "wrong_if": "", "context": "", "subject": "Alert: Rev - Screener v1 (SPY, 12): Any alert() function call", "body": "{\"ticker\":\"REG\", \"setup\":\"A+ Trend Long\", \"side\":\"LONG\", \"price\":82.33, \"stage\":2, \"buy\":92.3, \"sell\":16.9, \"prime\":2, \"revL\":0, \"revS\":0, \"vcp\":0, \"dir_prob\":93.9, \"time\":1785159000000}", "ticker": "REG", "setup": "A+ Trend Long", "side": "LONG", "price": 82.33, "stage": 2, "buy": 92.3, "sell": 16.9, "prime": 2, "revL": 0, "revS": 0, "vcp": 0, "time": 1785159000000, "email_id": "2389", "timestamp": "2026-07-27 16:01:03"}</t>
  </si>
  <si>
    <t>Buy: 90.6 | Sell: 14.2</t>
  </si>
  <si>
    <t>{"symbol": "WFC", "strategy": "Daily", "action": "LONG", "alert_price": 86.38, "score": "", "dir_prob": "92.3", "net_sigma": "", "grade": "", "align": "", "premium": "", "wrong_if": "", "context": "", "subject": "Alert: Rev - Screener v1 (SPY, 12): Any alert() function call", "body": "{\"ticker\":\"WFC\", \"setup\":\"A+ Trend Long\", \"side\":\"LONG\", \"price\":86.38, \"stage\":2, \"buy\":96.6, \"sell\":19.9, \"prime\":2, \"revL\":0, \"revS\":0, \"vcp\":1, \"dir_prob\":92.3, \"time\":1784899800000}", "ticker": "WFC", "setup": "A+ Trend Long", "side": "LONG", "price": 86.38, "stage": 2, "buy": 96.6, "sell": 19.9, "prime": 2, "revL": 0, "revS": 0, "vcp": 1, "time": 1784899800000, "email_id": "2355", "timestamp": "2026-07-24 16:01:38"}</t>
  </si>
  <si>
    <t>Buy: 92.1 | Sell: 12.7</t>
  </si>
  <si>
    <t>{"symbol": "DOC", "strategy": "Daily", "action": "LONG", "alert_price": 22.51, "score": "", "dir_prob": "92.3", "net_sigma": "", "grade": "", "align": "", "premium": "", "wrong_if": "", "context": "", "subject": "Alert: Rev - Screener v1 (SPY, 12): Any alert() function call", "body": "{\"ticker\":\"DOC\", \"setup\":\"Bullish Squeeze Release\", \"side\":\"LONG\", \"price\":22.51, \"stage\":2, \"buy\":90.6, \"sell\":14.2, \"prime\":2, \"revL\":0, \"revS\":0, \"vcp\":2, \"dir_prob\":92.3, \"time\":1785159000000}", "ticker": "DOC", "setup": "Bullish Squeeze Release", "side": "LONG", "price": 22.51, "stage": 2, "buy": 90.6, "sell": 14.2, "prime": 2, "revL": 0, "revS": 0, "vcp": 2, "time": 1785159000000, "email_id": "2391", "timestamp": "2026-07-27 16:01:05"}</t>
  </si>
  <si>
    <t>Buy: 94 | Sell: 36.8</t>
  </si>
  <si>
    <t>{"symbol": "DOC", "strategy": "Daily", "action": "LONG", "alert_price": 22.27, "score": "", "dir_prob": "92.9", "net_sigma": "", "grade": "", "align": "", "premium": "", "wrong_if": "", "context": "", "subject": "Alert: Rev - Screener v1 (SPY, 12): Any alert() function call", "body": "{\"ticker\":\"DOC\", \"setup\":\"A+ Trend Long\", \"side\":\"LONG\", \"price\":22.27, \"stage\":2, \"buy\":92.1, \"sell\":12.7, \"prime\":2, \"revL\":0, \"revS\":0, \"vcp\":1, \"dir_prob\":92.9, \"time\":1784899800000}", "ticker": "DOC", "setup": "A+ Trend Long", "side": "LONG", "price": 22.27, "stage": 2, "buy": 92.1, "sell": 12.7, "prime": 2, "revL": 0, "revS": 0, "vcp": 1, "time": 1784899800000, "email_id": "2356", "timestamp": "2026-07-24 16:01:37"}</t>
  </si>
  <si>
    <t>{"symbol": "DHR", "strategy": "Daily", "action": "LONG", "alert_price": 196.56, "score": "", "dir_prob": "83.4", "net_sigma": "", "grade": "", "align": "", "premium": "", "wrong_if": "", "context": "", "subject": "Alert: Rev - Screener v1 (SPY, 12): Any alert() function call", "body": "{\"ticker\":\"DHR\", \"setup\":\"A+ Trend Long\", \"side\":\"LONG\", \"price\":196.56, \"stage\":2, \"buy\":94, \"sell\":36.8, \"prime\":2, \"revL\":0, \"revS\":0, \"vcp\":0, \"dir_prob\":83.4, \"time\":1785159000000}", "ticker": "DHR", "setup": "A+ Trend Long", "side": "LONG", "price": 196.56, "stage": 2, "buy": 94, "sell": 36.8, "prime": 2, "revL": 0, "revS": 0, "vcp": 0, "time": 1785159000000, "email_id": "2392", "timestamp": "2026-07-27 16:01:05"}</t>
  </si>
  <si>
    <t>Buy: 94.4 | Sell: 33.8</t>
  </si>
  <si>
    <t>Buy: 95.8 | Sell: 26.9</t>
  </si>
  <si>
    <t>{"symbol": "AMCR", "strategy": "Daily", "action": "LONG", "alert_price": 44.54, "score": "", "dir_prob": "87.5", "net_sigma": "", "grade": "", "align": "", "premium": "", "wrong_if": "", "context": "", "subject": "Alert: Rev - Screener v1 (SPY, 12): Any alert() function call", "body": "{\"ticker\":\"AMCR\", \"setup\":\"A+ Trend Long\", \"side\":\"LONG\", \"price\":44.54, \"stage\":2, \"buy\":94.4, \"sell\":33.8, \"prime\":2, \"revL\":0, \"revS\":0, \"vcp\":1, \"dir_prob\":87.5, \"time\":1784899800000}", "ticker": "AMCR", "setup": "A+ Trend Long", "side": "LONG", "price": 44.54, "stage": 2, "buy": 94.4, "sell": 33.8, "prime": 2, "revL": 0, "revS": 0, "vcp": 1, "time": 1784899800000, "email_id": "2357", "timestamp": "2026-07-24 16:01:39"}</t>
  </si>
  <si>
    <t>{"symbol": "COO", "strategy": "Daily", "action": "LONG", "alert_price": 70.3, "score": "", "dir_prob": "91.3", "net_sigma": "", "grade": "", "align": "", "premium": "", "wrong_if": "", "context": "", "subject": "Alert: Rev - Screener v1 (SPY, 12): Any alert() function call", "body": "{\"ticker\":\"COO\", \"setup\":\"A+ Trend Long\", \"side\":\"LONG\", \"price\":70.30, \"stage\":2, \"buy\":95.8, \"sell\":26.9, \"prime\":2, \"revL\":0, \"revS\":0, \"vcp\":1, \"dir_prob\":91.3, \"time\":1785159000000}", "ticker": "COO", "setup": "A+ Trend Long", "side": "LONG", "price": 70.3, "stage": 2, "buy": 95.8, "sell": 26.9, "prime": 2, "revL": 0, "revS": 0, "vcp": 1, "time": 1785159000000, "email_id": "2393", "timestamp": "2026-07-27 16:01:12"}</t>
  </si>
  <si>
    <t>Buy: 97.6 | Sell: 3.6</t>
  </si>
  <si>
    <t>Buy: 96.8 | Sell: 18.1</t>
  </si>
  <si>
    <t>{"symbol": "WM", "strategy": "Daily", "action": "LONG", "alert_price": 237.9, "score": "", "dir_prob": "94.6", "net_sigma": "", "grade": "", "align": "", "premium": "", "wrong_if": "", "context": "", "subject": "Alert: Rev - Screener v1 (SPY, 12): Any alert() function call", "body": "{\"ticker\":\"WM\", \"setup\":\"A+ Trend Long\", \"side\":\"LONG\", \"price\":237.90, \"stage\":2, \"buy\":96.8, \"sell\":18.1, \"prime\":2, \"revL\":0, \"revS\":0, \"vcp\":0, \"dir_prob\":94.6, \"time\":1785159000000}", "ticker": "WM", "setup": "A+ Trend Long", "side": "LONG", "price": 237.9, "stage": 2, "buy": 96.8, "sell": 18.1, "prime": 2, "revL": 0, "revS": 0, "vcp": 0, "time": 1785159000000, "email_id": "2394", "timestamp": "2026-07-27 16:01:06"}</t>
  </si>
  <si>
    <t>Buy: 93.5 | Sell: 12.4</t>
  </si>
  <si>
    <t>{"symbol": "JKHY", "strategy": "Daily", "action": "LONG", "alert_price": 150.59, "score": "", "dir_prob": "98.6", "net_sigma": "", "grade": "", "align": "", "premium": "", "wrong_if": "", "context": "", "subject": "Alert: Rev - Screener v1 (SPY, 12): Any alert() function call", "body": "{\"ticker\":\"JKHY\", \"setup\":\"A+ Trend Long\", \"side\":\"LONG\", \"price\":150.59, \"stage\":2, \"buy\":97.6, \"sell\":3.6, \"prime\":2, \"revL\":0, \"revS\":0, \"vcp\":0, \"dir_prob\":98.6, \"time\":1784899800000}", "ticker": "JKHY", "setup": "A+ Trend Long", "side": "LONG", "price": 150.59, "stage": 2, "buy": 97.6, "sell": 3.6, "prime": 2, "revL": 0, "revS": 0, "vcp": 0, "time": 1784899800000, "email_id": "2358", "timestamp": "2026-07-24 16:01:41"}</t>
  </si>
  <si>
    <t>Buy: 95.3 | Sell: 18.3</t>
  </si>
  <si>
    <t>{"symbol": "RVTY", "strategy": "Daily", "action": "LONG", "alert_price": 108.03, "score": "", "dir_prob": "92.5", "net_sigma": "", "grade": "", "align": "", "premium": "", "wrong_if": "", "context": "", "subject": "Alert: Rev - Screener v1 (SPY, 12): Any alert() function call", "body": "{\"ticker\":\"RVTY\", \"setup\":\"A+ Trend Long\", \"side\":\"LONG\", \"price\":108.03, \"stage\":2, \"buy\":93.5, \"sell\":12.4, \"prime\":2, \"revL\":0, \"revS\":0, \"vcp\":1, \"dir_prob\":92.5, \"time\":1785159000000}", "ticker": "RVTY", "setup": "A+ Trend Long", "side": "LONG", "price": 108.03, "stage": 2, "buy": 93.5, "sell": 12.4, "prime": 2, "revL": 0, "revS": 0, "vcp": 1, "time": 1785159000000, "email_id": "2395", "timestamp": "2026-07-27 16:01:06"}</t>
  </si>
  <si>
    <t>Buy: 97.6 | Sell: 8.5</t>
  </si>
  <si>
    <t>{"symbol": "KHC", "strategy": "Daily", "action": "LONG", "alert_price": 25.69, "score": "", "dir_prob": "93.4", "net_sigma": "", "grade": "", "align": "", "premium": "", "wrong_if": "", "context": "", "subject": "Alert: Rev - Screener v1 (SPY, 12): Any alert() function call", "body": "{\"ticker\":\"KHC\", \"setup\":\"A+ Trend Long\", \"side\":\"LONG\", \"price\":25.69, \"stage\":2, \"buy\":95.3, \"sell\":18.3, \"prime\":2, \"revL\":0, \"revS\":0, \"vcp\":0, \"dir_prob\":93.4, \"time\":1784899800000}", "ticker": "KHC", "setup": "A+ Trend Long", "side": "LONG", "price": 25.69, "stage": 2, "buy": 95.3, "sell": 18.3, "prime": 2, "revL": 0, "revS": 0, "vcp": 0, "time": 1784899800000, "email_id": "2359", "timestamp": "2026-07-24 16:01:41"}</t>
  </si>
  <si>
    <t>Buy: 89.3 | Sell: 13.7</t>
  </si>
  <si>
    <t>{"symbol": "HIG", "strategy": "Daily", "action": "LONG", "alert_price": 140.01, "score": "", "dir_prob": "93.5", "net_sigma": "", "grade": "", "align": "", "premium": "", "wrong_if": "", "context": "", "subject": "Alert: Rev - Screener v1 (SPY, 12): Any alert() function call", "body": "{\"ticker\":\"HIG\", \"setup\":\"A+ Trend Long\", \"side\":\"LONG\", \"price\":140.01, \"stage\":2, \"buy\":97.6, \"sell\":8.5, \"prime\":2, \"revL\":0, \"revS\":0, \"vcp\":0, \"dir_prob\":93.5, \"time\":1785159000000}", "ticker": "HIG", "setup": "A+ Trend Long", "side": "LONG", "price": 140.01, "stage": 2, "buy": 97.6, "sell": 8.5, "prime": 2, "revL": 0, "revS": 0, "vcp": 0, "time": 1785159000000, "email_id": "2396", "timestamp": "2026-07-27 16:01:07"}</t>
  </si>
  <si>
    <t>Buy: 92.6 | Sell: 13</t>
  </si>
  <si>
    <t>{"symbol": "AXON", "strategy": "Daily", "action": "LONG", "alert_price": 502.43, "score": "", "dir_prob": "96.6", "net_sigma": "", "grade": "", "align": "", "premium": "", "wrong_if": "", "context": "", "subject": "Alert: Rev - Screener v1 (SPY, 12): Any alert() function call", "body": "{\"ticker\":\"AXON\", \"setup\":\"A+ Trend Long\", \"side\":\"LONG\", \"price\":502.43, \"stage\":2, \"buy\":89.3, \"sell\":13.7, \"prime\":2, \"revL\":0, \"revS\":0, \"vcp\":0, \"dir_prob\":96.6, \"time\":1784899800000}", "ticker": "AXON", "setup": "A+ Trend Long", "side": "LONG", "price": 502.43, "stage": 2, "buy": 89.3, "sell": 13.7, "prime": 2, "revL": 0, "revS": 0, "vcp": 0, "time": 1784899800000, "email_id": "2360", "timestamp": "2026-07-24 16:01:43"}</t>
  </si>
  <si>
    <t>Buy: 93.9 | Sell: 10.5</t>
  </si>
  <si>
    <t>{"symbol": "AWK", "strategy": "Daily", "action": "LONG", "alert_price": 134.59, "score": "", "dir_prob": "96.4", "net_sigma": "", "grade": "", "align": "", "premium": "", "wrong_if": "", "context": "", "subject": "Alert: Rev - Screener v1 (SPY, 12): Any alert() function call", "body": "{\"ticker\":\"AWK\", \"setup\":\"A+ Trend Long\", \"side\":\"LONG\", \"price\":134.59, \"stage\":2, \"buy\":92.6, \"sell\":13, \"prime\":2, \"revL\":0, \"revS\":0, \"vcp\":1, \"dir_prob\":96.4, \"time\":1785159000000}", "ticker": "AWK", "setup": "A+ Trend Long", "side": "LONG", "price": 134.59, "stage": 2, "buy": 92.6, "sell": 13, "prime": 2, "revL": 0, "revS": 0, "vcp": 1, "time": 1785159000000, "email_id": "2399", "timestamp": "2026-07-27 16:01:08"}</t>
  </si>
  <si>
    <t>Buy: 93.2 | Sell: 6.6</t>
  </si>
  <si>
    <t>{"symbol": "TROW", "strategy": "Daily", "action": "LONG", "alert_price": 116.52, "score": "", "dir_prob": "93.2", "net_sigma": "", "grade": "", "align": "", "premium": "", "wrong_if": "", "context": "", "subject": "Alert: Rev - Screener v1 (SPY, 12): Any alert() function call", "body": "{\"ticker\":\"TROW\", \"setup\":\"A+ Trend Long\", \"side\":\"LONG\", \"price\":116.52, \"stage\":2, \"buy\":93.9, \"sell\":10.5, \"prime\":2, \"revL\":0, \"revS\":0, \"vcp\":0, \"dir_prob\":93.2, \"time\":1784899800000}", "ticker": "TROW", "setup": "A+ Trend Long", "side": "LONG", "price": 116.52, "stage": 2, "buy": 93.9, "sell": 10.5, "prime": 2, "revL": 0, "revS": 0, "vcp": 0, "time": 1784899800000, "email_id": "2361", "timestamp": "2026-07-24 16:01:43"}</t>
  </si>
  <si>
    <t>Buy: 95.5 | Sell: 8.1</t>
  </si>
  <si>
    <t>{"symbol": "STT", "strategy": "Daily", "action": "LONG", "alert_price": 184.59, "score": "", "dir_prob": "92.3", "net_sigma": "", "grade": "", "align": "", "premium": "", "wrong_if": "", "context": "", "subject": "Alert: Rev - Screener v1 (SPY, 12): Any alert() function call", "body": "{\"ticker\":\"STT\", \"setup\":\"A+ Trend Long\", \"side\":\"LONG\", \"price\":184.59, \"stage\":2, \"buy\":93.2, \"sell\":6.6, \"prime\":2, \"revL\":0, \"revS\":0, \"vcp\":0, \"dir_prob\":92.3, \"time\":1785159000000}", "ticker": "STT", "setup": "A+ Trend Long", "side": "LONG", "price": 184.59, "stage": 2, "buy": 93.2, "sell": 6.6, "prime": 2, "revL": 0, "revS": 0, "vcp": 0, "time": 1785159000000, "email_id": "2397", "timestamp": "2026-07-27 16:01:07"}</t>
  </si>
  <si>
    <t>Buy: 89.5 | Sell: 49</t>
  </si>
  <si>
    <t>{"symbol": "HSIC", "strategy": "Daily", "action": "LONG", "alert_price": 85.47, "score": "", "dir_prob": "94.1", "net_sigma": "", "grade": "", "align": "", "premium": "", "wrong_if": "", "context": "", "subject": "Alert: Rev - Screener v1 (SPY, 12): Any alert() function call", "body": "{\"ticker\":\"HSIC\", \"setup\":\"A+ Trend Long\", \"side\":\"LONG\", \"price\":85.47, \"stage\":2, \"buy\":95.5, \"sell\":8.1, \"prime\":2, \"revL\":0, \"revS\":0, \"vcp\":1, \"dir_prob\":94.1, \"time\":1784899800000}", "ticker": "HSIC", "setup": "A+ Trend Long", "side": "LONG", "price": 85.47, "stage": 2, "buy": 95.5, "sell": 8.1, "prime": 2, "revL": 0, "revS": 0, "vcp": 1, "time": 1784899800000, "email_id": "2362", "timestamp": "2026-07-24 16:01:38"}</t>
  </si>
  <si>
    <t>Buy: 92 | Sell: 43.6</t>
  </si>
  <si>
    <t>{"symbol": "KVUE", "strategy": "Daily", "action": "LONG", "alert_price": 19.46, "score": "", "dir_prob": "79.2", "net_sigma": "", "grade": "", "align": "", "premium": "", "wrong_if": "", "context": "", "subject": "Alert: Rev - Screener v1 (SPY, 12): Any alert() function call", "body": "{\"ticker\":\"KVUE\", \"setup\":\"A+ Trend Long\", \"side\":\"LONG\", \"price\":19.46, \"stage\":2, \"buy\":89.5, \"sell\":49, \"prime\":2, \"revL\":0, \"revS\":0, \"vcp\":-2, \"dir_prob\":79.2, \"time\":1785159000000}", "ticker": "KVUE", "setup": "A+ Trend Long", "side": "LONG", "price": 19.46, "stage": 2, "buy": 89.5, "sell": 49, "prime": 2, "revL": 0, "revS": 0, "vcp": -2, "time": 1785159000000, "email_id": "2400", "timestamp": "2026-07-27 16:01:07"}</t>
  </si>
  <si>
    <t>Buy: 90.2 | Sell: 14.5</t>
  </si>
  <si>
    <t>{"symbol": "AMGN", "strategy": "Daily", "action": "LONG", "alert_price": 376.11, "score": "", "dir_prob": "80.9", "net_sigma": "", "grade": "", "align": "", "premium": "", "wrong_if": "", "context": "", "subject": "Alert: Rev - Screener v1 (SPY, 12): Any alert() function call", "body": "{\"ticker\":\"AMGN\", \"setup\":\"A+ Trend Long\", \"side\":\"LONG\", \"price\":376.11, \"stage\":2, \"buy\":92, \"sell\":43.6, \"prime\":2, \"revL\":0, \"revS\":4.5, \"vcp\":1, \"dir_prob\":80.9, \"time\":1784899800000}", "ticker": "AMGN", "setup": "A+ Trend Long", "side": "LONG", "price": 376.11, "stage": 2, "buy": 92, "sell": 43.6, "prime": 2, "revL": 0, "revS": 4.5, "vcp": 1, "time": 1784899800000, "email_id": "2363", "timestamp": "2026-07-24 16:01:38"}</t>
  </si>
  <si>
    <t>Buy: 93.2 | Sell: 11.9</t>
  </si>
  <si>
    <t>{"symbol": "IR", "strategy": "Daily", "action": "LONG", "alert_price": 84.62, "score": "", "dir_prob": "94.4", "net_sigma": "", "grade": "", "align": "", "premium": "", "wrong_if": "", "context": "", "subject": "Alert: Rev - Screener v1 (SPY, 12): Any alert() function call", "body": "{\"ticker\":\"IR\", \"setup\":\"A+ Trend Long\", \"side\":\"LONG\", \"price\":84.62, \"stage\":2, \"buy\":90.2, \"sell\":14.5, \"prime\":2, \"revL\":0, \"revS\":0, \"vcp\":0, \"dir_prob\":94.4, \"time\":1785159000000}", "ticker": "IR", "setup": "A+ Trend Long", "side": "LONG", "price": 84.62, "stage": 2, "buy": 90.2, "sell": 14.5, "prime": 2, "revL": 0, "revS": 0, "vcp": 0, "time": 1785159000000, "email_id": "2401", "timestamp": "2026-07-27 16:01:10"}</t>
  </si>
  <si>
    <t>{"symbol": "JNJ", "strategy": "Daily", "action": "LONG", "alert_price": 263.41, "score": "", "dir_prob": "92.1", "net_sigma": "", "grade": "", "align": "", "premium": "", "wrong_if": "", "context": "", "subject": "Alert: Rev - Screener v1 (SPY, 12): Any alert() function call", "body": "{\"ticker\":\"JNJ\", \"setup\":\"A+ Trend Long\", \"side\":\"LONG\", \"price\":263.41, \"stage\":2, \"buy\":93.2, \"sell\":11.9, \"prime\":2, \"revL\":0, \"revS\":0, \"vcp\":0, \"dir_prob\":92.1, \"time\":1784899800000}", "ticker": "JNJ", "setup": "A+ Trend Long", "side": "LONG", "price": 263.41, "stage": 2, "buy": 93.2, "sell": 11.9, "prime": 2, "revL": 0, "revS": 0, "vcp": 0, "time": 1784899800000, "email_id": "2364", "timestamp": "2026-07-24 16:01:41"}</t>
  </si>
  <si>
    <t>Buy: 88.7 | Sell: 22.5</t>
  </si>
  <si>
    <t>Buy: 94.6 | Sell: 7.3</t>
  </si>
  <si>
    <t>{"symbol": "MRK", "strategy": "Daily", "action": "LONG", "alert_price": 130.76, "score": "", "dir_prob": "86", "net_sigma": "", "grade": "", "align": "", "premium": "", "wrong_if": "", "context": "", "subject": "Alert: Rev - Screener v1 (SPY, 12): Any alert() function call", "body": "{\"ticker\":\"MRK\", \"setup\":\"A+ Trend Long\", \"side\":\"LONG\", \"price\":130.76, \"stage\":2, \"buy\":88.7, \"sell\":22.5, \"prime\":2, \"revL\":0, \"revS\":0, \"vcp\":0, \"dir_prob\":86, \"time\":1785159000000}", "ticker": "MRK", "setup": "A+ Trend Long", "side": "LONG", "price": 130.76, "stage": 2, "buy": 88.7, "sell": 22.5, "prime": 2, "revL": 0, "revS": 0, "vcp": 0, "time": 1785159000000, "email_id": "2402", "timestamp": "2026-07-27 16:01:13"}</t>
  </si>
  <si>
    <t>TREND_LONG fires with buy=84.74 &gt; 65, dir_prob=92.7, and stage=2. News is NEUTRAL with no specific MRK catalyst. Triage capped to WATCH due to 'chased' flag (price above zone with poor R:R) and earnings in 8 days.</t>
  </si>
  <si>
    <t>{"symbol": "USB", "strategy": "Daily", "action": "LONG", "alert_price": 63.98, "score": "", "dir_prob": "91.9", "net_sigma": "", "grade": "", "align": "", "premium": "", "wrong_if": "", "context": "", "subject": "Alert: Rev - Screener v1 (SPY, 12): Any alert() function call", "body": "{\"ticker\":\"USB\", \"setup\":\"A+ Trend Long\", \"side\":\"LONG\", \"price\":63.98, \"stage\":2, \"buy\":94.6, \"sell\":7.3, \"prime\":2, \"revL\":0, \"revS\":0, \"vcp\":0, \"dir_prob\":91.9, \"time\":1784899800000}", "ticker": "USB", "setup": "A+ Trend Long", "side": "LONG", "price": 63.98, "stage": 2, "buy": 94.6, "sell": 7.3, "prime": 2, "revL": 0, "revS": 0, "vcp": 0, "time": 1784899800000, "email_id": "2365", "timestamp": "2026-07-24 16:01:35"}</t>
  </si>
  <si>
    <t>Buy: 95.4 | Sell: 28.5</t>
  </si>
  <si>
    <t>**WAIT (Set Alerts — DO NOT CHASE)**</t>
  </si>
  <si>
    <t>Buy: 96.8 | Sell: 18.3</t>
  </si>
  <si>
    <t>{"symbol": "WTW", "strategy": "Daily", "action": "LONG", "alert_price": 295.17, "score": "", "dir_prob": "95.6", "net_sigma": "", "grade": "", "align": "", "premium": "", "wrong_if": "", "context": "", "subject": "Alert: Rev - Screener v1 (SPY, 12): Any alert() function call", "body": "{\"ticker\":\"WTW\", \"setup\":\"A+ Trend Long\", \"side\":\"LONG\", \"price\":295.17, \"stage\":2, \"buy\":96.8, \"sell\":18.3, \"prime\":2, \"revL\":0, \"revS\":0, \"vcp\":0, \"dir_prob\":95.6, \"time\":1784899800000}", "ticker": "WTW", "setup": "A+ Trend Long", "side": "LONG", "price": 295.17, "stage": 2, "buy": 96.8, "sell": 18.3, "prime": 2, "revL": 0, "revS": 0, "vcp": 0, "time": 1784899800000, "email_id": "2366", "timestamp": "2026-07-24 16:01:47"}</t>
  </si>
  <si>
    <t>{"symbol": "CRL", "strategy": "Daily", "action": "LONG", "alert_price": 224.21, "score": "", "dir_prob": "89.9", "net_sigma": "", "grade": "", "align": "", "premium": "", "wrong_if": "", "context": "", "subject": "Alert: Rev - Screener v1 (SPY, 12): Any alert() function call", "body": "{\"ticker\":\"CRL\", \"setup\":\"A+ Trend Long\", \"side\":\"LONG\", \"price\":224.21, \"stage\":2, \"buy\":95.4, \"sell\":28.5, \"prime\":2, \"revL\":0, \"revS\":0, \"vcp\":1, \"dir_prob\":89.9, \"time\":1785159000000}", "ticker": "CRL", "setup": "A+ Trend Long", "side": "LONG", "price": 224.21, "stage": 2, "buy": 95.4, "sell": 28.5, "prime": 2, "revL": 0, "revS": 0, "vcp": 1, "time": 1785159000000, "email_id": "2398", "timestamp": "2026-07-27 16:01:03"}</t>
  </si>
  <si>
    <t>Buy: 98.5 | Sell: 35.6</t>
  </si>
  <si>
    <t>TREND_LONG fires with buy=97.22 &gt;&gt; 65, dir_prob=95.89, and stage=2. The squeeze regime (6) indicates coiling, not extension. However, the triage is capped to WATCH due to the 'chased' flag (price above zone) and an earnings gate of 'PASS' (</t>
  </si>
  <si>
    <t>BUY (Trend-Following Momentum — Post-Earnings Re-Entry)</t>
  </si>
  <si>
    <t>SO</t>
  </si>
  <si>
    <t>Buy: 87.6 | Sell: 48.2</t>
  </si>
  <si>
    <t>{"symbol": "HBAN", "strategy": "Daily", "action": "LONG", "alert_price": 17.36, "score": "", "dir_prob": "88.1", "net_sigma": "", "grade": "", "align": "", "premium": "", "wrong_if": "", "context": "", "subject": "Alert: Rev - Screener v1 (SPY, 12): Any alert() function call", "body": "{\"ticker\":\"HBAN\", \"setup\":\"A+ Trend Long\", \"side\":\"LONG\", \"price\":17.36, \"stage\":2, \"buy\":98.5, \"sell\":35.6, \"prime\":2, \"revL\":0, \"revS\":0, \"vcp\":1, \"dir_prob\":88.1, \"time\":1784899800000}", "ticker": "HBAN", "setup": "A+ Trend Long", "side": "LONG", "price": 17.36, "stage": 2, "buy": 98.5, "sell": 35.6, "prime": 2, "revL": 0, "revS": 0, "vcp": 1, "time": 1784899800000, "email_id": "2367", "timestamp": "2026-07-24 16:01:40"}</t>
  </si>
  <si>
    <t>TREND_LONG fires with buy=98.87 &gt;&gt; 65 and dir_prob=93.3, indicating a strong long bias. However, news CONTRADICTS this with multiple downgrades and price target cuts to $19 despite positive earnings guidance. The 'squeeze' regime (6) and 'O</t>
  </si>
  <si>
    <t>{"symbol": "SO", "strategy": "Daily", "action": "LONG", "alert_price": 96.48, "score": "", "dir_prob": "82", "net_sigma": "", "grade": "", "align": "", "premium": "", "wrong_if": "", "context": "", "subject": "Alert: Rev - Screener v1 (SPY, 12): Any alert() function call", "body": "{\"ticker\":\"SO\", \"setup\":\"A+ Trend Long\", \"side\":\"LONG\", \"price\":96.48, \"stage\":2, \"buy\":87.6, \"sell\":48.2, \"prime\":2, \"revL\":0, \"revS\":0, \"vcp\":1, \"dir_prob\":82, \"time\":1785159000000}", "ticker": "SO", "setup": "A+ Trend Long", "side": "LONG", "price": 96.48, "stage": 2, "buy": 87.6, "sell": 48.2, "prime": 2, "revL": 0, "revS": 0, "vcp": 1, "time": 1785159000000, "email_id": "2403", "timestamp": "2026-07-27 16:01:13"}</t>
  </si>
  <si>
    <t>TREND_LONG fires with buy=85.96 &gt; 65, dir_prob=96.77, and stage=2. News CONFIRMS with a price target raise. Triage capped to WATCH due to earnings_gate=CAUTION (3 days out) and the 'chased' flag (price above zone with poor R:R).</t>
  </si>
  <si>
    <t>Buy: 92.4 | Sell: 12.8</t>
  </si>
  <si>
    <t>WAIT (No Fresh Entry) — Zone Miss + Earnings Gate Fail</t>
  </si>
  <si>
    <t>Entry: 29.63
Stop: 29.06
Target: 31.02
See markdown for full rationale.</t>
  </si>
  <si>
    <t>Buy: 88.3 | Sell: 16.1</t>
  </si>
  <si>
    <t>{"symbol": "IVZ", "strategy": "Daily", "action": "LONG", "alert_price": 29.93, "score": "", "dir_prob": "89.7", "net_sigma": "", "grade": "", "align": "", "premium": "", "wrong_if": "", "context": "", "subject": "Alert: Rev - Screener v1 (SPY, 12): Any alert() function call", "body": "{\"ticker\":\"IVZ\", \"setup\":\"A+ Trend Long\", \"side\":\"LONG\", \"price\":29.93, \"stage\":2, \"buy\":92.4, \"sell\":12.8, \"prime\":2, \"revL\":0, \"revS\":0, \"vcp\":0, \"dir_prob\":89.7, \"time\":1784899800000}", "ticker": "IVZ", "setup": "A+ Trend Long", "side": "LONG", "price": 29.93, "stage": 2, "buy": 92.4, "sell": 12.8, "prime": 2, "revL": 0, "revS": 0, "vcp": 0, "time": 1784899800000, "email_id": "2368", "timestamp": "2026-07-24 16:01:42"}</t>
  </si>
  <si>
    <t>TREND_LONG fires with buy=96.09 &gt;&gt; 65, dir_prob=77.46, and stage=2. News CONFIRMS with a price target raise to $33. Triage capped to WATCH due to earnings_gate=CAUTION (4 days out) and zone_state=above_zone with rr_from_current=1.25 (chased</t>
  </si>
  <si>
    <t>{"symbol": "CVS", "strategy": "Daily", "action": "LONG", "alert_price": 107.05, "score": "", "dir_prob": "89.1", "net_sigma": "", "grade": "", "align": "", "premium": "", "wrong_if": "", "context": "", "subject": "Alert: Rev - Screener v1 (SPY, 12): Any alert() function call", "body": "{\"ticker\":\"CVS\", \"setup\":\"A+ Trend Long\", \"side\":\"LONG\", \"price\":107.05, \"stage\":2, \"buy\":88.3, \"sell\":16.1, \"prime\":2, \"revL\":0, \"revS\":0, \"vcp\":0, \"dir_prob\":89.1, \"time\":1785159000000}", "ticker": "CVS", "setup": "A+ Trend Long", "side": "LONG", "price": 107.05, "stage": 2, "buy": 88.3, "sell": 16.1, "prime": 2, "revL": 0, "revS": 0, "vcp": 0, "time": 1785159000000, "email_id": "2404", "timestamp": "2026-07-27 16:01:15"}</t>
  </si>
  <si>
    <t>Buy: 96.4 | Sell: 23.3</t>
  </si>
  <si>
    <t>**WAIT / SKIP new entries** | Earnings-gate fails the 48-hour rule</t>
  </si>
  <si>
    <t>Buy: 96.4 | Sell: 7.7</t>
  </si>
  <si>
    <t>{"symbol": "IQV", "strategy": "Daily", "action": "LONG", "alert_price": 207.95, "score": "", "dir_prob": "87.4", "net_sigma": "", "grade": "", "align": "", "premium": "", "wrong_if": "", "context": "", "subject": "Alert: Rev - Screener v1 (SPY, 12): Any alert() function call", "body": "{\"ticker\":\"IQV\", \"setup\":\"A+ Trend Long\", \"side\":\"LONG\", \"price\":207.95, \"stage\":2, \"buy\":96.4, \"sell\":23.3, \"prime\":2, \"revL\":0, \"revS\":0, \"vcp\":0, \"dir_prob\":87.4, \"time\":1784899800000}", "ticker": "IQV", "setup": "A+ Trend Long", "side": "LONG", "price": 207.95, "stage": 2, "buy": 96.4, "sell": 23.3, "prime": 2, "revL": 0, "revS": 0, "vcp": 0, "time": 1784899800000, "email_id": "2372", "timestamp": "2026-07-24 16:01:25"}</t>
  </si>
  <si>
    <t>TREND_LONG fires with buy=98.57 &gt;&gt; 65, dir_prob=93.82, and stage=2. News is NEUTRAL (earnings preview only). Triage capped to WATCH due to earnings_gate=CAUTION (4 days out) and the 'chased' flag (price above long_zone with rr=1.17).</t>
  </si>
  <si>
    <t>{"symbol": "MPC", "strategy": "Daily", "action": "LONG", "alert_price": 312.35, "score": "", "dir_prob": "94.2", "net_sigma": "", "grade": "", "align": "", "premium": "", "wrong_if": "", "context": "", "subject": "Alert: Rev - Screener v1 (SPY, 12): Any alert() function call", "body": "{\"ticker\":\"MPC\", \"setup\":\"A+ Trend Long\", \"side\":\"LONG\", \"price\":312.35, \"stage\":2, \"buy\":96.4, \"sell\":7.7, \"prime\":2, \"revL\":0, \"revS\":0, \"vcp\":0, \"dir_prob\":94.2, \"time\":1785159000000}", "ticker": "MPC", "setup": "A+ Trend Long", "side": "LONG", "price": 312.35, "stage": 2, "buy": 96.4, "sell": 7.7, "prime": 2, "revL": 0, "revS": 0, "vcp": 0, "time": 1785159000000, "email_id": "2405", "timestamp": "2026-07-27 16:01:15"}</t>
  </si>
  <si>
    <t>LRCX</t>
  </si>
  <si>
    <t>Buy: 90.2 | Sell: 41.9</t>
  </si>
  <si>
    <t>Buy: 6 | Sell: 11.2</t>
  </si>
  <si>
    <t>{"symbol": "ABBV", "strategy": "Daily", "action": "LONG", "alert_price": 259.22, "score": "", "dir_prob": "81.2", "net_sigma": "", "grade": "", "align": "", "premium": "", "wrong_if": "", "context": "", "subject": "Alert: Rev - Screener v1 (SPY, 12): Any alert() function call", "body": "{\"ticker\":\"ABBV\", \"setup\":\"A+ Trend Long\", \"side\":\"LONG\", \"price\":259.22, \"stage\":2, \"buy\":90.2, \"sell\":41.9, \"prime\":2, \"revL\":0, \"revS\":0, \"vcp\":1, \"dir_prob\":81.2, \"time\":1784899800000}", "ticker": "ABBV", "setup": "A+ Trend Long", "side": "LONG", "price": 259.22, "stage": 2, "buy": 90.2, "sell": 41.9, "prime": 2, "revL": 0, "revS": 0, "vcp": 1, "time": 1784899800000, "email_id": "2373", "timestamp": "2026-07-24 16:01:26"}</t>
  </si>
  <si>
    <t>{"symbol": "LRCX", "strategy": "Daily", "action": "LONG", "alert_price": 291.42, "score": "", "dir_prob": "25.3", "net_sigma": "", "grade": "", "align": "", "premium": "", "wrong_if": "", "context": "", "subject": "Alert: Rev - Screener v1 (SPY, 12): Any alert() function call", "body": "{\"ticker\":\"LRCX\", \"setup\":\"Research Reversal (Any Stage)\", \"side\":\"LONG\", \"price\":291.42, \"stage\":4, \"buy\":6, \"sell\":11.2, \"prime\":0, \"revL\":7, \"revS\":0, \"vcp\":0, \"dir_prob\":25.3, \"time\":1785159000000}", "ticker": "LRCX", "setup": "Research Reversal (Any Stage)", "side": "LONG", "price": 291.42, "stage": 4, "buy": 6, "sell": 11.2, "prime": 0, "revL": 7, "revS": 0, "vcp": 0, "time": 1785159000000, "email_id": "2406", "timestamp": "2026-07-27 16:01:16"}</t>
  </si>
  <si>
    <t>Buy: 97.5 | Sell: 4.7</t>
  </si>
  <si>
    <t>Buy: 96.8 | Sell: 5.6</t>
  </si>
  <si>
    <t>{"symbol": "SCHW", "strategy": "Daily", "action": "LONG", "alert_price": 101.99, "score": "", "dir_prob": "97.2", "net_sigma": "", "grade": "", "align": "", "premium": "", "wrong_if": "", "context": "", "subject": "Alert: Rev - Screener v1 (SPY, 12): Any alert() function call", "body": "{\"ticker\":\"SCHW\", \"setup\":\"A+ Trend Long\", \"side\":\"LONG\", \"price\":101.99, \"stage\":2, \"buy\":97.5, \"sell\":4.7, \"prime\":2, \"revL\":0, \"revS\":0, \"vcp\":0, \"dir_prob\":97.2, \"time\":1784899800000}", "ticker": "SCHW", "setup": "A+ Trend Long", "side": "LONG", "price": 101.99, "stage": 2, "buy": 97.5, "sell": 4.7, "prime": 2, "revL": 0, "revS": 0, "vcp": 0, "time": 1784899800000, "email_id": "2374", "timestamp": "2026-07-24 16:01:31"}</t>
  </si>
  <si>
    <t>Buy: 48.9 | Sell: 10.4</t>
  </si>
  <si>
    <t>{"symbol": "VLO", "strategy": "Daily", "action": "LONG", "alert_price": 304.88, "score": "", "dir_prob": "94.3", "net_sigma": "", "grade": "", "align": "", "premium": "", "wrong_if": "", "context": "", "subject": "Alert: Rev - Screener v1 (SPY, 12): Any alert() function call", "body": "{\"ticker\":\"VLO\", \"setup\":\"A+ Trend Long\", \"side\":\"LONG\", \"price\":304.88, \"stage\":2, \"buy\":96.8, \"sell\":5.6, \"prime\":2, \"revL\":0, \"revS\":0, \"vcp\":0, \"dir_prob\":94.3, \"time\":1785159000000}", "ticker": "VLO", "setup": "A+ Trend Long", "side": "LONG", "price": 304.88, "stage": 2, "buy": 96.8, "sell": 5.6, "prime": 2, "revL": 0, "revS": 0, "vcp": 0, "time": 1785159000000, "email_id": "2409", "timestamp": "2026-07-27 16:01:15"}</t>
  </si>
  <si>
    <t>Buy: 95.3 | Sell: 8.7</t>
  </si>
  <si>
    <t>{"symbol": "WRB", "strategy": "Daily", "action": "LONG", "alert_price": 75.45, "score": "", "dir_prob": "83.3", "net_sigma": "", "grade": "", "align": "", "premium": "", "wrong_if": "", "context": "", "subject": "Alert: Rev - Screener v1 (SPY, 12): Any alert() function call", "body": "{\"ticker\":\"WRB\", \"setup\":\"Bullish Squeeze Release\", \"side\":\"LONG\", \"price\":75.45, \"stage\":2, \"buy\":48.9, \"sell\":10.4, \"prime\":0, \"revL\":0, \"revS\":0, \"vcp\":2, \"dir_prob\":83.3, \"time\":1784899800000}", "ticker": "WRB", "setup": "Bullish Squeeze Release", "side": "LONG", "price": 75.45, "stage": 2, "buy": 48.9, "sell": 10.4, "prime": 0, "revL": 0, "revS": 0, "vcp": 2, "time": 1784899800000, "email_id": "2375", "timestamp": "2026-07-24 16:01:31"}</t>
  </si>
  <si>
    <t>Buy: 91.5 | Sell: 10.4</t>
  </si>
  <si>
    <t>{"symbol": "EXPD", "strategy": "Daily", "action": "LONG", "alert_price": 171.3, "score": "", "dir_prob": "90.1", "net_sigma": "", "grade": "", "align": "", "premium": "", "wrong_if": "", "context": "", "subject": "Alert: Rev - Screener v1 (SPY, 12): Any alert() function call", "body": "{\"ticker\":\"EXPD\", \"setup\":\"A+ Trend Long\", \"side\":\"LONG\", \"price\":171.30, \"stage\":2, \"buy\":95.3, \"sell\":8.7, \"prime\":2, \"revL\":0, \"revS\":0, \"vcp\":0, \"dir_prob\":90.1, \"time\":1785159000000}", "ticker": "EXPD", "setup": "A+ Trend Long", "side": "LONG", "price": 171.3, "stage": 2, "buy": 95.3, "sell": 8.7, "prime": 2, "revL": 0, "revS": 0, "vcp": 0, "time": 1785159000000, "email_id": "2411", "timestamp": "2026-07-27 16:01:17"}</t>
  </si>
  <si>
    <t>Buy: 91.6 | Sell: 14.1</t>
  </si>
  <si>
    <t>{"symbol": "CTVA", "strategy": "Daily", "action": "LONG", "alert_price": 89.27, "score": "", "dir_prob": "92.5", "net_sigma": "", "grade": "", "align": "", "premium": "", "wrong_if": "", "context": "", "subject": "Alert: Rev - Screener v1 (SPY, 12): Any alert() function call", "body": "{\"ticker\":\"CTVA\", \"setup\":\"A+ Trend Long\", \"side\":\"LONG\", \"price\":89.27, \"stage\":2, \"buy\":91.5, \"sell\":10.4, \"prime\":2, \"revL\":0, \"revS\":0, \"vcp\":0, \"dir_prob\":92.5, \"time\":1784899800000}", "ticker": "CTVA", "setup": "A+ Trend Long", "side": "LONG", "price": 89.27, "stage": 2, "buy": 91.5, "sell": 10.4, "prime": 2, "revL": 0, "revS": 0, "vcp": 0, "time": 1784899800000, "email_id": "2376", "timestamp": "2026-07-24 16:01:23"}</t>
  </si>
  <si>
    <t>Buy: 86.9 | Sell: 17.9</t>
  </si>
  <si>
    <t>{"symbol": "AES", "strategy": "Daily", "action": "LONG", "alert_price": 14.84, "score": "", "dir_prob": "90.3", "net_sigma": "", "grade": "", "align": "", "premium": "", "wrong_if": "", "context": "", "subject": "Alert: Rev - Screener v1 (SPY, 12): Any alert() function call", "body": "{\"ticker\":\"AES\", \"setup\":\"A+ Trend Long\", \"side\":\"LONG\", \"price\":14.84, \"stage\":2, \"buy\":91.6, \"sell\":14.1, \"prime\":2, \"revL\":0, \"revS\":0, \"vcp\":0, \"dir_prob\":90.3, \"time\":1785159000000}", "ticker": "AES", "setup": "A+ Trend Long", "side": "LONG", "price": 14.84, "stage": 2, "buy": 91.6, "sell": 14.1, "prime": 2, "revL": 0, "revS": 0, "vcp": 0, "time": 1785159000000, "email_id": "2412", "timestamp": "2026-07-27 16:01:19"}</t>
  </si>
  <si>
    <t>{"symbol": "FE", "strategy": "Daily", "action": "LONG", "alert_price": 49.92, "score": "", "dir_prob": "88.5", "net_sigma": "", "grade": "", "align": "", "premium": "", "wrong_if": "", "context": "", "subject": "Alert: Rev - Screener v1 (SPY, 12): Any alert() function call", "body": "{\"ticker\":\"FE\", \"setup\":\"Bullish Squeeze Release\", \"side\":\"LONG\", \"price\":49.92, \"stage\":2, \"buy\":86.9, \"sell\":17.9, \"prime\":2, \"revL\":0, \"revS\":5.5, \"vcp\":2, \"dir_prob\":88.5, \"time\":1784899800000}", "ticker": "FE", "setup": "Bullish Squeeze Release", "side": "LONG", "price": 49.92, "stage": 2, "buy": 86.9, "sell": 17.9, "prime": 2, "revL": 0, "revS": 5.5, "vcp": 2, "time": 1784899800000, "email_id": "2377", "timestamp": "2026-07-24 16:01:32"}</t>
  </si>
  <si>
    <t>Buy: 96.5 | Sell: 12.5</t>
  </si>
  <si>
    <t>{"symbol": "ACGL", "strategy": "Daily", "action": "LONG", "alert_price": 103.39, "score": "", "dir_prob": "93.9", "net_sigma": "", "grade": "", "align": "", "premium": "", "wrong_if": "", "context": "", "subject": "Alert: Rev - Screener v1 (SPY, 12): Any alert() function call", "body": "{\"ticker\":\"ACGL\", \"setup\":\"A+ Trend Long\", \"side\":\"LONG\", \"price\":103.39, \"stage\":2, \"buy\":96.5, \"sell\":12.5, \"prime\":2, \"revL\":0, \"revS\":0, \"vcp\":0, \"dir_prob\":93.9, \"time\":1784899800000}", "ticker": "ACGL", "setup": "A+ Trend Long", "side": "LONG", "price": 103.39, "stage": 2, "buy": 96.5, "sell": 12.5, "prime": 2, "revL": 0, "revS": 0, "vcp": 0, "time": 1784899800000, "email_id": "2378", "timestamp": "2026-07-24 16:01:34"}</t>
  </si>
  <si>
    <t>{"symbol": "TMO", "strategy": "Daily", "action": "LONG", "alert_price": 559.53, "score": "", "dir_prob": "87.1", "net_sigma": "", "grade": "", "align": "", "premium": "", "wrong_if": "", "context": "", "subject": "Alert: Rev - Screener v1 (SPY, 12): Any alert() function call", "body": "{\"ticker\":\"TMO\", \"setup\":\"A+ Trend Long\", \"side\":\"LONG\", \"price\":559.53, \"stage\":2, \"buy\":94.4, \"sell\":22.3, \"prime\":2, \"revL\":0, \"revS\":0, \"vcp\":0, \"dir_prob\":87.1, \"time\":1785159000000}", "ticker": "TMO", "setup": "A+ Trend Long", "side": "LONG", "price": 559.53, "stage": 2, "buy": 94.4, "sell": 22.3, "prime": 2, "revL": 0, "revS": 0, "vcp": 0, "time": 1785159000000, "email_id": "2413", "timestamp": "2026-07-27 16:01:18"}</t>
  </si>
  <si>
    <t>Buy: 42.8 | Sell: 45.7</t>
  </si>
  <si>
    <t>**WAIT (HOLD/STANDBY)** — DO NOT chase. **BUY** if/when price touches the long zone.</t>
  </si>
  <si>
    <t>{"symbol": "LH", "strategy": "Daily", "action": "LONG", "alert_price": 296.81, "score": "", "dir_prob": "53.5", "net_sigma": "", "grade": "", "align": "", "premium": "", "wrong_if": "", "context": "", "subject": "Alert: Rev - Screener v1 (SPY, 12): Any alert() function call", "body": "{\"ticker\":\"LH\", \"setup\":\"Bullish Squeeze Release\", \"side\":\"LONG\", \"price\":296.81, \"stage\":2, \"buy\":42.8, \"sell\":45.7, \"prime\":0, \"revL\":0, \"revS\":0, \"vcp\":2, \"dir_prob\":53.5, \"time\":1784899800000}", "ticker": "LH", "setup": "Bullish Squeeze Release", "side": "LONG", "price": 296.81, "stage": 2, "buy": 42.8, "sell": 45.7, "prime": 0, "revL": 0, "revS": 0, "vcp": 2, "time": 1784899800000, "email_id": "2379", "timestamp": "2026-07-24 16:01:30"}</t>
  </si>
  <si>
    <t>Buy: 94.7 | Sell: 5.7</t>
  </si>
  <si>
    <t>{"symbol": "USB", "strategy": "Daily", "action": "LONG", "alert_price": 63.5, "score": "", "dir_prob": "92.3", "net_sigma": "", "grade": "", "align": "", "premium": "", "wrong_if": "", "context": "", "subject": "Alert: Rev - Screener v1 (SPY, 12): Any alert() function call", "body": "{\"ticker\":\"USB\", \"setup\":\"A+ Trend Long\", \"side\":\"LONG\", \"price\":63.50, \"stage\":2, \"buy\":95.3, \"sell\":5.7, \"prime\":2, \"revL\":0, \"revS\":0, \"vcp\":0, \"dir_prob\":92.3, \"time\":1785159000000}", "ticker": "USB", "setup": "A+ Trend Long", "side": "LONG", "price": 63.5, "stage": 2, "buy": 95.3, "sell": 5.7, "prime": 2, "revL": 0, "revS": 0, "vcp": 0, "time": 1785159000000, "email_id": "2414", "timestamp": "2026-07-27 16:01:17"}</t>
  </si>
  <si>
    <t>TREND_LONG fires with buy=94.57 &gt;&gt; 65, dir_prob=88.55 &gt;&gt; 50, and stage=2 (up-trend). News CONFIRMS with positive headlines on momentum and value. No VETO flags apply; computed_flags only show 'pullback' which is consistent with a trend dip.</t>
  </si>
  <si>
    <t>Buy: 95.1 | Sell: 9.4</t>
  </si>
  <si>
    <t>WATCH (no fresh entry now) | Pre-position with defined-risk call spread</t>
  </si>
  <si>
    <t>{"symbol": "MTB", "strategy": "Daily", "action": "LONG", "alert_price": 249.59, "score": "", "dir_prob": "94.3", "net_sigma": "", "grade": "", "align": "", "premium": "", "wrong_if": "", "context": "", "subject": "Alert: Rev - Screener v1 (SPY, 12): Any alert() function call", "body": "{\"ticker\":\"MTB\", \"setup\":\"A+ Trend Long\", \"side\":\"LONG\", \"price\":249.59, \"stage\":2, \"buy\":94.7, \"sell\":5.7, \"prime\":2, \"revL\":0, \"revS\":0, \"vcp\":0, \"dir_prob\":94.3, \"time\":1784899800000}", "ticker": "MTB", "setup": "A+ Trend Long", "side": "LONG", "price": 249.59, "stage": 2, "buy": 94.7, "sell": 5.7, "prime": 2, "revL": 0, "revS": 0, "vcp": 0, "time": 1784899800000, "email_id": "2380", "timestamp": "2026-07-24 16:01:19"}</t>
  </si>
  <si>
    <t>Buy: 96.3 | Sell: 20.9</t>
  </si>
  <si>
    <t>{"symbol": "CFG", "strategy": "Daily", "action": "LONG", "alert_price": 71.09, "score": "", "dir_prob": "89.3", "net_sigma": "", "grade": "", "align": "", "premium": "", "wrong_if": "", "context": "", "subject": "Alert: Rev - Screener v1 (SPY, 12): Any alert() function call", "body": "{\"ticker\":\"CFG\", \"setup\":\"A+ Trend Long\", \"side\":\"LONG\", \"price\":71.09, \"stage\":2, \"buy\":95.1, \"sell\":9.4, \"prime\":2, \"revL\":0, \"revS\":0, \"vcp\":1, \"dir_prob\":89.3, \"time\":1785159000000}", "ticker": "CFG", "setup": "A+ Trend Long", "side": "LONG", "price": 71.09, "stage": 2, "buy": 95.1, "sell": 9.4, "prime": 2, "revL": 0, "revS": 0, "vcp": 1, "time": 1785159000000, "email_id": "2415", "timestamp": "2026-07-27 16:01:20"}</t>
  </si>
  <si>
    <t>TREND_LONG fires with buy=95.97 &gt;&gt; 65, dir_prob=80.44 &gt;&gt; 50, and stage=2 (up-trend). Regime=6 (squeeze) indicates coiling/pre-breakout energy rather than exhaustion. News is NEUTRAL with no direct catalyst, so it does not cap the setup. The</t>
  </si>
  <si>
    <t>Buy: 90.5 | Sell: 20.8</t>
  </si>
  <si>
    <t>{"symbol": "COR", "strategy": "Daily", "action": "LONG", "alert_price": 309.83, "score": "", "dir_prob": "94.6", "net_sigma": "", "grade": "", "align": "", "premium": "", "wrong_if": "", "context": "", "subject": "Alert: Rev - Screener v1 (SPY, 12): Any alert() function call", "body": "{\"ticker\":\"COR\", \"setup\":\"A+ Trend Long\", \"side\":\"LONG\", \"price\":309.83, \"stage\":2, \"buy\":96.3, \"sell\":20.9, \"prime\":2, \"revL\":0, \"revS\":0, \"vcp\":0, \"dir_prob\":94.6, \"time\":1784899800000}", "ticker": "COR", "setup": "A+ Trend Long", "side": "LONG", "price": 309.83, "stage": 2, "buy": 96.3, "sell": 20.9, "prime": 2, "revL": 0, "revS": 0, "vcp": 0, "time": 1784899800000, "email_id": "2381", "timestamp": "2026-07-24 16:01:28"}</t>
  </si>
  <si>
    <t>Buy: 97.2 | Sell: 17.1</t>
  </si>
  <si>
    <t>{"symbol": "AON", "strategy": "Daily", "action": "LONG", "alert_price": 367.12, "score": "", "dir_prob": "94.6", "net_sigma": "", "grade": "", "align": "", "premium": "", "wrong_if": "", "context": "", "subject": "Alert: Rev - Screener v1 (SPY, 12): Any alert() function call", "body": "{\"ticker\":\"AON\", \"setup\":\"A+ Trend Long\", \"side\":\"LONG\", \"price\":367.12, \"stage\":2, \"buy\":90.5, \"sell\":20.8, \"prime\":2, \"revL\":0, \"revS\":0, \"vcp\":0, \"dir_prob\":94.6, \"time\":1785159000000}", "ticker": "AON", "setup": "A+ Trend Long", "side": "LONG", "price": 367.12, "stage": 2, "buy": 90.5, "sell": 20.8, "prime": 2, "revL": 0, "revS": 0, "vcp": 0, "time": 1785159000000, "email_id": "2416", "timestamp": "2026-07-27 16:01:18"}</t>
  </si>
  <si>
    <t>{"symbol": "AON", "strategy": "Daily", "action": "LONG", "alert_price": 361.67, "score": "", "dir_prob": "96.3", "net_sigma": "", "grade": "", "align": "", "premium": "", "wrong_if": "", "context": "", "subject": "Alert: Rev - Screener v1 (SPY, 12): Any alert() function call", "body": "{\"ticker\":\"AON\", \"setup\":\"A+ Trend Long\", \"side\":\"LONG\", \"price\":361.67, \"stage\":2, \"buy\":97.2, \"sell\":17.1, \"prime\":2, \"revL\":0, \"revS\":0, \"vcp\":0, \"dir_prob\":96.3, \"time\":1784899800000}", "ticker": "AON", "setup": "A+ Trend Long", "side": "LONG", "price": 361.67, "stage": 2, "buy": 97.2, "sell": 17.1, "prime": 2, "revL": 0, "revS": 0, "vcp": 0, "time": 1784899800000, "email_id": "2382", "timestamp": "2026-07-24 16:01:40"}</t>
  </si>
  <si>
    <t>Buy: 90.4 | Sell: 13.4</t>
  </si>
  <si>
    <t>Buy: 91.7 | Sell: 7.9</t>
  </si>
  <si>
    <t>{"symbol": "FE", "strategy": "Daily", "action": "LONG", "alert_price": 49.32, "score": "", "dir_prob": "90.7", "net_sigma": "", "grade": "", "align": "", "premium": "", "wrong_if": "", "context": "", "subject": "Alert: Rev - Screener v1 (SPY, 12): Any alert() function call", "body": "{\"ticker\":\"FE\", \"setup\":\"A+ Trend Long\", \"side\":\"LONG\", \"price\":49.32, \"stage\":2, \"buy\":90.4, \"sell\":13.4, \"prime\":2, \"revL\":0, \"revS\":0, \"vcp\":0, \"dir_prob\":90.7, \"time\":1785159000000}", "ticker": "FE", "setup": "A+ Trend Long", "side": "LONG", "price": 49.32, "stage": 2, "buy": 90.4, "sell": 13.4, "prime": 2, "revL": 0, "revS": 0, "vcp": 0, "time": 1785159000000, "email_id": "2417", "timestamp": "2026-07-27 16:01:20"}</t>
  </si>
  <si>
    <t>Buy: 85.8 | Sell: 28.8</t>
  </si>
  <si>
    <t>{"symbol": "ALL", "strategy": "Daily", "action": "LONG", "alert_price": 260.01, "score": "", "dir_prob": "89.7", "net_sigma": "", "grade": "", "align": "", "premium": "", "wrong_if": "", "context": "", "subject": "Alert: Rev - Screener v1 (SPY, 12): Any alert() function call", "body": "{\"ticker\":\"ALL\", \"setup\":\"A+ Trend Long\", \"side\":\"LONG\", \"price\":260.01, \"stage\":2, \"buy\":91.7, \"sell\":7.9, \"prime\":2, \"revL\":0, \"revS\":0, \"vcp\":0, \"dir_prob\":89.7, \"time\":1784899800000}", "ticker": "ALL", "setup": "A+ Trend Long", "side": "LONG", "price": 260.01, "stage": 2, "buy": 91.7, "sell": 7.9, "prime": 2, "revL": 0, "revS": 0, "vcp": 0, "time": 1784899800000, "email_id": "2385", "timestamp": "2026-07-24 16:01:26"}</t>
  </si>
  <si>
    <t>Buy: 92.6 | Sell: 20.2</t>
  </si>
  <si>
    <t>{"symbol": "CINF", "strategy": "Daily", "action": "LONG", "alert_price": 184.16, "score": "", "dir_prob": "85.6", "net_sigma": "", "grade": "", "align": "", "premium": "", "wrong_if": "", "context": "", "subject": "Alert: Rev - Screener v1 (SPY, 12): Any alert() function call", "body": "{\"ticker\":\"CINF\", \"setup\":\"A+ Trend Long\", \"side\":\"LONG\", \"price\":184.16, \"stage\":2, \"buy\":85.8, \"sell\":28.8, \"prime\":2, \"revL\":0, \"revS\":0, \"vcp\":0, \"dir_prob\":85.6, \"time\":1785159000000}", "ticker": "CINF", "setup": "A+ Trend Long", "side": "LONG", "price": 184.16, "stage": 2, "buy": 85.8, "sell": 28.8, "prime": 2, "revL": 0, "revS": 0, "vcp": 0, "time": 1785159000000, "email_id": "2418", "timestamp": "2026-07-27 16:01:18"}</t>
  </si>
  <si>
    <t>Buy: 96 | Sell: 26.3</t>
  </si>
  <si>
    <t>{"symbol": "REG", "strategy": "Daily", "action": "LONG", "alert_price": 82.17, "score": "", "dir_prob": "93.5", "net_sigma": "", "grade": "", "align": "", "premium": "", "wrong_if": "", "context": "", "subject": "Alert: Rev - Screener v1 (SPY, 12): Any alert() function call", "body": "{\"ticker\":\"REG\", \"setup\":\"A+ Trend Long\", \"side\":\"LONG\", \"price\":82.17, \"stage\":2, \"buy\":92.6, \"sell\":20.2, \"prime\":2, \"revL\":0, \"revS\":0, \"vcp\":0, \"dir_prob\":93.5, \"time\":1784899800000}", "ticker": "REG", "setup": "A+ Trend Long", "side": "LONG", "price": 82.17, "stage": 2, "buy": 92.6, "sell": 20.2, "prime": 2, "revL": 0, "revS": 0, "vcp": 0, "time": 1784899800000, "email_id": "2384", "timestamp": "2026-07-24 16:01:24"}</t>
  </si>
  <si>
    <t>{"symbol": "BRO", "strategy": "Daily", "action": "LONG", "alert_price": 69.67, "score": "", "dir_prob": "99.1", "net_sigma": "", "grade": "", "align": "", "premium": "", "wrong_if": "", "context": "", "subject": "Alert: Rev - Screener v1 (SPY, 12): Any alert() function call", "body": "{\"ticker\":\"BRO\", \"setup\":\"A+ Trend Long\", \"side\":\"LONG\", \"price\":69.67, \"stage\":2, \"buy\":96, \"sell\":26.3, \"prime\":2, \"revL\":0, \"revS\":5, \"vcp\":0, \"dir_prob\":99.1, \"time\":1785159000000}", "ticker": "BRO", "setup": "A+ Trend Long", "side": "LONG", "price": 69.67, "stage": 2, "buy": 96, "sell": 26.3, "prime": 2, "revL": 0, "revS": 5, "vcp": 0, "time": 1785159000000, "email_id": "2419", "timestamp": "2026-07-27 16:01:22"}</t>
  </si>
  <si>
    <t>Buy: 90.2 | Sell: 12.7</t>
  </si>
  <si>
    <t>{"symbol": "MET", "strategy": "Daily", "action": "LONG", "alert_price": 94.84, "score": "", "dir_prob": "91", "net_sigma": "", "grade": "", "align": "", "premium": "", "wrong_if": "", "context": "", "subject": "Alert: Rev - Screener v1 (SPY, 12): Any alert() function call", "body": "{\"ticker\":\"MET\", \"setup\":\"A+ Trend Long\", \"side\":\"LONG\", \"price\":94.84, \"stage\":2, \"buy\":91.5, \"sell\":10.4, \"prime\":2, \"revL\":0, \"revS\":0, \"vcp\":0, \"dir_prob\":91, \"time\":1784899800000}", "ticker": "MET", "setup": "A+ Trend Long", "side": "LONG", "price": 94.84, "stage": 2, "buy": 91.5, "sell": 10.4, "prime": 2, "revL": 0, "revS": 0, "vcp": 0, "time": 1784899800000, "email_id": "2383", "timestamp": "2026-07-24 16:01:25"}</t>
  </si>
  <si>
    <t>Buy: 90.9 | Sell: 15.2</t>
  </si>
  <si>
    <t>{"symbol": "DVA", "strategy": "Daily", "action": "LONG", "alert_price": 236.18, "score": "", "dir_prob": "94.3", "net_sigma": "", "grade": "", "align": "", "premium": "", "wrong_if": "", "context": "", "subject": "Alert: Rev - Screener v1 (SPY, 12): Any alert() function call", "body": "{\"ticker\":\"DVA\", \"setup\":\"A+ Trend Long\", \"side\":\"LONG\", \"price\":236.18, \"stage\":2, \"buy\":90.2, \"sell\":12.7, \"prime\":2, \"revL\":0, \"revS\":0, \"vcp\":1, \"dir_prob\":94.3, \"time\":1785159000000}", "ticker": "DVA", "setup": "A+ Trend Long", "side": "LONG", "price": 236.18, "stage": 2, "buy": 90.2, "sell": 12.7, "prime": 2, "revL": 0, "revS": 0, "vcp": 1, "time": 1785159000000, "email_id": "2420", "timestamp": "2026-07-27 16:01:22"}</t>
  </si>
  <si>
    <t>Technical setup shows no active entry mode; buy=83.12 is high but ignition_long=0 and rev_zone_l=2.0 are low, while recency flags (TOP, RSI_CASCADE) indicate exhaustion. News CONTRADICTS the long bias with a headline citing valuation nears.</t>
  </si>
  <si>
    <t>Buy: 92.7 | Sell: 36.4</t>
  </si>
  <si>
    <t>{"symbol": "IR", "strategy": "Daily", "action": "LONG", "alert_price": 84.4, "score": "", "dir_prob": "94.3", "net_sigma": "", "grade": "", "align": "", "premium": "", "wrong_if": "", "context": "", "subject": "Alert: Rev - Screener v1 (SPY, 12): Any alert() function call", "body": "{\"ticker\":\"IR\", \"setup\":\"A+ Trend Long\", \"side\":\"LONG\", \"price\":84.40, \"stage\":2, \"buy\":90.9, \"sell\":15.2, \"prime\":2, \"revL\":0, \"revS\":0, \"vcp\":0, \"dir_prob\":94.3, \"time\":1784899800000}", "ticker": "IR", "setup": "A+ Trend Long", "side": "LONG", "price": 84.4, "stage": 2, "buy": 90.9, "sell": 15.2, "prime": 2, "revL": 0, "revS": 0, "vcp": 0, "time": 1784899800000, "email_id": "2386", "timestamp": "2026-07-24 16:01:11"}</t>
  </si>
  <si>
    <t>Buy: 97 | Sell: 11.8</t>
  </si>
  <si>
    <t>{"symbol": "EXPE", "strategy": "Daily", "action": "LONG", "alert_price": 278.42, "score": "", "dir_prob": "77.9", "net_sigma": "", "grade": "", "align": "", "premium": "", "wrong_if": "", "context": "", "subject": "Alert: Rev - Screener v1 (SPY, 12): Any alert() function call", "body": "{\"ticker\":\"EXPE\", \"setup\":\"A+ Trend Long\", \"side\":\"LONG\", \"price\":278.42, \"stage\":2, \"buy\":92.7, \"sell\":36.4, \"prime\":2, \"revL\":0, \"revS\":0, \"vcp\":1, \"dir_prob\":77.9, \"time\":1785159000000}", "ticker": "EXPE", "setup": "A+ Trend Long", "side": "LONG", "price": 278.42, "stage": 2, "buy": 92.7, "sell": 36.4, "prime": 2, "revL": 0, "revS": 0, "vcp": 1, "time": 1785159000000, "email_id": "2421", "timestamp": "2026-07-27 16:01:22"}</t>
  </si>
  <si>
    <t>Buy: 93.6 | Sell: 9.3</t>
  </si>
  <si>
    <t>{"symbol": "TECH", "strategy": "Daily", "action": "LONG", "alert_price": 71.59, "score": "", "dir_prob": "96.1", "net_sigma": "", "grade": "", "align": "", "premium": "", "wrong_if": "", "context": "", "subject": "Alert: Rev - Screener v1 (SPY, 12): Any alert() function call", "body": "{\"ticker\":\"TECH\", \"setup\":\"A+ Trend Long\", \"side\":\"LONG\", \"price\":71.59, \"stage\":2, \"buy\":97, \"sell\":11.8, \"prime\":2, \"revL\":0, \"revS\":0, \"vcp\":1, \"dir_prob\":96.1, \"time\":1784899800000}", "ticker": "TECH", "setup": "A+ Trend Long", "side": "LONG", "price": 71.59, "stage": 2, "buy": 97, "sell": 11.8, "prime": 2, "revL": 0, "revS": 0, "vcp": 1, "time": 1784899800000, "email_id": "2387", "timestamp": "2026-07-24 16:01:31"}</t>
  </si>
  <si>
    <t>{"symbol": "VLTO", "strategy": "Daily", "action": "LONG", "alert_price": 94.26, "score": "", "dir_prob": "98.3", "net_sigma": "", "grade": "", "align": "", "premium": "", "wrong_if": "", "context": "", "subject": "Alert: Rev - Screener v1 (SPY, 12): Any alert() function call", "body": "{\"ticker\":\"VLTO\", \"setup\":\"A+ Trend Long\", \"side\":\"LONG\", \"price\":94.26, \"stage\":2, \"buy\":93.6, \"sell\":9.3, \"prime\":2, \"revL\":0, \"revS\":0, \"vcp\":1, \"dir_prob\":98.3, \"time\":1785159000000}", "ticker": "VLTO", "setup": "A+ Trend Long", "side": "LONG", "price": 94.26, "stage": 2, "buy": 93.6, "sell": 9.3, "prime": 2, "revL": 0, "revS": 0, "vcp": 1, "time": 1785159000000, "email_id": "2422", "timestamp": "2026-07-27 16:01:23"}</t>
  </si>
  <si>
    <t>Buy: 94.2 | Sell: 34.9</t>
  </si>
  <si>
    <t>{"symbol": "GPC", "strategy": "Daily", "action": "LONG", "alert_price": 127.69, "score": "", "dir_prob": "90", "net_sigma": "", "grade": "", "align": "", "premium": "", "wrong_if": "", "context": "", "subject": "Alert: Rev - Screener v1 (SPY, 12): Any alert() function call", "body": "{\"ticker\":\"GPC\", \"setup\":\"A+ Trend Long\", \"side\":\"LONG\", \"price\":127.69, \"stage\":2, \"buy\":94.2, \"sell\":34.9, \"prime\":2, \"revL\":0, \"revS\":0, \"vcp\":0, \"dir_prob\":90, \"time\":1785159000000}", "ticker": "GPC", "setup": "A+ Trend Long", "side": "LONG", "price": 127.69, "stage": 2, "buy": 94.2, "sell": 34.9, "prime": 2, "revL": 0, "revS": 0, "vcp": 0, "time": 1785159000000, "email_id": "2423", "timestamp": "2026-07-27 16:01:23"}</t>
  </si>
  <si>
    <t>TXT</t>
  </si>
  <si>
    <t>Buy: 55.3 | Sell: 16.1</t>
  </si>
  <si>
    <t>{"symbol": "TXT", "strategy": "Daily", "action": "LONG", "alert_price": 96.11, "score": "", "dir_prob": "83.4", "net_sigma": "", "grade": "", "align": "", "premium": "", "wrong_if": "", "context": "", "subject": "Alert: Rev - Screener v1 (SPY, 12): Any alert() function call", "body": "{\"ticker\":\"TXT\", \"setup\":\"Bullish Squeeze Release\", \"side\":\"LONG\", \"price\":96.11, \"stage\":2, \"buy\":55.3, \"sell\":16.1, \"prime\":0, \"revL\":0, \"revS\":4.5, \"vcp\":2, \"dir_prob\":83.4, \"time\":1785159000000}", "ticker": "TXT", "setup": "Bullish Squeeze Release", "side": "LONG", "price": 96.11, "stage": 2, "buy": 55.3, "sell": 16.1, "prime": 0, "revL": 0, "revS": 4.5, "vcp": 2, "time": 1785159000000, "email_id": "2424", "timestamp": "2026-07-27 16:01:51"}</t>
  </si>
  <si>
    <t>Buy: 90.9 | Sell: 15.6</t>
  </si>
  <si>
    <t>{"symbol": "L", "strategy": "Daily", "action": "LONG", "alert_price": 118.55, "score": "", "dir_prob": "88", "net_sigma": "", "grade": "", "align": "", "premium": "", "wrong_if": "", "context": "", "subject": "Alert: Rev - Screener v1 (SPY, 12): Any alert() function call", "body": "{\"ticker\":\"L\", \"setup\":\"A+ Trend Long\", \"side\":\"LONG\", \"price\":118.55, \"stage\":2, \"buy\":90.9, \"sell\":15.6, \"prime\":2, \"revL\":0, \"revS\":4.5, \"vcp\":1, \"dir_prob\":88, \"time\":1785159000000}", "ticker": "L", "setup": "A+ Trend Long", "side": "LONG", "price": 118.55, "stage": 2, "buy": 90.9, "sell": 15.6, "prime": 2, "revL": 0, "revS": 4.5, "vcp": 1, "time": 1785159000000, "email_id": "2425", "timestamp": "2026-07-27 16:01:25"}</t>
  </si>
  <si>
    <t>Buy: 97.3 | Sell: 16.9</t>
  </si>
  <si>
    <t>WAIT FOR PULLBACK → BUY at 17.27-17.37 (limit)</t>
  </si>
  <si>
    <t>{"symbol": "PCG", "strategy": "Daily", "action": "LONG", "alert_price": 17.59, "score": "", "dir_prob": "92", "net_sigma": "", "grade": "", "align": "", "premium": "", "wrong_if": "", "context": "", "subject": "Alert: Rev - Screener v1 (SPY, 12): Any alert() function call", "body": "{\"ticker\":\"PCG\", \"setup\":\"A+ Trend Long\", \"side\":\"LONG\", \"price\":17.59, \"stage\":2, \"buy\":97.3, \"sell\":16.9, \"prime\":2, \"revL\":0, \"revS\":0, \"vcp\":0, \"dir_prob\":92, \"time\":1785159000000}", "ticker": "PCG", "setup": "A+ Trend Long", "side": "LONG", "price": 17.59, "stage": 2, "buy": 97.3, "sell": 16.9, "prime": 2, "revL": 0, "revS": 0, "vcp": 0, "time": 1785159000000, "email_id": "2426", "timestamp": "2026-07-27 16:01:26"}</t>
  </si>
  <si>
    <t>TREND_LONG fires with buy=98.87 &gt;&gt; 65, dir_prob=95.62 &gt;&gt; 50, and stage=2 (up-trend). News CONFIRMS with a BMO upgrade/raise. No VETO flags apply; computed_flags only show 'pullback' (soft context).</t>
  </si>
  <si>
    <t>Buy: 90.6 | Sell: 45.9</t>
  </si>
  <si>
    <t>{"symbol": "CAH", "strategy": "Daily", "action": "LONG", "alert_price": 229.31, "score": "", "dir_prob": "88.6", "net_sigma": "", "grade": "", "align": "", "premium": "", "wrong_if": "", "context": "", "subject": "Alert: Rev - Screener v1 (SPY, 12): Any alert() function call", "body": "{\"ticker\":\"CAH\", \"setup\":\"A+ Trend Long\", \"side\":\"LONG\", \"price\":229.31, \"stage\":2, \"buy\":90.6, \"sell\":45.9, \"prime\":2, \"revL\":0, \"revS\":0, \"vcp\":0, \"dir_prob\":88.6, \"time\":1785159000000}", "ticker": "CAH", "setup": "A+ Trend Long", "side": "LONG", "price": 229.31, "stage": 2, "buy": 90.6, "sell": 45.9, "prime": 2, "revL": 0, "revS": 0, "vcp": 0, "time": 1785159000000, "email_id": "2427", "timestamp": "2026-07-27 16:01:17"}</t>
  </si>
  <si>
    <t>Buy: 96.7 | Sell: 16.1</t>
  </si>
  <si>
    <t>{"symbol": "UNP", "strategy": "Daily", "action": "LONG", "alert_price": 299.43, "score": "", "dir_prob": "91.5", "net_sigma": "", "grade": "", "align": "", "premium": "", "wrong_if": "", "context": "", "subject": "Alert: Rev - Screener v1 (SPY, 12): Any alert() function call", "body": "{\"ticker\":\"UNP\", \"setup\":\"A+ Trend Long\", \"side\":\"LONG\", \"price\":299.43, \"stage\":2, \"buy\":96.7, \"sell\":16.1, \"prime\":2, \"revL\":0, \"revS\":0, \"vcp\":0, \"dir_prob\":91.5, \"time\":1785159000000}", "ticker": "UNP", "setup": "A+ Trend Long", "side": "LONG", "price": 299.43, "stage": 2, "buy": 96.7, "sell": 16.1, "prime": 2, "revL": 0, "revS": 0, "vcp": 0, "time": 1785159000000, "email_id": "2428", "timestamp": "2026-07-27 16:01:27"}</t>
  </si>
  <si>
    <t>TREND_LONG fires with buy=98.86 &gt;&gt; 65, dir_prob=93.33 &gt;&gt; 50, and stage=2 (up-trend). News CONFIRMS with multiple analyst upgrades raising targets to $320-$349. No VETO flags apply; computed_flags only show 'pullback' which is consistent. T=</t>
  </si>
  <si>
    <t>PASS (9/10) → Deep Research</t>
  </si>
  <si>
    <t>Buy: 96.7 | Sell: 17.7</t>
  </si>
  <si>
    <t>{"symbol": "CSX", "strategy": "Daily", "action": "LONG", "alert_price": 51.79, "score": "", "dir_prob": "87.4", "net_sigma": "", "grade": "", "align": "", "premium": "", "wrong_if": "", "context": "", "subject": "Alert: Rev - Screener v1 (SPY, 12): Any alert() function call", "body": "{\"ticker\":\"CSX\", \"setup\":\"A+ Trend Long\", \"side\":\"LONG\", \"price\":51.79, \"stage\":2, \"buy\":96.7, \"sell\":17.7, \"prime\":2, \"revL\":0, \"revS\":0, \"vcp\":0, \"dir_prob\":87.4, \"time\":1785159000000}", "ticker": "CSX", "setup": "A+ Trend Long", "side": "LONG", "price": 51.79, "stage": 2, "buy": 96.7, "sell": 17.7, "prime": 2, "revL": 0, "revS": 0, "vcp": 0, "time": 1785159000000, "email_id": "2429", "timestamp": "2026-07-27 16:01:21"}</t>
  </si>
  <si>
    <t>Buy: 96.1 | Sell: 6.9</t>
  </si>
  <si>
    <t>SKIP (Fresh Entry) / HOLD (Existing Position) / WATCH ALERT @ $246.75</t>
  </si>
  <si>
    <t>{"symbol": "PNC", "strategy": "Daily", "action": "LONG", "alert_price": 249.61, "score": "", "dir_prob": "93.6", "net_sigma": "", "grade": "", "align": "", "premium": "", "wrong_if": "", "context": "", "subject": "Alert: Rev - Screener v1 (SPY, 12): Any alert() function call", "body": "{\"ticker\":\"PNC\", \"setup\":\"A+ Trend Long\", \"side\":\"LONG\", \"price\":249.61, \"stage\":2, \"buy\":96.1, \"sell\":6.9, \"prime\":2, \"revL\":0, \"revS\":0, \"vcp\":1, \"dir_prob\":93.6, \"time\":1785159000000}", "ticker": "PNC", "setup": "A+ Trend Long", "side": "LONG", "price": 249.61, "stage": 2, "buy": 96.1, "sell": 6.9, "prime": 2, "revL": 0, "revS": 0, "vcp": 1, "time": 1785159000000, "email_id": "2430", "timestamp": "2026-07-27 16:01:28"}</t>
  </si>
  <si>
    <t>TREND_LONG fires with buy=88.79 &gt; 65, dir_prob=86.56 &gt;= 50, and stage=2 (up-trend). Regime=6 (squeeze) indicates coiling/pre-breakout energy rather than exhaustion. News is NEUTRAL with no material catalyst. PASS triage with high conviction</t>
  </si>
  <si>
    <t>Buy: 96.6 | Sell: 22.5</t>
  </si>
  <si>
    <t>{"symbol": "XYL", "strategy": "Daily", "action": "LONG", "alert_price": 120.13, "score": "", "dir_prob": "96.2", "net_sigma": "", "grade": "", "align": "", "premium": "", "wrong_if": "", "context": "", "subject": "Alert: Rev - Screener v1 (SPY, 12): Any alert() function call", "body": "{\"ticker\":\"XYL\", \"setup\":\"A+ Trend Long\", \"side\":\"LONG\", \"price\":120.13, \"stage\":2, \"buy\":96.6, \"sell\":22.5, \"prime\":2, \"revL\":0, \"revS\":0, \"vcp\":0, \"dir_prob\":96.2, \"time\":1785159000000}", "ticker": "XYL", "setup": "A+ Trend Long", "side": "LONG", "price": 120.13, "stage": 2, "buy": 96.6, "sell": 22.5, "prime": 2, "revL": 0, "revS": 0, "vcp": 0, "time": 1785159000000, "email_id": "2431", "timestamp": "2026-07-27 16:01:29"}</t>
  </si>
  <si>
    <t>Buy: 94.5 | Sell: 11.6</t>
  </si>
  <si>
    <t>{"symbol": "ED", "strategy": "Daily", "action": "LONG", "alert_price": 111.48, "score": "", "dir_prob": "93.5", "net_sigma": "", "grade": "", "align": "", "premium": "", "wrong_if": "", "context": "", "subject": "Alert: Rev - Screener v1 (SPY, 12): Any alert() function call", "body": "{\"ticker\":\"ED\", \"setup\":\"A+ Trend Long\", \"side\":\"LONG\", \"price\":111.48, \"stage\":2, \"buy\":94.5, \"sell\":11.6, \"prime\":2, \"revL\":0, \"revS\":0, \"vcp\":1, \"dir_prob\":93.5, \"time\":1785159000000}", "ticker": "ED", "setup": "A+ Trend Long", "side": "LONG", "price": 111.48, "stage": 2, "buy": 94.5, "sell": 11.6, "prime": 2, "revL": 0, "revS": 0, "vcp": 1, "time": 1785159000000, "email_id": "2432", "timestamp": "2026-07-27 16:01:29"}</t>
  </si>
  <si>
    <t>TREND_LONG fires with buy=97.99 &gt;&gt; 65, dir_prob=97.06 &gt;&gt; 50, and stage=2 (up-trend). News CONFIRMS with a technical breakout headline. PASS triage despite 'squeeze' flag (coiling) and 'pullback' context; earnings gate is PASS.</t>
  </si>
  <si>
    <t>Buy: 93.3 | Sell: 33.5</t>
  </si>
  <si>
    <t>{"symbol": "EA", "strategy": "Daily", "action": "LONG", "alert_price": 209.04, "score": "", "dir_prob": "85.1", "net_sigma": "", "grade": "", "align": "", "premium": "", "wrong_if": "", "context": "", "subject": "Alert: Rev - Screener v1 (SPY, 12): Any alert() function call", "body": "{\"ticker\":\"EA\", \"setup\":\"A+ Trend Long\", \"side\":\"LONG\", \"price\":209.04, \"stage\":2, \"buy\":93.3, \"sell\":33.5, \"prime\":2, \"revL\":0, \"revS\":0, \"vcp\":0, \"dir_prob\":85.1, \"time\":1785159000000}", "ticker": "EA", "setup": "A+ Trend Long", "side": "LONG", "price": 209.04, "stage": 2, "buy": 93.3, "sell": 33.5, "prime": 2, "revL": 0, "revS": 0, "vcp": 0, "time": 1785159000000, "email_id": "2433", "timestamp": "2026-07-27 16:01:28"}</t>
  </si>
  <si>
    <t>{"symbol": "TROW", "strategy": "Daily", "action": "LONG", "alert_price": 119.22, "score": "", "dir_prob": "92.8", "net_sigma": "", "grade": "", "align": "", "premium": "", "wrong_if": "", "context": "", "subject": "Alert: Rev - Screener v1 (SPY, 12): Any alert() function call", "body": "{\"ticker\":\"TROW\", \"setup\":\"A+ Trend Long\", \"side\":\"LONG\", \"price\":119.22, \"stage\":2, \"buy\":93.1, \"sell\":11.6, \"prime\":2, \"revL\":0, \"revS\":0, \"vcp\":1, \"dir_prob\":92.8, \"time\":1785159000000}", "ticker": "TROW", "setup": "A+ Trend Long", "side": "LONG", "price": 119.22, "stage": 2, "buy": 93.1, "sell": 11.6, "prime": 2, "revL": 0, "revS": 0, "vcp": 1, "time": 1785159000000, "email_id": "2434", "timestamp": "2026-07-27 16:01:29"}</t>
  </si>
  <si>
    <t>{"symbol": "CTVA", "strategy": "Daily", "action": "LONG", "alert_price": 87.6, "score": "", "dir_prob": "93.3", "net_sigma": "", "grade": "", "align": "", "premium": "", "wrong_if": "", "context": "", "subject": "Alert: Rev - Screener v1 (SPY, 12): Any alert() function call", "body": "{\"ticker\":\"CTVA\", \"setup\":\"A+ Trend Long\", \"side\":\"LONG\", \"price\":87.60, \"stage\":2, \"buy\":94.1, \"sell\":7.7, \"prime\":2, \"revL\":0, \"revS\":0, \"vcp\":0, \"dir_prob\":93.3, \"time\":1785159000000}", "ticker": "CTVA", "setup": "A+ Trend Long", "side": "LONG", "price": 87.6, "stage": 2, "buy": 94.1, "sell": 7.7, "prime": 2, "revL": 0, "revS": 0, "vcp": 0, "time": 1785159000000, "email_id": "2435", "timestamp": "2026-07-27 16:01:32"}</t>
  </si>
  <si>
    <t>Buy: 95.8 | Sell: 26.2</t>
  </si>
  <si>
    <t>**SKIP / WAIT FOR PULLBACK TO $30.05**</t>
  </si>
  <si>
    <t>{"symbol": "RF", "strategy": "Daily", "action": "LONG", "alert_price": 30.75, "score": "", "dir_prob": "87.4", "net_sigma": "", "grade": "", "align": "", "premium": "", "wrong_if": "", "context": "", "subject": "Alert: Rev - Screener v1 (SPY, 12): Any alert() function call", "body": "{\"ticker\":\"RF\", \"setup\":\"A+ Trend Long\", \"side\":\"LONG\", \"price\":30.75, \"stage\":2, \"buy\":95.8, \"sell\":26.2, \"prime\":2, \"revL\":0, \"revS\":0, \"vcp\":0, \"dir_prob\":87.4, \"time\":1785159000000}", "ticker": "RF", "setup": "A+ Trend Long", "side": "LONG", "price": 30.75, "stage": 2, "buy": 95.8, "sell": 26.2, "prime": 2, "revL": 0, "revS": 0, "vcp": 0, "time": 1785159000000, "email_id": "2436", "timestamp": "2026-07-27 16:01:32"}</t>
  </si>
  <si>
    <t xml:space="preserve">TREND_LONG fires with buy=82.63 &gt; 65, dir_prob=62.66 &gt;= 50, and stage=2 (up-trend). News CONFIRMS the bullish bias with a positive catalyst regarding 'DiviDogs' (dividend stocks). The 'extended' flag applies due to ext_pct=12.37 (20-50% is </t>
  </si>
  <si>
    <t>Buy: 92.3 | Sell: 13.7</t>
  </si>
  <si>
    <t>{"symbol": "ADM", "strategy": "Daily", "action": "LONG", "alert_price": 83.19, "score": "", "dir_prob": "92.2", "net_sigma": "", "grade": "", "align": "", "premium": "", "wrong_if": "", "context": "", "subject": "Alert: Rev - Screener v1 (SPY, 12): Any alert() function call", "body": "{\"ticker\":\"ADM\", \"setup\":\"A+ Trend Long\", \"side\":\"LONG\", \"price\":83.19, \"stage\":2, \"buy\":92.3, \"sell\":13.7, \"prime\":2, \"revL\":0, \"revS\":0, \"vcp\":0, \"dir_prob\":92.2, \"time\":1785159000000}", "ticker": "ADM", "setup": "A+ Trend Long", "side": "LONG", "price": 83.19, "stage": 2, "buy": 92.3, "sell": 13.7, "prime": 2, "revL": 0, "revS": 0, "vcp": 0, "time": 1785159000000, "email_id": "2437", "timestamp": "2026-07-27 16:01:33"}</t>
  </si>
  <si>
    <t>TREND_LONG fires with buy=92.24 &gt; 65, dir_prob=88.1 &gt;= 50, and stage=2. News is NEUTRAL (no ADM-specific headlines). Triage capped to WATCH due to earnings_gate=PASS (8 days out) and zone_state=above_zone with rr_from_current=0.49 (poor R:R</t>
  </si>
  <si>
    <t>Buy: 73.9 | Sell: 30.2</t>
  </si>
  <si>
    <t>Buy: 90.8 | Sell: 21.2</t>
  </si>
  <si>
    <t>{"symbol": "WELL", "strategy": "Daily", "action": "LONG", "alert_price": 248.38, "score": "", "dir_prob": "82.7", "net_sigma": "", "grade": "", "align": "", "premium": "", "wrong_if": "", "context": "", "subject": "Alert: Rev - Screener v1 (SPY, 12): Any alert() function call", "body": "{\"ticker\":\"WELL\", \"setup\":\"A+ Trend Long\", \"side\":\"LONG\", \"price\":248.38, \"stage\":2, \"buy\":90.8, \"sell\":21.2, \"prime\":2, \"revL\":0, \"revS\":0, \"vcp\":0, \"dir_prob\":82.7, \"time\":1785159000000}", "ticker": "WELL", "setup": "A+ Trend Long", "side": "LONG", "price": 248.38, "stage": 2, "buy": 90.8, "sell": 21.2, "prime": 2, "revL": 0, "revS": 0, "vcp": 0, "time": 1785159000000, "email_id": "2438", "timestamp": "2026-07-27 16:01:29"}</t>
  </si>
  <si>
    <t>Buy: 95.5 | Sell: 27.8</t>
  </si>
  <si>
    <t>{"symbol": "XYL", "strategy": "Daily", "action": "LONG", "alert_price": 125.08, "score": "", "dir_prob": "89.9", "net_sigma": "", "grade": "", "align": "", "premium": "", "wrong_if": "", "context": "", "subject": "Alert: Rev - Screener v1 (SPY, 12): Any alert() function call", "body": "{\"ticker\":\"XYL\", \"setup\":\"Early Ignition\", \"side\":\"LONG\", \"price\":125.08, \"stage\":2, \"buy\":73.9, \"sell\":30.2, \"prime\":1, \"revL\":0, \"revS\":6.5, \"vcp\":0, \"dir_prob\":89.9, \"time\":1785245400000}", "ticker": "XYL", "setup": "Early Ignition", "side": "LONG", "price": 125.08, "stage": 2, "buy": 73.9, "sell": 30.2, "prime": 1, "revL": 0, "revS": 6.5, "vcp": 0, "time": 1785245400000, "email_id": "2534", "timestamp": "2026-07-28 16:01:06"}</t>
  </si>
  <si>
    <t>{"symbol": "ES", "strategy": "Daily", "action": "LONG", "alert_price": 74.68, "score": "", "dir_prob": "90.5", "net_sigma": "", "grade": "", "align": "", "premium": "", "wrong_if": "", "context": "", "subject": "Alert: Rev - Screener v1 (SPY, 12): Any alert() function call", "body": "{\"ticker\":\"ES\", \"setup\":\"A+ Trend Long\", \"side\":\"LONG\", \"price\":74.68, \"stage\":2, \"buy\":95.5, \"sell\":27.8, \"prime\":2, \"revL\":0, \"revS\":0, \"vcp\":1, \"dir_prob\":90.5, \"time\":1785159000000}", "ticker": "ES", "setup": "A+ Trend Long", "side": "LONG", "price": 74.68, "stage": 2, "buy": 95.5, "sell": 27.8, "prime": 2, "revL": 0, "revS": 0, "vcp": 1, "time": 1785159000000, "email_id": "2441", "timestamp": "2026-07-27 16:01:32"}</t>
  </si>
  <si>
    <t>Buy: 94.3 | Sell: 10.2</t>
  </si>
  <si>
    <t>Buy: 96.4 | Sell: 21</t>
  </si>
  <si>
    <t>{"symbol": "FITB", "strategy": "Daily", "action": "LONG", "alert_price": 57.8, "score": "", "dir_prob": "90.6", "net_sigma": "", "grade": "", "align": "", "premium": "", "wrong_if": "", "context": "", "subject": "Alert: Rev - Screener v1 (SPY, 12): Any alert() function call", "body": "{\"ticker\":\"FITB\", \"setup\":\"A+ Trend Long\", \"side\":\"LONG\", \"price\":57.80, \"stage\":2, \"buy\":94.3, \"sell\":10.2, \"prime\":2, \"revL\":0, \"revS\":0, \"vcp\":1, \"dir_prob\":90.6, \"time\":1785245400000}", "ticker": "FITB", "setup": "A+ Trend Long", "side": "LONG", "price": 57.8, "stage": 2, "buy": 94.3, "sell": 10.2, "prime": 2, "revL": 0, "revS": 0, "vcp": 1, "time": 1785245400000, "email_id": "2533", "timestamp": "2026-07-28 16:01:00"}</t>
  </si>
  <si>
    <t>Buy: 94.2 | Sell: 15.7</t>
  </si>
  <si>
    <t>{"symbol": "IQV", "strategy": "Daily", "action": "LONG", "alert_price": 213.35, "score": "", "dir_prob": "88", "net_sigma": "", "grade": "", "align": "", "premium": "", "wrong_if": "", "context": "", "subject": "Alert: Rev - Screener v1 (SPY, 12): Any alert() function call", "body": "{\"ticker\":\"IQV\", \"setup\":\"A+ Trend Long\", \"side\":\"LONG\", \"price\":213.35, \"stage\":2, \"buy\":96.4, \"sell\":21, \"prime\":2, \"revL\":0, \"revS\":0, \"vcp\":1, \"dir_prob\":88, \"time\":1785159000000}", "ticker": "IQV", "setup": "A+ Trend Long", "side": "LONG", "price": 213.35, "stage": 2, "buy": 96.4, "sell": 21, "prime": 2, "revL": 0, "revS": 0, "vcp": 1, "time": 1785159000000, "email_id": "2439", "timestamp": "2026-07-27 16:01:31"}</t>
  </si>
  <si>
    <t>Buy: 90.2 | Sell: 16.7</t>
  </si>
  <si>
    <t>{"symbol": "HSIC", "strategy": "Daily", "action": "LONG", "alert_price": 85.74, "score": "", "dir_prob": "92.2", "net_sigma": "", "grade": "", "align": "", "premium": "", "wrong_if": "", "context": "", "subject": "Alert: Rev - Screener v1 (SPY, 12): Any alert() function call", "body": "{\"ticker\":\"HSIC\", \"setup\":\"A+ Trend Long\", \"side\":\"LONG\", \"price\":85.74, \"stage\":2, \"buy\":94.2, \"sell\":15.7, \"prime\":2, \"revL\":0, \"revS\":0, \"vcp\":1, \"dir_prob\":92.2, \"time\":1785245400000}", "ticker": "HSIC", "setup": "A+ Trend Long", "side": "LONG", "price": 85.74, "stage": 2, "buy": 94.2, "sell": 15.7, "prime": 2, "revL": 0, "revS": 0, "vcp": 1, "time": 1785245400000, "email_id": "2535", "timestamp": "2026-07-28 16:01:00"}</t>
  </si>
  <si>
    <t>Buy: 24.9 | Sell: 28.7</t>
  </si>
  <si>
    <t>{"symbol": "BXP", "strategy": "Daily", "action": "LONG", "alert_price": 69.19, "score": "", "dir_prob": "91.8", "net_sigma": "", "grade": "", "align": "", "premium": "", "wrong_if": "", "context": "", "subject": "Alert: Rev - Screener v1 (SPY, 12): Any alert() function call", "body": "{\"ticker\":\"BXP\", \"setup\":\"A+ Trend Long\", \"side\":\"LONG\", \"price\":69.19, \"stage\":2, \"buy\":90.2, \"sell\":16.7, \"prime\":2, \"revL\":0, \"revS\":0, \"vcp\":1, \"dir_prob\":91.8, \"time\":1785159000000}", "ticker": "BXP", "setup": "A+ Trend Long", "side": "LONG", "price": 69.19, "stage": 2, "buy": 90.2, "sell": 16.7, "prime": 2, "revL": 0, "revS": 0, "vcp": 1, "time": 1785159000000, "email_id": "2442", "timestamp": "2026-07-27 16:01:32"}</t>
  </si>
  <si>
    <t>Buy: 90 | Sell: 15.3</t>
  </si>
  <si>
    <t>{"symbol": "SW", "strategy": "Daily", "action": "LONG", "alert_price": 50.82, "score": "", "dir_prob": "59.6", "net_sigma": "", "grade": "", "align": "", "premium": "", "wrong_if": "", "context": "", "subject": "Alert: Rev - Screener v1 (SPY, 12): Any alert() function call", "body": "{\"ticker\":\"SW\", \"setup\":\"Early Ignition\", \"side\":\"LONG\", \"price\":50.82, \"stage\":2, \"buy\":24.9, \"sell\":28.7, \"prime\":0, \"revL\":0, \"revS\":6.5, \"vcp\":0, \"dir_prob\":59.6, \"time\":1785245400000}", "ticker": "SW", "setup": "Early Ignition", "side": "LONG", "price": 50.82, "stage": 2, "buy": 24.9, "sell": 28.7, "prime": 0, "revL": 0, "revS": 6.5, "vcp": 0, "time": 1785245400000, "email_id": "2536", "timestamp": "2026-07-28 16:01:02"}</t>
  </si>
  <si>
    <t>WMB</t>
  </si>
  <si>
    <t>Buy: 19.9 | Sell: 32.3</t>
  </si>
  <si>
    <t>**SKIP / WAIT** (Counter-Trend Reversal Setup Not Yet Triggered)</t>
  </si>
  <si>
    <t>{"symbol": "AXON", "strategy": "Daily", "action": "LONG", "alert_price": 525.27, "score": "", "dir_prob": "96.4", "net_sigma": "", "grade": "", "align": "", "premium": "", "wrong_if": "", "context": "", "subject": "Alert: Rev - Screener v1 (SPY, 12): Any alert() function call", "body": "{\"ticker\":\"AXON\", \"setup\":\"A+ Trend Long\", \"side\":\"LONG\", \"price\":525.27, \"stage\":2, \"buy\":90, \"sell\":15.3, \"prime\":2, \"revL\":0, \"revS\":0, \"vcp\":0, \"dir_prob\":96.4, \"time\":1785159000000}", "ticker": "AXON", "setup": "A+ Trend Long", "side": "LONG", "price": 525.27, "stage": 2, "buy": 90, "sell": 15.3, "prime": 2, "revL": 0, "revS": 0, "vcp": 0, "time": 1785159000000, "email_id": "2443", "timestamp": "2026-07-27 16:01:33"}</t>
  </si>
  <si>
    <t>Buy: 94.4 | Sell: 8.8</t>
  </si>
  <si>
    <t>{"symbol": "WMB", "strategy": "Daily", "action": "LONG", "alert_price": 70.17, "score": "", "dir_prob": "54.2", "net_sigma": "", "grade": "", "align": "", "premium": "", "wrong_if": "", "context": "", "subject": "Alert: Rev - Screener v1 (SPY, 12): Any alert() function call", "body": "{\"ticker\":\"WMB\", \"setup\":\"Research Reversal (Any Stage)\", \"side\":\"LONG\", \"price\":70.17, \"stage\":4, \"buy\":19.9, \"sell\":32.3, \"prime\":0, \"revL\":8.5, \"revS\":0, \"vcp\":1, \"dir_prob\":54.2, \"time\":1785245400000}", "ticker": "WMB", "setup": "Research Reversal (Any Stage)", "side": "LONG", "price": 70.17, "stage": 4, "buy": 19.9, "sell": 32.3, "prime": 0, "revL": 8.5, "revS": 0, "vcp": 1, "time": 1785245400000, "email_id": "2537", "timestamp": "2026-07-28 16:01:05"}</t>
  </si>
  <si>
    <t xml:space="preserve">REVERSION_LONG fires with rev_zone_l=12.5 (Zone 0) in Stage 4, indicating a counter-trend reversal setup. However, the triage is capped to WATCH due to the 'earnings_gate' CAUTION (6 days out) and the 'squeeze' regime (Regime 6) which is a </t>
  </si>
  <si>
    <t>{"symbol": "MTD", "strategy": "Daily", "action": "LONG", "alert_price": 1336.54, "score": "", "dir_prob": "94.9", "net_sigma": "", "grade": "", "align": "", "premium": "", "wrong_if": "", "context": "", "subject": "Alert: Rev - Screener v1 (SPY, 12): Any alert() function call", "body": "{\"ticker\":\"MTD\", \"setup\":\"A+ Trend Long\", \"side\":\"LONG\", \"price\":1336.54, \"stage\":2, \"buy\":94.4, \"sell\":8.8, \"prime\":2, \"revL\":0, \"revS\":0, \"vcp\":1, \"dir_prob\":94.9, \"time\":1785159000000}", "ticker": "MTD", "setup": "A+ Trend Long", "side": "LONG", "price": 1336.54, "stage": 2, "buy": 94.4, "sell": 8.8, "prime": 2, "revL": 0, "revS": 0, "vcp": 1, "time": 1785159000000, "email_id": "2444", "timestamp": "2026-07-27 16:01:33"}</t>
  </si>
  <si>
    <t>Buy: 62.3 | Sell: 27</t>
  </si>
  <si>
    <t>Buy: 89.6 | Sell: 23.8</t>
  </si>
  <si>
    <t>{"symbol": "TDY", "strategy": "Daily", "action": "LONG", "alert_price": 651.45, "score": "", "dir_prob": "93", "net_sigma": "", "grade": "", "align": "", "premium": "", "wrong_if": "", "context": "", "subject": "Alert: Rev - Screener v1 (SPY, 12): Any alert() function call", "body": "{\"ticker\":\"TDY\", \"setup\":\"A+ Trend Long\", \"side\":\"LONG\", \"price\":651.45, \"stage\":2, \"buy\":89.6, \"sell\":23.8, \"prime\":2, \"revL\":0, \"revS\":0, \"vcp\":1, \"dir_prob\":93, \"time\":1785159000000}", "ticker": "TDY", "setup": "A+ Trend Long", "side": "LONG", "price": 651.45, "stage": 2, "buy": 89.6, "sell": 23.8, "prime": 2, "revL": 0, "revS": 0, "vcp": 1, "time": 1785159000000, "email_id": "2445", "timestamp": "2026-07-27 16:01:35"}</t>
  </si>
  <si>
    <t>TREND_LONG fires with buy=88.14 &gt; 65, dir_prob=84.9 &gt;= 50, and stage=2. Regime=6 (squeeze) indicates coiling/pre-breakout energy rather than exhaustion. News is NEUTRAL with no catalyst. The 'chased' flag reflects price above the long zone,</t>
  </si>
  <si>
    <t>{"symbol": "AWK", "strategy": "Daily", "action": "LONG", "alert_price": 138.07, "score": "", "dir_prob": "85.8", "net_sigma": "", "grade": "", "align": "", "premium": "", "wrong_if": "", "context": "", "subject": "Alert: Rev - Screener v1 (SPY, 12): Any alert() function call", "body": "{\"ticker\":\"AWK\", \"setup\":\"Early Ignition\", \"side\":\"LONG\", \"price\":138.07, \"stage\":2, \"buy\":62.3, \"sell\":27, \"prime\":0, \"revL\":0, \"revS\":4.5, \"vcp\":1, \"dir_prob\":85.8, \"time\":1785245400000}", "ticker": "AWK", "setup": "Early Ignition", "side": "LONG", "price": 138.07, "stage": 2, "buy": 62.3, "sell": 27, "prime": 0, "revL": 0, "revS": 4.5, "vcp": 1, "time": 1785245400000, "email_id": "2538", "timestamp": "2026-07-28 16:01:02"}</t>
  </si>
  <si>
    <t>Buy: 94.8 | Sell: 15.5</t>
  </si>
  <si>
    <t>Buy: 92 | Sell: 13.5</t>
  </si>
  <si>
    <t>{"symbol": "INCY", "strategy": "Daily", "action": "LONG", "alert_price": 118.93, "score": "", "dir_prob": "92", "net_sigma": "", "grade": "", "align": "", "premium": "", "wrong_if": "", "context": "", "subject": "Alert: Rev - Screener v1 (SPY, 12): Any alert() function call", "body": "{\"ticker\":\"INCY\", \"setup\":\"A+ Trend Long\", \"side\":\"LONG\", \"price\":118.93, \"stage\":2, \"buy\":94.8, \"sell\":15.5, \"prime\":2, \"revL\":0, \"revS\":0, \"vcp\":1, \"dir_prob\":92, \"time\":1785159000000}", "ticker": "INCY", "setup": "A+ Trend Long", "side": "LONG", "price": 118.93, "stage": 2, "buy": 94.8, "sell": 15.5, "prime": 2, "revL": 0, "revS": 0, "vcp": 1, "time": 1785159000000, "email_id": "2446", "timestamp": "2026-07-27 16:01:26"}</t>
  </si>
  <si>
    <t>Buy: 87 | Sell: 51.1</t>
  </si>
  <si>
    <t>{"symbol": "AES", "strategy": "Daily", "action": "LONG", "alert_price": 14.84, "score": "", "dir_prob": "90.6", "net_sigma": "", "grade": "", "align": "", "premium": "", "wrong_if": "", "context": "", "subject": "Alert: Rev - Screener v1 (SPY, 12): Any alert() function call", "body": "{\"ticker\":\"AES\", \"setup\":\"A+ Trend Long\", \"side\":\"LONG\", \"price\":14.84, \"stage\":2, \"buy\":92, \"sell\":13.5, \"prime\":2, \"revL\":0, \"revS\":0, \"vcp\":0, \"dir_prob\":90.6, \"time\":1785245400000}", "ticker": "AES", "setup": "A+ Trend Long", "side": "LONG", "price": 14.84, "stage": 2, "buy": 92, "sell": 13.5, "prime": 2, "revL": 0, "revS": 0, "vcp": 0, "time": 1785245400000, "email_id": "2539", "timestamp": "2026-07-28 16:01:01"}</t>
  </si>
  <si>
    <t>TFC</t>
  </si>
  <si>
    <t>Buy: 94.2 | Sell: 10.9</t>
  </si>
  <si>
    <t>{"symbol": "SPG", "strategy": "Daily", "action": "LONG", "alert_price": 231.64, "score": "", "dir_prob": "60.9", "net_sigma": "", "grade": "", "align": "", "premium": "", "wrong_if": "", "context": "", "subject": "Alert: Rev - Screener v1 (SPY, 12): Any alert() function call", "body": "{\"ticker\":\"SPG\", \"setup\":\"A+ Trend Long\", \"side\":\"LONG\", \"price\":231.64, \"stage\":2, \"buy\":87, \"sell\":51.1, \"prime\":2, \"revL\":0, \"revS\":0, \"vcp\":0, \"dir_prob\":60.9, \"time\":1785159000000}", "ticker": "SPG", "setup": "A+ Trend Long", "side": "LONG", "price": 231.64, "stage": 2, "buy": 87, "sell": 51.1, "prime": 2, "revL": 0, "revS": 0, "vcp": 0, "time": 1785159000000, "email_id": "2440", "timestamp": "2026-07-27 16:01:31"}</t>
  </si>
  <si>
    <t>Buy: 87.1 | Sell: 19.1</t>
  </si>
  <si>
    <t>{"symbol": "TFC", "strategy": "Daily", "action": "LONG", "alert_price": 53.0, "score": "", "dir_prob": "92.6", "net_sigma": "", "grade": "", "align": "", "premium": "", "wrong_if": "", "context": "", "subject": "Alert: Rev - Screener v1 (SPY, 12): Any alert() function call", "body": "{\"ticker\":\"TFC\", \"setup\":\"Bullish Squeeze Release\", \"side\":\"LONG\", \"price\":53.00, \"stage\":2, \"buy\":94.2, \"sell\":10.9, \"prime\":0, \"revL\":0, \"revS\":0, \"vcp\":2, \"dir_prob\":92.6, \"time\":1785245400000}", "ticker": "TFC", "setup": "Bullish Squeeze Release", "side": "LONG", "price": 53.0, "stage": 2, "buy": 94.2, "sell": 10.9, "prime": 0, "revL": 0, "revS": 0, "vcp": 2, "time": 1785245400000, "email_id": "2540", "timestamp": "2026-07-28 16:01:02"}</t>
  </si>
  <si>
    <t>{"symbol": "KIM", "strategy": "Daily", "action": "LONG", "alert_price": 26.39, "score": "", "dir_prob": "91.7", "net_sigma": "", "grade": "", "align": "", "premium": "", "wrong_if": "", "context": "", "subject": "Alert: Rev - Screener v1 (SPY, 12): Any alert() function call", "body": "{\"ticker\":\"KIM\", \"setup\":\"A+ Trend Long\", \"side\":\"LONG\", \"price\":26.39, \"stage\":2, \"buy\":87.1, \"sell\":19.1, \"prime\":2, \"revL\":0, \"revS\":0, \"vcp\":0, \"dir_prob\":91.7, \"time\":1785159000000}", "ticker": "KIM", "setup": "A+ Trend Long", "side": "LONG", "price": 26.39, "stage": 2, "buy": 87.1, "sell": 19.1, "prime": 2, "revL": 0, "revS": 0, "vcp": 0, "time": 1785159000000, "email_id": "2447", "timestamp": "2026-07-27 16:01:35"}</t>
  </si>
  <si>
    <t>Buy: 92.4 | Sell: 14.8</t>
  </si>
  <si>
    <t>Buy: 95.3 | Sell: 19.5</t>
  </si>
  <si>
    <t>**WAIT / SKIP fresh entry.** Both directional sides are blocked by Script Supremacy.</t>
  </si>
  <si>
    <t>Entry: 
Stop: 82.02
Target: 88.38
See markdown for full rationale.</t>
  </si>
  <si>
    <t>{"symbol": "HSIC", "strategy": "Daily", "action": "LONG", "alert_price": 84.56, "score": "", "dir_prob": "91.8", "net_sigma": "", "grade": "", "align": "", "premium": "", "wrong_if": "", "context": "", "subject": "Alert: Rev - Screener v1 (SPY, 12): Any alert() function call", "body": "{\"ticker\":\"HSIC\", \"setup\":\"A+ Trend Long\", \"side\":\"LONG\", \"price\":84.56, \"stage\":2, \"buy\":95.3, \"sell\":19.5, \"prime\":2, \"revL\":0, \"revS\":0, \"vcp\":1, \"dir_prob\":91.8, \"time\":1785159000000}", "ticker": "HSIC", "setup": "A+ Trend Long", "side": "LONG", "price": 84.56, "stage": 2, "buy": 95.3, "sell": 19.5, "prime": 2, "revL": 0, "revS": 0, "vcp": 1, "time": 1785159000000, "email_id": "2448", "timestamp": "2026-07-27 16:01:33"}</t>
  </si>
  <si>
    <t>TREND_LONG fires with buy=96.71 &gt;&gt; 65 and dir_prob=75.98, supported by regime=6 (squeeze/coiling) and stage=2. However, the headline 'Buyback Machine Hiding Behind Thin Margins' CONTRADICTS the long bias by highlighting margin weakness. The</t>
  </si>
  <si>
    <t>{"symbol": "RVTY", "strategy": "Daily", "action": "LONG", "alert_price": 111.5, "score": "", "dir_prob": "91.7", "net_sigma": "", "grade": "", "align": "", "premium": "", "wrong_if": "", "context": "", "subject": "Alert: Rev - Screener v1 (SPY, 12): Any alert() function call", "body": "{\"ticker\":\"RVTY\", \"setup\":\"A+ Trend Long\", \"side\":\"LONG\", \"price\":111.50, \"stage\":2, \"buy\":92.4, \"sell\":14.8, \"prime\":2, \"revL\":0, \"revS\":0, \"vcp\":1, \"dir_prob\":91.7, \"time\":1785245400000}", "ticker": "RVTY", "setup": "A+ Trend Long", "side": "LONG", "price": 111.5, "stage": 2, "buy": 92.4, "sell": 14.8, "prime": 2, "revL": 0, "revS": 0, "vcp": 1, "time": 1785245400000, "email_id": "2541", "timestamp": "2026-07-28 16:01:36"}</t>
  </si>
  <si>
    <t>Buy: 95.3 | Sell: 15</t>
  </si>
  <si>
    <t>Buy: 86.8 | Sell: 16.2</t>
  </si>
  <si>
    <t>SKIP / WAIT (No trade today)</t>
  </si>
  <si>
    <t>Entry: 109.33
Stop: 105.28
Target: 109.95
See markdown for full rationale.</t>
  </si>
  <si>
    <t>{"symbol": "WFC", "strategy": "Daily", "action": "LONG", "alert_price": 87.3, "score": "", "dir_prob": "93.1", "net_sigma": "", "grade": "", "align": "", "premium": "", "wrong_if": "", "context": "", "subject": "Alert: Rev - Screener v1 (SPY, 12): Any alert() function call", "body": "{\"ticker\":\"WFC\", \"setup\":\"A+ Trend Long\", \"side\":\"LONG\", \"price\":87.30, \"stage\":2, \"buy\":95.3, \"sell\":15, \"prime\":2, \"revL\":0, \"revS\":0, \"vcp\":1, \"dir_prob\":93.1, \"time\":1785159000000}", "ticker": "WFC", "setup": "A+ Trend Long", "side": "LONG", "price": 87.3, "stage": 2, "buy": 95.3, "sell": 15, "prime": 2, "revL": 0, "revS": 0, "vcp": 1, "time": 1785159000000, "email_id": "2449", "timestamp": "2026-07-27 16:01:33"}</t>
  </si>
  <si>
    <t>TREND_LONG fires with buy=86.88 &gt;&gt; 65, dir_prob=91.29 &gt;&gt; 50, and stage=2 (up-trend). News CONFIRMS bullish sentiment via analyst calls and bond offerings. PASS triage despite 'chased' flag (price above zone) and 'squeeze' regime (coiling, 6</t>
  </si>
  <si>
    <t>Buy: 90 | Sell: 47.4</t>
  </si>
  <si>
    <t>{"symbol": "CVS", "strategy": "Daily", "action": "LONG", "alert_price": 109.33, "score": "", "dir_prob": "88.5", "net_sigma": "", "grade": "", "align": "", "premium": "", "wrong_if": "", "context": "", "subject": "Alert: Rev - Screener v1 (SPY, 12): Any alert() function call", "body": "{\"ticker\":\"CVS\", \"setup\":\"A+ Trend Long\", \"side\":\"LONG\", \"price\":109.33, \"stage\":2, \"buy\":86.8, \"sell\":16.2, \"prime\":2, \"revL\":0, \"revS\":0, \"vcp\":0, \"dir_prob\":88.5, \"time\":1785245400000}", "ticker": "CVS", "setup": "A+ Trend Long", "side": "LONG", "price": 109.33, "stage": 2, "buy": 86.8, "sell": 16.2, "prime": 2, "revL": 0, "revS": 0, "vcp": 0, "time": 1785245400000, "email_id": "2542", "timestamp": "2026-07-28 16:01:01"}</t>
  </si>
  <si>
    <t>TREND_LONG fires with buy=81.41 &gt; 65, dir_prob=85.41 &gt;= 50, and stage=2. News is NEUTRAL with no material catalyst. Triage capped to WATCH due to 'chased' flag (price above long zone with poor R:R=0.15) and earnings in 8 days. High buy/sell</t>
  </si>
  <si>
    <t>Buy: 85.2 | Sell: 32.1</t>
  </si>
  <si>
    <t>{"symbol": "KMB", "strategy": "Daily", "action": "LONG", "alert_price": 111.46, "score": "", "dir_prob": "91.5", "net_sigma": "", "grade": "", "align": "", "premium": "", "wrong_if": "", "context": "", "subject": "Alert: Rev - Screener v1 (SPY, 12): Any alert() function call", "body": "{\"ticker\":\"KMB\", \"setup\":\"A+ Trend Long\", \"side\":\"LONG\", \"price\":111.46, \"stage\":2, \"buy\":90, \"sell\":47.4, \"prime\":2, \"revL\":0, \"revS\":0, \"vcp\":0, \"dir_prob\":91.5, \"time\":1785159000000}", "ticker": "KMB", "setup": "A+ Trend Long", "side": "LONG", "price": 111.46, "stage": 2, "buy": 90, "sell": 47.4, "prime": 2, "revL": 0, "revS": 0, "vcp": 0, "time": 1785159000000, "email_id": "2450", "timestamp": "2026-07-27 16:01:34"}</t>
  </si>
  <si>
    <t>Buy: 92.8 | Sell: 38.4</t>
  </si>
  <si>
    <t>{"symbol": "L", "strategy": "Daily", "action": "LONG", "alert_price": 119.37, "score": "", "dir_prob": "78.6", "net_sigma": "", "grade": "", "align": "", "premium": "", "wrong_if": "", "context": "", "subject": "Alert: Rev - Screener v1 (SPY, 12): Any alert() function call", "body": "{\"ticker\":\"L\", \"setup\":\"Bullish Squeeze Release\", \"side\":\"LONG\", \"price\":119.37, \"stage\":2, \"buy\":85.2, \"sell\":32.1, \"prime\":2, \"revL\":0, \"revS\":0, \"vcp\":2, \"dir_prob\":78.6, \"time\":1785245400000}", "ticker": "L", "setup": "Bullish Squeeze Release", "side": "LONG", "price": 119.37, "stage": 2, "buy": 85.2, "sell": 32.1, "prime": 2, "revL": 0, "revS": 0, "vcp": 2, "time": 1785245400000, "email_id": "2543", "timestamp": "2026-07-28 16:01:03"}</t>
  </si>
  <si>
    <t>Buy: 94.7 | Sell: 41</t>
  </si>
  <si>
    <t>{"symbol": "BAX", "strategy": "Daily", "action": "LONG", "alert_price": 23.34, "score": "", "dir_prob": "88.3", "net_sigma": "", "grade": "", "align": "", "premium": "", "wrong_if": "", "context": "", "subject": "Alert: Rev - Screener v1 (SPY, 12): Any alert() function call", "body": "{\"ticker\":\"BAX\", \"setup\":\"A+ Trend Long\", \"side\":\"LONG\", \"price\":23.34, \"stage\":2, \"buy\":92.8, \"sell\":38.4, \"prime\":2, \"revL\":0, \"revS\":0, \"vcp\":1, \"dir_prob\":88.3, \"time\":1785159000000}", "ticker": "BAX", "setup": "A+ Trend Long", "side": "LONG", "price": 23.34, "stage": 2, "buy": 92.8, "sell": 38.4, "prime": 2, "revL": 0, "revS": 0, "vcp": 1, "time": 1785159000000, "email_id": "2451", "timestamp": "2026-07-27 16:01:35"}</t>
  </si>
  <si>
    <t>Buy: 95.3 | Sell: 27.3</t>
  </si>
  <si>
    <t>{"symbol": "CRL", "strategy": "Daily", "action": "LONG", "alert_price": 240.29, "score": "", "dir_prob": "85.4", "net_sigma": "", "grade": "", "align": "", "premium": "", "wrong_if": "", "context": "", "subject": "Alert: Rev - Screener v1 (SPY, 12): Any alert() function call", "body": "{\"ticker\":\"CRL\", \"setup\":\"A+ Trend Long\", \"side\":\"LONG\", \"price\":240.29, \"stage\":2, \"buy\":94.7, \"sell\":41, \"prime\":2, \"revL\":0, \"revS\":0, \"vcp\":1, \"dir_prob\":85.4, \"time\":1785245400000}", "ticker": "CRL", "setup": "A+ Trend Long", "side": "LONG", "price": 240.29, "stage": 2, "buy": 94.7, "sell": 41, "prime": 2, "revL": 0, "revS": 0, "vcp": 1, "time": 1785245400000, "email_id": "2544", "timestamp": "2026-07-28 16:01:04"}</t>
  </si>
  <si>
    <t>Buy: 91.7 | Sell: 39.7</t>
  </si>
  <si>
    <t>{"symbol": "V", "strategy": "Daily", "action": "LONG", "alert_price": 362.31, "score": "", "dir_prob": "94.6", "net_sigma": "", "grade": "", "align": "", "premium": "", "wrong_if": "", "context": "", "subject": "Alert: Rev - Screener v1 (SPY, 12): Any alert() function call", "body": "{\"ticker\":\"V\", \"setup\":\"A+ Trend Long\", \"side\":\"LONG\", \"price\":362.31, \"stage\":2, \"buy\":95.3, \"sell\":27.3, \"prime\":2, \"revL\":0, \"revS\":0, \"vcp\":0, \"dir_prob\":94.6, \"time\":1785159000000}", "ticker": "V", "setup": "A+ Trend Long", "side": "LONG", "price": 362.31, "stage": 2, "buy": 95.3, "sell": 27.3, "prime": 2, "revL": 0, "revS": 0, "vcp": 0, "time": 1785159000000, "email_id": "2452", "timestamp": "2026-07-27 16:01:34"}</t>
  </si>
  <si>
    <t>{"symbol": "COO", "strategy": "Daily", "action": "LONG", "alert_price": 72.1, "score": "", "dir_prob": "86", "net_sigma": "", "grade": "", "align": "", "premium": "", "wrong_if": "", "context": "", "subject": "Alert: Rev - Screener v1 (SPY, 12): Any alert() function call", "body": "{\"ticker\":\"COO\", \"setup\":\"A+ Trend Long\", \"side\":\"LONG\", \"price\":72.10, \"stage\":2, \"buy\":91.7, \"sell\":39.7, \"prime\":2, \"revL\":0, \"revS\":0, \"vcp\":1, \"dir_prob\":86, \"time\":1785245400000}", "ticker": "COO", "setup": "A+ Trend Long", "side": "LONG", "price": 72.1, "stage": 2, "buy": 91.7, "sell": 39.7, "prime": 2, "revL": 0, "revS": 0, "vcp": 1, "time": 1785245400000, "email_id": "2545", "timestamp": "2026-07-28 16:01:12"}</t>
  </si>
  <si>
    <t>{"symbol": "VEEV", "strategy": "Daily", "action": "LONG", "alert_price": 194.44, "score": "", "dir_prob": "98.7", "net_sigma": "", "grade": "", "align": "", "premium": "", "wrong_if": "", "context": "", "subject": "Alert: Rev - Screener v1 (SPY, 12): Any alert() function call", "body": "{\"ticker\":\"VEEV\", \"setup\":\"A+ Trend Long\", \"side\":\"LONG\", \"price\":194.44, \"stage\":2, \"buy\":96.6, \"sell\":6.2, \"prime\":2, \"revL\":0, \"revS\":0, \"vcp\":0, \"dir_prob\":98.7, \"time\":1785159000000}", "ticker": "VEEV", "setup": "A+ Trend Long", "side": "LONG", "price": 194.44, "stage": 2, "buy": 96.6, "sell": 6.2, "prime": 2, "revL": 0, "revS": 0, "vcp": 0, "time": 1785159000000, "email_id": "2453", "timestamp": "2026-07-27 16:01:39"}</t>
  </si>
  <si>
    <t>Buy: 83.4 | Sell: 51.8</t>
  </si>
  <si>
    <t>Buy: 95.2 | Sell: 25.8</t>
  </si>
  <si>
    <t>{"symbol": "COR", "strategy": "Daily", "action": "LONG", "alert_price": 311.24, "score": "", "dir_prob": "93.3", "net_sigma": "", "grade": "", "align": "", "premium": "", "wrong_if": "", "context": "", "subject": "Alert: Rev - Screener v1 (SPY, 12): Any alert() function call", "body": "{\"ticker\":\"COR\", \"setup\":\"A+ Trend Long\", \"side\":\"LONG\", \"price\":311.24, \"stage\":2, \"buy\":95.2, \"sell\":25.8, \"prime\":2, \"revL\":0, \"revS\":5, \"vcp\":0, \"dir_prob\":93.3, \"time\":1785159000000}", "ticker": "COR", "setup": "A+ Trend Long", "side": "LONG", "price": 311.24, "stage": 2, "buy": 95.2, "sell": 25.8, "prime": 2, "revL": 0, "revS": 5, "vcp": 0, "time": 1785159000000, "email_id": "2454", "timestamp": "2026-07-27 16:01:40"}</t>
  </si>
  <si>
    <t>Buy: 93.6 | Sell: 31</t>
  </si>
  <si>
    <t>{"symbol": "ECL", "strategy": "Daily", "action": "LONG", "alert_price": 282.95, "score": "", "dir_prob": "79.7", "net_sigma": "", "grade": "", "align": "", "premium": "", "wrong_if": "", "context": "", "subject": "Alert: Rev - Screener v1 (SPY, 12): Any alert() function call", "body": "{\"ticker\":\"ECL\", \"setup\":\"Early Ignition\", \"side\":\"LONG\", \"price\":282.95, \"stage\":2, \"buy\":83.4, \"sell\":51.8, \"prime\":0, \"revL\":0, \"revS\":0, \"vcp\":0, \"dir_prob\":79.7, \"time\":1785245400000}", "ticker": "ECL", "setup": "Early Ignition", "side": "LONG", "price": 282.95, "stage": 2, "buy": 83.4, "sell": 51.8, "prime": 0, "revL": 0, "revS": 0, "vcp": 0, "time": 1785245400000, "email_id": "2546", "timestamp": "2026-07-28 16:01:09"}</t>
  </si>
  <si>
    <t>Buy: 58.9 | Sell: 24.1</t>
  </si>
  <si>
    <t>{"symbol": "O", "strategy": "Daily", "action": "LONG", "alert_price": 65.51, "score": "", "dir_prob": "91.2", "net_sigma": "", "grade": "", "align": "", "premium": "", "wrong_if": "", "context": "", "subject": "Alert: Rev - Screener v1 (SPY, 12): Any alert() function call", "body": "{\"ticker\":\"O\", \"setup\":\"A+ Trend Long\", \"side\":\"LONG\", \"price\":65.51, \"stage\":2, \"buy\":93.6, \"sell\":31, \"prime\":2, \"revL\":0, \"revS\":0, \"vcp\":0, \"dir_prob\":91.2, \"time\":1785159000000}", "ticker": "O", "setup": "A+ Trend Long", "side": "LONG", "price": 65.51, "stage": 2, "buy": 93.6, "sell": 31, "prime": 2, "revL": 0, "revS": 0, "vcp": 0, "time": 1785159000000, "email_id": "2455", "timestamp": "2026-07-27 16:01:41"}</t>
  </si>
  <si>
    <t>TREND_LONG fires with buy=97.46 &gt;&gt; 65, dir_prob=89.53, and stage=2. News CONFIRMS the bullish bias with multiple headlines highlighting O as a top high-yield REIT and retirement stock. Triage is capped to WATCH due to the 'earnings' flag (9</t>
  </si>
  <si>
    <t>Buy: 87.1 | Sell: 50.9</t>
  </si>
  <si>
    <t>{"symbol": "BAX", "strategy": "Daily", "action": "LONG", "alert_price": 24.37, "score": "", "dir_prob": "80.5", "net_sigma": "", "grade": "", "align": "", "premium": "", "wrong_if": "", "context": "", "subject": "Alert: Rev - Screener v1 (SPY, 12): Any alert() function call", "body": "{\"ticker\":\"BAX\", \"setup\":\"Bullish Squeeze Release\", \"side\":\"LONG\", \"price\":24.37, \"stage\":2, \"buy\":58.9, \"sell\":24.1, \"prime\":0, \"revL\":0, \"revS\":5.5, \"vcp\":2, \"dir_prob\":80.5, \"time\":1785245400000}", "ticker": "BAX", "setup": "Bullish Squeeze Release", "side": "LONG", "price": 24.37, "stage": 2, "buy": 58.9, "sell": 24.1, "prime": 0, "revL": 0, "revS": 5.5, "vcp": 2, "time": 1785245400000, "email_id": "2547", "timestamp": "2026-07-28 16:01:04"}</t>
  </si>
  <si>
    <t>Buy: 97.2 | Sell: 19.6</t>
  </si>
  <si>
    <t>{"symbol": "BALL", "strategy": "Daily", "action": "LONG", "alert_price": 64.67, "score": "", "dir_prob": "84.1", "net_sigma": "", "grade": "", "align": "", "premium": "", "wrong_if": "", "context": "", "subject": "Alert: Rev - Screener v1 (SPY, 12): Any alert() function call", "body": "{\"ticker\":\"BALL\", \"setup\":\"A+ Trend Long\", \"side\":\"LONG\", \"price\":64.67, \"stage\":2, \"buy\":87.1, \"sell\":50.9, \"prime\":2, \"revL\":0, \"revS\":4.5, \"vcp\":1, \"dir_prob\":84.1, \"time\":1785159000000}", "ticker": "BALL", "setup": "A+ Trend Long", "side": "LONG", "price": 64.67, "stage": 2, "buy": 87.1, "sell": 50.9, "prime": 2, "revL": 0, "revS": 4.5, "vcp": 1, "time": 1785159000000, "email_id": "2456", "timestamp": "2026-07-27 16:01:43"}</t>
  </si>
  <si>
    <t>Buy: 91.3 | Sell: 13.5</t>
  </si>
  <si>
    <t>{"symbol": "IVZ", "strategy": "Daily", "action": "LONG", "alert_price": 29.43, "score": "", "dir_prob": "88.9", "net_sigma": "", "grade": "", "align": "", "premium": "", "wrong_if": "", "context": "", "subject": "Alert: Rev - Screener v1 (SPY, 12): Any alert() function call", "body": "{\"ticker\":\"IVZ\", \"setup\":\"A+ Trend Long\", \"side\":\"LONG\", \"price\":29.43, \"stage\":2, \"buy\":97.2, \"sell\":19.6, \"prime\":2, \"revL\":0, \"revS\":0, \"vcp\":0, \"dir_prob\":88.9, \"time\":1785245400000}", "ticker": "IVZ", "setup": "A+ Trend Long", "side": "LONG", "price": 29.43, "stage": 2, "buy": 97.2, "sell": 19.6, "prime": 2, "revL": 0, "revS": 0, "vcp": 0, "time": 1785245400000, "email_id": "2548", "timestamp": "2026-07-28 16:01:13"}</t>
  </si>
  <si>
    <t>Buy: 95.1 | Sell: 8.8</t>
  </si>
  <si>
    <t>WAIT / STALK — Setup NOT triggered (Code 9 FORMING) + FOMC tomorrow = no fresh entry</t>
  </si>
  <si>
    <t>Entry: 250.62
Stop: 247.65
Target: 254.46
See markdown for full rationale.</t>
  </si>
  <si>
    <t>{"symbol": "MET", "strategy": "Daily", "action": "LONG", "alert_price": 95.2, "score": "", "dir_prob": "90", "net_sigma": "", "grade": "", "align": "", "premium": "", "wrong_if": "", "context": "", "subject": "Alert: Rev - Screener v1 (SPY, 12): Any alert() function call", "body": "{\"ticker\":\"MET\", \"setup\":\"A+ Trend Long\", \"side\":\"LONG\", \"price\":95.20, \"stage\":2, \"buy\":91.3, \"sell\":13.5, \"prime\":2, \"revL\":0, \"revS\":0, \"vcp\":0, \"dir_prob\":90, \"time\":1785159000000}", "ticker": "MET", "setup": "A+ Trend Long", "side": "LONG", "price": 95.2, "stage": 2, "buy": 91.3, "sell": 13.5, "prime": 2, "revL": 0, "revS": 0, "vcp": 0, "time": 1785159000000, "email_id": "2458", "timestamp": "2026-07-27 16:01:42"}</t>
  </si>
  <si>
    <t>COHR</t>
  </si>
  <si>
    <t>Buy: 5.8 | Sell: 25.4</t>
  </si>
  <si>
    <t>{"symbol": "PNC", "strategy": "Daily", "action": "LONG", "alert_price": 251.63, "score": "", "dir_prob": "93.1", "net_sigma": "", "grade": "", "align": "", "premium": "", "wrong_if": "", "context": "", "subject": "Alert: Rev - Screener v1 (SPY, 12): Any alert() function call", "body": "{\"ticker\":\"PNC\", \"setup\":\"A+ Trend Long\", \"side\":\"LONG\", \"price\":251.63, \"stage\":2, \"buy\":95.1, \"sell\":8.8, \"prime\":2, \"revL\":0, \"revS\":0, \"vcp\":1, \"dir_prob\":93.1, \"time\":1785245400000}", "ticker": "PNC", "setup": "A+ Trend Long", "side": "LONG", "price": 251.63, "stage": 2, "buy": 95.1, "sell": 8.8, "prime": 2, "revL": 0, "revS": 0, "vcp": 1, "time": 1785245400000, "email_id": "2549", "timestamp": "2026-07-28 16:01:04"}</t>
  </si>
  <si>
    <t>TREND_LONG fires with buy=87.54 &gt; 65, dir_prob=90.11 &gt;= 50, and stage=2. News is NEUTRAL (no direct catalyst for PNC, though BOH beat is mentioned). Triage capped to WATCH due to 'chased' flag (price above long_zone) and 'squeeze' regime (6</t>
  </si>
  <si>
    <t>MRVL</t>
  </si>
  <si>
    <t>Buy: 7.2 | Sell: 23.8</t>
  </si>
  <si>
    <t>{"symbol": "COHR", "strategy": "Daily", "action": "LONG", "alert_price": 271.31, "score": "", "dir_prob": "12.4", "net_sigma": "", "grade": "", "align": "", "premium": "", "wrong_if": "", "context": "", "subject": "Alert: Rev - Screener v1 (SPY, 12): Any alert() function call", "body": "{\"ticker\":\"COHR\", \"setup\":\"Research Reversal (Any Stage)\", \"side\":\"LONG\", \"price\":271.31, \"stage\":4, \"buy\":5.8, \"sell\":25.4, \"prime\":0, \"revL\":7, \"revS\":0, \"vcp\":0, \"dir_prob\":12.4, \"time\":1785159000000}", "ticker": "COHR", "setup": "Research Reversal (Any Stage)", "side": "LONG", "price": 271.31, "stage": 4, "buy": 5.8, "sell": 25.4, "prime": 0, "revL": 7, "revS": 0, "vcp": 0, "time": 1785159000000, "email_id": "2460", "timestamp": "2026-07-27 16:01:42"}</t>
  </si>
  <si>
    <t>{"symbol": "MRVL", "strategy": "Daily", "action": "LONG", "alert_price": 174.41, "score": "", "dir_prob": "35", "net_sigma": "", "grade": "", "align": "", "premium": "", "wrong_if": "", "context": "", "subject": "Alert: Rev - Screener v1 (SPY, 12): Any alert() function call", "body": "{\"ticker\":\"MRVL\", \"setup\":\"Research Reversal (Any Stage)\", \"side\":\"LONG\", \"price\":174.41, \"stage\":4, \"buy\":7.2, \"sell\":23.8, \"prime\":0, \"revL\":7, \"revS\":0, \"vcp\":0, \"dir_prob\":35, \"time\":1785245400000}", "ticker": "MRVL", "setup": "Research Reversal (Any Stage)", "side": "LONG", "price": 174.41, "stage": 4, "buy": 7.2, "sell": 23.8, "prime": 0, "revL": 7, "revS": 0, "vcp": 0, "time": 1785245400000, "email_id": "2550", "timestamp": "2026-07-28 16:01:09"}</t>
  </si>
  <si>
    <t>Buy: 94.5 | Sell: 17.1</t>
  </si>
  <si>
    <t>Buy: 64.9 | Sell: 42.2</t>
  </si>
  <si>
    <t>{"symbol": "IVZ", "strategy": "Daily", "action": "LONG", "alert_price": 30.11, "score": "", "dir_prob": "89", "net_sigma": "", "grade": "", "align": "", "premium": "", "wrong_if": "", "context": "", "subject": "Alert: Rev - Screener v1 (SPY, 12): Any alert() function call", "body": "{\"ticker\":\"IVZ\", \"setup\":\"A+ Trend Long\", \"side\":\"LONG\", \"price\":30.11, \"stage\":2, \"buy\":94.5, \"sell\":17.1, \"prime\":2, \"revL\":0, \"revS\":0, \"vcp\":0, \"dir_prob\":89, \"time\":1785159000000}", "ticker": "IVZ", "setup": "A+ Trend Long", "side": "LONG", "price": 30.11, "stage": 2, "buy": 94.5, "sell": 17.1, "prime": 2, "revL": 0, "revS": 0, "vcp": 0, "time": 1785159000000, "email_id": "2461", "timestamp": "2026-07-27 16:01:43"}</t>
  </si>
  <si>
    <t>Buy: 96.9 | Sell: 12.3</t>
  </si>
  <si>
    <t>{"symbol": "EXPE", "strategy": "Daily", "action": "LONG", "alert_price": 296.0, "score": "", "dir_prob": "56.8", "net_sigma": "", "grade": "", "align": "", "premium": "", "wrong_if": "", "context": "", "subject": "Alert: Rev - Screener v1 (SPY, 12): Any alert() function call", "body": "{\"ticker\":\"EXPE\", \"setup\":\"Bullish Squeeze Release\", \"side\":\"LONG\", \"price\":296.00, \"stage\":2, \"buy\":64.9, \"sell\":42.2, \"prime\":0, \"revL\":0, \"revS\":0, \"vcp\":2, \"dir_prob\":56.8, \"time\":1785245400000}", "ticker": "EXPE", "setup": "Bullish Squeeze Release", "side": "LONG", "price": 296.0, "stage": 2, "buy": 64.9, "sell": 42.2, "prime": 0, "revL": 0, "revS": 0, "vcp": 2, "time": 1785245400000, "email_id": "2551", "timestamp": "2026-07-28 16:01:05"}</t>
  </si>
  <si>
    <t>Buy: 85.5 | Sell: 53.8</t>
  </si>
  <si>
    <t>{"symbol": "TECH", "strategy": "Daily", "action": "LONG", "alert_price": 71.61, "score": "", "dir_prob": "95.9", "net_sigma": "", "grade": "", "align": "", "premium": "", "wrong_if": "", "context": "", "subject": "Alert: Rev - Screener v1 (SPY, 12): Any alert() function call", "body": "{\"ticker\":\"TECH\", \"setup\":\"A+ Trend Long\", \"side\":\"LONG\", \"price\":71.61, \"stage\":2, \"buy\":96.9, \"sell\":12.3, \"prime\":2, \"revL\":0, \"revS\":0, \"vcp\":1, \"dir_prob\":95.9, \"time\":1785159000000}", "ticker": "TECH", "setup": "A+ Trend Long", "side": "LONG", "price": 71.61, "stage": 2, "buy": 96.9, "sell": 12.3, "prime": 2, "revL": 0, "revS": 0, "vcp": 1, "time": 1785159000000, "email_id": "2462", "timestamp": "2026-07-27 16:01:43"}</t>
  </si>
  <si>
    <t>Buy: 95.6 | Sell: 11.2</t>
  </si>
  <si>
    <t>{"symbol": "KMB", "strategy": "Daily", "action": "LONG", "alert_price": 113.13, "score": "", "dir_prob": "87.8", "net_sigma": "", "grade": "", "align": "", "premium": "", "wrong_if": "", "context": "", "subject": "Alert: Rev - Screener v1 (SPY, 12): Any alert() function call", "body": "{\"ticker\":\"KMB\", \"setup\":\"A+ Trend Long\", \"side\":\"LONG\", \"price\":113.13, \"stage\":2, \"buy\":85.5, \"sell\":53.8, \"prime\":2, \"revL\":0, \"revS\":0, \"vcp\":0, \"dir_prob\":87.8, \"time\":1785245400000}", "ticker": "KMB", "setup": "A+ Trend Long", "side": "LONG", "price": 113.13, "stage": 2, "buy": 85.5, "sell": 53.8, "prime": 2, "revL": 0, "revS": 0, "vcp": 0, "time": 1785245400000, "email_id": "2552", "timestamp": "2026-07-28 16:01:08"}</t>
  </si>
  <si>
    <t>TREND_LONG fires with buy=73.66 &gt; 65, dir_prob=97.21, and stage=2. News is NEUTRAL (dividend focus) and does not contradict the long bias. Triage capped to WATCH due to 'chased' flag (price above zone with poor R:R) and 'earnings' caution (</t>
  </si>
  <si>
    <t>Buy: 95.3 | Sell: 16.6</t>
  </si>
  <si>
    <t>{"symbol": "ACGL", "strategy": "Daily", "action": "LONG", "alert_price": 103.88, "score": "", "dir_prob": "93.8", "net_sigma": "", "grade": "", "align": "", "premium": "", "wrong_if": "", "context": "", "subject": "Alert: Rev - Screener v1 (SPY, 12): Any alert() function call", "body": "{\"ticker\":\"ACGL\", \"setup\":\"A+ Trend Long\", \"side\":\"LONG\", \"price\":103.88, \"stage\":2, \"buy\":95.6, \"sell\":11.2, \"prime\":2, \"revL\":0, \"revS\":0, \"vcp\":0, \"dir_prob\":93.8, \"time\":1785159000000}", "ticker": "ACGL", "setup": "A+ Trend Long", "side": "LONG", "price": 103.88, "stage": 2, "buy": 95.6, "sell": 11.2, "prime": 2, "revL": 0, "revS": 0, "vcp": 0, "time": 1785159000000, "email_id": "2463", "timestamp": "2026-07-27 16:01:33"}</t>
  </si>
  <si>
    <t>Buy: 85.3 | Sell: 5.7</t>
  </si>
  <si>
    <t>{"symbol": "D", "strategy": "Daily", "action": "LONG", "alert_price": 70.58, "score": "", "dir_prob": "92.2", "net_sigma": "", "grade": "", "align": "", "premium": "", "wrong_if": "", "context": "", "subject": "Alert: Rev - Screener v1 (SPY, 12): Any alert() function call", "body": "{\"ticker\":\"D\", \"setup\":\"A+ Trend Long\", \"side\":\"LONG\", \"price\":70.58, \"stage\":2, \"buy\":89.5, \"sell\":11.9, \"prime\":2, \"revL\":0, \"revS\":0, \"vcp\":1, \"dir_prob\":92.2, \"time\":1785331800000}", "ticker": "D", "setup": "A+ Trend Long", "side": "LONG", "price": 70.58, "stage": 2, "buy": 89.5, "sell": 11.9, "prime": 2, "revL": 0, "revS": 0, "vcp": 1, "time": 1785331800000, "email_id": "2691", "timestamp": "2026-07-29 16:01:31"}</t>
  </si>
  <si>
    <t>{"symbol": "DG", "strategy": "Daily", "action": "LONG", "alert_price": 126.0, "score": "", "dir_prob": "95.4", "net_sigma": "", "grade": "", "align": "", "premium": "", "wrong_if": "", "context": "", "subject": "Alert: Rev - Screener v1 (SPY, 12): Any alert() function call", "body": "{\"ticker\":\"DG\", \"setup\":\"A+ Trend Long\", \"side\":\"LONG\", \"price\":126.00, \"stage\":2, \"buy\":95.3, \"sell\":16.6, \"prime\":2, \"revL\":0, \"revS\":0, \"vcp\":0, \"dir_prob\":95.4, \"time\":1785245400000}", "ticker": "DG", "setup": "A+ Trend Long", "side": "LONG", "price": 126.0, "stage": 2, "buy": 95.3, "sell": 16.6, "prime": 2, "revL": 0, "revS": 0, "vcp": 0, "time": 1785245400000, "email_id": "2553", "timestamp": "2026-07-28 16:01:16"}</t>
  </si>
  <si>
    <t>Buy: 94.5 | Sell: 23.9</t>
  </si>
  <si>
    <t>Buy: 95.6 | Sell: 12.9</t>
  </si>
  <si>
    <t>{"symbol": "TECH", "strategy": "Daily", "action": "LONG", "alert_price": 72.04, "score": "", "dir_prob": "93.4", "net_sigma": "", "grade": "", "align": "", "premium": "", "wrong_if": "", "context": "", "subject": "Alert: Rev - Screener v1 (SPY, 12): Any alert() function call", "body": "{\"ticker\":\"TECH\", \"setup\":\"A+ Trend Long\", \"side\":\"LONG\", \"price\":72.04, \"stage\":2, \"buy\":94.5, \"sell\":23.9, \"prime\":2, \"revL\":0, \"revS\":0, \"vcp\":1, \"dir_prob\":93.4, \"time\":1785331800000}", "ticker": "TECH", "setup": "A+ Trend Long", "side": "LONG", "price": 72.04, "stage": 2, "buy": 94.5, "sell": 23.9, "prime": 2, "revL": 0, "revS": 0, "vcp": 1, "time": 1785331800000, "email_id": "2692", "timestamp": "2026-07-29 16:01:39"}</t>
  </si>
  <si>
    <t>{"symbol": "CTVA", "strategy": "Daily", "action": "LONG", "alert_price": 88.98, "score": "", "dir_prob": "92.4", "net_sigma": "", "grade": "", "align": "", "premium": "", "wrong_if": "", "context": "", "subject": "Alert: Rev - Screener v1 (SPY, 12): Any alert() function call", "body": "{\"ticker\":\"CTVA\", \"setup\":\"A+ Trend Long\", \"side\":\"LONG\", \"price\":88.98, \"stage\":2, \"buy\":95.6, \"sell\":12.9, \"prime\":2, \"revL\":0, \"revS\":0, \"vcp\":0, \"dir_prob\":92.4, \"time\":1785245400000}", "ticker": "CTVA", "setup": "A+ Trend Long", "side": "LONG", "price": 88.98, "stage": 2, "buy": 95.6, "sell": 12.9, "prime": 2, "revL": 0, "revS": 0, "vcp": 0, "time": 1785245400000, "email_id": "2554", "timestamp": "2026-07-28 16:01:16"}</t>
  </si>
  <si>
    <t>{"symbol": "SCHW", "strategy": "Daily", "action": "LONG", "alert_price": 104.18, "score": "", "dir_prob": "95.8", "net_sigma": "", "grade": "", "align": "", "premium": "", "wrong_if": "", "context": "", "subject": "Alert: Rev - Screener v1 (SPY, 12): Any alert() function call", "body": "{\"ticker\":\"SCHW\", \"setup\":\"A+ Trend Long\", \"side\":\"LONG\", \"price\":104.18, \"stage\":2, \"buy\":85.3, \"sell\":5.7, \"prime\":2, \"revL\":0, \"revS\":0, \"vcp\":0, \"dir_prob\":95.8, \"time\":1785159000000}", "ticker": "SCHW", "setup": "A+ Trend Long", "side": "LONG", "price": 104.18, "stage": 2, "buy": 85.3, "sell": 5.7, "prime": 2, "revL": 0, "revS": 0, "vcp": 0, "time": 1785159000000, "email_id": "2464", "timestamp": "2026-07-27 16:01:33"}</t>
  </si>
  <si>
    <t>Buy: 90 | Sell: 12.6</t>
  </si>
  <si>
    <t>Buy: 88 | Sell: 18.6</t>
  </si>
  <si>
    <t>Buy: 90.5 | Sell: 40.1</t>
  </si>
  <si>
    <t>**SKIP** (do not initiate a new long position this week)</t>
  </si>
  <si>
    <t>{"symbol": "AXON", "strategy": "Daily", "action": "LONG", "alert_price": 547.5, "score": "", "dir_prob": "95.5", "net_sigma": "", "grade": "", "align": "", "premium": "", "wrong_if": "", "context": "", "subject": "Alert: Rev - Screener v1 (SPY, 12): Any alert() function call", "body": "{\"ticker\":\"AXON\", \"setup\":\"A+ Trend Long\", \"side\":\"LONG\", \"price\":547.50, \"stage\":2, \"buy\":88, \"sell\":18.6, \"prime\":2, \"revL\":0, \"revS\":0, \"vcp\":0, \"dir_prob\":95.5, \"time\":1785245400000}", "ticker": "AXON", "setup": "A+ Trend Long", "side": "LONG", "price": 547.5, "stage": 2, "buy": 88, "sell": 18.6, "prime": 2, "revL": 0, "revS": 0, "vcp": 0, "time": 1785245400000, "email_id": "2556", "timestamp": "2026-07-28 16:01:12"}</t>
  </si>
  <si>
    <t>{"symbol": "TDY", "strategy": "Daily", "action": "LONG", "alert_price": 631.31, "score": "", "dir_prob": "95.3", "net_sigma": "", "grade": "", "align": "", "premium": "", "wrong_if": "", "context": "", "subject": "Alert: Rev - Screener v1 (SPY, 12): Any alert() function call", "body": "{\"ticker\":\"TDY\", \"setup\":\"A+ Trend Long\", \"side\":\"LONG\", \"price\":631.31, \"stage\":2, \"buy\":90, \"sell\":12.6, \"prime\":2, \"revL\":0, \"revS\":0, \"vcp\":1, \"dir_prob\":95.3, \"time\":1785331800000}", "ticker": "TDY", "setup": "A+ Trend Long", "side": "LONG", "price": 631.31, "stage": 2, "buy": 90, "sell": 12.6, "prime": 2, "revL": 0, "revS": 0, "vcp": 1, "time": 1785331800000, "email_id": "2693", "timestamp": "2026-07-29 16:01:41"}</t>
  </si>
  <si>
    <t>Buy: 97.1 | Sell: 6.5</t>
  </si>
  <si>
    <t>{"symbol": "ABBV", "strategy": "Daily", "action": "LONG", "alert_price": 256.87, "score": "", "dir_prob": "82.2", "net_sigma": "", "grade": "", "align": "", "premium": "", "wrong_if": "", "context": "", "subject": "Alert: Rev - Screener v1 (SPY, 12): Any alert() function call", "body": "{\"ticker\":\"ABBV\", \"setup\":\"A+ Trend Long\", \"side\":\"LONG\", \"price\":256.87, \"stage\":2, \"buy\":90.5, \"sell\":40.1, \"prime\":2, \"revL\":0, \"revS\":0, \"vcp\":1, \"dir_prob\":82.2, \"time\":1785159000000}", "ticker": "ABBV", "setup": "A+ Trend Long", "side": "LONG", "price": 256.87, "stage": 2, "buy": 90.5, "sell": 40.1, "prime": 2, "revL": 0, "revS": 0, "vcp": 1, "time": 1785159000000, "email_id": "2465", "timestamp": "2026-07-27 16:01:38"}</t>
  </si>
  <si>
    <t>Buy: 91.6 | Sell: 14.7</t>
  </si>
  <si>
    <t>No active entry mode fires: buy=97 is high but ignition_long=0 and rev_zone_l=0, so it does not meet TREND_LONG (requires buy&gt;=65 AND dir_prob&gt;=50, which it does, but the logic prioritizes ignition/rev first; however, the spec says TREND is</t>
  </si>
  <si>
    <t>Buy: 95.9 | Sell: 23.6</t>
  </si>
  <si>
    <t>{"symbol": "NSC", "strategy": "Daily", "action": "LONG", "alert_price": 336.15, "score": "", "dir_prob": "94.7", "net_sigma": "", "grade": "", "align": "", "premium": "", "wrong_if": "", "context": "", "subject": "Alert: Rev - Screener v1 (SPY, 12): Any alert() function call", "body": "{\"ticker\":\"NSC\", \"setup\":\"A+ Trend Long\", \"side\":\"LONG\", \"price\":336.15, \"stage\":2, \"buy\":97.1, \"sell\":6.5, \"prime\":2, \"revL\":0, \"revS\":0, \"vcp\":0, \"dir_prob\":94.7, \"time\":1785331800000}", "ticker": "NSC", "setup": "A+ Trend Long", "side": "LONG", "price": 336.15, "stage": 2, "buy": 97.1, "sell": 6.5, "prime": 2, "revL": 0, "revS": 0, "vcp": 0, "time": 1785331800000, "email_id": "2694", "timestamp": "2026-07-29 16:02:02"}</t>
  </si>
  <si>
    <t>SWK</t>
  </si>
  <si>
    <t>Buy: 95.8 | Sell: 60</t>
  </si>
  <si>
    <t>{"symbol": "TROW", "strategy": "Daily", "action": "LONG", "alert_price": 121.66, "score": "", "dir_prob": "91.9", "net_sigma": "", "grade": "", "align": "", "premium": "", "wrong_if": "", "context": "", "subject": "Alert: Rev - Screener v1 (SPY, 12): Any alert() function call", "body": "{\"ticker\":\"TROW\", \"setup\":\"A+ Trend Long\", \"side\":\"LONG\", \"price\":121.66, \"stage\":2, \"buy\":91.6, \"sell\":14.7, \"prime\":2, \"revL\":0, \"revS\":0, \"vcp\":1, \"dir_prob\":91.9, \"time\":1785245400000}", "ticker": "TROW", "setup": "A+ Trend Long", "side": "LONG", "price": 121.66, "stage": 2, "buy": 91.6, "sell": 14.7, "prime": 2, "revL": 0, "revS": 0, "vcp": 1, "time": 1785245400000, "email_id": "2555", "timestamp": "2026-07-28 16:01:09"}</t>
  </si>
  <si>
    <t>Buy: 14.2 | Sell: 14.7</t>
  </si>
  <si>
    <t>{"symbol": "DG", "strategy": "Daily", "action": "LONG", "alert_price": 123.23, "score": "", "dir_prob": "94.5", "net_sigma": "", "grade": "", "align": "", "premium": "", "wrong_if": "", "context": "", "subject": "Alert: Rev - Screener v1 (SPY, 12): Any alert() function call", "body": "{\"ticker\":\"DG\", \"setup\":\"A+ Trend Long\", \"side\":\"LONG\", \"price\":123.23, \"stage\":2, \"buy\":95.9, \"sell\":23.6, \"prime\":2, \"revL\":0, \"revS\":0, \"vcp\":0, \"dir_prob\":94.5, \"time\":1785159000000}", "ticker": "DG", "setup": "A+ Trend Long", "side": "LONG", "price": 123.23, "stage": 2, "buy": 95.9, "sell": 23.6, "prime": 2, "revL": 0, "revS": 0, "vcp": 0, "time": 1785159000000, "email_id": "2466", "timestamp": "2026-07-27 16:01:31"}</t>
  </si>
  <si>
    <t>{"symbol": "SWK", "strategy": "Daily", "action": "LONG", "alert_price": 93.04, "score": "", "dir_prob": "71.4", "net_sigma": "", "grade": "", "align": "", "premium": "", "wrong_if": "", "context": "", "subject": "Alert: Rev - Screener v1 (SPY, 12): Any alert() function call", "body": "{\"ticker\":\"SWK\", \"setup\":\"Early Ignition\", \"side\":\"LONG\", \"price\":93.04, \"stage\":2, \"buy\":95.8, \"sell\":60, \"prime\":0, \"revL\":0, \"revS\":0, \"vcp\":0, \"dir_prob\":71.4, \"time\":1785331800000}", "ticker": "SWK", "setup": "Early Ignition", "side": "LONG", "price": 93.04, "stage": 2, "buy": 95.8, "sell": 60, "prime": 0, "revL": 0, "revS": 0, "vcp": 0, "time": 1785331800000, "email_id": "2695", "timestamp": "2026-07-29 16:01:18"}</t>
  </si>
  <si>
    <t>Buy: 96.1 | Sell: 5.9</t>
  </si>
  <si>
    <t>{"symbol": "KHC", "strategy": "Daily", "action": "LONG", "alert_price": 27.31, "score": "", "dir_prob": "56.6", "net_sigma": "", "grade": "", "align": "", "premium": "", "wrong_if": "", "context": "", "subject": "Alert: Rev - Screener v1 (SPY, 12): Any alert() function call", "body": "{\"ticker\":\"KHC\", \"setup\":\"Early Ignition\", \"side\":\"LONG\", \"price\":27.31, \"stage\":2, \"buy\":14.2, \"sell\":14.7, \"prime\":0, \"revL\":0, \"revS\":6.5, \"vcp\":0, \"dir_prob\":56.6, \"time\":1785245400000}", "ticker": "KHC", "setup": "Early Ignition", "side": "LONG", "price": 27.31, "stage": 2, "buy": 14.2, "sell": 14.7, "prime": 0, "revL": 0, "revS": 6.5, "vcp": 0, "time": 1785245400000, "email_id": "2558", "timestamp": "2026-07-28 16:01:08"}</t>
  </si>
  <si>
    <t>{"symbol": "EIX", "strategy": "Daily", "action": "LONG", "alert_price": 78.64, "score": "", "dir_prob": "89.6", "net_sigma": "", "grade": "", "align": "", "premium": "", "wrong_if": "", "context": "", "subject": "Alert: Rev - Screener v1 (SPY, 12): Any alert() function call", "body": "{\"ticker\":\"EIX\", \"setup\":\"A+ Trend Long\", \"side\":\"LONG\", \"price\":78.64, \"stage\":2, \"buy\":96.1, \"sell\":5.9, \"prime\":2, \"revL\":0, \"revS\":0, \"vcp\":0, \"dir_prob\":89.6, \"time\":1785331800000}", "ticker": "EIX", "setup": "A+ Trend Long", "side": "LONG", "price": 78.64, "stage": 2, "buy": 96.1, "sell": 5.9, "prime": 2, "revL": 0, "revS": 0, "vcp": 0, "time": 1785331800000, "email_id": "2696", "timestamp": "2026-07-29 16:01:17"}</t>
  </si>
  <si>
    <t>TYL</t>
  </si>
  <si>
    <t>Buy: 86.6 | Sell: 46.6</t>
  </si>
  <si>
    <t>Buy: 37.3 | Sell: 23.3</t>
  </si>
  <si>
    <t>{"symbol": "D", "strategy": "Daily", "action": "LONG", "alert_price": 70.26, "score": "", "dir_prob": "93.2", "net_sigma": "", "grade": "", "align": "", "premium": "", "wrong_if": "", "context": "", "subject": "Alert: Rev - Screener v1 (SPY, 12): Any alert() function call", "body": "{\"ticker\":\"D\", \"setup\":\"A+ Trend Long\", \"side\":\"LONG\", \"price\":70.26, \"stage\":2, \"buy\":92.2, \"sell\":10.2, \"prime\":2, \"revL\":0, \"revS\":0, \"vcp\":0, \"dir_prob\":93.2, \"time\":1785159000000}", "ticker": "D", "setup": "A+ Trend Long", "side": "LONG", "price": 70.26, "stage": 2, "buy": 92.2, "sell": 10.2, "prime": 2, "revL": 0, "revS": 0, "vcp": 0, "time": 1785159000000, "email_id": "2467", "timestamp": "2026-07-27 16:01:42"}</t>
  </si>
  <si>
    <t>Buy: 95.6 | Sell: 8.1</t>
  </si>
  <si>
    <t>{"symbol": "TYL", "strategy": "Daily", "action": "LONG", "alert_price": 334.22, "score": "", "dir_prob": "93.3", "net_sigma": "", "grade": "", "align": "", "premium": "", "wrong_if": "", "context": "", "subject": "Alert: Rev - Screener v1 (SPY, 12): Any alert() function call", "body": "{\"ticker\":\"TYL\", \"setup\":\"Early Ignition\", \"side\":\"LONG\", \"price\":334.22, \"stage\":2, \"buy\":37.3, \"sell\":23.3, \"prime\":0, \"revL\":0, \"revS\":6, \"vcp\":0, \"dir_prob\":93.3, \"time\":1785331800000}", "ticker": "TYL", "setup": "Early Ignition", "side": "LONG", "price": 334.22, "stage": 2, "buy": 37.3, "sell": 23.3, "prime": 0, "revL": 0, "revS": 6, "vcp": 0, "time": 1785331800000, "email_id": "2697", "timestamp": "2026-07-29 16:01:17"}</t>
  </si>
  <si>
    <t>Buy: 90.4 | Sell: 20</t>
  </si>
  <si>
    <t>{"symbol": "FITB", "strategy": "Daily", "action": "LONG", "alert_price": 57.0, "score": "", "dir_prob": "91.4", "net_sigma": "", "grade": "", "align": "", "premium": "", "wrong_if": "", "context": "", "subject": "Alert: Rev - Screener v1 (SPY, 12): Any alert() function call", "body": "{\"ticker\":\"FITB\", \"setup\":\"A+ Trend Long\", \"side\":\"LONG\", \"price\":57.00, \"stage\":2, \"buy\":95.6, \"sell\":8.1, \"prime\":2, \"revL\":0, \"revS\":0, \"vcp\":1, \"dir_prob\":91.4, \"time\":1785159000000}", "ticker": "FITB", "setup": "A+ Trend Long", "side": "LONG", "price": 57.0, "stage": 2, "buy": 95.6, "sell": 8.1, "prime": 2, "revL": 0, "revS": 0, "vcp": 1, "time": 1785159000000, "email_id": "2470", "timestamp": "2026-07-27 16:01:33"}</t>
  </si>
  <si>
    <t>TREND_LONG fires with buy=95.48 &gt;&gt; 65, dir_prob=87.4 &gt;&gt; 50, and stage=2. News CONFIRMS with a price target raise to $59. Flags include 'squeeze' (regime=6, coiling) and 'pullback' (price above long_zone). Conviction is high due to strong R:</t>
  </si>
  <si>
    <t>{"symbol": "CINF", "strategy": "Daily", "action": "LONG", "alert_price": 182.53, "score": "", "dir_prob": "76.7", "net_sigma": "", "grade": "", "align": "", "premium": "", "wrong_if": "", "context": "", "subject": "Alert: Rev - Screener v1 (SPY, 12): Any alert() function call", "body": "{\"ticker\":\"CINF\", \"setup\":\"A+ Trend Long\", \"side\":\"LONG\", \"price\":182.53, \"stage\":2, \"buy\":86.6, \"sell\":46.6, \"prime\":2, \"revL\":0, \"revS\":0, \"vcp\":0, \"dir_prob\":76.7, \"time\":1785245400000}", "ticker": "CINF", "setup": "A+ Trend Long", "side": "LONG", "price": 182.53, "stage": 2, "buy": 86.6, "sell": 46.6, "prime": 2, "revL": 0, "revS": 0, "vcp": 0, "time": 1785245400000, "email_id": "2559", "timestamp": "2026-07-28 16:01:08"}</t>
  </si>
  <si>
    <t>KLAC</t>
  </si>
  <si>
    <t>Buy: 90.4 | Sell: 31.4</t>
  </si>
  <si>
    <t>Buy: 9.6 | Sell: 9.3</t>
  </si>
  <si>
    <t>{"symbol": "XYZ", "strategy": "Daily", "action": "LONG", "alert_price": 82.21, "score": "", "dir_prob": "90.5", "net_sigma": "", "grade": "", "align": "", "premium": "", "wrong_if": "", "context": "", "subject": "Alert: Rev - Screener v1 (SPY, 12): Any alert() function call", "body": "{\"ticker\":\"XYZ\", \"setup\":\"A+ Trend Long\", \"side\":\"LONG\", \"price\":82.21, \"stage\":2, \"buy\":90.4, \"sell\":20, \"prime\":2, \"revL\":0, \"revS\":0, \"vcp\":1, \"dir_prob\":90.5, \"time\":1785331800000}", "ticker": "XYZ", "setup": "A+ Trend Long", "side": "LONG", "price": 82.21, "stage": 2, "buy": 90.4, "sell": 20, "prime": 2, "revL": 0, "revS": 0, "vcp": 1, "time": 1785331800000, "email_id": "2698", "timestamp": "2026-07-29 16:01:19"}</t>
  </si>
  <si>
    <t>Buy: 87.1 | Sell: 24.5</t>
  </si>
  <si>
    <t>{"symbol": "AMGN", "strategy": "Daily", "action": "LONG", "alert_price": 376.21, "score": "", "dir_prob": "85.5", "net_sigma": "", "grade": "", "align": "", "premium": "", "wrong_if": "", "context": "", "subject": "Alert: Rev - Screener v1 (SPY, 12): Any alert() function call", "body": "{\"ticker\":\"AMGN\", \"setup\":\"A+ Trend Long\", \"side\":\"LONG\", \"price\":376.21, \"stage\":2, \"buy\":90.4, \"sell\":31.4, \"prime\":2, \"revL\":0, \"revS\":0, \"vcp\":1, \"dir_prob\":85.5, \"time\":1785159000000}", "ticker": "AMGN", "setup": "A+ Trend Long", "side": "LONG", "price": 376.21, "stage": 2, "buy": 90.4, "sell": 31.4, "prime": 2, "revL": 0, "revS": 0, "vcp": 1, "time": 1785159000000, "email_id": "2474", "timestamp": "2026-07-27 16:01:36"}</t>
  </si>
  <si>
    <t xml:space="preserve">TREND_LONG fires with buy=89.2 &gt;&gt; 65, dir_prob=94.67, and stage=2. However, the 'chased' flag (price above zone with poor R:R) and 'squeeze' regime (coiling) cap conviction. News is NEUTRAL with no specific catalyst. Triage is WATCH due to </t>
  </si>
  <si>
    <t>{"symbol": "AIZ", "strategy": "Daily", "action": "LONG", "alert_price": 280.86, "score": "", "dir_prob": "80.3", "net_sigma": "", "grade": "", "align": "", "premium": "", "wrong_if": "", "context": "", "subject": "Alert: Rev - Screener v1 (SPY, 12): Any alert() function call", "body": "{\"ticker\":\"AIZ\", \"setup\":\"A+ Trend Long\", \"side\":\"LONG\", \"price\":280.86, \"stage\":2, \"buy\":87.1, \"sell\":24.5, \"prime\":2, \"revL\":0, \"revS\":0, \"vcp\":1, \"dir_prob\":80.3, \"time\":1785331800000}", "ticker": "AIZ", "setup": "A+ Trend Long", "side": "LONG", "price": 280.86, "stage": 2, "buy": 87.1, "sell": 24.5, "prime": 2, "revL": 0, "revS": 0, "vcp": 1, "time": 1785331800000, "email_id": "2699", "timestamp": "2026-07-29 16:01:19"}</t>
  </si>
  <si>
    <t>Buy: 94.5 | Sell: 30.6</t>
  </si>
  <si>
    <t>{"symbol": "KLAC", "strategy": "Daily", "action": "LONG", "alert_price": 190.84, "score": "", "dir_prob": "36.6", "net_sigma": "", "grade": "", "align": "", "premium": "", "wrong_if": "", "context": "", "subject": "Alert: Rev - Screener v1 (SPY, 12): Any alert() function call", "body": "{\"ticker\":\"KLAC\", \"setup\":\"Research Reversal (Any Stage)\", \"side\":\"LONG\", \"price\":190.84, \"stage\":4, \"buy\":9.6, \"sell\":9.3, \"prime\":0, \"revL\":7, \"revS\":0, \"vcp\":0, \"dir_prob\":36.6, \"time\":1785245400000}", "ticker": "KLAC", "setup": "Research Reversal (Any Stage)", "side": "LONG", "price": 190.84, "stage": 4, "buy": 9.6, "sell": 9.3, "prime": 0, "revL": 7, "revS": 0, "vcp": 0, "time": 1785245400000, "email_id": "2560", "timestamp": "2026-07-28 16:01:56"}</t>
  </si>
  <si>
    <t>Buy: 91.6 | Sell: 10.5</t>
  </si>
  <si>
    <t>Buy: 94.1 | Sell: 11.2</t>
  </si>
  <si>
    <t>WAIT for FORMING → ACTION BUY flip (pullback to 111.26–111.81 zone), OR execute SELL PREMIUM (cash-secured put) immediately as the backdoor entry.</t>
  </si>
  <si>
    <t>{"symbol": "DHR", "strategy": "Daily", "action": "LONG", "alert_price": 196.54, "score": "", "dir_prob": "86", "net_sigma": "", "grade": "", "align": "", "premium": "", "wrong_if": "", "context": "", "subject": "Alert: Rev - Screener v1 (SPY, 12): Any alert() function call", "body": "{\"ticker\":\"DHR\", \"setup\":\"A+ Trend Long\", \"side\":\"LONG\", \"price\":196.54, \"stage\":2, \"buy\":94.5, \"sell\":30.6, \"prime\":2, \"revL\":0, \"revS\":0, \"vcp\":0, \"dir_prob\":86, \"time\":1785331800000}", "ticker": "DHR", "setup": "A+ Trend Long", "side": "LONG", "price": 196.54, "stage": 2, "buy": 94.5, "sell": 30.6, "prime": 2, "revL": 0, "revS": 0, "vcp": 0, "time": 1785331800000, "email_id": "2700", "timestamp": "2026-07-29 16:01:20"}</t>
  </si>
  <si>
    <t>Buy: 86.8 | Sell: 37.3</t>
  </si>
  <si>
    <t>{"symbol": "BAC", "strategy": "Daily", "action": "LONG", "alert_price": 62.17, "score": "", "dir_prob": "89.2", "net_sigma": "", "grade": "", "align": "", "premium": "", "wrong_if": "", "context": "", "subject": "Alert: Rev - Screener v1 (SPY, 12): Any alert() function call", "body": "{\"ticker\":\"BAC\", \"setup\":\"A+ Trend Long\", \"side\":\"LONG\", \"price\":62.17, \"stage\":2, \"buy\":91.6, \"sell\":10.5, \"prime\":2, \"revL\":0, \"revS\":0, \"vcp\":0, \"dir_prob\":89.2, \"time\":1785159000000}", "ticker": "BAC", "setup": "A+ Trend Long", "side": "LONG", "price": 62.17, "stage": 2, "buy": 91.6, "sell": 10.5, "prime": 2, "revL": 0, "revS": 0, "vcp": 0, "time": 1785159000000, "email_id": "2471", "timestamp": "2026-07-27 16:01:32"}</t>
  </si>
  <si>
    <t>Buy: 91.6 | Sell: 15.1</t>
  </si>
  <si>
    <t>{"symbol": "ED", "strategy": "Daily", "action": "LONG", "alert_price": 112.01, "score": "", "dir_prob": "93.4", "net_sigma": "", "grade": "", "align": "", "premium": "", "wrong_if": "", "context": "", "subject": "Alert: Rev - Screener v1 (SPY, 12): Any alert() function call", "body": "{\"ticker\":\"ED\", \"setup\":\"A+ Trend Long\", \"side\":\"LONG\", \"price\":112.01, \"stage\":2, \"buy\":94.1, \"sell\":11.2, \"prime\":2, \"revL\":0, \"revS\":0, \"vcp\":1, \"dir_prob\":93.4, \"time\":1785245400000}", "ticker": "ED", "setup": "A+ Trend Long", "side": "LONG", "price": 112.01, "stage": 2, "buy": 94.1, "sell": 11.2, "prime": 2, "revL": 0, "revS": 0, "vcp": 1, "time": 1785245400000, "email_id": "2561", "timestamp": "2026-07-28 16:01:07"}</t>
  </si>
  <si>
    <t xml:space="preserve">TREND_LONG fires with buy=94.72 &gt;&gt; 65, dir_prob=96.64, and stage=2. News CONFIRMS with CenterPoint Energy beating estimates, aligning with the bullish bias. The 'chased' flag indicates price is above the long zone (rr=1.0), but the massive </t>
  </si>
  <si>
    <t>Buy: 87.7 | Sell: 26.4</t>
  </si>
  <si>
    <t>{"symbol": "SYY", "strategy": "Daily", "action": "LONG", "alert_price": 85.34, "score": "", "dir_prob": "88.2", "net_sigma": "", "grade": "", "align": "", "premium": "", "wrong_if": "", "context": "", "subject": "Alert: Rev - Screener v1 (SPY, 12): Any alert() function call", "body": "{\"ticker\":\"SYY\", \"setup\":\"A+ Trend Long\", \"side\":\"LONG\", \"price\":85.34, \"stage\":2, \"buy\":86.8, \"sell\":37.3, \"prime\":2, \"revL\":0, \"revS\":0, \"vcp\":-2, \"dir_prob\":88.2, \"time\":1785331800000}", "ticker": "SYY", "setup": "A+ Trend Long", "side": "LONG", "price": 85.34, "stage": 2, "buy": 86.8, "sell": 37.3, "prime": 2, "revL": 0, "revS": 0, "vcp": -2, "time": 1785331800000, "email_id": "2701", "timestamp": "2026-07-29 16:01:22"}</t>
  </si>
  <si>
    <t>Buy: 96.6 | Sell: 15.4</t>
  </si>
  <si>
    <t>{"symbol": "JNJ", "strategy": "Daily", "action": "LONG", "alert_price": 265.98, "score": "", "dir_prob": "90.8", "net_sigma": "", "grade": "", "align": "", "premium": "", "wrong_if": "", "context": "", "subject": "Alert: Rev - Screener v1 (SPY, 12): Any alert() function call", "body": "{\"ticker\":\"JNJ\", \"setup\":\"A+ Trend Long\", \"side\":\"LONG\", \"price\":265.98, \"stage\":2, \"buy\":91.6, \"sell\":15.1, \"prime\":2, \"revL\":0, \"revS\":5, \"vcp\":0, \"dir_prob\":90.8, \"time\":1785159000000}", "ticker": "JNJ", "setup": "A+ Trend Long", "side": "LONG", "price": 265.98, "stage": 2, "buy": 91.6, "sell": 15.1, "prime": 2, "revL": 0, "revS": 5, "vcp": 0, "time": 1785159000000, "email_id": "2475", "timestamp": "2026-07-27 16:01:43"}</t>
  </si>
  <si>
    <t>Buy: 95.3 | Sell: 8.6</t>
  </si>
  <si>
    <t>{"symbol": "XYZ", "strategy": "Daily", "action": "LONG", "alert_price": 83.14, "score": "", "dir_prob": "87.8", "net_sigma": "", "grade": "", "align": "", "premium": "", "wrong_if": "", "context": "", "subject": "Alert: Rev - Screener v1 (SPY, 12): Any alert() function call", "body": "{\"ticker\":\"XYZ\", \"setup\":\"A+ Trend Long\", \"side\":\"LONG\", \"price\":83.14, \"stage\":2, \"buy\":87.7, \"sell\":26.4, \"prime\":2, \"revL\":0, \"revS\":0, \"vcp\":1, \"dir_prob\":87.8, \"time\":1785245400000}", "ticker": "XYZ", "setup": "A+ Trend Long", "side": "LONG", "price": 83.14, "stage": 2, "buy": 87.7, "sell": 26.4, "prime": 2, "revL": 0, "revS": 0, "vcp": 1, "time": 1785245400000, "email_id": "2562", "timestamp": "2026-07-28 16:01:07"}</t>
  </si>
  <si>
    <t>{"symbol": "CSX", "strategy": "Daily", "action": "LONG", "alert_price": 50.76, "score": "", "dir_prob": "88", "net_sigma": "", "grade": "", "align": "", "premium": "", "wrong_if": "", "context": "", "subject": "Alert: Rev - Screener v1 (SPY, 12): Any alert() function call", "body": "{\"ticker\":\"CSX\", \"setup\":\"A+ Trend Long\", \"side\":\"LONG\", \"price\":50.76, \"stage\":2, \"buy\":96.6, \"sell\":15.4, \"prime\":2, \"revL\":0, \"revS\":0, \"vcp\":0, \"dir_prob\":88, \"time\":1785331800000}", "ticker": "CSX", "setup": "A+ Trend Long", "side": "LONG", "price": 50.76, "stage": 2, "buy": 96.6, "sell": 15.4, "prime": 2, "revL": 0, "revS": 0, "vcp": 0, "time": 1785331800000, "email_id": "2702", "timestamp": "2026-07-29 16:01:18"}</t>
  </si>
  <si>
    <t>{"symbol": "DLTR", "strategy": "Daily", "action": "LONG", "alert_price": 125.57, "score": "", "dir_prob": "95.6", "net_sigma": "", "grade": "", "align": "", "premium": "", "wrong_if": "", "context": "", "subject": "Alert: Rev - Screener v1 (SPY, 12): Any alert() function call", "body": "{\"ticker\":\"DLTR\", \"setup\":\"A+ Trend Long\", \"side\":\"LONG\", \"price\":125.57, \"stage\":2, \"buy\":95.3, \"sell\":8.6, \"prime\":2, \"revL\":0, \"revS\":0, \"vcp\":1, \"dir_prob\":95.6, \"time\":1785159000000}", "ticker": "DLTR", "setup": "A+ Trend Long", "side": "LONG", "price": 125.57, "stage": 2, "buy": 95.3, "sell": 8.6, "prime": 2, "revL": 0, "revS": 0, "vcp": 1, "time": 1785159000000, "email_id": "2476", "timestamp": "2026-07-27 16:01:40"}</t>
  </si>
  <si>
    <t>Buy: 97.8 | Sell: 10.6</t>
  </si>
  <si>
    <t>Buy: 97.7 | Sell: 12.9</t>
  </si>
  <si>
    <t>**HOLD / WAIT FOR PULLBACK** (Skip new entry; existing holders stay long)</t>
  </si>
  <si>
    <t>Buy: 96.3 | Sell: 24.2</t>
  </si>
  <si>
    <t>{"symbol": "UNP", "strategy": "Daily", "action": "LONG", "alert_price": 292.38, "score": "", "dir_prob": "92.1", "net_sigma": "", "grade": "", "align": "", "premium": "", "wrong_if": "", "context": "", "subject": "Alert: Rev - Screener v1 (SPY, 12): Any alert() function call", "body": "{\"ticker\":\"UNP\", \"setup\":\"A+ Trend Long\", \"side\":\"LONG\", \"price\":292.38, \"stage\":2, \"buy\":97.7, \"sell\":12.9, \"prime\":2, \"revL\":0, \"revS\":0, \"vcp\":0, \"dir_prob\":92.1, \"time\":1785331800000}", "ticker": "UNP", "setup": "A+ Trend Long", "side": "LONG", "price": 292.38, "stage": 2, "buy": 97.7, "sell": 12.9, "prime": 2, "revL": 0, "revS": 0, "vcp": 0, "time": 1785331800000, "email_id": "2703", "timestamp": "2026-07-29 16:01:19"}</t>
  </si>
  <si>
    <t>{"symbol": "UNP", "strategy": "Daily", "action": "LONG", "alert_price": 294.46, "score": "", "dir_prob": "92.7", "net_sigma": "", "grade": "", "align": "", "premium": "", "wrong_if": "", "context": "", "subject": "Alert: Rev - Screener v1 (SPY, 12): Any alert() function call", "body": "{\"ticker\":\"UNP\", \"setup\":\"A+ Trend Long\", \"side\":\"LONG\", \"price\":294.46, \"stage\":2, \"buy\":97.8, \"sell\":10.6, \"prime\":2, \"revL\":0, \"revS\":0, \"vcp\":0, \"dir_prob\":92.7, \"time\":1785245400000}", "ticker": "UNP", "setup": "A+ Trend Long", "side": "LONG", "price": 294.46, "stage": 2, "buy": 97.8, "sell": 10.6, "prime": 2, "revL": 0, "revS": 0, "vcp": 0, "time": 1785245400000, "email_id": "2557", "timestamp": "2026-07-28 16:01:03"}</t>
  </si>
  <si>
    <t>{"symbol": "AJG", "strategy": "Daily", "action": "LONG", "alert_price": 253.32, "score": "", "dir_prob": "97.8", "net_sigma": "", "grade": "", "align": "", "premium": "", "wrong_if": "", "context": "", "subject": "Alert: Rev - Screener v1 (SPY, 12): Any alert() function call", "body": "{\"ticker\":\"AJG\", \"setup\":\"A+ Trend Long\", \"side\":\"LONG\", \"price\":253.32, \"stage\":2, \"buy\":96.3, \"sell\":24.2, \"prime\":2, \"revL\":0, \"revS\":0, \"vcp\":0, \"dir_prob\":97.8, \"time\":1785159000000}", "ticker": "AJG", "setup": "A+ Trend Long", "side": "LONG", "price": 253.32, "stage": 2, "buy": 96.3, "sell": 24.2, "prime": 2, "revL": 0, "revS": 0, "vcp": 0, "time": 1785159000000, "email_id": "2473", "timestamp": "2026-07-27 16:01:35"}</t>
  </si>
  <si>
    <t>TREND_LONG fires with buy=99.09 &gt;&gt; 65, dir_prob=90.99 &gt;&gt; 50, and stage=2 (up-trend). News CONFIRMS with a merger completion timeline and a price target raise to $344. No VETO flags apply; the 'pullback' flag indicates a healthy dip-buy zone</t>
  </si>
  <si>
    <t>FICO</t>
  </si>
  <si>
    <t>Buy: 64.4 | Sell: 36.1</t>
  </si>
  <si>
    <t>Buy: 86.5 | Sell: 48.9</t>
  </si>
  <si>
    <t>**WAIT (Pre-Earnings) → Setup up to 7/10 post-earnings if zone fills**</t>
  </si>
  <si>
    <t>Buy: 95.9 | Sell: 21.6</t>
  </si>
  <si>
    <t>{"symbol": "WM", "strategy": "Daily", "action": "LONG", "alert_price": 239.56, "score": "", "dir_prob": "93.7", "net_sigma": "", "grade": "", "align": "", "premium": "", "wrong_if": "", "context": "", "subject": "Alert: Rev - Screener v1 (SPY, 12): Any alert() function call", "body": "{\"ticker\":\"WM\", \"setup\":\"A+ Trend Long\", \"side\":\"LONG\", \"price\":239.56, \"stage\":2, \"buy\":95.9, \"sell\":21.6, \"prime\":2, \"revL\":0, \"revS\":0, \"vcp\":0, \"dir_prob\":93.7, \"time\":1785245400000}", "ticker": "WM", "setup": "A+ Trend Long", "side": "LONG", "price": 239.56, "stage": 2, "buy": 95.9, "sell": 21.6, "prime": 2, "revL": 0, "revS": 0, "vcp": 0, "time": 1785245400000, "email_id": "2563", "timestamp": "2026-07-28 16:01:13"}</t>
  </si>
  <si>
    <t>{"symbol": "FICO", "strategy": "Daily", "action": "LONG", "alert_price": 1376.12, "score": "", "dir_prob": "71.7", "net_sigma": "", "grade": "", "align": "", "premium": "", "wrong_if": "", "context": "", "subject": "Alert: Rev - Screener v1 (SPY, 12): Any alert() function call", "body": "{\"ticker\":\"FICO\", \"setup\":\"Early Ignition\", \"side\":\"LONG\", \"price\":1376.12, \"stage\":2, \"buy\":64.4, \"sell\":36.1, \"prime\":0, \"revL\":0, \"revS\":7.5, \"vcp\":2, \"dir_prob\":71.7, \"time\":1785331800000}", "ticker": "FICO", "setup": "Early Ignition", "side": "LONG", "price": 1376.12, "stage": 2, "buy": 64.4, "sell": 36.1, "prime": 0, "revL": 0, "revS": 7.5, "vcp": 2, "time": 1785331800000, "email_id": "2704", "timestamp": "2026-07-29 16:01:20"}</t>
  </si>
  <si>
    <t>{"symbol": "AEE", "strategy": "Daily", "action": "LONG", "alert_price": 112.12, "score": "", "dir_prob": "71.8", "net_sigma": "", "grade": "", "align": "", "premium": "", "wrong_if": "", "context": "", "subject": "Alert: Rev - Screener v1 (SPY, 12): Any alert() function call", "body": "{\"ticker\":\"AEE\", \"setup\":\"A+ Trend Long\", \"side\":\"LONG\", \"price\":112.12, \"stage\":2, \"buy\":86.5, \"sell\":48.9, \"prime\":2, \"revL\":0, \"revS\":0, \"vcp\":1, \"dir_prob\":71.8, \"time\":1785159000000}", "ticker": "AEE", "setup": "A+ Trend Long", "side": "LONG", "price": 112.12, "stage": 2, "buy": 86.5, "sell": 48.9, "prime": 2, "revL": 0, "revS": 0, "vcp": 1, "time": 1785159000000, "email_id": "2477", "timestamp": "2026-07-27 16:01:34"}</t>
  </si>
  <si>
    <t xml:space="preserve">TREND_LONG fires with buy=94.38 &gt; 65, dir_prob=65.75 &gt;= 50, and stage=2. News CONFIRMS the bullish bias with a capital expansion catalyst. Triage is capped to WATCH due to the 'earnings' caution (3 days out) and the 'chased' flag (price is </t>
  </si>
  <si>
    <t>Buy: 4 | Sell: 28.6</t>
  </si>
  <si>
    <t>Buy: 88.6 | Sell: 19.5</t>
  </si>
  <si>
    <t>Buy: 93.9 | Sell: 12.7</t>
  </si>
  <si>
    <t>{"symbol": "MRSH", "strategy": "Daily", "action": "LONG", "alert_price": 197.62, "score": "", "dir_prob": "56.9", "net_sigma": "", "grade": "", "align": "", "premium": "", "wrong_if": "", "context": "", "subject": "Alert: Rev - Screener v1 (SPY, 12): Any alert() function call", "body": "{\"ticker\":\"MRSH\", \"setup\":\"Early Ignition\", \"side\":\"LONG\", \"price\":197.62, \"stage\":2, \"buy\":4, \"sell\":28.6, \"prime\":0, \"revL\":0, \"revS\":0, \"vcp\":0, \"dir_prob\":56.9, \"time\":1785331800000}", "ticker": "MRSH", "setup": "Early Ignition", "side": "LONG", "price": 197.62, "stage": 2, "buy": 4, "sell": 28.6, "prime": 0, "revL": 0, "revS": 0, "vcp": 0, "time": 1785331800000, "email_id": "2705", "timestamp": "2026-07-29 16:01:21"}</t>
  </si>
  <si>
    <t>{"symbol": "AIZ", "strategy": "Daily", "action": "LONG", "alert_price": 276.88, "score": "", "dir_prob": "83.5", "net_sigma": "", "grade": "", "align": "", "premium": "", "wrong_if": "", "context": "", "subject": "Alert: Rev - Screener v1 (SPY, 12): Any alert() function call", "body": "{\"ticker\":\"AIZ\", \"setup\":\"A+ Trend Long\", \"side\":\"LONG\", \"price\":276.88, \"stage\":2, \"buy\":88.6, \"sell\":19.5, \"prime\":2, \"revL\":0, \"revS\":0, \"vcp\":1, \"dir_prob\":83.5, \"time\":1785159000000}", "ticker": "AIZ", "setup": "A+ Trend Long", "side": "LONG", "price": 276.88, "stage": 2, "buy": 88.6, "sell": 19.5, "prime": 2, "revL": 0, "revS": 0, "vcp": 1, "time": 1785159000000, "email_id": "2478", "timestamp": "2026-07-27 16:01:40"}</t>
  </si>
  <si>
    <t>Buy: 85.5 | Sell: 32.3</t>
  </si>
  <si>
    <t>{"symbol": "REG", "strategy": "Daily", "action": "LONG", "alert_price": 80.96, "score": "", "dir_prob": "94.8", "net_sigma": "", "grade": "", "align": "", "premium": "", "wrong_if": "", "context": "", "subject": "Alert: Rev - Screener v1 (SPY, 12): Any alert() function call", "body": "{\"ticker\":\"REG\", \"setup\":\"A+ Trend Long\", \"side\":\"LONG\", \"price\":80.96, \"stage\":2, \"buy\":93.9, \"sell\":12.7, \"prime\":2, \"revL\":0, \"revS\":0, \"vcp\":0, \"dir_prob\":94.8, \"time\":1785245400000}", "ticker": "REG", "setup": "A+ Trend Long", "side": "LONG", "price": 80.96, "stage": 2, "buy": 93.9, "sell": 12.7, "prime": 2, "revL": 0, "revS": 0, "vcp": 0, "time": 1785245400000, "email_id": "2564", "timestamp": "2026-07-28 16:01:19"}</t>
  </si>
  <si>
    <t>Buy: 87.6 | Sell: 21</t>
  </si>
  <si>
    <t>{"symbol": "JKHY", "strategy": "Daily", "action": "LONG", "alert_price": 153.02, "score": "", "dir_prob": "98.4", "net_sigma": "", "grade": "", "align": "", "premium": "", "wrong_if": "", "context": "", "subject": "Alert: Rev - Screener v1 (SPY, 12): Any alert() function call", "body": "{\"ticker\":\"JKHY\", \"setup\":\"A+ Trend Long\", \"side\":\"LONG\", \"price\":153.02, \"stage\":2, \"buy\":97.1, \"sell\":4.5, \"prime\":2, \"revL\":0, \"revS\":4, \"vcp\":0, \"dir_prob\":98.4, \"time\":1785159000000}", "ticker": "JKHY", "setup": "A+ Trend Long", "side": "LONG", "price": 153.02, "stage": 2, "buy": 97.1, "sell": 4.5, "prime": 2, "revL": 0, "revS": 4, "vcp": 0, "time": 1785159000000, "email_id": "2480", "timestamp": "2026-07-27 16:01:42"}</t>
  </si>
  <si>
    <t>{"symbol": "VRTX", "strategy": "Daily", "action": "LONG", "alert_price": 483.39, "score": "", "dir_prob": "81.9", "net_sigma": "", "grade": "", "align": "", "premium": "", "wrong_if": "", "context": "", "subject": "Alert: Rev - Screener v1 (SPY, 12): Any alert() function call", "body": "{\"ticker\":\"VRTX\", \"setup\":\"A+ Trend Long\", \"side\":\"LONG\", \"price\":483.39, \"stage\":2, \"buy\":85.5, \"sell\":32.3, \"prime\":2, \"revL\":0, \"revS\":0, \"vcp\":0, \"dir_prob\":81.9, \"time\":1785331800000}", "ticker": "VRTX", "setup": "A+ Trend Long", "side": "LONG", "price": 483.39, "stage": 2, "buy": 85.5, "sell": 32.3, "prime": 2, "revL": 0, "revS": 0, "vcp": 0, "time": 1785331800000, "email_id": "2706", "timestamp": "2026-07-29 16:01:20"}</t>
  </si>
  <si>
    <t>Buy: 93.4 | Sell: 43.9</t>
  </si>
  <si>
    <t>Buy: 87.8 | Sell: 23.5</t>
  </si>
  <si>
    <t>{"symbol": "MRK", "strategy": "Daily", "action": "LONG", "alert_price": 131.83, "score": "", "dir_prob": "86.1", "net_sigma": "", "grade": "", "align": "", "premium": "", "wrong_if": "", "context": "", "subject": "Alert: Rev - Screener v1 (SPY, 12): Any alert() function call", "body": "{\"ticker\":\"MRK\", \"setup\":\"A+ Trend Long\", \"side\":\"LONG\", \"price\":131.83, \"stage\":2, \"buy\":87.6, \"sell\":21, \"prime\":2, \"revL\":0, \"revS\":0, \"vcp\":0, \"dir_prob\":86.1, \"time\":1785245400000}", "ticker": "MRK", "setup": "A+ Trend Long", "side": "LONG", "price": 131.83, "stage": 2, "buy": 87.6, "sell": 21, "prime": 2, "revL": 0, "revS": 0, "vcp": 0, "time": 1785245400000, "email_id": "2565", "timestamp": "2026-07-28 16:01:21"}</t>
  </si>
  <si>
    <t>Buy: 89.2 | Sell: 33.4</t>
  </si>
  <si>
    <t>{"symbol": "AOS", "strategy": "Daily", "action": "LONG", "alert_price": 62.05, "score": "", "dir_prob": "91.1", "net_sigma": "", "grade": "", "align": "", "premium": "", "wrong_if": "", "context": "", "subject": "Alert: Rev - Screener v1 (SPY, 12): Any alert() function call", "body": "{\"ticker\":\"AOS\", \"setup\":\"A+ Trend Long\", \"side\":\"LONG\", \"price\":62.05, \"stage\":2, \"buy\":87.8, \"sell\":23.5, \"prime\":2, \"revL\":0, \"revS\":0, \"vcp\":0, \"dir_prob\":91.1, \"time\":1785331800000}", "ticker": "AOS", "setup": "A+ Trend Long", "side": "LONG", "price": 62.05, "stage": 2, "buy": 87.8, "sell": 23.5, "prime": 2, "revL": 0, "revS": 0, "vcp": 0, "time": 1785331800000, "email_id": "2707", "timestamp": "2026-07-29 16:01:21"}</t>
  </si>
  <si>
    <t>{"symbol": "FICO", "strategy": "Daily", "action": "LONG", "alert_price": 1335.55, "score": "", "dir_prob": "84.7", "net_sigma": "", "grade": "", "align": "", "premium": "", "wrong_if": "", "context": "", "subject": "Alert: Rev - Screener v1 (SPY, 12): Any alert() function call", "body": "{\"ticker\":\"FICO\", \"setup\":\"Early Ignition\", \"side\":\"LONG\", \"price\":1335.55, \"stage\":2, \"buy\":89.2, \"sell\":33.4, \"prime\":0, \"revL\":0, \"revS\":6.5, \"vcp\":1, \"dir_prob\":84.7, \"time\":1785245400000}", "ticker": "FICO", "setup": "Early Ignition", "side": "LONG", "price": 1335.55, "stage": 2, "buy": 89.2, "sell": 33.4, "prime": 0, "revL": 0, "revS": 6.5, "vcp": 1, "time": 1785245400000, "email_id": "2566", "timestamp": "2026-07-28 16:01:16"}</t>
  </si>
  <si>
    <t>Buy: 85.1 | Sell: 28.8</t>
  </si>
  <si>
    <t>{"symbol": "AMCR", "strategy": "Daily", "action": "LONG", "alert_price": 45.25, "score": "", "dir_prob": "83.4", "net_sigma": "", "grade": "", "align": "", "premium": "", "wrong_if": "", "context": "", "subject": "Alert: Rev - Screener v1 (SPY, 12): Any alert() function call", "body": "{\"ticker\":\"AMCR\", \"setup\":\"A+ Trend Long\", \"side\":\"LONG\", \"price\":45.25, \"stage\":2, \"buy\":93.4, \"sell\":43.9, \"prime\":2, \"revL\":0, \"revS\":0, \"vcp\":1, \"dir_prob\":83.4, \"time\":1785159000000}", "ticker": "AMCR", "setup": "A+ Trend Long", "side": "LONG", "price": 45.25, "stage": 2, "buy": 93.4, "sell": 43.9, "prime": 2, "revL": 0, "revS": 0, "vcp": 1, "time": 1785159000000, "email_id": "2481", "timestamp": "2026-07-27 16:01:36"}</t>
  </si>
  <si>
    <t>LITE</t>
  </si>
  <si>
    <t>Buy: 20.7 | Sell: 32.5</t>
  </si>
  <si>
    <t>Buy: 94.5 | Sell: 14.2</t>
  </si>
  <si>
    <t>WAIT (No Fresh Entry) — *set alerts at the long zone*</t>
  </si>
  <si>
    <t>{"symbol": "SHW", "strategy": "Daily", "action": "LONG", "alert_price": 344.07, "score": "", "dir_prob": "88.8", "net_sigma": "", "grade": "", "align": "", "premium": "", "wrong_if": "", "context": "", "subject": "Alert: Rev - Screener v1 (SPY, 12): Any alert() function call", "body": "{\"ticker\":\"SHW\", \"setup\":\"A+ Trend Long\", \"side\":\"LONG\", \"price\":344.07, \"stage\":2, \"buy\":85.1, \"sell\":28.8, \"prime\":2, \"revL\":0, \"revS\":0, \"vcp\":0, \"dir_prob\":88.8, \"time\":1785331800000}", "ticker": "SHW", "setup": "A+ Trend Long", "side": "LONG", "price": 344.07, "stage": 2, "buy": 85.1, "sell": 28.8, "prime": 2, "revL": 0, "revS": 0, "vcp": 0, "time": 1785331800000, "email_id": "2708", "timestamp": "2026-07-29 16:01:24"}</t>
  </si>
  <si>
    <t>{"symbol": "LITE", "strategy": "Daily", "action": "LONG", "alert_price": 651.94, "score": "", "dir_prob": "20.7", "net_sigma": "", "grade": "", "align": "", "premium": "", "wrong_if": "", "context": "", "subject": "Alert: Rev - Screener v1 (SPY, 12): Any alert() function call", "body": "{\"ticker\":\"LITE\", \"setup\":\"Research Reversal (Any Stage)\", \"side\":\"LONG\", \"price\":651.94, \"stage\":4, \"buy\":20.7, \"sell\":32.5, \"prime\":0, \"revL\":8.5, \"revS\":0, \"vcp\":1, \"dir_prob\":20.7, \"time\":1785245400000}", "ticker": "LITE", "setup": "Research Reversal (Any Stage)", "side": "LONG", "price": 651.94, "stage": 4, "buy": 20.7, "sell": 32.5, "prime": 0, "revL": 8.5, "revS": 0, "vcp": 1, "time": 1785245400000, "email_id": "2567", "timestamp": "2026-07-28 16:01:18"}</t>
  </si>
  <si>
    <t>Buy: 90.3 | Sell: 25.7</t>
  </si>
  <si>
    <t>{"symbol": "BNY", "strategy": "Daily", "action": "LONG", "alert_price": 157.75, "score": "", "dir_prob": "85.9", "net_sigma": "", "grade": "", "align": "", "premium": "", "wrong_if": "", "context": "", "subject": "Alert: Rev - Screener v1 (SPY, 12): Any alert() function call", "body": "{\"ticker\":\"BNY\", \"setup\":\"A+ Trend Long\", \"side\":\"LONG\", \"price\":157.75, \"stage\":2, \"buy\":94.5, \"sell\":14.2, \"prime\":2, \"revL\":0, \"revS\":0, \"vcp\":0, \"dir_prob\":85.9, \"time\":1785159000000}", "ticker": "BNY", "setup": "A+ Trend Long", "side": "LONG", "price": 157.75, "stage": 2, "buy": 94.5, "sell": 14.2, "prime": 2, "revL": 0, "revS": 0, "vcp": 0, "time": 1785159000000, "email_id": "2482", "timestamp": "2026-07-27 16:01:42"}</t>
  </si>
  <si>
    <t>TREND_LONG fires with buy=97.96 &gt;&gt; 65, dir_prob=72.53 &gt;= 50, and stage=2 (up-trend). News is NEUTRAL (FRN rate fix) and does not contradict the bullish bias. The 'pullback' flag indicates a healthy dip-buy opportunity within the uptrend, as</t>
  </si>
  <si>
    <t>Buy: 91 | Sell: 10.5</t>
  </si>
  <si>
    <t>SKIP — wait for post-earnings volatility expansion and a pullback to the zone</t>
  </si>
  <si>
    <t>2</t>
  </si>
  <si>
    <t>Buy: 90.7 | Sell: 45.8</t>
  </si>
  <si>
    <t>{"symbol": "L", "strategy": "Daily", "action": "LONG", "alert_price": 118.98, "score": "", "dir_prob": "83.9", "net_sigma": "", "grade": "", "align": "", "premium": "", "wrong_if": "", "context": "", "subject": "Alert: Rev - Screener v1 (SPY, 12): Any alert() function call", "body": "{\"ticker\":\"L\", \"setup\":\"A+ Trend Long\", \"side\":\"LONG\", \"price\":118.98, \"stage\":2, \"buy\":90.3, \"sell\":25.7, \"prime\":2, \"revL\":0, \"revS\":0, \"vcp\":0, \"dir_prob\":83.9, \"time\":1785331800000}", "ticker": "L", "setup": "A+ Trend Long", "side": "LONG", "price": 118.98, "stage": 2, "buy": 90.3, "sell": 25.7, "prime": 2, "revL": 0, "revS": 0, "vcp": 0, "time": 1785331800000, "email_id": "2709", "timestamp": "2026-07-29 16:01:23"}</t>
  </si>
  <si>
    <t>Buy: 52.4 | Sell: 20.6</t>
  </si>
  <si>
    <t>{"symbol": "SYY", "strategy": "Daily", "action": "LONG", "alert_price": 84.08, "score": "", "dir_prob": "86.2", "net_sigma": "", "grade": "", "align": "", "premium": "", "wrong_if": "", "context": "", "subject": "Alert: Rev - Screener v1 (SPY, 12): Any alert() function call", "body": "{\"ticker\":\"SYY\", \"setup\":\"A+ Trend Long\", \"side\":\"LONG\", \"price\":84.08, \"stage\":2, \"buy\":90.7, \"sell\":45.8, \"prime\":2, \"revL\":0, \"revS\":0, \"vcp\":1, \"dir_prob\":86.2, \"time\":1785159000000}", "ticker": "SYY", "setup": "A+ Trend Long", "side": "LONG", "price": 84.08, "stage": 2, "buy": 90.7, "sell": 45.8, "prime": 2, "revL": 0, "revS": 0, "vcp": 1, "time": 1785159000000, "email_id": "2483", "timestamp": "2026-07-27 16:01:40"}</t>
  </si>
  <si>
    <t>{"symbol": "D", "strategy": "Daily", "action": "LONG", "alert_price": 70.64, "score": "", "dir_prob": "92.9", "net_sigma": "", "grade": "", "align": "", "premium": "", "wrong_if": "", "context": "", "subject": "Alert: Rev - Screener v1 (SPY, 12): Any alert() function call", "body": "{\"ticker\":\"D\", \"setup\":\"A+ Trend Long\", \"side\":\"LONG\", \"price\":70.64, \"stage\":2, \"buy\":91, \"sell\":10.5, \"prime\":2, \"revL\":0, \"revS\":0, \"vcp\":0, \"dir_prob\":92.9, \"time\":1785245400000}", "ticker": "D", "setup": "A+ Trend Long", "side": "LONG", "price": 70.64, "stage": 2, "buy": 91, "sell": 10.5, "prime": 2, "revL": 0, "revS": 0, "vcp": 0, "time": 1785245400000, "email_id": "2568", "timestamp": "2026-07-28 16:01:20"}</t>
  </si>
  <si>
    <t>TREND_LONG fires with buy=93.8 &gt;&gt; 65, dir_prob=81.48, and stage=2. News is NEUTRAL (earnings preview) and does not contradict the long bias. Triage is capped to WATCH due to earnings_gate=CAUTION (3 days out) and the 'pullback' flag, which,</t>
  </si>
  <si>
    <t>Buy: 94.7 | Sell: 5.3</t>
  </si>
  <si>
    <t>Buy: 71.4 | Sell: 60</t>
  </si>
  <si>
    <t>{"symbol": "BAX", "strategy": "Daily", "action": "LONG", "alert_price": 24.76, "score": "", "dir_prob": "78.8", "net_sigma": "", "grade": "", "align": "", "premium": "", "wrong_if": "", "context": "", "subject": "Alert: Rev - Screener v1 (SPY, 12): Any alert() function call", "body": "{\"ticker\":\"BAX\", \"setup\":\"Early Ignition\", \"side\":\"LONG\", \"price\":24.76, \"stage\":2, \"buy\":52.4, \"sell\":20.6, \"prime\":0, \"revL\":0, \"revS\":7.5, \"vcp\":0, \"dir_prob\":78.8, \"time\":1785331800000}", "ticker": "BAX", "setup": "Early Ignition", "side": "LONG", "price": 24.76, "stage": 2, "buy": 52.4, "sell": 20.6, "prime": 0, "revL": 0, "revS": 7.5, "vcp": 0, "time": 1785331800000, "email_id": "2710", "timestamp": "2026-07-29 16:01:24"}</t>
  </si>
  <si>
    <t>Buy: 85.6 | Sell: 46.3</t>
  </si>
  <si>
    <t>{"symbol": "MTB", "strategy": "Daily", "action": "LONG", "alert_price": 248.39, "score": "", "dir_prob": "94.3", "net_sigma": "", "grade": "", "align": "", "premium": "", "wrong_if": "", "context": "", "subject": "Alert: Rev - Screener v1 (SPY, 12): Any alert() function call", "body": "{\"ticker\":\"MTB\", \"setup\":\"A+ Trend Long\", \"side\":\"LONG\", \"price\":248.39, \"stage\":2, \"buy\":94.7, \"sell\":5.3, \"prime\":2, \"revL\":0, \"revS\":0, \"vcp\":0, \"dir_prob\":94.3, \"time\":1785159000000}", "ticker": "MTB", "setup": "A+ Trend Long", "side": "LONG", "price": 248.39, "stage": 2, "buy": 94.7, "sell": 5.3, "prime": 2, "revL": 0, "revS": 0, "vcp": 0, "time": 1785159000000, "email_id": "2485", "timestamp": "2026-07-27 16:01:41"}</t>
  </si>
  <si>
    <t xml:space="preserve">TREND_LONG fires with buy=96.96 &gt;&gt; 65, dir_prob=92.54 &gt;&gt; 50, and stage=2 (up-trend). News is NEUTRAL (general market activity) and does not contradict the strong technicals. The 'pullback' flag indicates a healthy dip-buy within the trend, </t>
  </si>
  <si>
    <t>Buy: 90.2 | Sell: 9.1</t>
  </si>
  <si>
    <t>{"symbol": "PPG", "strategy": "Daily", "action": "LONG", "alert_price": 118.91, "score": "", "dir_prob": "71", "net_sigma": "", "grade": "", "align": "", "premium": "", "wrong_if": "", "context": "", "subject": "Alert: Rev - Screener v1 (SPY, 12): Any alert() function call", "body": "{\"ticker\":\"PPG\", \"setup\":\"Early Ignition\", \"side\":\"LONG\", \"price\":118.91, \"stage\":2, \"buy\":71.4, \"sell\":60, \"prime\":0, \"revL\":0, \"revS\":0, \"vcp\":0, \"dir_prob\":71, \"time\":1785245400000}", "ticker": "PPG", "setup": "Early Ignition", "side": "LONG", "price": 118.91, "stage": 2, "buy": 71.4, "sell": 60, "prime": 0, "revL": 0, "revS": 0, "vcp": 0, "time": 1785245400000, "email_id": "2570", "timestamp": "2026-07-28 16:01:15"}</t>
  </si>
  <si>
    <t>Buy: 93.4 | Sell: 55.5</t>
  </si>
  <si>
    <t>{"symbol": "BALL", "strategy": "Daily", "action": "LONG", "alert_price": 65.85, "score": "", "dir_prob": "85.6", "net_sigma": "", "grade": "", "align": "", "premium": "", "wrong_if": "", "context": "", "subject": "Alert: Rev - Screener v1 (SPY, 12): Any alert() function call", "body": "{\"ticker\":\"BALL\", \"setup\":\"A+ Trend Long\", \"side\":\"LONG\", \"price\":65.85, \"stage\":2, \"buy\":85.6, \"sell\":46.3, \"prime\":2, \"revL\":0, \"revS\":0, \"vcp\":0, \"dir_prob\":85.6, \"time\":1785331800000}", "ticker": "BALL", "setup": "A+ Trend Long", "side": "LONG", "price": 65.85, "stage": 2, "buy": 85.6, "sell": 46.3, "prime": 2, "revL": 0, "revS": 0, "vcp": 0, "time": 1785331800000, "email_id": "2711", "timestamp": "2026-07-29 16:01:27"}</t>
  </si>
  <si>
    <t>{"symbol": "ALL", "strategy": "Daily", "action": "LONG", "alert_price": 261.27, "score": "", "dir_prob": "88.8", "net_sigma": "", "grade": "", "align": "", "premium": "", "wrong_if": "", "context": "", "subject": "Alert: Rev - Screener v1 (SPY, 12): Any alert() function call", "body": "{\"ticker\":\"ALL\", \"setup\":\"A+ Trend Long\", \"side\":\"LONG\", \"price\":261.27, \"stage\":2, \"buy\":90.2, \"sell\":9.1, \"prime\":2, \"revL\":0, \"revS\":4, \"vcp\":0, \"dir_prob\":88.8, \"time\":1785159000000}", "ticker": "ALL", "setup": "A+ Trend Long", "side": "LONG", "price": 261.27, "stage": 2, "buy": 90.2, "sell": 9.1, "prime": 2, "revL": 0, "revS": 4, "vcp": 0, "time": 1785159000000, "email_id": "2484", "timestamp": "2026-07-27 16:01:37"}</t>
  </si>
  <si>
    <t>Buy: 85.4 | Sell: 11.8</t>
  </si>
  <si>
    <t>{"symbol": "SWK", "strategy": "Daily", "action": "LONG", "alert_price": 94.28, "score": "", "dir_prob": "72.6", "net_sigma": "", "grade": "", "align": "", "premium": "", "wrong_if": "", "context": "", "subject": "Alert: Rev - Screener v1 (SPY, 12): Any alert() function call", "body": "{\"ticker\":\"SWK\", \"setup\":\"Early Ignition\", \"side\":\"LONG\", \"price\":94.28, \"stage\":2, \"buy\":93.4, \"sell\":55.5, \"prime\":0, \"revL\":0, \"revS\":0, \"vcp\":0, \"dir_prob\":72.6, \"time\":1785245400000}", "ticker": "SWK", "setup": "Early Ignition", "side": "LONG", "price": 94.28, "stage": 2, "buy": 93.4, "sell": 55.5, "prime": 0, "revL": 0, "revS": 0, "vcp": 0, "time": 1785245400000, "email_id": "2571", "timestamp": "2026-07-28 16:01:23"}</t>
  </si>
  <si>
    <t>GEV</t>
  </si>
  <si>
    <t>{"symbol": "CTVA", "strategy": "Daily", "action": "LONG", "alert_price": 90.56, "score": "", "dir_prob": "90.2", "net_sigma": "", "grade": "", "align": "", "premium": "", "wrong_if": "", "context": "", "subject": "Alert: Rev - Screener v1 (SPY, 12): Any alert() function call", "body": "{\"ticker\":\"CTVA\", \"setup\":\"A+ Trend Long\", \"side\":\"LONG\", \"price\":90.56, \"stage\":2, \"buy\":85.4, \"sell\":11.8, \"prime\":2, \"revL\":0, \"revS\":0, \"vcp\":0, \"dir_prob\":90.2, \"time\":1785331800000}", "ticker": "CTVA", "setup": "A+ Trend Long", "side": "LONG", "price": 90.56, "stage": 2, "buy": 85.4, "sell": 11.8, "prime": 2, "revL": 0, "revS": 0, "vcp": 0, "time": 1785331800000, "email_id": "2712", "timestamp": "2026-07-29 16:01:22"}</t>
  </si>
  <si>
    <t>Buy: 23.6 | Sell: 20.4</t>
  </si>
  <si>
    <t>PSX</t>
  </si>
  <si>
    <t>{"symbol": "PSX", "strategy": "Daily", "action": "LONG", "alert_price": 206.8, "score": "", "dir_prob": "94.1", "net_sigma": "", "grade": "", "align": "", "premium": "", "wrong_if": "", "context": "", "subject": "Alert: Rev - Screener v1 (SPY, 12): Any alert() function call", "body": "{\"ticker\":\"PSX\", \"setup\":\"A+ Trend Long\", \"side\":\"LONG\", \"price\":206.80, \"stage\":2, \"buy\":97.1, \"sell\":4.5, \"prime\":2, \"revL\":0, \"revS\":0, \"vcp\":0, \"dir_prob\":94.1, \"time\":1785331800000}", "ticker": "PSX", "setup": "A+ Trend Long", "side": "LONG", "price": 206.8, "stage": 2, "buy": 97.1, "sell": 4.5, "prime": 2, "revL": 0, "revS": 0, "vcp": 0, "time": 1785331800000, "email_id": "2713", "timestamp": "2026-07-29 16:01:26"}</t>
  </si>
  <si>
    <t>{"symbol": "GEV", "strategy": "Daily", "action": "LONG", "alert_price": 943.28, "score": "", "dir_prob": "47.2", "net_sigma": "", "grade": "", "align": "", "premium": "", "wrong_if": "", "context": "", "subject": "Alert: Rev - Screener v1 (SPY, 12): Any alert() function call", "body": "{\"ticker\":\"GEV\", \"setup\":\"Research Reversal (Any Stage)\", \"side\":\"LONG\", \"price\":943.28, \"stage\":4, \"buy\":23.6, \"sell\":20.4, \"prime\":0, \"revL\":8.5, \"revS\":0, \"vcp\":0, \"dir_prob\":47.2, \"time\":1785245400000}", "ticker": "GEV", "setup": "Research Reversal (Any Stage)", "side": "LONG", "price": 943.28, "stage": 4, "buy": 23.6, "sell": 20.4, "prime": 0, "revL": 8.5, "revS": 0, "vcp": 0, "time": 1785245400000, "email_id": "2573", "timestamp": "2026-07-28 16:01:22"}</t>
  </si>
  <si>
    <t>Buy: 97.9 | Sell: 20.4</t>
  </si>
  <si>
    <t>Buy: 11 | Sell: 47.9</t>
  </si>
  <si>
    <t>{"symbol": "IQV", "strategy": "Daily", "action": "LONG", "alert_price": 243.36, "score": "", "dir_prob": "15.5", "net_sigma": "", "grade": "", "align": "", "premium": "", "wrong_if": "", "context": "", "subject": "Alert: Rev - Screener v1 (SPY, 12): Any alert() function call", "body": "{\"ticker\":\"IQV\", \"setup\":\"Bullish Squeeze Release\", \"side\":\"LONG\", \"price\":243.36, \"stage\":2, \"buy\":11, \"sell\":47.9, \"prime\":0, \"revL\":0, \"revS\":0, \"vcp\":2, \"dir_prob\":15.5, \"time\":1785245400000}", "ticker": "IQV", "setup": "Bullish Squeeze Release", "side": "LONG", "price": 243.36, "stage": 2, "buy": 11, "sell": 47.9, "prime": 0, "revL": 0, "revS": 0, "vcp": 2, "time": 1785245400000, "email_id": "2574", "timestamp": "2026-07-28 16:01:18"}</t>
  </si>
  <si>
    <t>Buy: 87.6 | Sell: 34.8</t>
  </si>
  <si>
    <t>{"symbol": "WM", "strategy": "Daily", "action": "LONG", "alert_price": 236.58, "score": "", "dir_prob": "94.1", "net_sigma": "", "grade": "", "align": "", "premium": "", "wrong_if": "", "context": "", "subject": "Alert: Rev - Screener v1 (SPY, 12): Any alert() function call", "body": "{\"ticker\":\"WM\", \"setup\":\"A+ Trend Long\", \"side\":\"LONG\", \"price\":236.58, \"stage\":2, \"buy\":97.9, \"sell\":20.4, \"prime\":2, \"revL\":0, \"revS\":0, \"vcp\":0, \"dir_prob\":94.1, \"time\":1785331800000}", "ticker": "WM", "setup": "A+ Trend Long", "side": "LONG", "price": 236.58, "stage": 2, "buy": 97.9, "sell": 20.4, "prime": 2, "revL": 0, "revS": 0, "vcp": 0, "time": 1785331800000, "email_id": "2714", "timestamp": "2026-07-29 16:01:26"}</t>
  </si>
  <si>
    <t>**WAIT** (do not chase; set alert at $26.38–$26.57)</t>
  </si>
  <si>
    <t>Buy: 76.2 | Sell: 37.4</t>
  </si>
  <si>
    <t>{"symbol": "NWSA", "strategy": "Daily", "action": "LONG", "alert_price": 28.19, "score": "", "dir_prob": "90.5", "net_sigma": "", "grade": "", "align": "", "premium": "", "wrong_if": "", "context": "", "subject": "Alert: Rev - Screener v1 (SPY, 12): Any alert() function call", "body": "{\"ticker\":\"NWSA\", \"setup\":\"A+ Trend Long\", \"side\":\"LONG\", \"price\":28.19, \"stage\":2, \"buy\":87.6, \"sell\":34.8, \"prime\":2, \"revL\":0, \"revS\":0, \"vcp\":0, \"dir_prob\":90.5, \"time\":1785245400000}", "ticker": "NWSA", "setup": "A+ Trend Long", "side": "LONG", "price": 28.19, "stage": 2, "buy": 87.6, "sell": 34.8, "prime": 2, "revL": 0, "revS": 0, "vcp": 0, "time": 1785245400000, "email_id": "2575", "timestamp": "2026-07-28 16:01:10"}</t>
  </si>
  <si>
    <t>TREND_LONG fires with buy=76.4 &gt; 65, dir_prob=89.65 &gt;= 50, and stage=2. News is NEUTRAL with no catalyst. Triage capped to WATCH due to 'chased' flag (price above zone with poor R:R=0.37) and 'earnings' caution (8 days out).</t>
  </si>
  <si>
    <t>NCLH</t>
  </si>
  <si>
    <t>{"symbol": "WSM", "strategy": "Daily", "action": "LONG", "alert_price": 233.74, "score": "", "dir_prob": "80.1", "net_sigma": "", "grade": "", "align": "", "premium": "", "wrong_if": "", "context": "", "subject": "Alert: Rev - Screener v1 (SPY, 12): Any alert() function call", "body": "{\"ticker\":\"WSM\", \"setup\":\"Bullish Squeeze Release\", \"side\":\"LONG\", \"price\":233.74, \"stage\":2, \"buy\":76.2, \"sell\":37.4, \"prime\":1, \"revL\":0, \"revS\":0, \"vcp\":2, \"dir_prob\":80.1, \"time\":1785331800000}", "ticker": "WSM", "setup": "Bullish Squeeze Release", "side": "LONG", "price": 233.74, "stage": 2, "buy": 76.2, "sell": 37.4, "prime": 1, "revL": 0, "revS": 0, "vcp": 2, "time": 1785331800000, "email_id": "2715", "timestamp": "2026-07-29 16:01:23"}</t>
  </si>
  <si>
    <t>Buy: 75 | Sell: 60</t>
  </si>
  <si>
    <t>Buy: 97.3 | Sell: 21.4</t>
  </si>
  <si>
    <t>{"symbol": "NCLH", "strategy": "Daily", "action": "LONG", "alert_price": 21.22, "score": "", "dir_prob": "66.7", "net_sigma": "", "grade": "", "align": "", "premium": "", "wrong_if": "", "context": "", "subject": "Alert: Rev - Screener v1 (SPY, 12): Any alert() function call", "body": "{\"ticker\":\"NCLH\", \"setup\":\"Early Ignition\", \"side\":\"LONG\", \"price\":21.22, \"stage\":2, \"buy\":75, \"sell\":60, \"prime\":0, \"revL\":0, \"revS\":0, \"vcp\":0, \"dir_prob\":66.7, \"time\":1785245400000}", "ticker": "NCLH", "setup": "Early Ignition", "side": "LONG", "price": 21.22, "stage": 2, "buy": 75, "sell": 60, "prime": 0, "revL": 0, "revS": 0, "vcp": 0, "time": 1785245400000, "email_id": "2576", "timestamp": "2026-07-28 16:01:23"}</t>
  </si>
  <si>
    <t>Buy: 95.8 | Sell: 8.9</t>
  </si>
  <si>
    <t>{"symbol": "XYL", "strategy": "Daily", "action": "LONG", "alert_price": 122.06, "score": "", "dir_prob": "96.3", "net_sigma": "", "grade": "", "align": "", "premium": "", "wrong_if": "", "context": "", "subject": "Alert: Rev - Screener v1 (SPY, 12): Any alert() function call", "body": "{\"ticker\":\"XYL\", \"setup\":\"A+ Trend Long\", \"side\":\"LONG\", \"price\":122.06, \"stage\":2, \"buy\":97.3, \"sell\":21.4, \"prime\":2, \"revL\":0, \"revS\":0, \"vcp\":0, \"dir_prob\":96.3, \"time\":1785331800000}", "ticker": "XYL", "setup": "A+ Trend Long", "side": "LONG", "price": 122.06, "stage": 2, "buy": 97.3, "sell": 21.4, "prime": 2, "revL": 0, "revS": 0, "vcp": 0, "time": 1785331800000, "email_id": "2716", "timestamp": "2026-07-29 16:01:31"}</t>
  </si>
  <si>
    <t>Buy: 95.7 | Sell: 29.2</t>
  </si>
  <si>
    <t>{"symbol": "HIG", "strategy": "Daily", "action": "LONG", "alert_price": 143.38, "score": "", "dir_prob": "92.9", "net_sigma": "", "grade": "", "align": "", "premium": "", "wrong_if": "", "context": "", "subject": "Alert: Rev - Screener v1 (SPY, 12): Any alert() function call", "body": "{\"ticker\":\"HIG\", \"setup\":\"A+ Trend Long\", \"side\":\"LONG\", \"price\":143.38, \"stage\":2, \"buy\":95.8, \"sell\":8.9, \"prime\":2, \"revL\":0, \"revS\":0, \"vcp\":0, \"dir_prob\":92.9, \"time\":1785245400000}", "ticker": "HIG", "setup": "A+ Trend Long", "side": "LONG", "price": 143.38, "stage": 2, "buy": 95.8, "sell": 8.9, "prime": 2, "revL": 0, "revS": 0, "vcp": 0, "time": 1785245400000, "email_id": "2577", "timestamp": "2026-07-28 16:01:13"}</t>
  </si>
  <si>
    <t>{"symbol": "EA", "strategy": "Daily", "action": "LONG", "alert_price": 208.81, "score": "", "dir_prob": "87.4", "net_sigma": "", "grade": "", "align": "", "premium": "", "wrong_if": "", "context": "", "subject": "Alert: Rev - Screener v1 (SPY, 12): Any alert() function call", "body": "{\"ticker\":\"EA\", \"setup\":\"A+ Trend Long\", \"side\":\"LONG\", \"price\":208.81, \"stage\":2, \"buy\":95.7, \"sell\":29.2, \"prime\":2, \"revL\":0, \"revS\":0, \"vcp\":0, \"dir_prob\":87.4, \"time\":1785331800000}", "ticker": "EA", "setup": "A+ Trend Long", "side": "LONG", "price": 208.81, "stage": 2, "buy": 95.7, "sell": 29.2, "prime": 2, "revL": 0, "revS": 0, "vcp": 0, "time": 1785331800000, "email_id": "2717", "timestamp": "2026-07-29 16:01:28"}</t>
  </si>
  <si>
    <t>Buy: 97.5 | Sell: 13.6</t>
  </si>
  <si>
    <t>Buy: 50.1 | Sell: 38.8</t>
  </si>
  <si>
    <t>{"symbol": "PCG", "strategy": "Daily", "action": "LONG", "alert_price": 17.78, "score": "", "dir_prob": "92.6", "net_sigma": "", "grade": "", "align": "", "premium": "", "wrong_if": "", "context": "", "subject": "Alert: Rev - Screener v1 (SPY, 12): Any alert() function call", "body": "{\"ticker\":\"PCG\", \"setup\":\"A+ Trend Long\", \"side\":\"LONG\", \"price\":17.78, \"stage\":2, \"buy\":97.5, \"sell\":13.6, \"prime\":2, \"revL\":0, \"revS\":0, \"vcp\":0, \"dir_prob\":92.6, \"time\":1785245400000}", "ticker": "PCG", "setup": "A+ Trend Long", "side": "LONG", "price": 17.78, "stage": 2, "buy": 97.5, "sell": 13.6, "prime": 2, "revL": 0, "revS": 0, "vcp": 0, "time": 1785245400000, "email_id": "2578", "timestamp": "2026-07-28 16:01:25"}</t>
  </si>
  <si>
    <t>{"symbol": "UPS", "strategy": "Daily", "action": "LONG", "alert_price": 104.59, "score": "", "dir_prob": "56", "net_sigma": "", "grade": "", "align": "", "premium": "", "wrong_if": "", "context": "", "subject": "Alert: Rev - Screener v1 (SPY, 12): Any alert() function call", "body": "{\"ticker\":\"UPS\", \"setup\":\"Research Reversal (Any Stage)\", \"side\":\"LONG\", \"price\":104.59, \"stage\":4, \"buy\":50.1, \"sell\":38.8, \"prime\":0, \"revL\":7.5, \"revS\":0, \"vcp\":0, \"dir_prob\":56, \"time\":1785331800000}", "ticker": "UPS", "setup": "Research Reversal (Any Stage)", "side": "LONG", "price": 104.59, "stage": 4, "buy": 50.1, "sell": 38.8, "prime": 0, "revL": 7.5, "revS": 0, "vcp": 0, "time": 1785331800000, "email_id": "2718", "timestamp": "2026-07-29 16:01:26"}</t>
  </si>
  <si>
    <t>Buy: 93.4 | Sell: 11.9</t>
  </si>
  <si>
    <t>{"symbol": "VLO", "strategy": "Daily", "action": "LONG", "alert_price": 302.14, "score": "", "dir_prob": "94.4", "net_sigma": "", "grade": "", "align": "", "premium": "", "wrong_if": "", "context": "", "subject": "Alert: Rev - Screener v1 (SPY, 12): Any alert() function call", "body": "{\"ticker\":\"VLO\", \"setup\":\"A+ Trend Long\", \"side\":\"LONG\", \"price\":302.14, \"stage\":2, \"buy\":97.2, \"sell\":4.1, \"prime\":2, \"revL\":0, \"revS\":0, \"vcp\":0, \"dir_prob\":94.4, \"time\":1785331800000}", "ticker": "VLO", "setup": "A+ Trend Long", "side": "LONG", "price": 302.14, "stage": 2, "buy": 97.2, "sell": 4.1, "prime": 2, "revL": 0, "revS": 0, "vcp": 0, "time": 1785331800000, "email_id": "2719", "timestamp": "2026-07-29 16:01:31"}</t>
  </si>
  <si>
    <t>{"symbol": "CFG", "strategy": "Daily", "action": "LONG", "alert_price": 72.93, "score": "", "dir_prob": "88.1", "net_sigma": "", "grade": "", "align": "", "premium": "", "wrong_if": "", "context": "", "subject": "Alert: Rev - Screener v1 (SPY, 12): Any alert() function call", "body": "{\"ticker\":\"CFG\", \"setup\":\"A+ Trend Long\", \"side\":\"LONG\", \"price\":72.93, \"stage\":2, \"buy\":93.4, \"sell\":11.9, \"prime\":2, \"revL\":0, \"revS\":0, \"vcp\":1, \"dir_prob\":88.1, \"time\":1785245400000}", "ticker": "CFG", "setup": "A+ Trend Long", "side": "LONG", "price": 72.93, "stage": 2, "buy": 93.4, "sell": 11.9, "prime": 2, "revL": 0, "revS": 0, "vcp": 1, "time": 1785245400000, "email_id": "2579", "timestamp": "2026-07-28 16:01:27"}</t>
  </si>
  <si>
    <t>Buy: 91.5 | Sell: 11.3</t>
  </si>
  <si>
    <t>Buy: 94.7 | Sell: 8.4</t>
  </si>
  <si>
    <t>{"symbol": "AAPL", "strategy": "Daily", "action": "LONG", "alert_price": 338.1, "score": "", "dir_prob": "91.1", "net_sigma": "", "grade": "", "align": "", "premium": "", "wrong_if": "", "context": "", "subject": "Alert: Rev - Screener v1 (SPY, 12): Any alert() function call", "body": "{\"ticker\":\"AAPL\", \"setup\":\"A+ Trend Long\", \"side\":\"LONG\", \"price\":338.10, \"stage\":2, \"buy\":91.5, \"sell\":11.3, \"prime\":2, \"revL\":0, \"revS\":0, \"vcp\":0, \"dir_prob\":91.1, \"time\":1785331800000}", "ticker": "AAPL", "setup": "A+ Trend Long", "side": "LONG", "price": 338.1, "stage": 2, "buy": 91.5, "sell": 11.3, "prime": 2, "revL": 0, "revS": 0, "vcp": 0, "time": 1785331800000, "email_id": "2720", "timestamp": "2026-07-29 16:01:27"}</t>
  </si>
  <si>
    <t>{"symbol": "EIX", "strategy": "Daily", "action": "LONG", "alert_price": 79.79, "score": "", "dir_prob": "88.6", "net_sigma": "", "grade": "", "align": "", "premium": "", "wrong_if": "", "context": "", "subject": "Alert: Rev - Screener v1 (SPY, 12): Any alert() function call", "body": "{\"ticker\":\"EIX\", \"setup\":\"A+ Trend Long\", \"side\":\"LONG\", \"price\":79.79, \"stage\":2, \"buy\":94.7, \"sell\":8.4, \"prime\":2, \"revL\":0, \"revS\":0, \"vcp\":0, \"dir_prob\":88.6, \"time\":1785245400000}", "ticker": "EIX", "setup": "A+ Trend Long", "side": "LONG", "price": 79.79, "stage": 2, "buy": 94.7, "sell": 8.4, "prime": 2, "revL": 0, "revS": 0, "vcp": 0, "time": 1785245400000, "email_id": "2580", "timestamp": "2026-07-28 16:01:23"}</t>
  </si>
  <si>
    <t>Buy: 95.3 | Sell: 15.7</t>
  </si>
  <si>
    <t>Buy: 94 | Sell: 20.8</t>
  </si>
  <si>
    <t>{"symbol": "ACGL", "strategy": "Daily", "action": "LONG", "alert_price": 104.59, "score": "", "dir_prob": "92.7", "net_sigma": "", "grade": "", "align": "", "premium": "", "wrong_if": "", "context": "", "subject": "Alert: Rev - Screener v1 (SPY, 12): Any alert() function call", "body": "{\"ticker\":\"ACGL\", \"setup\":\"Early Ignition\", \"side\":\"LONG\", \"price\":104.59, \"stage\":2, \"buy\":95.3, \"sell\":15.7, \"prime\":2, \"revL\":0, \"revS\":0, \"vcp\":0, \"dir_prob\":92.7, \"time\":1785331800000}", "ticker": "ACGL", "setup": "Early Ignition", "side": "LONG", "price": 104.59, "stage": 2, "buy": 95.3, "sell": 15.7, "prime": 2, "revL": 0, "revS": 0, "vcp": 0, "time": 1785331800000, "email_id": "2721", "timestamp": "2026-07-29 16:01:27"}</t>
  </si>
  <si>
    <t>Buy: 94.6 | Sell: 5.1</t>
  </si>
  <si>
    <t>{"symbol": "ES", "strategy": "Daily", "action": "LONG", "alert_price": 75.39, "score": "", "dir_prob": "91.8", "net_sigma": "", "grade": "", "align": "", "premium": "", "wrong_if": "", "context": "", "subject": "Alert: Rev - Screener v1 (SPY, 12): Any alert() function call", "body": "{\"ticker\":\"ES\", \"setup\":\"A+ Trend Long\", \"side\":\"LONG\", \"price\":75.39, \"stage\":2, \"buy\":94, \"sell\":20.8, \"prime\":2, \"revL\":0, \"revS\":0, \"vcp\":1, \"dir_prob\":91.8, \"time\":1785245400000}", "ticker": "ES", "setup": "A+ Trend Long", "side": "LONG", "price": 75.39, "stage": 2, "buy": 94, "sell": 20.8, "prime": 2, "revL": 0, "revS": 0, "vcp": 1, "time": 1785245400000, "email_id": "2581", "timestamp": "2026-07-28 16:01:21"}</t>
  </si>
  <si>
    <t>Buy: 89.6 | Sell: 17.8</t>
  </si>
  <si>
    <t>{"symbol": "MTB", "strategy": "Daily", "action": "LONG", "alert_price": 250.4, "score": "", "dir_prob": "94.1", "net_sigma": "", "grade": "", "align": "", "premium": "", "wrong_if": "", "context": "", "subject": "Alert: Rev - Screener v1 (SPY, 12): Any alert() function call", "body": "{\"ticker\":\"MTB\", \"setup\":\"A+ Trend Long\", \"side\":\"LONG\", \"price\":250.40, \"stage\":2, \"buy\":94.6, \"sell\":5.1, \"prime\":2, \"revL\":0, \"revS\":0, \"vcp\":0, \"dir_prob\":94.1, \"time\":1785331800000}", "ticker": "MTB", "setup": "A+ Trend Long", "side": "LONG", "price": 250.4, "stage": 2, "buy": 94.6, "sell": 5.1, "prime": 2, "revL": 0, "revS": 0, "vcp": 0, "time": 1785331800000, "email_id": "2722", "timestamp": "2026-07-29 16:01:34"}</t>
  </si>
  <si>
    <t>{"symbol": "JNJ", "strategy": "Daily", "action": "LONG", "alert_price": 266.68, "score": "", "dir_prob": "89.2", "net_sigma": "", "grade": "", "align": "", "premium": "", "wrong_if": "", "context": "", "subject": "Alert: Rev - Screener v1 (SPY, 12): Any alert() function call", "body": "{\"ticker\":\"JNJ\", \"setup\":\"A+ Trend Long\", \"side\":\"LONG\", \"price\":266.68, \"stage\":2, \"buy\":89.6, \"sell\":17.8, \"prime\":2, \"revL\":0, \"revS\":0, \"vcp\":0, \"dir_prob\":89.2, \"time\":1785245400000}", "ticker": "JNJ", "setup": "A+ Trend Long", "side": "LONG", "price": 266.68, "stage": 2, "buy": 89.6, "sell": 17.8, "prime": 2, "revL": 0, "revS": 0, "vcp": 0, "time": 1785245400000, "email_id": "2582", "timestamp": "2026-07-28 16:01:27"}</t>
  </si>
  <si>
    <t>HWM</t>
  </si>
  <si>
    <t>Buy: 87.3 | Sell: 22.8</t>
  </si>
  <si>
    <t>{"symbol": "ED", "strategy": "Daily", "action": "LONG", "alert_price": 112.27, "score": "", "dir_prob": "93", "net_sigma": "", "grade": "", "align": "", "premium": "", "wrong_if": "", "context": "", "subject": "Alert: Rev - Screener v1 (SPY, 12): Any alert() function call", "body": "{\"ticker\":\"ED\", \"setup\":\"A+ Trend Long\", \"side\":\"LONG\", \"price\":112.27, \"stage\":2, \"buy\":93.3, \"sell\":11.5, \"prime\":2, \"revL\":0, \"revS\":0, \"vcp\":1, \"dir_prob\":93, \"time\":1785331800000}", "ticker": "ED", "setup": "A+ Trend Long", "side": "LONG", "price": 112.27, "stage": 2, "buy": 93.3, "sell": 11.5, "prime": 2, "revL": 0, "revS": 0, "vcp": 1, "time": 1785331800000, "email_id": "2723", "timestamp": "2026-07-29 16:01:30"}</t>
  </si>
  <si>
    <t>Buy: 94 | Sell: 39.6</t>
  </si>
  <si>
    <t>{"symbol": "HWM", "strategy": "Daily", "action": "LONG", "alert_price": 286.04, "score": "", "dir_prob": "87.9", "net_sigma": "", "grade": "", "align": "", "premium": "", "wrong_if": "", "context": "", "subject": "Alert: Rev - Screener v1 (SPY, 12): Any alert() function call", "body": "{\"ticker\":\"HWM\", \"setup\":\"Bullish Squeeze Release\", \"side\":\"LONG\", \"price\":286.04, \"stage\":2, \"buy\":87.3, \"sell\":22.8, \"prime\":0, \"revL\":0, \"revS\":0, \"vcp\":2, \"dir_prob\":87.9, \"time\":1785245400000}", "ticker": "HWM", "setup": "Bullish Squeeze Release", "side": "LONG", "price": 286.04, "stage": 2, "buy": 87.3, "sell": 22.8, "prime": 0, "revL": 0, "revS": 0, "vcp": 2, "time": 1785245400000, "email_id": "2583", "timestamp": "2026-07-28 16:01:22"}</t>
  </si>
  <si>
    <t>Buy: 39.9 | Sell: 38.2</t>
  </si>
  <si>
    <t>{"symbol": "CRL", "strategy": "Daily", "action": "LONG", "alert_price": 234.96, "score": "", "dir_prob": "85.7", "net_sigma": "", "grade": "", "align": "", "premium": "", "wrong_if": "", "context": "", "subject": "Alert: Rev - Screener v1 (SPY, 12): Any alert() function call", "body": "{\"ticker\":\"CRL\", \"setup\":\"A+ Trend Long\", \"side\":\"LONG\", \"price\":234.96, \"stage\":2, \"buy\":94, \"sell\":39.6, \"prime\":2, \"revL\":0, \"revS\":0, \"vcp\":1, \"dir_prob\":85.7, \"time\":1785331800000}", "ticker": "CRL", "setup": "A+ Trend Long", "side": "LONG", "price": 234.96, "stage": 2, "buy": 94, "sell": 39.6, "prime": 2, "revL": 0, "revS": 0, "vcp": 1, "time": 1785331800000, "email_id": "2724", "timestamp": "2026-07-29 16:01:32"}</t>
  </si>
  <si>
    <t>Buy: 93.7 | Sell: 10.5</t>
  </si>
  <si>
    <t>{"symbol": "SHW", "strategy": "Daily", "action": "LONG", "alert_price": 354.16, "score": "", "dir_prob": "62.5", "net_sigma": "", "grade": "", "align": "", "premium": "", "wrong_if": "", "context": "", "subject": "Alert: Rev - Screener v1 (SPY, 12): Any alert() function call", "body": "{\"ticker\":\"SHW\", \"setup\":\"Early Ignition\", \"side\":\"LONG\", \"price\":354.16, \"stage\":2, \"buy\":39.9, \"sell\":38.2, \"prime\":0, \"revL\":0, \"revS\":0, \"vcp\":0, \"dir_prob\":62.5, \"time\":1785245400000}", "ticker": "SHW", "setup": "Early Ignition", "side": "LONG", "price": 354.16, "stage": 2, "buy": 39.9, "sell": 38.2, "prime": 0, "revL": 0, "revS": 0, "vcp": 0, "time": 1785245400000, "email_id": "2584", "timestamp": "2026-07-28 16:01:21"}</t>
  </si>
  <si>
    <t>Buy: 16 | Sell: 18.7</t>
  </si>
  <si>
    <t>{"symbol": "AES", "strategy": "Daily", "action": "LONG", "alert_price": 14.83, "score": "", "dir_prob": "91.7", "net_sigma": "", "grade": "", "align": "", "premium": "", "wrong_if": "", "context": "", "subject": "Alert: Rev - Screener v1 (SPY, 12): Any alert() function call", "body": "{\"ticker\":\"AES\", \"setup\":\"A+ Trend Long\", \"side\":\"LONG\", \"price\":14.83, \"stage\":2, \"buy\":93.7, \"sell\":10.5, \"prime\":2, \"revL\":0, \"revS\":0, \"vcp\":0, \"dir_prob\":91.7, \"time\":1785331800000}", "ticker": "AES", "setup": "A+ Trend Long", "side": "LONG", "price": 14.83, "stage": 2, "buy": 93.7, "sell": 10.5, "prime": 2, "revL": 0, "revS": 0, "vcp": 0, "time": 1785331800000, "email_id": "2725", "timestamp": "2026-07-29 16:01:31"}</t>
  </si>
  <si>
    <t>Buy: 88.3 | Sell: 41.7</t>
  </si>
  <si>
    <t>{"symbol": "VLTO", "strategy": "Daily", "action": "LONG", "alert_price": 98.43, "score": "", "dir_prob": "71.6", "net_sigma": "", "grade": "", "align": "", "premium": "", "wrong_if": "", "context": "", "subject": "Alert: Rev - Screener v1 (SPY, 12): Any alert() function call", "body": "{\"ticker\":\"VLTO\", \"setup\":\"Bullish Squeeze Release\", \"side\":\"LONG\", \"price\":98.43, \"stage\":2, \"buy\":16, \"sell\":18.7, \"prime\":0, \"revL\":0, \"revS\":0, \"vcp\":2, \"dir_prob\":71.6, \"time\":1785245400000}", "ticker": "VLTO", "setup": "Bullish Squeeze Release", "side": "LONG", "price": 98.43, "stage": 2, "buy": 16, "sell": 18.7, "prime": 0, "revL": 0, "revS": 0, "vcp": 2, "time": 1785245400000, "email_id": "2585", "timestamp": "2026-07-28 16:01:30"}</t>
  </si>
  <si>
    <t>Buy: 93.9 | Sell: 7</t>
  </si>
  <si>
    <t>{"symbol": "DASH", "strategy": "Daily", "action": "LONG", "alert_price": 193.51, "score": "", "dir_prob": "90", "net_sigma": "", "grade": "", "align": "", "premium": "", "wrong_if": "", "context": "", "subject": "Alert: Rev - Screener v1 (SPY, 12): Any alert() function call", "body": "{\"ticker\":\"DASH\", \"setup\":\"A+ Trend Long\", \"side\":\"LONG\", \"price\":193.51, \"stage\":2, \"buy\":88.3, \"sell\":41.7, \"prime\":2, \"revL\":0, \"revS\":0, \"vcp\":0, \"dir_prob\":90, \"time\":1785331800000}", "ticker": "DASH", "setup": "A+ Trend Long", "side": "LONG", "price": 193.51, "stage": 2, "buy": 88.3, "sell": 41.7, "prime": 2, "revL": 0, "revS": 0, "vcp": 0, "time": 1785331800000, "email_id": "2726", "timestamp": "2026-07-29 16:01:29"}</t>
  </si>
  <si>
    <t>Buy: 87.6 | Sell: 51.5</t>
  </si>
  <si>
    <t>{"symbol": "USB", "strategy": "Daily", "action": "LONG", "alert_price": 64.44, "score": "", "dir_prob": "91.6", "net_sigma": "", "grade": "", "align": "", "premium": "", "wrong_if": "", "context": "", "subject": "Alert: Rev - Screener v1 (SPY, 12): Any alert() function call", "body": "{\"ticker\":\"USB\", \"setup\":\"A+ Trend Long\", \"side\":\"LONG\", \"price\":64.44, \"stage\":2, \"buy\":93.9, \"sell\":7, \"prime\":2, \"revL\":0, \"revS\":0, \"vcp\":0, \"dir_prob\":91.6, \"time\":1785245400000}", "ticker": "USB", "setup": "A+ Trend Long", "side": "LONG", "price": 64.44, "stage": 2, "buy": 93.9, "sell": 7, "prime": 2, "revL": 0, "revS": 0, "vcp": 0, "time": 1785245400000, "email_id": "2586", "timestamp": "2026-07-28 16:01:31"}</t>
  </si>
  <si>
    <t>{"symbol": "COO", "strategy": "Daily", "action": "LONG", "alert_price": 73.07, "score": "", "dir_prob": "78.8", "net_sigma": "", "grade": "", "align": "", "premium": "", "wrong_if": "", "context": "", "subject": "Alert: Rev - Screener v1 (SPY, 12): Any alert() function call", "body": "{\"ticker\":\"COO\", \"setup\":\"A+ Trend Long\", \"side\":\"LONG\", \"price\":73.07, \"stage\":2, \"buy\":87.6, \"sell\":51.5, \"prime\":2, \"revL\":0, \"revS\":0, \"vcp\":1, \"dir_prob\":78.8, \"time\":1785331800000}", "ticker": "COO", "setup": "A+ Trend Long", "side": "LONG", "price": 73.07, "stage": 2, "buy": 87.6, "sell": 51.5, "prime": 2, "revL": 0, "revS": 0, "vcp": 1, "time": 1785331800000, "email_id": "2727", "timestamp": "2026-07-29 16:01:33"}</t>
  </si>
  <si>
    <t>Buy: 92.7 | Sell: 33.1</t>
  </si>
  <si>
    <t>Buy: 95.3 | Sell: 8.5</t>
  </si>
  <si>
    <t>{"symbol": "O", "strategy": "Daily", "action": "LONG", "alert_price": 65.74, "score": "", "dir_prob": "90.2", "net_sigma": "", "grade": "", "align": "", "premium": "", "wrong_if": "", "context": "", "subject": "Alert: Rev - Screener v1 (SPY, 12): Any alert() function call", "body": "{\"ticker\":\"O\", \"setup\":\"A+ Trend Long\", \"side\":\"LONG\", \"price\":65.74, \"stage\":2, \"buy\":92.7, \"sell\":33.1, \"prime\":2, \"revL\":0, \"revS\":0, \"vcp\":0, \"dir_prob\":90.2, \"time\":1785245400000}", "ticker": "O", "setup": "A+ Trend Long", "side": "LONG", "price": 65.74, "stage": 2, "buy": 92.7, "sell": 33.1, "prime": 2, "revL": 0, "revS": 0, "vcp": 0, "time": 1785245400000, "email_id": "2587", "timestamp": "2026-07-28 16:01:28"}</t>
  </si>
  <si>
    <t>{"symbol": "PNC", "strategy": "Daily", "action": "LONG", "alert_price": 248.51, "score": "", "dir_prob": "93.1", "net_sigma": "", "grade": "", "align": "", "premium": "", "wrong_if": "", "context": "", "subject": "Alert: Rev - Screener v1 (SPY, 12): Any alert() function call", "body": "{\"ticker\":\"PNC\", \"setup\":\"A+ Trend Long\", \"side\":\"LONG\", \"price\":248.51, \"stage\":2, \"buy\":95.3, \"sell\":8.5, \"prime\":2, \"revL\":0, \"revS\":0, \"vcp\":1, \"dir_prob\":93.1, \"time\":1785331800000}", "ticker": "PNC", "setup": "A+ Trend Long", "side": "LONG", "price": 248.51, "stage": 2, "buy": 95.3, "sell": 8.5, "prime": 2, "revL": 0, "revS": 0, "vcp": 1, "time": 1785331800000, "email_id": "2728", "timestamp": "2026-07-29 16:01:33"}</t>
  </si>
  <si>
    <t>Buy: 94.9 | Sell: 11.5</t>
  </si>
  <si>
    <t>⏳ **WAIT (No Fresh Entry)** | Set alerts at $190.91 long zone</t>
  </si>
  <si>
    <t>{"symbol": "REG", "strategy": "Daily", "action": "LONG", "alert_price": 81.14, "score": "", "dir_prob": "95", "net_sigma": "", "grade": "", "align": "", "premium": "", "wrong_if": "", "context": "", "subject": "Alert: Rev - Screener v1 (SPY, 12): Any alert() function call", "body": "{\"ticker\":\"REG\", \"setup\":\"A+ Trend Long\", \"side\":\"LONG\", \"price\":81.14, \"stage\":2, \"buy\":94.9, \"sell\":11.5, \"prime\":2, \"revL\":0, \"revS\":0, \"vcp\":0, \"dir_prob\":95, \"time\":1785331800000}", "ticker": "REG", "setup": "A+ Trend Long", "side": "LONG", "price": 81.14, "stage": 2, "buy": 94.9, "sell": 11.5, "prime": 2, "revL": 0, "revS": 0, "vcp": 0, "time": 1785331800000, "email_id": "2729", "timestamp": "2026-07-29 16:01:34"}</t>
  </si>
  <si>
    <t>Buy: 93.2 | Sell: 31.1</t>
  </si>
  <si>
    <t>{"symbol": "PSX", "strategy": "Daily", "action": "LONG", "alert_price": 205.85, "score": "", "dir_prob": "94", "net_sigma": "", "grade": "", "align": "", "premium": "", "wrong_if": "", "context": "", "subject": "Alert: Rev - Screener v1 (SPY, 12): Any alert() function call", "body": "{\"ticker\":\"PSX\", \"setup\":\"A+ Trend Long\", \"side\":\"LONG\", \"price\":205.85, \"stage\":2, \"buy\":96.7, \"sell\":4.6, \"prime\":2, \"revL\":0, \"revS\":0, \"vcp\":0, \"dir_prob\":94, \"time\":1785245400000}", "ticker": "PSX", "setup": "A+ Trend Long", "side": "LONG", "price": 205.85, "stage": 2, "buy": 96.7, "sell": 4.6, "prime": 2, "revL": 0, "revS": 0, "vcp": 0, "time": 1785245400000, "email_id": "2588", "timestamp": "2026-07-28 16:01:33"}</t>
  </si>
  <si>
    <t>TREND_LONG fires with buy=96.78 &gt;&gt; 65, dir_prob=81.34, and stage=2. News CONFIRMS with a UBS upgrade and bullish geopolitical headlines. Triage capped to WATCH due to earnings_gate=PASS (8 days out) and the 'pullback' flag indicating a dip-</t>
  </si>
  <si>
    <t>Buy: 44.8 | Sell: 17.1</t>
  </si>
  <si>
    <t>SKIP / HOLD (Longs forbidden; Shorts wait for confirmation)</t>
  </si>
  <si>
    <t>Entry: 84.50
Stop: 91.00
Target: 75.14
See markdown for full rationale.</t>
  </si>
  <si>
    <t>{"symbol": "O", "strategy": "Daily", "action": "LONG", "alert_price": 65.56, "score": "", "dir_prob": "90.8", "net_sigma": "", "grade": "", "align": "", "premium": "", "wrong_if": "", "context": "", "subject": "Alert: Rev - Screener v1 (SPY, 12): Any alert() function call", "body": "{\"ticker\":\"O\", \"setup\":\"A+ Trend Long\", \"side\":\"LONG\", \"price\":65.56, \"stage\":2, \"buy\":93.2, \"sell\":31.1, \"prime\":2, \"revL\":0, \"revS\":0, \"vcp\":0, \"dir_prob\":90.8, \"time\":1785331800000}", "ticker": "O", "setup": "A+ Trend Long", "side": "LONG", "price": 65.56, "stage": 2, "buy": 93.2, "sell": 31.1, "prime": 2, "revL": 0, "revS": 0, "vcp": 0, "time": 1785331800000, "email_id": "2730", "timestamp": "2026-07-29 16:01:36"}</t>
  </si>
  <si>
    <t>Buy: 88.9 | Sell: 18.8</t>
  </si>
  <si>
    <t>{"symbol": "MDT", "strategy": "Daily", "action": "LONG", "alert_price": 86.92, "score": "", "dir_prob": "72.2", "net_sigma": "", "grade": "", "align": "", "premium": "", "wrong_if": "", "context": "", "subject": "Alert: Rev - Screener v1 (SPY, 12): Any alert() function call", "body": "{\"ticker\":\"MDT\", \"setup\":\"Early Ignition\", \"side\":\"LONG\", \"price\":86.92, \"stage\":2, \"buy\":44.8, \"sell\":17.1, \"prime\":0, \"revL\":0, \"revS\":8.5, \"vcp\":0, \"dir_prob\":72.2, \"time\":1785245400000}", "ticker": "MDT", "setup": "Early Ignition", "side": "LONG", "price": 86.92, "stage": 2, "buy": 44.8, "sell": 17.1, "prime": 0, "revL": 0, "revS": 8.5, "vcp": 0, "time": 1785245400000, "email_id": "2589", "timestamp": "2026-07-28 16:01:18"}</t>
  </si>
  <si>
    <t>No active entry mode fires: dominant_side is short but sell (47.04) is below the 65 threshold for TREND_SHORT, and rev_zone_s (15.0) is not in Stage 1/2 required for REVERSION_SHORT. The 'TOP' warning and 'TRAP_BULL' reversal suggest recent</t>
  </si>
  <si>
    <t>SNDK</t>
  </si>
  <si>
    <t>Buy: 16 | Sell: 9.5</t>
  </si>
  <si>
    <t>{"symbol": "MRK", "strategy": "Daily", "action": "LONG", "alert_price": 130.39, "score": "", "dir_prob": "87.4", "net_sigma": "", "grade": "", "align": "", "premium": "", "wrong_if": "", "context": "", "subject": "Alert: Rev - Screener v1 (SPY, 12): Any alert() function call", "body": "{\"ticker\":\"MRK\", \"setup\":\"A+ Trend Long\", \"side\":\"LONG\", \"price\":130.39, \"stage\":2, \"buy\":88.9, \"sell\":18.8, \"prime\":2, \"revL\":0, \"revS\":0, \"vcp\":0, \"dir_prob\":87.4, \"time\":1785331800000}", "ticker": "MRK", "setup": "A+ Trend Long", "side": "LONG", "price": 130.39, "stage": 2, "buy": 88.9, "sell": 18.8, "prime": 2, "revL": 0, "revS": 0, "vcp": 0, "time": 1785331800000, "email_id": "2731", "timestamp": "2026-07-29 16:01:29"}</t>
  </si>
  <si>
    <t>Buy: 90.4 | Sell: 13.3</t>
  </si>
  <si>
    <t>{"symbol": "SNDK", "strategy": "Daily", "action": "LONG", "alert_price": 1096.09, "score": "", "dir_prob": "23.6", "net_sigma": "", "grade": "", "align": "", "premium": "", "wrong_if": "", "context": "", "subject": "Alert: Rev - Screener v1 (SPY, 12): Any alert() function call", "body": "{\"ticker\":\"SNDK\", \"setup\":\"Research Reversal (Any Stage)\", \"side\":\"LONG\", \"price\":1096.09, \"stage\":4, \"buy\":16, \"sell\":9.5, \"prime\":0, \"revL\":8.5, \"revS\":0, \"vcp\":0, \"dir_prob\":23.6, \"time\":1785245400000}", "ticker": "SNDK", "setup": "Research Reversal (Any Stage)", "side": "LONG", "price": 1096.09, "stage": 4, "buy": 16, "sell": 9.5, "prime": 0, "revL": 8.5, "revS": 0, "vcp": 0, "time": 1785245400000, "email_id": "2590", "timestamp": "2026-07-28 16:01:29"}</t>
  </si>
  <si>
    <t>{"symbol": "DOC", "strategy": "Daily", "action": "LONG", "alert_price": 22.48, "score": "", "dir_prob": "92.5", "net_sigma": "", "grade": "", "align": "", "premium": "", "wrong_if": "", "context": "", "subject": "Alert: Rev - Screener v1 (SPY, 12): Any alert() function call", "body": "{\"ticker\":\"DOC\", \"setup\":\"A+ Trend Long\", \"side\":\"LONG\", \"price\":22.48, \"stage\":2, \"buy\":90.4, \"sell\":13.3, \"prime\":2, \"revL\":0, \"revS\":0, \"vcp\":0, \"dir_prob\":92.5, \"time\":1785331800000}", "ticker": "DOC", "setup": "A+ Trend Long", "side": "LONG", "price": 22.48, "stage": 2, "buy": 90.4, "sell": 13.3, "prime": 2, "revL": 0, "revS": 0, "vcp": 0, "time": 1785331800000, "email_id": "2732", "timestamp": "2026-07-29 16:01:32"}</t>
  </si>
  <si>
    <t>Buy: 94.4 | Sell: 13.2</t>
  </si>
  <si>
    <t>CAT</t>
  </si>
  <si>
    <t>Buy: 7.9 | Sell: 15.6</t>
  </si>
  <si>
    <t>{"symbol": "DG", "strategy": "Daily", "action": "LONG", "alert_price": 128.68, "score": "", "dir_prob": "95.6", "net_sigma": "", "grade": "", "align": "", "premium": "", "wrong_if": "", "context": "", "subject": "Alert: Rev - Screener v1 (SPY, 12): Any alert() function call", "body": "{\"ticker\":\"DG\", \"setup\":\"A+ Trend Long\", \"side\":\"LONG\", \"price\":128.68, \"stage\":2, \"buy\":94.4, \"sell\":13.2, \"prime\":2, \"revL\":0, \"revS\":0, \"vcp\":0, \"dir_prob\":95.6, \"time\":1785331800000}", "ticker": "DG", "setup": "A+ Trend Long", "side": "LONG", "price": 128.68, "stage": 2, "buy": 94.4, "sell": 13.2, "prime": 2, "revL": 0, "revS": 0, "vcp": 0, "time": 1785331800000, "email_id": "2733", "timestamp": "2026-07-29 16:01:36"}</t>
  </si>
  <si>
    <t>{"symbol": "CAT", "strategy": "Daily", "action": "LONG", "alert_price": 840.81, "score": "", "dir_prob": "21.5", "net_sigma": "", "grade": "", "align": "", "premium": "", "wrong_if": "", "context": "", "subject": "Alert: Rev - Screener v1 (SPY, 12): Any alert() function call", "body": "{\"ticker\":\"CAT\", \"setup\":\"Research Reversal (Any Stage)\", \"side\":\"LONG\", \"price\":840.81, \"stage\":4, \"buy\":7.9, \"sell\":15.6, \"prime\":0, \"revL\":7, \"revS\":0, \"vcp\":0, \"dir_prob\":21.5, \"time\":1785245400000}", "ticker": "CAT", "setup": "Research Reversal (Any Stage)", "side": "LONG", "price": 840.81, "stage": 4, "buy": 7.9, "sell": 15.6, "prime": 0, "revL": 7, "revS": 0, "vcp": 0, "time": 1785245400000, "email_id": "2591", "timestamp": "2026-07-28 16:01:24"}</t>
  </si>
  <si>
    <t>Buy: 62.4 | Sell: 49.6</t>
  </si>
  <si>
    <t>Buy: 88.4 | Sell: 16.4</t>
  </si>
  <si>
    <t>{"symbol": "BXP", "strategy": "Daily", "action": "LONG", "alert_price": 73.03, "score": "", "dir_prob": "67.4", "net_sigma": "", "grade": "", "align": "", "premium": "", "wrong_if": "", "context": "", "subject": "Alert: Rev - Screener v1 (SPY, 12): Any alert() function call", "body": "{\"ticker\":\"BXP\", \"setup\":\"Early Ignition\", \"side\":\"LONG\", \"price\":73.03, \"stage\":2, \"buy\":62.4, \"sell\":49.6, \"prime\":0, \"revL\":0, \"revS\":4.5, \"vcp\":2, \"dir_prob\":67.4, \"time\":1785331800000}", "ticker": "BXP", "setup": "Early Ignition", "side": "LONG", "price": 73.03, "stage": 2, "buy": 62.4, "sell": 49.6, "prime": 0, "revL": 0, "revS": 4.5, "vcp": 2, "time": 1785331800000, "email_id": "2734", "timestamp": "2026-07-29 16:01:31"}</t>
  </si>
  <si>
    <t>Buy: 96.1 | Sell: 5.1</t>
  </si>
  <si>
    <t>{"symbol": "DOC", "strategy": "Daily", "action": "LONG", "alert_price": 22.83, "score": "", "dir_prob": "91.4", "net_sigma": "", "grade": "", "align": "", "premium": "", "wrong_if": "", "context": "", "subject": "Alert: Rev - Screener v1 (SPY, 12): Any alert() function call", "body": "{\"ticker\":\"DOC\", \"setup\":\"A+ Trend Long\", \"side\":\"LONG\", \"price\":22.83, \"stage\":2, \"buy\":88.4, \"sell\":16.4, \"prime\":2, \"revL\":0, \"revS\":4.5, \"vcp\":0, \"dir_prob\":91.4, \"time\":1785245400000}", "ticker": "DOC", "setup": "A+ Trend Long", "side": "LONG", "price": 22.83, "stage": 2, "buy": 88.4, "sell": 16.4, "prime": 2, "revL": 0, "revS": 4.5, "vcp": 0, "time": 1785245400000, "email_id": "2592", "timestamp": "2026-07-28 16:01:32"}</t>
  </si>
  <si>
    <t>Buy: 93.8 | Sell: 5.8</t>
  </si>
  <si>
    <t>{"symbol": "USB", "strategy": "Daily", "action": "LONG", "alert_price": 62.82, "score": "", "dir_prob": "92.3", "net_sigma": "", "grade": "", "align": "", "premium": "", "wrong_if": "", "context": "", "subject": "Alert: Rev - Screener v1 (SPY, 12): Any alert() function call", "body": "{\"ticker\":\"USB\", \"setup\":\"A+ Trend Long\", \"side\":\"LONG\", \"price\":62.82, \"stage\":2, \"buy\":96.1, \"sell\":5.1, \"prime\":2, \"revL\":0, \"revS\":0, \"vcp\":1, \"dir_prob\":92.3, \"time\":1785331800000}", "ticker": "USB", "setup": "A+ Trend Long", "side": "LONG", "price": 62.82, "stage": 2, "buy": 96.1, "sell": 5.1, "prime": 2, "revL": 0, "revS": 0, "vcp": 1, "time": 1785331800000, "email_id": "2735", "timestamp": "2026-07-29 16:01:34"}</t>
  </si>
  <si>
    <t>Buy: 92.5 | Sell: 13.9</t>
  </si>
  <si>
    <t>{"symbol": "MTB", "strategy": "Daily", "action": "LONG", "alert_price": 252.61, "score": "", "dir_prob": "94", "net_sigma": "", "grade": "", "align": "", "premium": "", "wrong_if": "", "context": "", "subject": "Alert: Rev - Screener v1 (SPY, 12): Any alert() function call", "body": "{\"ticker\":\"MTB\", \"setup\":\"A+ Trend Long\", \"side\":\"LONG\", \"price\":252.61, \"stage\":2, \"buy\":93.8, \"sell\":5.8, \"prime\":2, \"revL\":0, \"revS\":0, \"vcp\":0, \"dir_prob\":94, \"time\":1785245400000}", "ticker": "MTB", "setup": "A+ Trend Long", "side": "LONG", "price": 252.61, "stage": 2, "buy": 93.8, "sell": 5.8, "prime": 2, "revL": 0, "revS": 0, "vcp": 0, "time": 1785245400000, "email_id": "2593", "timestamp": "2026-07-28 16:01:25"}</t>
  </si>
  <si>
    <t>{"symbol": "DLTR", "strategy": "Daily", "action": "LONG", "alert_price": 129.0, "score": "", "dir_prob": "94.2", "net_sigma": "", "grade": "", "align": "", "premium": "", "wrong_if": "", "context": "", "subject": "Alert: Rev - Screener v1 (SPY, 12): Any alert() function call", "body": "{\"ticker\":\"DLTR\", \"setup\":\"A+ Trend Long\", \"side\":\"LONG\", \"price\":129.00, \"stage\":2, \"buy\":92.5, \"sell\":13.9, \"prime\":2, \"revL\":0, \"revS\":0, \"vcp\":1, \"dir_prob\":94.2, \"time\":1785331800000}", "ticker": "DLTR", "setup": "A+ Trend Long", "side": "LONG", "price": 129.0, "stage": 2, "buy": 92.5, "sell": 13.9, "prime": 2, "revL": 0, "revS": 0, "vcp": 1, "time": 1785331800000, "email_id": "2736", "timestamp": "2026-07-29 16:01:38"}</t>
  </si>
  <si>
    <t>Buy: 20.7 | Sell: 16.5</t>
  </si>
  <si>
    <t>Buy: 94.4 | Sell: 32.4</t>
  </si>
  <si>
    <t>{"symbol": "STE", "strategy": "Daily", "action": "LONG", "alert_price": 230.35, "score": "", "dir_prob": "59.3", "net_sigma": "", "grade": "", "align": "", "premium": "", "wrong_if": "", "context": "", "subject": "Alert: Rev - Screener v1 (SPY, 12): Any alert() function call", "body": "{\"ticker\":\"STE\", \"setup\":\"Bullish Squeeze Release\", \"side\":\"LONG\", \"price\":230.35, \"stage\":2, \"buy\":20.7, \"sell\":16.5, \"prime\":0, \"revL\":0, \"revS\":0, \"vcp\":2, \"dir_prob\":59.3, \"time\":1785245400000}", "ticker": "STE", "setup": "Bullish Squeeze Release", "side": "LONG", "price": 230.35, "stage": 2, "buy": 20.7, "sell": 16.5, "prime": 0, "revL": 0, "revS": 0, "vcp": 2, "time": 1785245400000, "email_id": "2594", "timestamp": "2026-07-28 16:01:32"}</t>
  </si>
  <si>
    <t>{"symbol": "RVTY", "strategy": "Daily", "action": "LONG", "alert_price": 113.38, "score": "", "dir_prob": "87.3", "net_sigma": "", "grade": "", "align": "", "premium": "", "wrong_if": "", "context": "", "subject": "Alert: Rev - Screener v1 (SPY, 12): Any alert() function call", "body": "{\"ticker\":\"RVTY\", \"setup\":\"Early Ignition\", \"side\":\"LONG\", \"price\":113.38, \"stage\":2, \"buy\":94.4, \"sell\":32.4, \"prime\":0, \"revL\":0, \"revS\":0, \"vcp\":1, \"dir_prob\":87.3, \"time\":1785331800000}", "ticker": "RVTY", "setup": "Early Ignition", "side": "LONG", "price": 113.38, "stage": 2, "buy": 94.4, "sell": 32.4, "prime": 0, "revL": 0, "revS": 0, "vcp": 1, "time": 1785331800000, "email_id": "2737", "timestamp": "2026-07-29 16:01:31"}</t>
  </si>
  <si>
    <t>Buy: 90.5 | Sell: 17.3</t>
  </si>
  <si>
    <t>Buy: 30.9 | Sell: 20.4</t>
  </si>
  <si>
    <t>{"symbol": "KIM", "strategy": "Daily", "action": "LONG", "alert_price": 26.01, "score": "", "dir_prob": "92.9", "net_sigma": "", "grade": "", "align": "", "premium": "", "wrong_if": "", "context": "", "subject": "Alert: Rev - Screener v1 (SPY, 12): Any alert() function call", "body": "{\"ticker\":\"KIM\", \"setup\":\"A+ Trend Long\", \"side\":\"LONG\", \"price\":26.01, \"stage\":2, \"buy\":90.5, \"sell\":17.3, \"prime\":2, \"revL\":0, \"revS\":0, \"vcp\":0, \"dir_prob\":92.9, \"time\":1785331800000}", "ticker": "KIM", "setup": "A+ Trend Long", "side": "LONG", "price": 26.01, "stage": 2, "buy": 90.5, "sell": 17.3, "prime": 2, "revL": 0, "revS": 0, "vcp": 0, "time": 1785331800000, "email_id": "2738", "timestamp": "2026-07-29 16:01:33"}</t>
  </si>
  <si>
    <t>Buy: 18.5 | Sell: 27.1</t>
  </si>
  <si>
    <t>{"symbol": "TYL", "strategy": "Daily", "action": "LONG", "alert_price": 333.37, "score": "", "dir_prob": "92.2", "net_sigma": "", "grade": "", "align": "", "premium": "", "wrong_if": "", "context": "", "subject": "Alert: Rev - Screener v1 (SPY, 12): Any alert() function call", "body": "{\"ticker\":\"TYL\", \"setup\":\"Early Ignition\", \"side\":\"LONG\", \"price\":333.37, \"stage\":2, \"buy\":30.9, \"sell\":20.4, \"prime\":0, \"revL\":0, \"revS\":0, \"vcp\":0, \"dir_prob\":92.2, \"time\":1785245400000}", "ticker": "TYL", "setup": "Early Ignition", "side": "LONG", "price": 333.37, "stage": 2, "buy": 30.9, "sell": 20.4, "prime": 0, "revL": 0, "revS": 0, "vcp": 0, "time": 1785245400000, "email_id": "2595", "timestamp": "2026-07-28 16:01:34"}</t>
  </si>
  <si>
    <t>Buy: 22.4 | Sell: 17.3</t>
  </si>
  <si>
    <t>{"symbol": "VLTO", "strategy": "Daily", "action": "LONG", "alert_price": 98.77, "score": "", "dir_prob": "67.2", "net_sigma": "", "grade": "", "align": "", "premium": "", "wrong_if": "", "context": "", "subject": "Alert: Rev - Screener v1 (SPY, 12): Any alert() function call", "body": "{\"ticker\":\"VLTO\", \"setup\":\"Early Ignition\", \"side\":\"LONG\", \"price\":98.77, \"stage\":2, \"buy\":18.5, \"sell\":27.1, \"prime\":0, \"revL\":0, \"revS\":0, \"vcp\":0, \"dir_prob\":67.2, \"time\":1785331800000}", "ticker": "VLTO", "setup": "Early Ignition", "side": "LONG", "price": 98.77, "stage": 2, "buy": 18.5, "sell": 27.1, "prime": 0, "revL": 0, "revS": 0, "vcp": 0, "time": 1785331800000, "email_id": "2739", "timestamp": "2026-07-29 16:01:37"}</t>
  </si>
  <si>
    <t>Buy: 85.7 | Sell: 22.6</t>
  </si>
  <si>
    <t>{"symbol": "CIEN", "strategy": "Daily", "action": "LONG", "alert_price": 350.18, "score": "", "dir_prob": "23.5", "net_sigma": "", "grade": "", "align": "", "premium": "", "wrong_if": "", "context": "", "subject": "Alert: Rev - Screener v1 (SPY, 12): Any alert() function call", "body": "{\"ticker\":\"CIEN\", \"setup\":\"Research Reversal (Any Stage)\", \"side\":\"LONG\", \"price\":350.18, \"stage\":4, \"buy\":22.4, \"sell\":17.3, \"prime\":0, \"revL\":7, \"revS\":0, \"vcp\":0, \"dir_prob\":23.5, \"time\":1785245400000}", "ticker": "CIEN", "setup": "Research Reversal (Any Stage)", "side": "LONG", "price": 350.18, "stage": 4, "buy": 22.4, "sell": 17.3, "prime": 0, "revL": 7, "revS": 0, "vcp": 0, "time": 1785245400000, "email_id": "2596", "timestamp": "2026-07-28 16:01:27"}</t>
  </si>
  <si>
    <t>VRT</t>
  </si>
  <si>
    <t>Buy: 22.2 | Sell: 33.4</t>
  </si>
  <si>
    <t>{"symbol": "DE", "strategy": "Daily", "action": "LONG", "alert_price": 610.95, "score": "", "dir_prob": "92.7", "net_sigma": "", "grade": "", "align": "", "premium": "", "wrong_if": "", "context": "", "subject": "Alert: Rev - Screener v1 (SPY, 12): Any alert() function call", "body": "{\"ticker\":\"DE\", \"setup\":\"A+ Trend Long\", \"side\":\"LONG\", \"price\":610.95, \"stage\":2, \"buy\":85.7, \"sell\":22.6, \"prime\":2, \"revL\":0, \"revS\":0, \"vcp\":0, \"dir_prob\":92.7, \"time\":1785331800000}", "ticker": "DE", "setup": "A+ Trend Long", "side": "LONG", "price": 610.95, "stage": 2, "buy": 85.7, "sell": 22.6, "prime": 2, "revL": 0, "revS": 0, "vcp": 0, "time": 1785331800000, "email_id": "2740", "timestamp": "2026-07-29 16:01:39"}</t>
  </si>
  <si>
    <t>Buy: 88.1 | Sell: 36.4</t>
  </si>
  <si>
    <t>{"symbol": "AXON", "strategy": "Daily", "action": "LONG", "alert_price": 530.88, "score": "", "dir_prob": "91.8", "net_sigma": "", "grade": "", "align": "", "premium": "", "wrong_if": "", "context": "", "subject": "Alert: Rev - Screener v1 (SPY, 12): Any alert() function call", "body": "{\"ticker\":\"AXON\", \"setup\":\"A+ Trend Long\", \"side\":\"LONG\", \"price\":530.88, \"stage\":2, \"buy\":88.1, \"sell\":36.4, \"prime\":2, \"revL\":0, \"revS\":0, \"vcp\":0, \"dir_prob\":91.8, \"time\":1785331800000}", "ticker": "AXON", "setup": "A+ Trend Long", "side": "LONG", "price": 530.88, "stage": 2, "buy": 88.1, "sell": 36.4, "prime": 2, "revL": 0, "revS": 0, "vcp": 0, "time": 1785331800000, "email_id": "2741", "timestamp": "2026-07-29 16:01:35"}</t>
  </si>
  <si>
    <t>{"symbol": "VRT", "strategy": "Daily", "action": "LONG", "alert_price": 269.5, "score": "", "dir_prob": "40.5", "net_sigma": "", "grade": "", "align": "", "premium": "", "wrong_if": "", "context": "", "subject": "Alert: Rev - Screener v1 (SPY, 12): Any alert() function call", "body": "{\"ticker\":\"VRT\", \"setup\":\"Research Reversal (Any Stage)\", \"side\":\"LONG\", \"price\":269.50, \"stage\":4, \"buy\":22.2, \"sell\":33.4, \"prime\":0, \"revL\":7.5, \"revS\":0, \"vcp\":1, \"dir_prob\":40.5, \"time\":1785245400000}", "ticker": "VRT", "setup": "Research Reversal (Any Stage)", "side": "LONG", "price": 269.5, "stage": 4, "buy": 22.2, "sell": 33.4, "prime": 0, "revL": 7.5, "revS": 0, "vcp": 1, "time": 1785245400000, "email_id": "2597", "timestamp": "2026-07-28 16:01:32"}</t>
  </si>
  <si>
    <t>Buy: 97.5 | Sell: 22.4</t>
  </si>
  <si>
    <t>Buy: 95 | Sell: 30.2</t>
  </si>
  <si>
    <t>**WAIT** (No fresh entry — zone discipline overrides high Buy Score)</t>
  </si>
  <si>
    <t>{"symbol": "OMC", "strategy": "Daily", "action": "LONG", "alert_price": 82.54, "score": "", "dir_prob": "91", "net_sigma": "", "grade": "", "align": "", "premium": "", "wrong_if": "", "context": "", "subject": "Alert: Rev - Screener v1 (SPY, 12): Any alert() function call", "body": "{\"ticker\":\"OMC\", \"setup\":\"Early Ignition\", \"side\":\"LONG\", \"price\":82.54, \"stage\":2, \"buy\":97.5, \"sell\":22.4, \"prime\":2, \"revL\":0, \"revS\":0, \"vcp\":0, \"dir_prob\":91, \"time\":1785331800000}", "ticker": "OMC", "setup": "Early Ignition", "side": "LONG", "price": 82.54, "stage": 2, "buy": 97.5, "sell": 22.4, "prime": 2, "revL": 0, "revS": 0, "vcp": 0, "time": 1785331800000, "email_id": "2742", "timestamp": "2026-07-29 16:01:36"}</t>
  </si>
  <si>
    <t>CPAY</t>
  </si>
  <si>
    <t>Buy: 45.4 | Sell: 32.2</t>
  </si>
  <si>
    <t>{"symbol": "RF", "strategy": "Daily", "action": "LONG", "alert_price": 31.27, "score": "", "dir_prob": "85.7", "net_sigma": "", "grade": "", "align": "", "premium": "", "wrong_if": "", "context": "", "subject": "Alert: Rev - Screener v1 (SPY, 12): Any alert() function call", "body": "{\"ticker\":\"RF\", \"setup\":\"A+ Trend Long\", \"side\":\"LONG\", \"price\":31.27, \"stage\":2, \"buy\":95, \"sell\":30.2, \"prime\":2, \"revL\":0, \"revS\":0, \"vcp\":0, \"dir_prob\":85.7, \"time\":1785245400000}", "ticker": "RF", "setup": "A+ Trend Long", "side": "LONG", "price": 31.27, "stage": 2, "buy": 95, "sell": 30.2, "prime": 2, "revL": 0, "revS": 0, "vcp": 0, "time": 1785245400000, "email_id": "2598", "timestamp": "2026-07-28 16:01:36"}</t>
  </si>
  <si>
    <t xml:space="preserve">TREND_LONG fires with buy=88.65 &gt; 65 and dir_prob=76.44 &gt;= 50 in stage=2. News is NEUTRAL (BOH beat but RF headlines are mixed/irrelevant). Triage capped to WATCH due to 'chased' flag (zone_state=above_zone, rr_from_current=0.78 &lt; 1.0) and </t>
  </si>
  <si>
    <t>Buy: 87.6 | Sell: 53.5</t>
  </si>
  <si>
    <t>{"symbol": "CPAY", "strategy": "Daily", "action": "LONG", "alert_price": 392.87, "score": "", "dir_prob": "66.1", "net_sigma": "", "grade": "", "align": "", "premium": "", "wrong_if": "", "context": "", "subject": "Alert: Rev - Screener v1 (SPY, 12): Any alert() function call", "body": "{\"ticker\":\"CPAY\", \"setup\":\"Early Ignition\", \"side\":\"LONG\", \"price\":392.87, \"stage\":2, \"buy\":45.4, \"sell\":32.2, \"prime\":0, \"revL\":0, \"revS\":0, \"vcp\":0, \"dir_prob\":66.1, \"time\":1785331800000}", "ticker": "CPAY", "setup": "Early Ignition", "side": "LONG", "price": 392.87, "stage": 2, "buy": 45.4, "sell": 32.2, "prime": 0, "revL": 0, "revS": 0, "vcp": 0, "time": 1785331800000, "email_id": "2743", "timestamp": "2026-07-29 16:01:39"}</t>
  </si>
  <si>
    <t>Buy: 93.8 | Sell: 25.6</t>
  </si>
  <si>
    <t>{"symbol": "CAH", "strategy": "Daily", "action": "LONG", "alert_price": 232.46, "score": "", "dir_prob": "84", "net_sigma": "", "grade": "", "align": "", "premium": "", "wrong_if": "", "context": "", "subject": "Alert: Rev - Screener v1 (SPY, 12): Any alert() function call", "body": "{\"ticker\":\"CAH\", \"setup\":\"A+ Trend Long\", \"side\":\"LONG\", \"price\":232.46, \"stage\":2, \"buy\":87.6, \"sell\":53.5, \"prime\":2, \"revL\":0, \"revS\":0, \"vcp\":0, \"dir_prob\":84, \"time\":1785245400000}", "ticker": "CAH", "setup": "A+ Trend Long", "side": "LONG", "price": 232.46, "stage": 2, "buy": 87.6, "sell": 53.5, "prime": 2, "revL": 0, "revS": 0, "vcp": 0, "time": 1785245400000, "email_id": "2599", "timestamp": "2026-07-28 16:01:35"}</t>
  </si>
  <si>
    <t>{"symbol": "GD", "strategy": "Daily", "action": "LONG", "alert_price": 381.38, "score": "", "dir_prob": "92.6", "net_sigma": "", "grade": "", "align": "", "premium": "", "wrong_if": "", "context": "", "subject": "Alert: Rev - Screener v1 (SPY, 12): Any alert() function call", "body": "{\"ticker\":\"GD\", \"setup\":\"A+ Trend Long\", \"side\":\"LONG\", \"price\":381.38, \"stage\":2, \"buy\":93.8, \"sell\":25.6, \"prime\":2, \"revL\":0, \"revS\":0, \"vcp\":0, \"dir_prob\":92.6, \"time\":1785331800000}", "ticker": "GD", "setup": "A+ Trend Long", "side": "LONG", "price": 381.38, "stage": 2, "buy": 93.8, "sell": 25.6, "prime": 2, "revL": 0, "revS": 0, "vcp": 0, "time": 1785331800000, "email_id": "2744", "timestamp": "2026-07-29 16:01:36"}</t>
  </si>
  <si>
    <t>VTRS</t>
  </si>
  <si>
    <t>Buy: 91.5 | Sell: 35.2</t>
  </si>
  <si>
    <t>Buy: 78.1 | Sell: 24.8</t>
  </si>
  <si>
    <t>{"symbol": "VTRS", "strategy": "Daily", "action": "LONG", "alert_price": 17.84, "score": "", "dir_prob": "80.6", "net_sigma": "", "grade": "", "align": "", "premium": "", "wrong_if": "", "context": "", "subject": "Alert: Rev - Screener v1 (SPY, 12): Any alert() function call", "body": "{\"ticker\":\"VTRS\", \"setup\":\"A+ Trend Long\", \"side\":\"LONG\", \"price\":17.84, \"stage\":2, \"buy\":91.5, \"sell\":35.2, \"prime\":2, \"revL\":0, \"revS\":0, \"vcp\":0, \"dir_prob\":80.6, \"time\":1785331800000}", "ticker": "VTRS", "setup": "A+ Trend Long", "side": "LONG", "price": 17.84, "stage": 2, "buy": 91.5, "sell": 35.2, "prime": 2, "revL": 0, "revS": 0, "vcp": 0, "time": 1785331800000, "email_id": "2745", "timestamp": "2026-07-29 16:01:42"}</t>
  </si>
  <si>
    <t>Buy: 85.4 | Sell: 16.5</t>
  </si>
  <si>
    <t>{"symbol": "CBRE", "strategy": "Daily", "action": "LONG", "alert_price": 147.1, "score": "", "dir_prob": "86.2", "net_sigma": "", "grade": "", "align": "", "premium": "", "wrong_if": "", "context": "", "subject": "Alert: Rev - Screener v1 (SPY, 12): Any alert() function call", "body": "{\"ticker\":\"CBRE\", \"setup\":\"Bullish Squeeze Release\", \"side\":\"LONG\", \"price\":147.10, \"stage\":2, \"buy\":78.1, \"sell\":24.8, \"prime\":0, \"revL\":0, \"revS\":7.5, \"vcp\":2, \"dir_prob\":86.2, \"time\":1785245400000}", "ticker": "CBRE", "setup": "Bullish Squeeze Release", "side": "LONG", "price": 147.1, "stage": 2, "buy": 78.1, "sell": 24.8, "prime": 0, "revL": 0, "revS": 7.5, "vcp": 2, "time": 1785245400000, "email_id": "2600", "timestamp": "2026-07-28 16:01:31"}</t>
  </si>
  <si>
    <t>Buy: 87.9 | Sell: 14.3</t>
  </si>
  <si>
    <t>{"symbol": "DVA", "strategy": "Daily", "action": "LONG", "alert_price": 240.95, "score": "", "dir_prob": "92.8", "net_sigma": "", "grade": "", "align": "", "premium": "", "wrong_if": "", "context": "", "subject": "Alert: Rev - Screener v1 (SPY, 12): Any alert() function call", "body": "{\"ticker\":\"DVA\", \"setup\":\"A+ Trend Long\", \"side\":\"LONG\", \"price\":240.95, \"stage\":2, \"buy\":85.4, \"sell\":16.5, \"prime\":2, \"revL\":0, \"revS\":4.5, \"vcp\":1, \"dir_prob\":92.8, \"time\":1785331800000}", "ticker": "DVA", "setup": "A+ Trend Long", "side": "LONG", "price": 240.95, "stage": 2, "buy": 85.4, "sell": 16.5, "prime": 2, "revL": 0, "revS": 4.5, "vcp": 1, "time": 1785331800000, "email_id": "2746", "timestamp": "2026-07-29 16:01:44"}</t>
  </si>
  <si>
    <t>Buy: 93.3 | Sell: 13.9</t>
  </si>
  <si>
    <t>{"symbol": "DVA", "strategy": "Daily", "action": "LONG", "alert_price": 239.43, "score": "", "dir_prob": "93.7", "net_sigma": "", "grade": "", "align": "", "premium": "", "wrong_if": "", "context": "", "subject": "Alert: Rev - Screener v1 (SPY, 12): Any alert() function call", "body": "{\"ticker\":\"DVA\", \"setup\":\"A+ Trend Long\", \"side\":\"LONG\", \"price\":239.43, \"stage\":2, \"buy\":87.9, \"sell\":14.3, \"prime\":2, \"revL\":0, \"revS\":4, \"vcp\":1, \"dir_prob\":93.7, \"time\":1785245400000}", "ticker": "DVA", "setup": "A+ Trend Long", "side": "LONG", "price": 239.43, "stage": 2, "buy": 87.9, "sell": 14.3, "prime": 2, "revL": 0, "revS": 4, "vcp": 1, "time": 1785245400000, "email_id": "2601", "timestamp": "2026-07-28 16:01:33"}</t>
  </si>
  <si>
    <t>Buy: 88.1 | Sell: 52.7</t>
  </si>
  <si>
    <t>**WAIT** for pullback to entry zone; **SELL PREMIUM** if holding shares</t>
  </si>
  <si>
    <t>{"symbol": "BAC", "strategy": "Daily", "action": "LONG", "alert_price": 61.08, "score": "", "dir_prob": "88.6", "net_sigma": "", "grade": "", "align": "", "premium": "", "wrong_if": "", "context": "", "subject": "Alert: Rev - Screener v1 (SPY, 12): Any alert() function call", "body": "{\"ticker\":\"BAC\", \"setup\":\"A+ Trend Long\", \"side\":\"LONG\", \"price\":61.08, \"stage\":2, \"buy\":93.3, \"sell\":13.9, \"prime\":2, \"revL\":0, \"revS\":0, \"vcp\":0, \"dir_prob\":88.6, \"time\":1785331800000}", "ticker": "BAC", "setup": "A+ Trend Long", "side": "LONG", "price": 61.08, "stage": 2, "buy": 93.3, "sell": 13.9, "prime": 2, "revL": 0, "revS": 0, "vcp": 0, "time": 1785331800000, "email_id": "2747", "timestamp": "2026-07-29 16:01:41"}</t>
  </si>
  <si>
    <t>Buy: 97.8 | Sell: 11.5</t>
  </si>
  <si>
    <t>{"symbol": "SYY", "strategy": "Daily", "action": "LONG", "alert_price": 85.19, "score": "", "dir_prob": "82.1", "net_sigma": "", "grade": "", "align": "", "premium": "", "wrong_if": "", "context": "", "subject": "Alert: Rev - Screener v1 (SPY, 12): Any alert() function call", "body": "{\"ticker\":\"SYY\", \"setup\":\"A+ Trend Long\", \"side\":\"LONG\", \"price\":85.19, \"stage\":2, \"buy\":88.1, \"sell\":52.7, \"prime\":2, \"revL\":0, \"revS\":0, \"vcp\":1, \"dir_prob\":82.1, \"time\":1785245400000}", "ticker": "SYY", "setup": "A+ Trend Long", "side": "LONG", "price": 85.19, "stage": 2, "buy": 88.1, "sell": 52.7, "prime": 2, "revL": 0, "revS": 0, "vcp": 1, "time": 1785245400000, "email_id": "2602", "timestamp": "2026-07-28 16:01:34"}</t>
  </si>
  <si>
    <t>{"symbol": "PCG", "strategy": "Daily", "action": "LONG", "alert_price": 17.71, "score": "", "dir_prob": "92.8", "net_sigma": "", "grade": "", "align": "", "premium": "", "wrong_if": "", "context": "", "subject": "Alert: Rev - Screener v1 (SPY, 12): Any alert() function call", "body": "{\"ticker\":\"PCG\", \"setup\":\"A+ Trend Long\", \"side\":\"LONG\", \"price\":17.71, \"stage\":2, \"buy\":97.8, \"sell\":11.5, \"prime\":2, \"revL\":0, \"revS\":0, \"vcp\":0, \"dir_prob\":92.8, \"time\":1785331800000}", "ticker": "PCG", "setup": "A+ Trend Long", "side": "LONG", "price": 17.71, "stage": 2, "buy": 97.8, "sell": 11.5, "prime": 2, "revL": 0, "revS": 0, "vcp": 0, "time": 1785331800000, "email_id": "2748", "timestamp": "2026-07-29 16:01:38"}</t>
  </si>
  <si>
    <t>TREND_LONG fires with buy=98.46 &gt;&gt; 65 and dir_prob=97.62, but the setup is compromised by a 'chased' flag (price above long_zone) and a poor R:R of 0.12. News is NEUTRAL regarding the technicals, though earnings are in 7 days. The 'squeeze'</t>
  </si>
  <si>
    <t>Buy: 75.6 | Sell: 50.3</t>
  </si>
  <si>
    <t>Buy: 89.4 | Sell: 20.2</t>
  </si>
  <si>
    <t>**SKIP** (Watch-and-Prepare Post-Earnings)</t>
  </si>
  <si>
    <t>Entry: 26.55
Stop: 25.85
Target: 28.00
See markdown for full rationale.</t>
  </si>
  <si>
    <t>{"symbol": "BIIB", "strategy": "Daily", "action": "LONG", "alert_price": 209.32, "score": "", "dir_prob": "61.6", "net_sigma": "", "grade": "", "align": "", "premium": "", "wrong_if": "", "context": "", "subject": "Alert: Rev - Screener v1 (SPY, 12): Any alert() function call", "body": "{\"ticker\":\"BIIB\", \"setup\":\"Early Ignition\", \"side\":\"LONG\", \"price\":209.32, \"stage\":2, \"buy\":75.6, \"sell\":50.3, \"prime\":0, \"revL\":0, \"revS\":0, \"vcp\":1, \"dir_prob\":61.6, \"time\":1785331800000}", "ticker": "BIIB", "setup": "Early Ignition", "side": "LONG", "price": 209.32, "stage": 2, "buy": 75.6, "sell": 50.3, "prime": 0, "revL": 0, "revS": 0, "vcp": 1, "time": 1785331800000, "email_id": "2749", "timestamp": "2026-07-29 16:01:41"}</t>
  </si>
  <si>
    <t>Buy: 94.1 | Sell: 19.5</t>
  </si>
  <si>
    <t>{"symbol": "KIM", "strategy": "Daily", "action": "LONG", "alert_price": 26.25, "score": "", "dir_prob": "92.1", "net_sigma": "", "grade": "", "align": "", "premium": "", "wrong_if": "", "context": "", "subject": "Alert: Rev - Screener v1 (SPY, 12): Any alert() function call", "body": "{\"ticker\":\"KIM\", \"setup\":\"A+ Trend Long\", \"side\":\"LONG\", \"price\":26.25, \"stage\":2, \"buy\":89.4, \"sell\":20.2, \"prime\":2, \"revL\":0, \"revS\":0, \"vcp\":0, \"dir_prob\":92.1, \"time\":1785245400000}", "ticker": "KIM", "setup": "A+ Trend Long", "side": "LONG", "price": 26.25, "stage": 2, "buy": 89.4, "sell": 20.2, "prime": 2, "revL": 0, "revS": 0, "vcp": 0, "time": 1785245400000, "email_id": "2603", "timestamp": "2026-07-28 16:01:39"}</t>
  </si>
  <si>
    <t>TREND_LONG fires with buy=96.32 &gt;&gt; 65, dir_prob=93.6, and stage=2. News is NEUTRAL (earnings preview) and does not contradict. Triage capped to WATCH due to 'earnings' flag (7 days out) and 'churn' risk (opposite_score=22.71 is low but buy=</t>
  </si>
  <si>
    <t>BDX</t>
  </si>
  <si>
    <t>Buy: 32.8 | Sell: 24.4</t>
  </si>
  <si>
    <t>{"symbol": "TROW", "strategy": "Daily", "action": "LONG", "alert_price": 118.89, "score": "", "dir_prob": "91.4", "net_sigma": "", "grade": "", "align": "", "premium": "", "wrong_if": "", "context": "", "subject": "Alert: Rev - Screener v1 (SPY, 12): Any alert() function call", "body": "{\"ticker\":\"TROW\", \"setup\":\"A+ Trend Long\", \"side\":\"LONG\", \"price\":118.89, \"stage\":2, \"buy\":94.1, \"sell\":19.5, \"prime\":2, \"revL\":0, \"revS\":0, \"vcp\":1, \"dir_prob\":91.4, \"time\":1785331800000}", "ticker": "TROW", "setup": "A+ Trend Long", "side": "LONG", "price": 118.89, "stage": 2, "buy": 94.1, "sell": 19.5, "prime": 2, "revL": 0, "revS": 0, "vcp": 1, "time": 1785331800000, "email_id": "2750", "timestamp": "2026-07-29 16:01:43"}</t>
  </si>
  <si>
    <t>Buy: 93.8 | Sell: 15.2</t>
  </si>
  <si>
    <t>{"symbol": "HSIC", "strategy": "Daily", "action": "LONG", "alert_price": 85.86, "score": "", "dir_prob": "92", "net_sigma": "", "grade": "", "align": "", "premium": "", "wrong_if": "", "context": "", "subject": "Alert: Rev - Screener v1 (SPY, 12): Any alert() function call", "body": "{\"ticker\":\"HSIC\", \"setup\":\"A+ Trend Long\", \"side\":\"LONG\", \"price\":85.86, \"stage\":2, \"buy\":93.8, \"sell\":15.2, \"prime\":2, \"revL\":0, \"revS\":0, \"vcp\":1, \"dir_prob\":92, \"time\":1785331800000}", "ticker": "HSIC", "setup": "A+ Trend Long", "side": "LONG", "price": 85.86, "stage": 2, "buy": 93.8, "sell": 15.2, "prime": 2, "revL": 0, "revS": 0, "vcp": 1, "time": 1785331800000, "email_id": "2751", "timestamp": "2026-07-29 16:01:38"}</t>
  </si>
  <si>
    <t>{"symbol": "BDX", "strategy": "Daily", "action": "LONG", "alert_price": 166.33, "score": "", "dir_prob": "54.1", "net_sigma": "", "grade": "", "align": "", "premium": "", "wrong_if": "", "context": "", "subject": "Alert: Rev - Screener v1 (SPY, 12): Any alert() function call", "body": "{\"ticker\":\"BDX\", \"setup\":\"Bullish Squeeze Release\", \"side\":\"LONG\", \"price\":166.33, \"stage\":2, \"buy\":32.8, \"sell\":24.4, \"prime\":0, \"revL\":0, \"revS\":5.5, \"vcp\":2, \"dir_prob\":54.1, \"time\":1785245400000}", "ticker": "BDX", "setup": "Bullish Squeeze Release", "side": "LONG", "price": 166.33, "stage": 2, "buy": 32.8, "sell": 24.4, "prime": 0, "revL": 0, "revS": 5.5, "vcp": 2, "time": 1785245400000, "email_id": "2604", "timestamp": "2026-07-28 16:01:40"}</t>
  </si>
  <si>
    <t>Buy: 35.8 | Sell: 53.1</t>
  </si>
  <si>
    <t>{"symbol": "FE", "strategy": "Daily", "action": "LONG", "alert_price": 49.15, "score": "", "dir_prob": "92.2", "net_sigma": "", "grade": "", "align": "", "premium": "", "wrong_if": "", "context": "", "subject": "Alert: Rev - Screener v1 (SPY, 12): Any alert() function call", "body": "{\"ticker\":\"FE\", \"setup\":\"A+ Trend Long\", \"side\":\"LONG\", \"price\":49.15, \"stage\":2, \"buy\":94.3, \"sell\":9.7, \"prime\":2, \"revL\":0, \"revS\":0, \"vcp\":0, \"dir_prob\":92.2, \"time\":1785331800000}", "ticker": "FE", "setup": "A+ Trend Long", "side": "LONG", "price": 49.15, "stage": 2, "buy": 94.3, "sell": 9.7, "prime": 2, "revL": 0, "revS": 0, "vcp": 0, "time": 1785331800000, "email_id": "2752", "timestamp": "2026-07-29 16:01:41"}</t>
  </si>
  <si>
    <t>Buy: 94.6 | Sell: 24.4</t>
  </si>
  <si>
    <t>{"symbol": "INCY", "strategy": "Daily", "action": "LONG", "alert_price": 129.83, "score": "", "dir_prob": "30", "net_sigma": "", "grade": "", "align": "", "premium": "", "wrong_if": "", "context": "", "subject": "Alert: Rev - Screener v1 (SPY, 12): Any alert() function call", "body": "{\"ticker\":\"INCY\", \"setup\":\"Bullish Squeeze Release\", \"side\":\"LONG\", \"price\":129.83, \"stage\":2, \"buy\":35.8, \"sell\":53.1, \"prime\":0, \"revL\":0, \"revS\":0, \"vcp\":2, \"dir_prob\":30, \"time\":1785245400000}", "ticker": "INCY", "setup": "Bullish Squeeze Release", "side": "LONG", "price": 129.83, "stage": 2, "buy": 35.8, "sell": 53.1, "prime": 0, "revL": 0, "revS": 0, "vcp": 2, "time": 1785245400000, "email_id": "2605", "timestamp": "2026-07-28 16:01:35"}</t>
  </si>
  <si>
    <t>Buy: 93.6 | Sell: 6</t>
  </si>
  <si>
    <t>{"symbol": "ES", "strategy": "Daily", "action": "LONG", "alert_price": 74.75, "score": "", "dir_prob": "91", "net_sigma": "", "grade": "", "align": "", "premium": "", "wrong_if": "", "context": "", "subject": "Alert: Rev - Screener v1 (SPY, 12): Any alert() function call", "body": "{\"ticker\":\"ES\", \"setup\":\"A+ Trend Long\", \"side\":\"LONG\", \"price\":74.75, \"stage\":2, \"buy\":94.6, \"sell\":24.4, \"prime\":2, \"revL\":0, \"revS\":0, \"vcp\":1, \"dir_prob\":91, \"time\":1785331800000}", "ticker": "ES", "setup": "A+ Trend Long", "side": "LONG", "price": 74.75, "stage": 2, "buy": 94.6, "sell": 24.4, "prime": 2, "revL": 0, "revS": 0, "vcp": 1, "time": 1785331800000, "email_id": "2753", "timestamp": "2026-07-29 16:01:43"}</t>
  </si>
  <si>
    <t>Buy: 91 | Sell: 11.9</t>
  </si>
  <si>
    <t>{"symbol": "STT", "strategy": "Daily", "action": "LONG", "alert_price": 182.57, "score": "", "dir_prob": "92.5", "net_sigma": "", "grade": "", "align": "", "premium": "", "wrong_if": "", "context": "", "subject": "Alert: Rev - Screener v1 (SPY, 12): Any alert() function call", "body": "{\"ticker\":\"STT\", \"setup\":\"A+ Trend Long\", \"side\":\"LONG\", \"price\":182.57, \"stage\":2, \"buy\":93.6, \"sell\":6, \"prime\":2, \"revL\":0, \"revS\":0, \"vcp\":0, \"dir_prob\":92.5, \"time\":1785245400000}", "ticker": "STT", "setup": "A+ Trend Long", "side": "LONG", "price": 182.57, "stage": 2, "buy": 93.6, "sell": 6, "prime": 2, "revL": 0, "revS": 0, "vcp": 0, "time": 1785245400000, "email_id": "2606", "timestamp": "2026-07-28 16:01:33"}</t>
  </si>
  <si>
    <t>EXR</t>
  </si>
  <si>
    <t>Buy: 86.7 | Sell: 56.9</t>
  </si>
  <si>
    <t>{"symbol": "IR", "strategy": "Daily", "action": "LONG", "alert_price": 84.63, "score": "", "dir_prob": "94.9", "net_sigma": "", "grade": "", "align": "", "premium": "", "wrong_if": "", "context": "", "subject": "Alert: Rev - Screener v1 (SPY, 12): Any alert() function call", "body": "{\"ticker\":\"IR\", \"setup\":\"A+ Trend Long\", \"side\":\"LONG\", \"price\":84.63, \"stage\":2, \"buy\":91, \"sell\":11.9, \"prime\":2, \"revL\":0, \"revS\":0, \"vcp\":0, \"dir_prob\":94.9, \"time\":1785331800000}", "ticker": "IR", "setup": "A+ Trend Long", "side": "LONG", "price": 84.63, "stage": 2, "buy": 91, "sell": 11.9, "prime": 2, "revL": 0, "revS": 0, "vcp": 0, "time": 1785331800000, "email_id": "2754", "timestamp": "2026-07-29 16:01:40"}</t>
  </si>
  <si>
    <t>Buy: 94.6 | Sell: 6.7</t>
  </si>
  <si>
    <t>{"symbol": "EXR", "strategy": "Daily", "action": "LONG", "alert_price": 152.12, "score": "", "dir_prob": "74.7", "net_sigma": "", "grade": "", "align": "", "premium": "", "wrong_if": "", "context": "", "subject": "Alert: Rev - Screener v1 (SPY, 12): Any alert() function call", "body": "{\"ticker\":\"EXR\", \"setup\":\"Early Ignition\", \"side\":\"LONG\", \"price\":152.12, \"stage\":2, \"buy\":86.7, \"sell\":56.9, \"prime\":0, \"revL\":0, \"revS\":5.5, \"vcp\":1, \"dir_prob\":74.7, \"time\":1785245400000}", "ticker": "EXR", "setup": "Early Ignition", "side": "LONG", "price": 152.12, "stage": 2, "buy": 86.7, "sell": 56.9, "prime": 0, "revL": 0, "revS": 5.5, "vcp": 1, "time": 1785245400000, "email_id": "2607", "timestamp": "2026-07-28 16:01:33"}</t>
  </si>
  <si>
    <t>Buy: 55 | Sell: 51.7</t>
  </si>
  <si>
    <t>{"symbol": "SCHW", "strategy": "Daily", "action": "LONG", "alert_price": 104.49, "score": "", "dir_prob": "96.7", "net_sigma": "", "grade": "", "align": "", "premium": "", "wrong_if": "", "context": "", "subject": "Alert: Rev - Screener v1 (SPY, 12): Any alert() function call", "body": "{\"ticker\":\"SCHW\", \"setup\":\"A+ Trend Long\", \"side\":\"LONG\", \"price\":104.49, \"stage\":2, \"buy\":94.6, \"sell\":6.7, \"prime\":2, \"revL\":0, \"revS\":0, \"vcp\":0, \"dir_prob\":96.7, \"time\":1785331800000}", "ticker": "SCHW", "setup": "A+ Trend Long", "side": "LONG", "price": 104.49, "stage": 2, "buy": 94.6, "sell": 6.7, "prime": 2, "revL": 0, "revS": 0, "vcp": 0, "time": 1785331800000, "email_id": "2755", "timestamp": "2026-07-29 16:01:43"}</t>
  </si>
  <si>
    <t>Buy: 30.7 | Sell: 25.4</t>
  </si>
  <si>
    <t>{"symbol": "BALL", "strategy": "Daily", "action": "LONG", "alert_price": 66.88, "score": "", "dir_prob": "65.3", "net_sigma": "", "grade": "", "align": "", "premium": "", "wrong_if": "", "context": "", "subject": "Alert: Rev - Screener v1 (SPY, 12): Any alert() function call", "body": "{\"ticker\":\"BALL\", \"setup\":\"Bullish Squeeze Release\", \"side\":\"LONG\", \"price\":66.88, \"stage\":2, \"buy\":55, \"sell\":51.7, \"prime\":0, \"revL\":0, \"revS\":0, \"vcp\":2, \"dir_prob\":65.3, \"time\":1785245400000}", "ticker": "BALL", "setup": "Bullish Squeeze Release", "side": "LONG", "price": 66.88, "stage": 2, "buy": 55, "sell": 51.7, "prime": 0, "revL": 0, "revS": 0, "vcp": 2, "time": 1785245400000, "email_id": "2608", "timestamp": "2026-07-28 16:01:38"}</t>
  </si>
  <si>
    <t>{"symbol": "VRSK", "strategy": "Daily", "action": "LONG", "alert_price": 213.17, "score": "", "dir_prob": "68.2", "net_sigma": "", "grade": "", "align": "", "premium": "", "wrong_if": "", "context": "", "subject": "Alert: Rev - Screener v1 (SPY, 12): Any alert() function call", "body": "{\"ticker\":\"VRSK\", \"setup\":\"Early Ignition\", \"side\":\"LONG\", \"price\":213.17, \"stage\":2, \"buy\":30.7, \"sell\":25.4, \"prime\":0, \"revL\":0, \"revS\":0, \"vcp\":0, \"dir_prob\":68.2, \"time\":1785331800000}", "ticker": "VRSK", "setup": "Early Ignition", "side": "LONG", "price": 213.17, "stage": 2, "buy": 30.7, "sell": 25.4, "prime": 0, "revL": 0, "revS": 0, "vcp": 0, "time": 1785331800000, "email_id": "2756", "timestamp": "2026-07-29 16:01:47"}</t>
  </si>
  <si>
    <t>Buy: 97.4 | Sell: 4.2</t>
  </si>
  <si>
    <t>Buy: 85.4 | Sell: 31</t>
  </si>
  <si>
    <t>{"symbol": "VLO", "strategy": "Daily", "action": "LONG", "alert_price": 299.0, "score": "", "dir_prob": "94.6", "net_sigma": "", "grade": "", "align": "", "premium": "", "wrong_if": "", "context": "", "subject": "Alert: Rev - Screener v1 (SPY, 12): Any alert() function call", "body": "{\"ticker\":\"VLO\", \"setup\":\"A+ Trend Long\", \"side\":\"LONG\", \"price\":299.00, \"stage\":2, \"buy\":97.4, \"sell\":4.2, \"prime\":2, \"revL\":0, \"revS\":0, \"vcp\":0, \"dir_prob\":94.6, \"time\":1785245400000}", "ticker": "VLO", "setup": "A+ Trend Long", "side": "LONG", "price": 299.0, "stage": 2, "buy": 97.4, "sell": 4.2, "prime": 2, "revL": 0, "revS": 0, "vcp": 0, "time": 1785245400000, "email_id": "2609", "timestamp": "2026-07-28 16:01:35"}</t>
  </si>
  <si>
    <t>{"symbol": "GL", "strategy": "Daily", "action": "LONG", "alert_price": 179.75, "score": "", "dir_prob": "74.1", "net_sigma": "", "grade": "", "align": "", "premium": "", "wrong_if": "", "context": "", "subject": "Alert: Rev - Screener v1 (SPY, 12): Any alert() function call", "body": "{\"ticker\":\"GL\", \"setup\":\"A+ Trend Long\", \"side\":\"LONG\", \"price\":179.75, \"stage\":2, \"buy\":85.4, \"sell\":31, \"prime\":2, \"revL\":0, \"revS\":0, \"vcp\":0, \"dir_prob\":74.1, \"time\":1785331800000}", "ticker": "GL", "setup": "A+ Trend Long", "side": "LONG", "price": 179.75, "stage": 2, "buy": 85.4, "sell": 31, "prime": 2, "revL": 0, "revS": 0, "vcp": 0, "time": 1785331800000, "email_id": "2757", "timestamp": "2026-07-29 16:01:45"}</t>
  </si>
  <si>
    <t>Buy: 88.4 | Sell: 30.3</t>
  </si>
  <si>
    <t>Buy: 88.3 | Sell: 17.7</t>
  </si>
  <si>
    <t>{"symbol": "SO", "strategy": "Daily", "action": "LONG", "alert_price": 96.84, "score": "", "dir_prob": "89.2", "net_sigma": "", "grade": "", "align": "", "premium": "", "wrong_if": "", "context": "", "subject": "Alert: Rev - Screener v1 (SPY, 12): Any alert() function call", "body": "{\"ticker\":\"SO\", \"setup\":\"A+ Trend Long\", \"side\":\"LONG\", \"price\":96.84, \"stage\":2, \"buy\":88.4, \"sell\":30.3, \"prime\":2, \"revL\":0, \"revS\":0, \"vcp\":1, \"dir_prob\":89.2, \"time\":1785245400000}", "ticker": "SO", "setup": "A+ Trend Long", "side": "LONG", "price": 96.84, "stage": 2, "buy": 88.4, "sell": 30.3, "prime": 2, "revL": 0, "revS": 0, "vcp": 1, "time": 1785245400000, "email_id": "2610", "timestamp": "2026-07-28 16:01:42"}</t>
  </si>
  <si>
    <t>{"symbol": "JNJ", "strategy": "Daily", "action": "LONG", "alert_price": 265.63, "score": "", "dir_prob": "88.8", "net_sigma": "", "grade": "", "align": "", "premium": "", "wrong_if": "", "context": "", "subject": "Alert: Rev - Screener v1 (SPY, 12): Any alert() function call", "body": "{\"ticker\":\"JNJ\", \"setup\":\"A+ Trend Long\", \"side\":\"LONG\", \"price\":265.63, \"stage\":2, \"buy\":88.3, \"sell\":17.7, \"prime\":2, \"revL\":0, \"revS\":0, \"vcp\":0, \"dir_prob\":88.8, \"time\":1785331800000}", "ticker": "JNJ", "setup": "A+ Trend Long", "side": "LONG", "price": 265.63, "stage": 2, "buy": 88.3, "sell": 17.7, "prime": 2, "revL": 0, "revS": 0, "vcp": 0, "time": 1785331800000, "email_id": "2758", "timestamp": "2026-07-29 16:01:51"}</t>
  </si>
  <si>
    <t>Buy: 97.5 | Sell: 5.2</t>
  </si>
  <si>
    <t>{"symbol": "FITB", "strategy": "Daily", "action": "LONG", "alert_price": 56.6, "score": "", "dir_prob": "90.9", "net_sigma": "", "grade": "", "align": "", "premium": "", "wrong_if": "", "context": "", "subject": "Alert: Rev - Screener v1 (SPY, 12): Any alert() function call", "body": "{\"ticker\":\"FITB\", \"setup\":\"A+ Trend Long\", \"side\":\"LONG\", \"price\":56.60, \"stage\":2, \"buy\":94.9, \"sell\":9.1, \"prime\":2, \"revL\":0, \"revS\":0, \"vcp\":1, \"dir_prob\":90.9, \"time\":1785331800000}", "ticker": "FITB", "setup": "A+ Trend Long", "side": "LONG", "price": 56.6, "stage": 2, "buy": 94.9, "sell": 9.1, "prime": 2, "revL": 0, "revS": 0, "vcp": 1, "time": 1785331800000, "email_id": "2759", "timestamp": "2026-07-29 16:01:52"}</t>
  </si>
  <si>
    <t>ADBE</t>
  </si>
  <si>
    <t>Buy: 5 | Sell: 21.5</t>
  </si>
  <si>
    <t>{"symbol": "MPC", "strategy": "Daily", "action": "LONG", "alert_price": 306.06, "score": "", "dir_prob": "94.7", "net_sigma": "", "grade": "", "align": "", "premium": "", "wrong_if": "", "context": "", "subject": "Alert: Rev - Screener v1 (SPY, 12): Any alert() function call", "body": "{\"ticker\":\"MPC\", \"setup\":\"A+ Trend Long\", \"side\":\"LONG\", \"price\":306.06, \"stage\":2, \"buy\":97.5, \"sell\":5.2, \"prime\":2, \"revL\":0, \"revS\":0, \"vcp\":0, \"dir_prob\":94.7, \"time\":1785245400000}", "ticker": "MPC", "setup": "A+ Trend Long", "side": "LONG", "price": 306.06, "stage": 2, "buy": 97.5, "sell": 5.2, "prime": 2, "revL": 0, "revS": 0, "vcp": 0, "time": 1785245400000, "email_id": "2612", "timestamp": "2026-07-28 16:01:37"}</t>
  </si>
  <si>
    <t>Buy: 85.6 | Sell: 46.9</t>
  </si>
  <si>
    <t>{"symbol": "ADBE", "strategy": "Daily", "action": "LONG", "alert_price": 263.32, "score": "", "dir_prob": "62.3", "net_sigma": "", "grade": "", "align": "", "premium": "", "wrong_if": "", "context": "", "subject": "Alert: Rev - Screener v1 (SPY, 12): Any alert() function call", "body": "{\"ticker\":\"ADBE\", \"setup\":\"Early Ignition\", \"side\":\"LONG\", \"price\":263.32, \"stage\":2, \"buy\":5, \"sell\":21.5, \"prime\":0, \"revL\":0, \"revS\":0, \"vcp\":0, \"dir_prob\":62.3, \"time\":1785331800000}", "ticker": "ADBE", "setup": "Early Ignition", "side": "LONG", "price": 263.32, "stage": 2, "buy": 5, "sell": 21.5, "prime": 0, "revL": 0, "revS": 0, "vcp": 0, "time": 1785331800000, "email_id": "2760", "timestamp": "2026-07-29 16:01:49"}</t>
  </si>
  <si>
    <t>Buy: 93.4 | Sell: 10.9</t>
  </si>
  <si>
    <t>{"symbol": "ABBV", "strategy": "Daily", "action": "LONG", "alert_price": 263.34, "score": "", "dir_prob": "76.7", "net_sigma": "", "grade": "", "align": "", "premium": "", "wrong_if": "", "context": "", "subject": "Alert: Rev - Screener v1 (SPY, 12): Any alert() function call", "body": "{\"ticker\":\"ABBV\", \"setup\":\"Bullish Squeeze Release\", \"side\":\"LONG\", \"price\":263.34, \"stage\":2, \"buy\":85.6, \"sell\":46.9, \"prime\":2, \"revL\":0, \"revS\":0, \"vcp\":2, \"dir_prob\":76.7, \"time\":1785245400000}", "ticker": "ABBV", "setup": "Bullish Squeeze Release", "side": "LONG", "price": 263.34, "stage": 2, "buy": 85.6, "sell": 46.9, "prime": 2, "revL": 0, "revS": 0, "vcp": 2, "time": 1785245400000, "email_id": "2614", "timestamp": "2026-07-28 16:01:44"}</t>
  </si>
  <si>
    <t>Buy: 97 | Sell: 10.9</t>
  </si>
  <si>
    <t>{"symbol": "VTR", "strategy": "Daily", "action": "LONG", "alert_price": 97.73, "score": "", "dir_prob": "89.3", "net_sigma": "", "grade": "", "align": "", "premium": "", "wrong_if": "", "context": "", "subject": "Alert: Rev - Screener v1 (SPY, 12): Any alert() function call", "body": "{\"ticker\":\"VTR\", \"setup\":\"A+ Trend Long\", \"side\":\"LONG\", \"price\":97.73, \"stage\":2, \"buy\":93.4, \"sell\":10.9, \"prime\":2, \"revL\":0, \"revS\":0, \"vcp\":0, \"dir_prob\":89.3, \"time\":1785331800000}", "ticker": "VTR", "setup": "A+ Trend Long", "side": "LONG", "price": 97.73, "stage": 2, "buy": 93.4, "sell": 10.9, "prime": 2, "revL": 0, "revS": 0, "vcp": 0, "time": 1785331800000, "email_id": "2761", "timestamp": "2026-07-29 16:01:48"}</t>
  </si>
  <si>
    <t>Buy: 16.8 | Sell: 10.7</t>
  </si>
  <si>
    <t>{"symbol": "CSX", "strategy": "Daily", "action": "LONG", "alert_price": 50.85, "score": "", "dir_prob": "89.6", "net_sigma": "", "grade": "", "align": "", "premium": "", "wrong_if": "", "context": "", "subject": "Alert: Rev - Screener v1 (SPY, 12): Any alert() function call", "body": "{\"ticker\":\"CSX\", \"setup\":\"A+ Trend Long\", \"side\":\"LONG\", \"price\":50.85, \"stage\":2, \"buy\":97, \"sell\":10.9, \"prime\":2, \"revL\":0, \"revS\":0, \"vcp\":0, \"dir_prob\":89.6, \"time\":1785245400000}", "ticker": "CSX", "setup": "A+ Trend Long", "side": "LONG", "price": 50.85, "stage": 2, "buy": 97, "sell": 10.9, "prime": 2, "revL": 0, "revS": 0, "vcp": 0, "time": 1785245400000, "email_id": "2611", "timestamp": "2026-07-28 16:01:38"}</t>
  </si>
  <si>
    <t>{"symbol": "CIEN", "strategy": "Daily", "action": "LONG", "alert_price": 330.42, "score": "", "dir_prob": "24.3", "net_sigma": "", "grade": "", "align": "", "premium": "", "wrong_if": "", "context": "", "subject": "Alert: Rev - Screener v1 (SPY, 12): Any alert() function call", "body": "{\"ticker\":\"CIEN\", \"setup\":\"Research Reversal (Any Stage)\", \"side\":\"LONG\", \"price\":330.42, \"stage\":4, \"buy\":16.8, \"sell\":10.7, \"prime\":0, \"revL\":7.5, \"revS\":0, \"vcp\":0, \"dir_prob\":24.3, \"time\":1785331800000}", "ticker": "CIEN", "setup": "Research Reversal (Any Stage)", "side": "LONG", "price": 330.42, "stage": 4, "buy": 16.8, "sell": 10.7, "prime": 0, "revL": 7.5, "revS": 0, "vcp": 0, "time": 1785331800000, "email_id": "2762", "timestamp": "2026-07-29 16:01:50"}</t>
  </si>
  <si>
    <t>Buy: 89 | Sell: 29.4</t>
  </si>
  <si>
    <t>Buy: 55.2 | Sell: 30.3</t>
  </si>
  <si>
    <t>{"symbol": "RJF", "strategy": "Daily", "action": "LONG", "alert_price": 174.18, "score": "", "dir_prob": "87.8", "net_sigma": "", "grade": "", "align": "", "premium": "", "wrong_if": "", "context": "", "subject": "Alert: Rev - Screener v1 (SPY, 12): Any alert() function call", "body": "{\"ticker\":\"RJF\", \"setup\":\"A+ Trend Long\", \"side\":\"LONG\", \"price\":174.18, \"stage\":2, \"buy\":89, \"sell\":29.4, \"prime\":2, \"revL\":0, \"revS\":0, \"vcp\":0, \"dir_prob\":87.8, \"time\":1785331800000}", "ticker": "RJF", "setup": "A+ Trend Long", "side": "LONG", "price": 174.18, "stage": 2, "buy": 89, "sell": 29.4, "prime": 2, "revL": 0, "revS": 0, "vcp": 0, "time": 1785331800000, "email_id": "2763", "timestamp": "2026-07-29 16:01:51"}</t>
  </si>
  <si>
    <t>Buy: 89.9 | Sell: 46.2</t>
  </si>
  <si>
    <t>{"symbol": "AMCR", "strategy": "Daily", "action": "LONG", "alert_price": 46.7, "score": "", "dir_prob": "70.1", "net_sigma": "", "grade": "", "align": "", "premium": "", "wrong_if": "", "context": "", "subject": "Alert: Rev - Screener v1 (SPY, 12): Any alert() function call", "body": "{\"ticker\":\"AMCR\", \"setup\":\"Bullish Squeeze Release\", \"side\":\"LONG\", \"price\":46.70, \"stage\":2, \"buy\":55.2, \"sell\":30.3, \"prime\":0, \"revL\":0, \"revS\":0, \"vcp\":2, \"dir_prob\":70.1, \"time\":1785245400000}", "ticker": "AMCR", "setup": "Bullish Squeeze Release", "side": "LONG", "price": 46.7, "stage": 2, "buy": 55.2, "sell": 30.3, "prime": 0, "revL": 0, "revS": 0, "vcp": 2, "time": 1785245400000, "email_id": "2615", "timestamp": "2026-07-28 16:01:44"}</t>
  </si>
  <si>
    <t>{"symbol": "GPC", "strategy": "Daily", "action": "LONG", "alert_price": 129.99, "score": "", "dir_prob": "84.9", "net_sigma": "", "grade": "", "align": "", "premium": "", "wrong_if": "", "context": "", "subject": "Alert: Rev - Screener v1 (SPY, 12): Any alert() function call", "body": "{\"ticker\":\"GPC\", \"setup\":\"A+ Trend Long\", \"side\":\"LONG\", \"price\":129.99, \"stage\":2, \"buy\":89.9, \"sell\":46.2, \"prime\":2, \"revL\":0, \"revS\":0, \"vcp\":0, \"dir_prob\":84.9, \"time\":1785331800000}", "ticker": "GPC", "setup": "A+ Trend Long", "side": "LONG", "price": 129.99, "stage": 2, "buy": 89.9, "sell": 46.2, "prime": 2, "revL": 0, "revS": 0, "vcp": 0, "time": 1785331800000, "email_id": "2764", "timestamp": "2026-07-29 16:01:51"}</t>
  </si>
  <si>
    <t>Buy: 80.3 | Sell: 38</t>
  </si>
  <si>
    <t>Buy: 90.2 | Sell: 19.7</t>
  </si>
  <si>
    <t>{"symbol": "CBRE", "strategy": "Daily", "action": "LONG", "alert_price": 147.75, "score": "", "dir_prob": "81.7", "net_sigma": "", "grade": "", "align": "", "premium": "", "wrong_if": "", "context": "", "subject": "Alert: Rev - Screener v1 (SPY, 12): Any alert() function call", "body": "{\"ticker\":\"CBRE\", \"setup\":\"Early Ignition\", \"side\":\"LONG\", \"price\":147.75, \"stage\":2, \"buy\":80.3, \"sell\":38, \"prime\":0, \"revL\":0, \"revS\":8.5, \"vcp\":0, \"dir_prob\":81.7, \"time\":1785331800000}", "ticker": "CBRE", "setup": "Early Ignition", "side": "LONG", "price": 147.75, "stage": 2, "buy": 80.3, "sell": 38, "prime": 0, "revL": 0, "revS": 8.5, "vcp": 0, "time": 1785331800000, "email_id": "2765", "timestamp": "2026-07-29 16:01:52"}</t>
  </si>
  <si>
    <t>Buy: 88.6 | Sell: 30.5</t>
  </si>
  <si>
    <t>{"symbol": "TDY", "strategy": "Daily", "action": "LONG", "alert_price": 649.71, "score": "", "dir_prob": "94", "net_sigma": "", "grade": "", "align": "", "premium": "", "wrong_if": "", "context": "", "subject": "Alert: Rev - Screener v1 (SPY, 12): Any alert() function call", "body": "{\"ticker\":\"TDY\", \"setup\":\"A+ Trend Long\", \"side\":\"LONG\", \"price\":649.71, \"stage\":2, \"buy\":90.2, \"sell\":19.7, \"prime\":2, \"revL\":0, \"revS\":0, \"vcp\":1, \"dir_prob\":94, \"time\":1785245400000}", "ticker": "TDY", "setup": "A+ Trend Long", "side": "LONG", "price": 649.71, "stage": 2, "buy": 90.2, "sell": 19.7, "prime": 2, "revL": 0, "revS": 0, "vcp": 1, "time": 1785245400000, "email_id": "2616", "timestamp": "2026-07-28 16:01:41"}</t>
  </si>
  <si>
    <t>Buy: 96.5 | Sell: 9.6</t>
  </si>
  <si>
    <t>{"symbol": "COR", "strategy": "Daily", "action": "LONG", "alert_price": 318.62, "score": "", "dir_prob": "90.3", "net_sigma": "", "grade": "", "align": "", "premium": "", "wrong_if": "", "context": "", "subject": "Alert: Rev - Screener v1 (SPY, 12): Any alert() function call", "body": "{\"ticker\":\"COR\", \"setup\":\"A+ Trend Long\", \"side\":\"LONG\", \"price\":318.62, \"stage\":2, \"buy\":88.6, \"sell\":30.5, \"prime\":2, \"revL\":0, \"revS\":0, \"vcp\":0, \"dir_prob\":90.3, \"time\":1785331800000}", "ticker": "COR", "setup": "A+ Trend Long", "side": "LONG", "price": 318.62, "stage": 2, "buy": 88.6, "sell": 30.5, "prime": 2, "revL": 0, "revS": 0, "vcp": 0, "time": 1785331800000, "email_id": "2766", "timestamp": "2026-07-29 16:01:50"}</t>
  </si>
  <si>
    <t>Buy: 88.8 | Sell: 36.1</t>
  </si>
  <si>
    <t>{"symbol": "AMCR", "strategy": "Daily", "action": "LONG", "alert_price": 45.86, "score": "", "dir_prob": "84.9", "net_sigma": "", "grade": "", "align": "", "premium": "", "wrong_if": "", "context": "", "subject": "Alert: Rev - Screener v1 (SPY, 12): Any alert() function call", "body": "{\"ticker\":\"AMCR\", \"setup\":\"A+ Trend Long\", \"side\":\"LONG\", \"price\":45.86, \"stage\":2, \"buy\":88.8, \"sell\":36.1, \"prime\":2, \"revL\":0, \"revS\":0, \"vcp\":0, \"dir_prob\":84.9, \"time\":1785331800000}", "ticker": "AMCR", "setup": "A+ Trend Long", "side": "LONG", "price": 45.86, "stage": 2, "buy": 88.8, "sell": 36.1, "prime": 2, "revL": 0, "revS": 0, "vcp": 0, "time": 1785331800000, "email_id": "2767", "timestamp": "2026-07-29 16:01:57"}</t>
  </si>
  <si>
    <t>{"symbol": "NSC", "strategy": "Daily", "action": "LONG", "alert_price": 338.71, "score": "", "dir_prob": "94.1", "net_sigma": "", "grade": "", "align": "", "premium": "", "wrong_if": "", "context": "", "subject": "Alert: Rev - Screener v1 (SPY, 12): Any alert() function call", "body": "{\"ticker\":\"NSC\", \"setup\":\"A+ Trend Long\", \"side\":\"LONG\", \"price\":338.71, \"stage\":2, \"buy\":96.5, \"sell\":9.6, \"prime\":2, \"revL\":0, \"revS\":0, \"vcp\":0, \"dir_prob\":94.1, \"time\":1785245400000}", "ticker": "NSC", "setup": "A+ Trend Long", "side": "LONG", "price": 338.71, "stage": 2, "buy": 96.5, "sell": 9.6, "prime": 2, "revL": 0, "revS": 0, "vcp": 0, "time": 1785245400000, "email_id": "2613", "timestamp": "2026-07-28 16:01:37"}</t>
  </si>
  <si>
    <t>Buy: 90.5 | Sell: 60</t>
  </si>
  <si>
    <t>INTC</t>
  </si>
  <si>
    <t>Buy: 93.1 | Sell: 40.7</t>
  </si>
  <si>
    <t>Buy: 16.5 | Sell: 33.8</t>
  </si>
  <si>
    <t>{"symbol": "EXR", "strategy": "Daily", "action": "LONG", "alert_price": 152.81, "score": "", "dir_prob": "75.1", "net_sigma": "", "grade": "", "align": "", "premium": "", "wrong_if": "", "context": "", "subject": "Alert: Rev - Screener v1 (SPY, 12): Any alert() function call", "body": "{\"ticker\":\"EXR\", \"setup\":\"Early Ignition\", \"side\":\"LONG\", \"price\":152.81, \"stage\":2, \"buy\":90.5, \"sell\":60, \"prime\":0, \"revL\":0, \"revS\":4.5, \"vcp\":2, \"dir_prob\":75.1, \"time\":1785331800000}", "ticker": "EXR", "setup": "Early Ignition", "side": "LONG", "price": 152.81, "stage": 2, "buy": 90.5, "sell": 60, "prime": 0, "revL": 0, "revS": 4.5, "vcp": 2, "time": 1785331800000, "email_id": "2768", "timestamp": "2026-07-29 16:01:48"}</t>
  </si>
  <si>
    <t>ALGN</t>
  </si>
  <si>
    <t>Buy: 78.3 | Sell: 48.4</t>
  </si>
  <si>
    <t>{"symbol": "INTC", "strategy": "Daily", "action": "LONG", "alert_price": 86.3, "score": "", "dir_prob": "32.7", "net_sigma": "", "grade": "", "align": "", "premium": "", "wrong_if": "", "context": "", "subject": "Alert: Rev - Screener v1 (SPY, 12): Any alert() function call", "body": "{\"ticker\":\"INTC\", \"setup\":\"Research Reversal (Any Stage)\", \"side\":\"LONG\", \"price\":86.30, \"stage\":4, \"buy\":16.5, \"sell\":33.8, \"prime\":0, \"revL\":7, \"revS\":0, \"vcp\":0, \"dir_prob\":32.7, \"time\":1785245400000}", "ticker": "INTC", "setup": "Research Reversal (Any Stage)", "side": "LONG", "price": 86.3, "stage": 4, "buy": 16.5, "sell": 33.8, "prime": 0, "revL": 7, "revS": 0, "vcp": 0, "time": 1785245400000, "email_id": "2617", "timestamp": "2026-07-28 16:01:43"}</t>
  </si>
  <si>
    <t>Buy: 15.9 | Sell: 22.9</t>
  </si>
  <si>
    <t>{"symbol": "ALGN", "strategy": "Daily", "action": "LONG", "alert_price": 179.93, "score": "", "dir_prob": "75.8", "net_sigma": "", "grade": "", "align": "", "premium": "", "wrong_if": "", "context": "", "subject": "Alert: Rev - Screener v1 (SPY, 12): Any alert() function call", "body": "{\"ticker\":\"ALGN\", \"setup\":\"Early Ignition\", \"side\":\"LONG\", \"price\":179.93, \"stage\":2, \"buy\":78.3, \"sell\":48.4, \"prime\":0, \"revL\":0, \"revS\":0, \"vcp\":0, \"dir_prob\":75.8, \"time\":1785331800000}", "ticker": "ALGN", "setup": "Early Ignition", "side": "LONG", "price": 179.93, "stage": 2, "buy": 78.3, "sell": 48.4, "prime": 0, "revL": 0, "revS": 0, "vcp": 0, "time": 1785331800000, "email_id": "2769", "timestamp": "2026-07-29 16:01:53"}</t>
  </si>
  <si>
    <t>Buy: 12.4 | Sell: 27.1</t>
  </si>
  <si>
    <t>{"symbol": "BKNG", "strategy": "Daily", "action": "LONG", "alert_price": 199.28, "score": "", "dir_prob": "59.6", "net_sigma": "", "grade": "", "align": "", "premium": "", "wrong_if": "", "context": "", "subject": "Alert: Rev - Screener v1 (SPY, 12): Any alert() function call", "body": "{\"ticker\":\"BKNG\", \"setup\":\"Bullish Squeeze Release\", \"side\":\"LONG\", \"price\":199.28, \"stage\":2, \"buy\":15.9, \"sell\":22.9, \"prime\":0, \"revL\":0, \"revS\":0, \"vcp\":2, \"dir_prob\":59.6, \"time\":1785245400000}", "ticker": "BKNG", "setup": "Bullish Squeeze Release", "side": "LONG", "price": 199.28, "stage": 2, "buy": 15.9, "sell": 22.9, "prime": 0, "revL": 0, "revS": 0, "vcp": 2, "time": 1785245400000, "email_id": "2618", "timestamp": "2026-07-28 16:01:36"}</t>
  </si>
  <si>
    <t>{"symbol": "CRL", "strategy": "Daily", "action": "LONG", "alert_price": 234.75, "score": "", "dir_prob": "85.1", "net_sigma": "", "grade": "", "align": "", "premium": "", "wrong_if": "", "context": "", "subject": "Alert: Rev - Screener v1 (SPY, 12): Any alert() function call", "body": "{\"ticker\":\"CRL\", \"setup\":\"A+ Trend Long\", \"side\":\"LONG\", \"price\":234.75, \"stage\":2, \"buy\":93.1, \"sell\":40.7, \"prime\":2, \"revL\":0, \"revS\":0, \"vcp\":1, \"dir_prob\":85.1, \"time\":1785418200000}", "ticker": "CRL", "setup": "A+ Trend Long", "side": "LONG", "price": 234.75, "stage": 2, "buy": 93.1, "sell": 40.7, "prime": 2, "revL": 0, "revS": 0, "vcp": 1, "time": 1785418200000, "email_id": "2795", "timestamp": "2026-07-30 16:01:06"}</t>
  </si>
  <si>
    <t>{"symbol": "ADP", "strategy": "Daily", "action": "LONG", "alert_price": 273.53, "score": "", "dir_prob": "58.1", "net_sigma": "", "grade": "", "align": "", "premium": "", "wrong_if": "", "context": "", "subject": "Alert: Rev - Screener v1 (SPY, 12): Any alert() function call", "body": "{\"ticker\":\"ADP\", \"setup\":\"Early Ignition\", \"side\":\"LONG\", \"price\":273.53, \"stage\":2, \"buy\":12.4, \"sell\":27.1, \"prime\":0, \"revL\":0, \"revS\":0, \"vcp\":0, \"dir_prob\":58.1, \"time\":1785331800000}", "ticker": "ADP", "setup": "Early Ignition", "side": "LONG", "price": 273.53, "stage": 2, "buy": 12.4, "sell": 27.1, "prime": 0, "revL": 0, "revS": 0, "vcp": 0, "time": 1785331800000, "email_id": "2770", "timestamp": "2026-07-29 16:02:02"}</t>
  </si>
  <si>
    <t>Buy: 66.3 | Sell: 39.1</t>
  </si>
  <si>
    <t>Buy: 92 | Sell: 21.8</t>
  </si>
  <si>
    <t>Buy: 90 | Sell: 35.5</t>
  </si>
  <si>
    <t>{"symbol": "ZBRA", "strategy": "Daily", "action": "LONG", "alert_price": 284.28, "score": "", "dir_prob": "82.6", "net_sigma": "", "grade": "", "align": "", "premium": "", "wrong_if": "", "context": "", "subject": "Alert: Rev - Screener v1 (SPY, 12): Any alert() function call", "body": "{\"ticker\":\"ZBRA\", \"setup\":\"Early Ignition\", \"side\":\"LONG\", \"price\":284.28, \"stage\":2, \"buy\":66.3, \"sell\":39.1, \"prime\":0, \"revL\":0, \"revS\":0, \"vcp\":1, \"dir_prob\":82.6, \"time\":1785245400000}", "ticker": "ZBRA", "setup": "Early Ignition", "side": "LONG", "price": 284.28, "stage": 2, "buy": 66.3, "sell": 39.1, "prime": 0, "revL": 0, "revS": 0, "vcp": 1, "time": 1785245400000, "email_id": "2619", "timestamp": "2026-07-28 16:01:46"}</t>
  </si>
  <si>
    <t>Buy: 27.1 | Sell: 46.9</t>
  </si>
  <si>
    <t>{"symbol": "SO", "strategy": "Daily", "action": "LONG", "alert_price": 96.07, "score": "", "dir_prob": "88.2", "net_sigma": "", "grade": "", "align": "", "premium": "", "wrong_if": "", "context": "", "subject": "Alert: Rev - Screener v1 (SPY, 12): Any alert() function call", "body": "{\"ticker\":\"SO\", \"setup\":\"A+ Trend Long\", \"side\":\"LONG\", \"price\":96.07, \"stage\":2, \"buy\":90, \"sell\":35.5, \"prime\":2, \"revL\":0, \"revS\":0, \"vcp\":1, \"dir_prob\":88.2, \"time\":1785331800000}", "ticker": "SO", "setup": "A+ Trend Long", "side": "LONG", "price": 96.07, "stage": 2, "buy": 90, "sell": 35.5, "prime": 2, "revL": 0, "revS": 0, "vcp": 1, "time": 1785331800000, "email_id": "2771", "timestamp": "2026-07-29 16:01:57"}</t>
  </si>
  <si>
    <t>CRM</t>
  </si>
  <si>
    <t>Buy: 15.3 | Sell: 38.3</t>
  </si>
  <si>
    <t>{"symbol": "AWK", "strategy": "Daily", "action": "LONG", "alert_price": 136.84, "score": "", "dir_prob": "94.8", "net_sigma": "", "grade": "", "align": "", "premium": "", "wrong_if": "", "context": "", "subject": "Alert: Rev - Screener v1 (SPY, 12): Any alert() function call", "body": "{\"ticker\":\"AWK\", \"setup\":\"A+ Trend Long\", \"side\":\"LONG\", \"price\":136.84, \"stage\":2, \"buy\":92, \"sell\":21.8, \"prime\":2, \"revL\":0, \"revS\":0, \"vcp\":1, \"dir_prob\":94.8, \"time\":1785418200000}", "ticker": "AWK", "setup": "A+ Trend Long", "side": "LONG", "price": 136.84, "stage": 2, "buy": 92, "sell": 21.8, "prime": 2, "revL": 0, "revS": 0, "vcp": 1, "time": 1785418200000, "email_id": "2796", "timestamp": "2026-07-30 16:01:03"}</t>
  </si>
  <si>
    <t>Buy: 93 | Sell: 32.6</t>
  </si>
  <si>
    <t>{"symbol": "CRM", "strategy": "Daily", "action": "LONG", "alert_price": 188.42, "score": "", "dir_prob": "48.6", "net_sigma": "", "grade": "", "align": "", "premium": "", "wrong_if": "", "context": "", "subject": "Alert: Rev - Screener v1 (SPY, 12): Any alert() function call", "body": "{\"ticker\":\"CRM\", \"setup\":\"Bullish Squeeze Release\", \"side\":\"LONG\", \"price\":188.42, \"stage\":2, \"buy\":15.3, \"sell\":38.3, \"prime\":0, \"revL\":0, \"revS\":0, \"vcp\":2, \"dir_prob\":48.6, \"time\":1785331800000}", "ticker": "CRM", "setup": "Bullish Squeeze Release", "side": "LONG", "price": 188.42, "stage": 2, "buy": 15.3, "sell": 38.3, "prime": 0, "revL": 0, "revS": 0, "vcp": 2, "time": 1785331800000, "email_id": "2772", "timestamp": "2026-07-29 16:01:57"}</t>
  </si>
  <si>
    <t>Buy: 76.4 | Sell: 12.1</t>
  </si>
  <si>
    <t>{"symbol": "AMD", "strategy": "Daily", "action": "LONG", "alert_price": 454.76, "score": "", "dir_prob": "41.7", "net_sigma": "", "grade": "", "align": "", "premium": "", "wrong_if": "", "context": "", "subject": "Alert: Rev - Screener v1 (SPY, 12): Any alert() function call", "body": "{\"ticker\":\"AMD\", \"setup\":\"Research Reversal (Any Stage)\", \"side\":\"LONG\", \"price\":454.76, \"stage\":4, \"buy\":27.1, \"sell\":46.9, \"prime\":0, \"revL\":8.5, \"revS\":0, \"vcp\":-2, \"dir_prob\":41.7, \"time\":1785245400000}", "ticker": "AMD", "setup": "Research Reversal (Any Stage)", "side": "LONG", "price": 454.76, "stage": 4, "buy": 27.1, "sell": 46.9, "prime": 0, "revL": 8.5, "revS": 0, "vcp": -2, "time": 1785245400000, "email_id": "2620", "timestamp": "2026-07-28 16:01:39"}</t>
  </si>
  <si>
    <t>Buy: 88.9 | Sell: 25.9</t>
  </si>
  <si>
    <t>{"symbol": "BRO", "strategy": "Daily", "action": "LONG", "alert_price": 70.86, "score": "", "dir_prob": "98.6", "net_sigma": "", "grade": "", "align": "", "premium": "", "wrong_if": "", "context": "", "subject": "Alert: Rev - Screener v1 (SPY, 12): Any alert() function call", "body": "{\"ticker\":\"BRO\", \"setup\":\"A+ Trend Long\", \"side\":\"LONG\", \"price\":70.86, \"stage\":2, \"buy\":93, \"sell\":32.6, \"prime\":2, \"revL\":0, \"revS\":0, \"vcp\":0, \"dir_prob\":98.6, \"time\":1785418200000}", "ticker": "BRO", "setup": "A+ Trend Long", "side": "LONG", "price": 70.86, "stage": 2, "buy": 93, "sell": 32.6, "prime": 2, "revL": 0, "revS": 0, "vcp": 0, "time": 1785418200000, "email_id": "2797", "timestamp": "2026-07-30 16:01:05"}</t>
  </si>
  <si>
    <t>Buy: 90.5 | Sell: 14.2</t>
  </si>
  <si>
    <t>{"symbol": "MTD", "strategy": "Daily", "action": "LONG", "alert_price": 1389.18, "score": "", "dir_prob": "90.6", "net_sigma": "", "grade": "", "align": "", "premium": "", "wrong_if": "", "context": "", "subject": "Alert: Rev - Screener v1 (SPY, 12): Any alert() function call", "body": "{\"ticker\":\"MTD\", \"setup\":\"Bullish Squeeze Release\", \"side\":\"LONG\", \"price\":1389.18, \"stage\":2, \"buy\":76.4, \"sell\":12.1, \"prime\":1, \"revL\":0, \"revS\":4.5, \"vcp\":2, \"dir_prob\":90.6, \"time\":1785331800000}", "ticker": "MTD", "setup": "Bullish Squeeze Release", "side": "LONG", "price": 1389.18, "stage": 2, "buy": 76.4, "sell": 12.1, "prime": 1, "revL": 0, "revS": 4.5, "vcp": 2, "time": 1785331800000, "email_id": "2773", "timestamp": "2026-07-29 16:02:00"}</t>
  </si>
  <si>
    <t>Buy: 33 | Sell: 20</t>
  </si>
  <si>
    <t>{"symbol": "BAC", "strategy": "Daily", "action": "LONG", "alert_price": 62.62, "score": "", "dir_prob": "82.4", "net_sigma": "", "grade": "", "align": "", "premium": "", "wrong_if": "", "context": "", "subject": "Alert: Rev - Screener v1 (SPY, 12): Any alert() function call", "body": "{\"ticker\":\"BAC\", \"setup\":\"A+ Trend Long\", \"side\":\"LONG\", \"price\":62.62, \"stage\":2, \"buy\":88.9, \"sell\":25.9, \"prime\":2, \"revL\":0, \"revS\":0, \"vcp\":0, \"dir_prob\":82.4, \"time\":1785245400000}", "ticker": "BAC", "setup": "A+ Trend Long", "side": "LONG", "price": 62.62, "stage": 2, "buy": 88.9, "sell": 25.9, "prime": 2, "revL": 0, "revS": 0, "vcp": 0, "time": 1785245400000, "email_id": "2621", "timestamp": "2026-07-28 16:01:46"}</t>
  </si>
  <si>
    <t>F</t>
  </si>
  <si>
    <t>Buy: 76.7 | Sell: 60</t>
  </si>
  <si>
    <t>{"symbol": "FLEX", "strategy": "Daily", "action": "LONG", "alert_price": 103.01, "score": "", "dir_prob": "62", "net_sigma": "", "grade": "", "align": "", "premium": "", "wrong_if": "", "context": "", "subject": "Alert: Rev - Screener v1 (SPY, 12): Any alert() function call", "body": "{\"ticker\":\"FLEX\", \"setup\":\"Research Reversal (Any Stage)\", \"side\":\"LONG\", \"price\":103.01, \"stage\":4, \"buy\":33, \"sell\":20, \"prime\":0, \"revL\":8.5, \"revS\":0, \"vcp\":0, \"dir_prob\":62, \"time\":1785331800000}", "ticker": "FLEX", "setup": "Research Reversal (Any Stage)", "side": "LONG", "price": 103.01, "stage": 4, "buy": 33, "sell": 20, "prime": 0, "revL": 8.5, "revS": 0, "vcp": 0, "time": 1785331800000, "email_id": "2774", "timestamp": "2026-07-29 16:01:59"}</t>
  </si>
  <si>
    <t>{"symbol": "AFL", "strategy": "Daily", "action": "LONG", "alert_price": 127.37, "score": "", "dir_prob": "87.2", "net_sigma": "", "grade": "", "align": "", "premium": "", "wrong_if": "", "context": "", "subject": "Alert: Rev - Screener v1 (SPY, 12): Any alert() function call", "body": "{\"ticker\":\"AFL\", \"setup\":\"A+ Trend Long\", \"side\":\"LONG\", \"price\":127.37, \"stage\":2, \"buy\":90.5, \"sell\":14.2, \"prime\":2, \"revL\":0, \"revS\":0, \"vcp\":0, \"dir_prob\":87.2, \"time\":1785418200000}", "ticker": "AFL", "setup": "A+ Trend Long", "side": "LONG", "price": 127.37, "stage": 2, "buy": 90.5, "sell": 14.2, "prime": 2, "revL": 0, "revS": 0, "vcp": 0, "time": 1785418200000, "email_id": "2798", "timestamp": "2026-07-30 16:01:10"}</t>
  </si>
  <si>
    <t>Buy: 87.3 | Sell: 48.6</t>
  </si>
  <si>
    <t>Buy: 84.9 | Sell: 60</t>
  </si>
  <si>
    <t>{"symbol": "F", "strategy": "Daily", "action": "LONG", "alert_price": 14.96, "score": "", "dir_prob": "64.2", "net_sigma": "", "grade": "", "align": "", "premium": "", "wrong_if": "", "context": "", "subject": "Alert: Rev - Screener v1 (SPY, 12): Any alert() function call", "body": "{\"ticker\":\"F\", \"setup\":\"Bullish Squeeze Release\", \"side\":\"LONG\", \"price\":14.96, \"stage\":2, \"buy\":76.7, \"sell\":60, \"prime\":0, \"revL\":0, \"revS\":0, \"vcp\":2, \"dir_prob\":64.2, \"time\":1785245400000}", "ticker": "F", "setup": "Bullish Squeeze Release", "side": "LONG", "price": 14.96, "stage": 2, "buy": 76.7, "sell": 60, "prime": 0, "revL": 0, "revS": 0, "vcp": 2, "time": 1785245400000, "email_id": "2622", "timestamp": "2026-07-28 16:01:42"}</t>
  </si>
  <si>
    <t>{"symbol": "CINF", "strategy": "Daily", "action": "LONG", "alert_price": 181.4, "score": "", "dir_prob": "75.7", "net_sigma": "", "grade": "", "align": "", "premium": "", "wrong_if": "", "context": "", "subject": "Alert: Rev - Screener v1 (SPY, 12): Any alert() function call", "body": "{\"ticker\":\"CINF\", \"setup\":\"A+ Trend Long\", \"side\":\"LONG\", \"price\":181.40, \"stage\":2, \"buy\":87.3, \"sell\":48.6, \"prime\":2, \"revL\":0, \"revS\":0, \"vcp\":0, \"dir_prob\":75.7, \"time\":1785331800000}", "ticker": "CINF", "setup": "A+ Trend Long", "side": "LONG", "price": 181.4, "stage": 2, "buy": 87.3, "sell": 48.6, "prime": 2, "revL": 0, "revS": 0, "vcp": 0, "time": 1785331800000, "email_id": "2775", "timestamp": "2026-07-29 16:02:07"}</t>
  </si>
  <si>
    <t>Buy: 96.3 | Sell: 8.6</t>
  </si>
  <si>
    <t>Buy: 88 | Sell: 49.6</t>
  </si>
  <si>
    <t>{"symbol": "SBUX", "strategy": "Daily", "action": "LONG", "alert_price": 105.82, "score": "", "dir_prob": "66.6", "net_sigma": "", "grade": "", "align": "", "premium": "", "wrong_if": "", "context": "", "subject": "Alert: Rev - Screener v1 (SPY, 12): Any alert() function call", "body": "{\"ticker\":\"SBUX\", \"setup\":\"Early Ignition\", \"side\":\"LONG\", \"price\":105.82, \"stage\":2, \"buy\":84.9, \"sell\":60, \"prime\":0, \"revL\":0, \"revS\":0, \"vcp\":1, \"dir_prob\":66.6, \"time\":1785418200000}", "ticker": "SBUX", "setup": "Early Ignition", "side": "LONG", "price": 105.82, "stage": 2, "buy": 84.9, "sell": 60, "prime": 0, "revL": 0, "revS": 0, "vcp": 1, "time": 1785418200000, "email_id": "2799", "timestamp": "2026-07-30 16:01:05"}</t>
  </si>
  <si>
    <t>Buy: 94.5 | Sell: 10.8</t>
  </si>
  <si>
    <t>{"symbol": "WELL", "strategy": "Daily", "action": "LONG", "alert_price": 240.99, "score": "", "dir_prob": "89.2", "net_sigma": "", "grade": "", "align": "", "premium": "", "wrong_if": "", "context": "", "subject": "Alert: Rev - Screener v1 (SPY, 12): Any alert() function call", "body": "{\"ticker\":\"WELL\", \"setup\":\"A+ Trend Long\", \"side\":\"LONG\", \"price\":240.99, \"stage\":2, \"buy\":96.3, \"sell\":8.6, \"prime\":2, \"revL\":0, \"revS\":0, \"vcp\":0, \"dir_prob\":89.2, \"time\":1785331800000}", "ticker": "WELL", "setup": "A+ Trend Long", "side": "LONG", "price": 240.99, "stage": 2, "buy": 96.3, "sell": 8.6, "prime": 2, "revL": 0, "revS": 0, "vcp": 0, "time": 1785331800000, "email_id": "2776", "timestamp": "2026-07-29 16:02:03"}</t>
  </si>
  <si>
    <t>Buy: 97.7 | Sell: 4.4</t>
  </si>
  <si>
    <t>{"symbol": "AEE", "strategy": "Daily", "action": "LONG", "alert_price": 112.54, "score": "", "dir_prob": "72.3", "net_sigma": "", "grade": "", "align": "", "premium": "", "wrong_if": "", "context": "", "subject": "Alert: Rev - Screener v1 (SPY, 12): Any alert() function call", "body": "{\"ticker\":\"AEE\", \"setup\":\"A+ Trend Long\", \"side\":\"LONG\", \"price\":112.54, \"stage\":2, \"buy\":88, \"sell\":49.6, \"prime\":2, \"revL\":0, \"revS\":0, \"vcp\":1, \"dir_prob\":72.3, \"time\":1785245400000}", "ticker": "AEE", "setup": "A+ Trend Long", "side": "LONG", "price": 112.54, "stage": 2, "buy": 88, "sell": 49.6, "prime": 2, "revL": 0, "revS": 0, "vcp": 1, "time": 1785245400000, "email_id": "2623", "timestamp": "2026-07-28 16:01:40"}</t>
  </si>
  <si>
    <t>{"symbol": "MPC", "strategy": "Daily", "action": "LONG", "alert_price": 309.0, "score": "", "dir_prob": "94.7", "net_sigma": "", "grade": "", "align": "", "premium": "", "wrong_if": "", "context": "", "subject": "Alert: Rev - Screener v1 (SPY, 12): Any alert() function call", "body": "{\"ticker\":\"MPC\", \"setup\":\"A+ Trend Long\", \"side\":\"LONG\", \"price\":309.00, \"stage\":2, \"buy\":97.7, \"sell\":4.4, \"prime\":2, \"revL\":0, \"revS\":0, \"vcp\":0, \"dir_prob\":94.7, \"time\":1785331800000}", "ticker": "MPC", "setup": "A+ Trend Long", "side": "LONG", "price": 309.0, "stage": 2, "buy": 97.7, "sell": 4.4, "prime": 2, "revL": 0, "revS": 0, "vcp": 0, "time": 1785331800000, "email_id": "2777", "timestamp": "2026-07-29 16:01:47"}</t>
  </si>
  <si>
    <t>{"symbol": "CTVA", "strategy": "Daily", "action": "LONG", "alert_price": 89.39, "score": "", "dir_prob": "92.3", "net_sigma": "", "grade": "", "align": "", "premium": "", "wrong_if": "", "context": "", "subject": "Alert: Rev - Screener v1 (SPY, 12): Any alert() function call", "body": "{\"ticker\":\"CTVA\", \"setup\":\"A+ Trend Long\", \"side\":\"LONG\", \"price\":89.39, \"stage\":2, \"buy\":94.5, \"sell\":10.8, \"prime\":2, \"revL\":0, \"revS\":0, \"vcp\":0, \"dir_prob\":92.3, \"time\":1785418200000}", "ticker": "CTVA", "setup": "A+ Trend Long", "side": "LONG", "price": 89.39, "stage": 2, "buy": 94.5, "sell": 10.8, "prime": 2, "revL": 0, "revS": 0, "vcp": 0, "time": 1785418200000, "email_id": "2800", "timestamp": "2026-07-30 16:01:01"}</t>
  </si>
  <si>
    <t>Buy: 95.4 | Sell: 28</t>
  </si>
  <si>
    <t>{"symbol": "ADM", "strategy": "Daily", "action": "LONG", "alert_price": 83.19, "score": "", "dir_prob": "93.3", "net_sigma": "", "grade": "", "align": "", "premium": "", "wrong_if": "", "context": "", "subject": "Alert: Rev - Screener v1 (SPY, 12): Any alert() function call", "body": "{\"ticker\":\"ADM\", \"setup\":\"A+ Trend Long\", \"side\":\"LONG\", \"price\":83.19, \"stage\":2, \"buy\":93.9, \"sell\":10.4, \"prime\":2, \"revL\":0, \"revS\":0, \"vcp\":0, \"dir_prob\":93.3, \"time\":1785245400000}", "ticker": "ADM", "setup": "A+ Trend Long", "side": "LONG", "price": 83.19, "stage": 2, "buy": 93.9, "sell": 10.4, "prime": 2, "revL": 0, "revS": 0, "vcp": 0, "time": 1785245400000, "email_id": "2624", "timestamp": "2026-07-28 16:01:47"}</t>
  </si>
  <si>
    <t>WDC</t>
  </si>
  <si>
    <t>Buy: 24.5 | Sell: 16.8</t>
  </si>
  <si>
    <t>{"symbol": "CFG", "strategy": "Daily", "action": "LONG", "alert_price": 71.32, "score": "", "dir_prob": "89.1", "net_sigma": "", "grade": "", "align": "", "premium": "", "wrong_if": "", "context": "", "subject": "Alert: Rev - Screener v1 (SPY, 12): Any alert() function call", "body": "{\"ticker\":\"CFG\", \"setup\":\"A+ Trend Long\", \"side\":\"LONG\", \"price\":71.32, \"stage\":2, \"buy\":94.6, \"sell\":9.9, \"prime\":2, \"revL\":0, \"revS\":0, \"vcp\":1, \"dir_prob\":89.1, \"time\":1785331800000}", "ticker": "CFG", "setup": "A+ Trend Long", "side": "LONG", "price": 71.32, "stage": 2, "buy": 94.6, "sell": 9.9, "prime": 2, "revL": 0, "revS": 0, "vcp": 1, "time": 1785331800000, "email_id": "2778", "timestamp": "2026-07-29 16:01:57"}</t>
  </si>
  <si>
    <t>Buy: 94.6 | Sell: 31.7</t>
  </si>
  <si>
    <t>{"symbol": "AJG", "strategy": "Daily", "action": "LONG", "alert_price": 256.52, "score": "", "dir_prob": "97.2", "net_sigma": "", "grade": "", "align": "", "premium": "", "wrong_if": "", "context": "", "subject": "Alert: Rev - Screener v1 (SPY, 12): Any alert() function call", "body": "{\"ticker\":\"AJG\", \"setup\":\"A+ Trend Long\", \"side\":\"LONG\", \"price\":256.52, \"stage\":2, \"buy\":95.4, \"sell\":28, \"prime\":2, \"revL\":0, \"revS\":0, \"vcp\":0, \"dir_prob\":97.2, \"time\":1785418200000}", "ticker": "AJG", "setup": "A+ Trend Long", "side": "LONG", "price": 256.52, "stage": 2, "buy": 95.4, "sell": 28, "prime": 2, "revL": 0, "revS": 0, "vcp": 0, "time": 1785418200000, "email_id": "2801", "timestamp": "2026-07-30 16:01:03"}</t>
  </si>
  <si>
    <t>{"symbol": "RF", "strategy": "Daily", "action": "LONG", "alert_price": 30.94, "score": "", "dir_prob": "85", "net_sigma": "", "grade": "", "align": "", "premium": "", "wrong_if": "", "context": "", "subject": "Alert: Rev - Screener v1 (SPY, 12): Any alert() function call", "body": "{\"ticker\":\"RF\", \"setup\":\"A+ Trend Long\", \"side\":\"LONG\", \"price\":30.94, \"stage\":2, \"buy\":94.6, \"sell\":31.7, \"prime\":2, \"revL\":0, \"revS\":0, \"vcp\":0, \"dir_prob\":85, \"time\":1785331800000}", "ticker": "RF", "setup": "A+ Trend Long", "side": "LONG", "price": 30.94, "stage": 2, "buy": 94.6, "sell": 31.7, "prime": 2, "revL": 0, "revS": 0, "vcp": 0, "time": 1785331800000, "email_id": "2779", "timestamp": "2026-07-29 16:01:55"}</t>
  </si>
  <si>
    <t>Buy: 96.6 | Sell: 5.2</t>
  </si>
  <si>
    <t>Buy: 86.2 | Sell: 60</t>
  </si>
  <si>
    <t>{"symbol": "WDC", "strategy": "Daily", "action": "LONG", "alert_price": 463.79, "score": "", "dir_prob": "18.2", "net_sigma": "", "grade": "", "align": "", "premium": "", "wrong_if": "", "context": "", "subject": "Alert: Rev - Screener v1 (SPY, 12): Any alert() function call", "body": "{\"ticker\":\"WDC\", \"setup\":\"Research Reversal (Any Stage)\", \"side\":\"LONG\", \"price\":463.79, \"stage\":4, \"buy\":24.5, \"sell\":16.8, \"prime\":0, \"revL\":7, \"revS\":0, \"vcp\":0, \"dir_prob\":18.2, \"time\":1785245400000}", "ticker": "WDC", "setup": "Research Reversal (Any Stage)", "side": "LONG", "price": 463.79, "stage": 4, "buy": 24.5, "sell": 16.8, "prime": 0, "revL": 7, "revS": 0, "vcp": 0, "time": 1785245400000, "email_id": "2625", "timestamp": "2026-07-28 16:01:38"}</t>
  </si>
  <si>
    <t>Buy: 88.4 | Sell: 26</t>
  </si>
  <si>
    <t>{"symbol": "IEX", "strategy": "Daily", "action": "LONG", "alert_price": 229.65, "score": "", "dir_prob": "61.2", "net_sigma": "", "grade": "", "align": "", "premium": "", "wrong_if": "", "context": "", "subject": "Alert: Rev - Screener v1 (SPY, 12): Any alert() function call", "body": "{\"ticker\":\"IEX\", \"setup\":\"Early Ignition\", \"side\":\"LONG\", \"price\":229.65, \"stage\":2, \"buy\":86.2, \"sell\":60, \"prime\":0, \"revL\":0, \"revS\":4.5, \"vcp\":1, \"dir_prob\":61.2, \"time\":1785331800000}", "ticker": "IEX", "setup": "Early Ignition", "side": "LONG", "price": 229.65, "stage": 2, "buy": 86.2, "sell": 60, "prime": 0, "revL": 0, "revS": 4.5, "vcp": 1, "time": 1785331800000, "email_id": "2780", "timestamp": "2026-07-29 16:02:01"}</t>
  </si>
  <si>
    <t>{"symbol": "USB", "strategy": "Daily", "action": "LONG", "alert_price": 62.9, "score": "", "dir_prob": "92.3", "net_sigma": "", "grade": "", "align": "", "premium": "", "wrong_if": "", "context": "", "subject": "Alert: Rev - Screener v1 (SPY, 12): Any alert() function call", "body": "{\"ticker\":\"USB\", \"setup\":\"A+ Trend Long\", \"side\":\"LONG\", \"price\":62.90, \"stage\":2, \"buy\":96.6, \"sell\":5.2, \"prime\":2, \"revL\":0, \"revS\":0, \"vcp\":1, \"dir_prob\":92.3, \"time\":1785418200000}", "ticker": "USB", "setup": "A+ Trend Long", "side": "LONG", "price": 62.9, "stage": 2, "buy": 96.6, "sell": 5.2, "prime": 2, "revL": 0, "revS": 0, "vcp": 1, "time": 1785418200000, "email_id": "2802", "timestamp": "2026-07-30 16:01:06"}</t>
  </si>
  <si>
    <t>Buy: 91.9 | Sell: 15.2</t>
  </si>
  <si>
    <t>Buy: 87.6 | Sell: 55.2</t>
  </si>
  <si>
    <t>{"symbol": "AIZ", "strategy": "Daily", "action": "LONG", "alert_price": 282.98, "score": "", "dir_prob": "80.3", "net_sigma": "", "grade": "", "align": "", "premium": "", "wrong_if": "", "context": "", "subject": "Alert: Rev - Screener v1 (SPY, 12): Any alert() function call", "body": "{\"ticker\":\"AIZ\", \"setup\":\"A+ Trend Long\", \"side\":\"LONG\", \"price\":282.98, \"stage\":2, \"buy\":88.4, \"sell\":26, \"prime\":2, \"revL\":0, \"revS\":0, \"vcp\":1, \"dir_prob\":80.3, \"time\":1785245400000}", "ticker": "AIZ", "setup": "A+ Trend Long", "side": "LONG", "price": 282.98, "stage": 2, "buy": 88.4, "sell": 26, "prime": 2, "revL": 0, "revS": 0, "vcp": 1, "time": 1785245400000, "email_id": "2626", "timestamp": "2026-07-28 16:01:46"}</t>
  </si>
  <si>
    <t>{"symbol": "CAH", "strategy": "Daily", "action": "LONG", "alert_price": 229.15, "score": "", "dir_prob": "82.9", "net_sigma": "", "grade": "", "align": "", "premium": "", "wrong_if": "", "context": "", "subject": "Alert: Rev - Screener v1 (SPY, 12): Any alert() function call", "body": "{\"ticker\":\"CAH\", \"setup\":\"A+ Trend Long\", \"side\":\"LONG\", \"price\":229.15, \"stage\":2, \"buy\":87.6, \"sell\":55.2, \"prime\":2, \"revL\":0, \"revS\":0, \"vcp\":0, \"dir_prob\":82.9, \"time\":1785331800000}", "ticker": "CAH", "setup": "A+ Trend Long", "side": "LONG", "price": 229.15, "stage": 2, "buy": 87.6, "sell": 55.2, "prime": 2, "revL": 0, "revS": 0, "vcp": 0, "time": 1785331800000, "email_id": "2781", "timestamp": "2026-07-29 16:01:57"}</t>
  </si>
  <si>
    <t>Buy: 94.9 | Sell: 14</t>
  </si>
  <si>
    <t>{"symbol": "MCK", "strategy": "Daily", "action": "LONG", "alert_price": 865.77, "score": "", "dir_prob": "92.9", "net_sigma": "", "grade": "", "align": "", "premium": "", "wrong_if": "", "context": "", "subject": "Alert: Rev - Screener v1 (SPY, 12): Any alert() function call", "body": "{\"ticker\":\"MCK\", \"setup\":\"A+ Trend Long\", \"side\":\"LONG\", \"price\":865.77, \"stage\":2, \"buy\":91.9, \"sell\":15.2, \"prime\":2, \"revL\":0, \"revS\":0, \"vcp\":0, \"dir_prob\":92.9, \"time\":1785418200000}", "ticker": "MCK", "setup": "A+ Trend Long", "side": "LONG", "price": 865.77, "stage": 2, "buy": 91.9, "sell": 15.2, "prime": 2, "revL": 0, "revS": 0, "vcp": 0, "time": 1785418200000, "email_id": "2803", "timestamp": "2026-07-30 16:01:06"}</t>
  </si>
  <si>
    <t>Buy: 95.1 | Sell: 36</t>
  </si>
  <si>
    <t>{"symbol": "WELL", "strategy": "Daily", "action": "LONG", "alert_price": 243.59, "score": "", "dir_prob": "87.1", "net_sigma": "", "grade": "", "align": "", "premium": "", "wrong_if": "", "context": "", "subject": "Alert: Rev - Screener v1 (SPY, 12): Any alert() function call", "body": "{\"ticker\":\"WELL\", \"setup\":\"A+ Trend Long\", \"side\":\"LONG\", \"price\":243.59, \"stage\":2, \"buy\":94.9, \"sell\":14, \"prime\":2, \"revL\":0, \"revS\":0, \"vcp\":0, \"dir_prob\":87.1, \"time\":1785245400000}", "ticker": "WELL", "setup": "A+ Trend Long", "side": "LONG", "price": 243.59, "stage": 2, "buy": 94.9, "sell": 14, "prime": 2, "revL": 0, "revS": 0, "vcp": 0, "time": 1785245400000, "email_id": "2627", "timestamp": "2026-07-28 16:01:47"}</t>
  </si>
  <si>
    <t>Buy: 93.8 | Sell: 11.3</t>
  </si>
  <si>
    <t>{"symbol": "EG", "strategy": "Daily", "action": "LONG", "alert_price": 375.45, "score": "", "dir_prob": "83.6", "net_sigma": "", "grade": "", "align": "", "premium": "", "wrong_if": "", "context": "", "subject": "Alert: Rev - Screener v1 (SPY, 12): Any alert() function call", "body": "{\"ticker\":\"EG\", \"setup\":\"A+ Trend Long\", \"side\":\"LONG\", \"price\":375.45, \"stage\":2, \"buy\":95.1, \"sell\":36, \"prime\":2, \"revL\":0, \"revS\":0, \"vcp\":0, \"dir_prob\":83.6, \"time\":1785418200000}", "ticker": "EG", "setup": "A+ Trend Long", "side": "LONG", "price": 375.45, "stage": 2, "buy": 95.1, "sell": 36, "prime": 2, "revL": 0, "revS": 0, "vcp": 0, "time": 1785418200000, "email_id": "2804", "timestamp": "2026-07-30 16:01:04"}</t>
  </si>
  <si>
    <t>Buy: 85.8 | Sell: 15.4</t>
  </si>
  <si>
    <t>{"symbol": "DLTR", "strategy": "Daily", "action": "LONG", "alert_price": 126.76, "score": "", "dir_prob": "94.9", "net_sigma": "", "grade": "", "align": "", "premium": "", "wrong_if": "", "context": "", "subject": "Alert: Rev - Screener v1 (SPY, 12): Any alert() function call", "body": "{\"ticker\":\"DLTR\", \"setup\":\"A+ Trend Long\", \"side\":\"LONG\", \"price\":126.76, \"stage\":2, \"buy\":93.8, \"sell\":11.3, \"prime\":2, \"revL\":0, \"revS\":0, \"vcp\":1, \"dir_prob\":94.9, \"time\":1785245400000}", "ticker": "DLTR", "setup": "A+ Trend Long", "side": "LONG", "price": 126.76, "stage": 2, "buy": 93.8, "sell": 11.3, "prime": 2, "revL": 0, "revS": 0, "vcp": 1, "time": 1785245400000, "email_id": "2628", "timestamp": "2026-07-28 16:01:38"}</t>
  </si>
  <si>
    <t>Buy: 94.6 | Sell: 16.3</t>
  </si>
  <si>
    <t>{"symbol": "DVA", "strategy": "Daily", "action": "LONG", "alert_price": 238.85, "score": "", "dir_prob": "93.1", "net_sigma": "", "grade": "", "align": "", "premium": "", "wrong_if": "", "context": "", "subject": "Alert: Rev - Screener v1 (SPY, 12): Any alert() function call", "body": "{\"ticker\":\"DVA\", \"setup\":\"A+ Trend Long\", \"side\":\"LONG\", \"price\":238.85, \"stage\":2, \"buy\":85.8, \"sell\":15.4, \"prime\":2, \"revL\":0, \"revS\":0, \"vcp\":1, \"dir_prob\":93.1, \"time\":1785418200000}", "ticker": "DVA", "setup": "A+ Trend Long", "side": "LONG", "price": 238.85, "stage": 2, "buy": 85.8, "sell": 15.4, "prime": 2, "revL": 0, "revS": 0, "vcp": 1, "time": 1785418200000, "email_id": "2805", "timestamp": "2026-07-30 16:01:06"}</t>
  </si>
  <si>
    <t>Buy: 92.8 | Sell: 17</t>
  </si>
  <si>
    <t>{"symbol": "BNY", "strategy": "Daily", "action": "LONG", "alert_price": 156.49, "score": "", "dir_prob": "85", "net_sigma": "", "grade": "", "align": "", "premium": "", "wrong_if": "", "context": "", "subject": "Alert: Rev - Screener v1 (SPY, 12): Any alert() function call", "body": "{\"ticker\":\"BNY\", \"setup\":\"A+ Trend Long\", \"side\":\"LONG\", \"price\":156.49, \"stage\":2, \"buy\":94.6, \"sell\":16.3, \"prime\":2, \"revL\":0, \"revS\":0, \"vcp\":0, \"dir_prob\":85, \"time\":1785245400000}", "ticker": "BNY", "setup": "A+ Trend Long", "side": "LONG", "price": 156.49, "stage": 2, "buy": 94.6, "sell": 16.3, "prime": 2, "revL": 0, "revS": 0, "vcp": 0, "time": 1785245400000, "email_id": "2629", "timestamp": "2026-07-28 16:01:47"}</t>
  </si>
  <si>
    <t>Buy: 91.7 | Sell: 41.8</t>
  </si>
  <si>
    <t>{"symbol": "L", "strategy": "Daily", "action": "LONG", "alert_price": 116.37, "score": "", "dir_prob": "87.8", "net_sigma": "", "grade": "", "align": "", "premium": "", "wrong_if": "", "context": "", "subject": "Alert: Rev - Screener v1 (SPY, 12): Any alert() function call", "body": "{\"ticker\":\"L\", \"setup\":\"A+ Trend Long\", \"side\":\"LONG\", \"price\":116.37, \"stage\":2, \"buy\":92.8, \"sell\":17, \"prime\":2, \"revL\":0, \"revS\":0, \"vcp\":0, \"dir_prob\":87.8, \"time\":1785418200000}", "ticker": "L", "setup": "A+ Trend Long", "side": "LONG", "price": 116.37, "stage": 2, "buy": 92.8, "sell": 17, "prime": 2, "revL": 0, "revS": 0, "vcp": 0, "time": 1785418200000, "email_id": "2806", "timestamp": "2026-07-30 16:01:10"}</t>
  </si>
  <si>
    <t>Buy: 86 | Sell: 27.5</t>
  </si>
  <si>
    <t>{"symbol": "GPC", "strategy": "Daily", "action": "LONG", "alert_price": 129.68, "score": "", "dir_prob": "87.1", "net_sigma": "", "grade": "", "align": "", "premium": "", "wrong_if": "", "context": "", "subject": "Alert: Rev - Screener v1 (SPY, 12): Any alert() function call", "body": "{\"ticker\":\"GPC\", \"setup\":\"A+ Trend Long\", \"side\":\"LONG\", \"price\":129.68, \"stage\":2, \"buy\":91.7, \"sell\":41.8, \"prime\":2, \"revL\":0, \"revS\":0, \"vcp\":0, \"dir_prob\":87.1, \"time\":1785245400000}", "ticker": "GPC", "setup": "A+ Trend Long", "side": "LONG", "price": 129.68, "stage": 2, "buy": 91.7, "sell": 41.8, "prime": 2, "revL": 0, "revS": 0, "vcp": 0, "time": 1785245400000, "email_id": "2633", "timestamp": "2026-07-28 16:01:28"}</t>
  </si>
  <si>
    <t>Buy: 94.7 | Sell: 24.6</t>
  </si>
  <si>
    <t>{"symbol": "AIZ", "strategy": "Daily", "action": "LONG", "alert_price": 282.7, "score": "", "dir_prob": "78.1", "net_sigma": "", "grade": "", "align": "", "premium": "", "wrong_if": "", "context": "", "subject": "Alert: Rev - Screener v1 (SPY, 12): Any alert() function call", "body": "{\"ticker\":\"AIZ\", \"setup\":\"A+ Trend Long\", \"side\":\"LONG\", \"price\":282.70, \"stage\":2, \"buy\":86, \"sell\":27.5, \"prime\":2, \"revL\":0, \"revS\":0, \"vcp\":1, \"dir_prob\":78.1, \"time\":1785418200000}", "ticker": "AIZ", "setup": "A+ Trend Long", "side": "LONG", "price": 282.7, "stage": 2, "buy": 86, "sell": 27.5, "prime": 2, "revL": 0, "revS": 0, "vcp": 1, "time": 1785418200000, "email_id": "2807", "timestamp": "2026-07-30 16:01:04"}</t>
  </si>
  <si>
    <t>Buy: 88.5 | Sell: 22.7</t>
  </si>
  <si>
    <t>{"symbol": "DHR", "strategy": "Daily", "action": "LONG", "alert_price": 199.03, "score": "", "dir_prob": "88.2", "net_sigma": "", "grade": "", "align": "", "premium": "", "wrong_if": "", "context": "", "subject": "Alert: Rev - Screener v1 (SPY, 12): Any alert() function call", "body": "{\"ticker\":\"DHR\", \"setup\":\"A+ Trend Long\", \"side\":\"LONG\", \"price\":199.03, \"stage\":2, \"buy\":94.7, \"sell\":24.6, \"prime\":2, \"revL\":0, \"revS\":0, \"vcp\":0, \"dir_prob\":88.2, \"time\":1785245400000}", "ticker": "DHR", "setup": "A+ Trend Long", "side": "LONG", "price": 199.03, "stage": 2, "buy": 94.7, "sell": 24.6, "prime": 2, "revL": 0, "revS": 0, "vcp": 0, "time": 1785245400000, "email_id": "2634", "timestamp": "2026-07-28 16:02:00"}</t>
  </si>
  <si>
    <t>Buy: 8.1 | Sell: 5</t>
  </si>
  <si>
    <t>{"symbol": "GL", "strategy": "Daily", "action": "LONG", "alert_price": 182.98, "score": "", "dir_prob": "79.8", "net_sigma": "", "grade": "", "align": "", "premium": "", "wrong_if": "", "context": "", "subject": "Alert: Rev - Screener v1 (SPY, 12): Any alert() function call", "body": "{\"ticker\":\"GL\", \"setup\":\"A+ Trend Long\", \"side\":\"LONG\", \"price\":182.98, \"stage\":2, \"buy\":88.5, \"sell\":22.7, \"prime\":2, \"revL\":0, \"revS\":0, \"vcp\":0, \"dir_prob\":79.8, \"time\":1785418200000}", "ticker": "GL", "setup": "A+ Trend Long", "side": "LONG", "price": 182.98, "stage": 2, "buy": 88.5, "sell": 22.7, "prime": 2, "revL": 0, "revS": 0, "vcp": 0, "time": 1785418200000, "email_id": "2808", "timestamp": "2026-07-30 16:01:04"}</t>
  </si>
  <si>
    <t>Buy: 91.7 | Sell: 15.4</t>
  </si>
  <si>
    <t>{"symbol": "LRCX", "strategy": "Daily", "action": "LONG", "alert_price": 269.73, "score": "", "dir_prob": "31.6", "net_sigma": "", "grade": "", "align": "", "premium": "", "wrong_if": "", "context": "", "subject": "Alert: Rev - Screener v1 (SPY, 12): Any alert() function call", "body": "{\"ticker\":\"LRCX\", \"setup\":\"Research Reversal (Any Stage)\", \"side\":\"LONG\", \"price\":269.73, \"stage\":4, \"buy\":8.1, \"sell\":5, \"prime\":0, \"revL\":7, \"revS\":0, \"vcp\":0, \"dir_prob\":31.6, \"time\":1785245400000}", "ticker": "LRCX", "setup": "Research Reversal (Any Stage)", "side": "LONG", "price": 269.73, "stage": 4, "buy": 8.1, "sell": 5, "prime": 0, "revL": 7, "revS": 0, "vcp": 0, "time": 1785245400000, "email_id": "2635", "timestamp": "2026-07-28 16:02:00"}</t>
  </si>
  <si>
    <t>Buy: 94.5 | Sell: 31.4</t>
  </si>
  <si>
    <t>{"symbol": "DLTR", "strategy": "Daily", "action": "LONG", "alert_price": 128.61, "score": "", "dir_prob": "93.8", "net_sigma": "", "grade": "", "align": "", "premium": "", "wrong_if": "", "context": "", "subject": "Alert: Rev - Screener v1 (SPY, 12): Any alert() function call", "body": "{\"ticker\":\"DLTR\", \"setup\":\"A+ Trend Long\", \"side\":\"LONG\", \"price\":128.61, \"stage\":2, \"buy\":91.7, \"sell\":15.4, \"prime\":2, \"revL\":0, \"revS\":0, \"vcp\":1, \"dir_prob\":93.8, \"time\":1785418200000}", "ticker": "DLTR", "setup": "A+ Trend Long", "side": "LONG", "price": 128.61, "stage": 2, "buy": 91.7, "sell": 15.4, "prime": 2, "revL": 0, "revS": 0, "vcp": 1, "time": 1785418200000, "email_id": "2809", "timestamp": "2026-07-30 16:01:09"}</t>
  </si>
  <si>
    <t>Buy: 95.8 | Sell: 21.4</t>
  </si>
  <si>
    <t>{"symbol": "EA", "strategy": "Daily", "action": "LONG", "alert_price": 208.91, "score": "", "dir_prob": "86.3", "net_sigma": "", "grade": "", "align": "", "premium": "", "wrong_if": "", "context": "", "subject": "Alert: Rev - Screener v1 (SPY, 12): Any alert() function call", "body": "{\"ticker\":\"EA\", \"setup\":\"A+ Trend Long\", \"side\":\"LONG\", \"price\":208.91, \"stage\":2, \"buy\":94.5, \"sell\":31.4, \"prime\":2, \"revL\":0, \"revS\":0, \"vcp\":0, \"dir_prob\":86.3, \"time\":1785245400000}", "ticker": "EA", "setup": "A+ Trend Long", "side": "LONG", "price": 208.91, "stage": 2, "buy": 94.5, "sell": 31.4, "prime": 2, "revL": 0, "revS": 0, "vcp": 0, "time": 1785245400000, "email_id": "2637", "timestamp": "2026-07-28 16:01:20"}</t>
  </si>
  <si>
    <t>Buy: 90.6 | Sell: 23.3</t>
  </si>
  <si>
    <t>{"symbol": "O", "strategy": "Daily", "action": "LONG", "alert_price": 64.45, "score": "", "dir_prob": "93.5", "net_sigma": "", "grade": "", "align": "", "premium": "", "wrong_if": "", "context": "", "subject": "Alert: Rev - Screener v1 (SPY, 12): Any alert() function call", "body": "{\"ticker\":\"O\", \"setup\":\"A+ Trend Long\", \"side\":\"LONG\", \"price\":64.45, \"stage\":2, \"buy\":95.8, \"sell\":21.4, \"prime\":2, \"revL\":0, \"revS\":0, \"vcp\":0, \"dir_prob\":93.5, \"time\":1785418200000}", "ticker": "O", "setup": "A+ Trend Long", "side": "LONG", "price": 64.45, "stage": 2, "buy": 95.8, "sell": 21.4, "prime": 2, "revL": 0, "revS": 0, "vcp": 0, "time": 1785418200000, "email_id": "2810", "timestamp": "2026-07-30 16:01:07"}</t>
  </si>
  <si>
    <t>Buy: 19.6 | Sell: 12</t>
  </si>
  <si>
    <t>{"symbol": "BXP", "strategy": "Daily", "action": "LONG", "alert_price": 70.01, "score": "", "dir_prob": "90.4", "net_sigma": "", "grade": "", "align": "", "premium": "", "wrong_if": "", "context": "", "subject": "Alert: Rev - Screener v1 (SPY, 12): Any alert() function call", "body": "{\"ticker\":\"BXP\", \"setup\":\"A+ Trend Long\", \"side\":\"LONG\", \"price\":70.01, \"stage\":2, \"buy\":90.6, \"sell\":23.3, \"prime\":2, \"revL\":0, \"revS\":0, \"vcp\":1, \"dir_prob\":90.4, \"time\":1785245400000}", "ticker": "BXP", "setup": "A+ Trend Long", "side": "LONG", "price": 70.01, "stage": 2, "buy": 90.6, "sell": 23.3, "prime": 2, "revL": 0, "revS": 0, "vcp": 1, "time": 1785245400000, "email_id": "2640", "timestamp": "2026-07-28 16:01:36"}</t>
  </si>
  <si>
    <t>Buy: 21.1 | Sell: 54.6</t>
  </si>
  <si>
    <t>{"symbol": "PNW", "strategy": "Daily", "action": "LONG", "alert_price": 101.35, "score": "", "dir_prob": "61", "net_sigma": "", "grade": "", "align": "", "premium": "", "wrong_if": "", "context": "", "subject": "Alert: Rev - Screener v1 (SPY, 12): Any alert() function call", "body": "{\"ticker\":\"PNW\", \"setup\":\"Research Reversal (Any Stage)\", \"side\":\"LONG\", \"price\":101.35, \"stage\":4, \"buy\":19.6, \"sell\":12, \"prime\":0, \"revL\":9.5, \"revS\":0, \"vcp\":0, \"dir_prob\":61, \"time\":1785418200000}", "ticker": "PNW", "setup": "Research Reversal (Any Stage)", "side": "LONG", "price": 101.35, "stage": 4, "buy": 19.6, "sell": 12, "prime": 0, "revL": 9.5, "revS": 0, "vcp": 0, "time": 1785418200000, "email_id": "2811", "timestamp": "2026-07-30 16:01:04"}</t>
  </si>
  <si>
    <t>{"symbol": "SOLV", "strategy": "Daily", "action": "LONG", "alert_price": 86.17, "score": "", "dir_prob": "38.2", "net_sigma": "", "grade": "", "align": "", "premium": "", "wrong_if": "", "context": "", "subject": "Alert: Rev - Screener v1 (SPY, 12): Any alert() function call", "body": "{\"ticker\":\"SOLV\", \"setup\":\"Bullish Squeeze Release\", \"side\":\"LONG\", \"price\":86.17, \"stage\":2, \"buy\":21.1, \"sell\":54.6, \"prime\":0, \"revL\":0, \"revS\":0, \"vcp\":2, \"dir_prob\":38.2, \"time\":1785245400000}", "ticker": "SOLV", "setup": "Bullish Squeeze Release", "side": "LONG", "price": 86.17, "stage": 2, "buy": 21.1, "sell": 54.6, "prime": 0, "revL": 0, "revS": 0, "vcp": 2, "time": 1785245400000, "email_id": "2639", "timestamp": "2026-07-28 16:01:21"}</t>
  </si>
  <si>
    <t>Buy: 94.4 | Sell: 9.4</t>
  </si>
  <si>
    <t>{"symbol": "WM", "strategy": "Daily", "action": "LONG", "alert_price": 226.39, "score": "", "dir_prob": "95.3", "net_sigma": "", "grade": "", "align": "", "premium": "", "wrong_if": "", "context": "", "subject": "Alert: Rev - Screener v1 (SPY, 12): Any alert() function call", "body": "{\"ticker\":\"WM\", \"setup\":\"A+ Trend Long\", \"side\":\"LONG\", \"price\":226.39, \"stage\":2, \"buy\":98, \"sell\":11.4, \"prime\":2, \"revL\":0, \"revS\":0, \"vcp\":1, \"dir_prob\":95.3, \"time\":1785418200000}", "ticker": "WM", "setup": "A+ Trend Long", "side": "LONG", "price": 226.39, "stage": 2, "buy": 98, "sell": 11.4, "prime": 2, "revL": 0, "revS": 0, "vcp": 1, "time": 1785418200000, "email_id": "2812", "timestamp": "2026-07-30 16:01:10"}</t>
  </si>
  <si>
    <t>Buy: 94.6 | Sell: 11.5</t>
  </si>
  <si>
    <t>{"symbol": "EXPD", "strategy": "Daily", "action": "LONG", "alert_price": 171.41, "score": "", "dir_prob": "89.6", "net_sigma": "", "grade": "", "align": "", "premium": "", "wrong_if": "", "context": "", "subject": "Alert: Rev - Screener v1 (SPY, 12): Any alert() function call", "body": "{\"ticker\":\"EXPD\", \"setup\":\"A+ Trend Long\", \"side\":\"LONG\", \"price\":171.41, \"stage\":2, \"buy\":94.4, \"sell\":9.4, \"prime\":2, \"revL\":0, \"revS\":0, \"vcp\":0, \"dir_prob\":89.6, \"time\":1785245400000}", "ticker": "EXPD", "setup": "A+ Trend Long", "side": "LONG", "price": 171.41, "stage": 2, "buy": 94.4, "sell": 9.4, "prime": 2, "revL": 0, "revS": 0, "vcp": 0, "time": 1785245400000, "email_id": "2641", "timestamp": "2026-07-28 16:01:16"}</t>
  </si>
  <si>
    <t>Buy: 85.4 | Sell: 56.3</t>
  </si>
  <si>
    <t>{"symbol": "DG", "strategy": "Daily", "action": "LONG", "alert_price": 127.54, "score": "", "dir_prob": "95.7", "net_sigma": "", "grade": "", "align": "", "premium": "", "wrong_if": "", "context": "", "subject": "Alert: Rev - Screener v1 (SPY, 12): Any alert() function call", "body": "{\"ticker\":\"DG\", \"setup\":\"A+ Trend Long\", \"side\":\"LONG\", \"price\":127.54, \"stage\":2, \"buy\":94.6, \"sell\":11.5, \"prime\":2, \"revL\":0, \"revS\":0, \"vcp\":0, \"dir_prob\":95.7, \"time\":1785418200000}", "ticker": "DG", "setup": "A+ Trend Long", "side": "LONG", "price": 127.54, "stage": 2, "buy": 94.6, "sell": 11.5, "prime": 2, "revL": 0, "revS": 0, "vcp": 0, "time": 1785418200000, "email_id": "2813", "timestamp": "2026-07-30 16:01:10"}</t>
  </si>
  <si>
    <t>Buy: 93.7 | Sell: 50.3</t>
  </si>
  <si>
    <t>{"symbol": "KVUE", "strategy": "Daily", "action": "LONG", "alert_price": 19.75, "score": "", "dir_prob": "72.7", "net_sigma": "", "grade": "", "align": "", "premium": "", "wrong_if": "", "context": "", "subject": "Alert: Rev - Screener v1 (SPY, 12): Any alert() function call", "body": "{\"ticker\":\"KVUE\", \"setup\":\"A+ Trend Long\", \"side\":\"LONG\", \"price\":19.75, \"stage\":2, \"buy\":85.4, \"sell\":56.3, \"prime\":2, \"revL\":0, \"revS\":0, \"vcp\":0, \"dir_prob\":72.7, \"time\":1785245400000}", "ticker": "KVUE", "setup": "A+ Trend Long", "side": "LONG", "price": 19.75, "stage": 2, "buy": 85.4, "sell": 56.3, "prime": 2, "revL": 0, "revS": 0, "vcp": 0, "time": 1785245400000, "email_id": "2642", "timestamp": "2026-07-28 16:01:31"}</t>
  </si>
  <si>
    <t>Buy: 84.5 | Sell: 26.3</t>
  </si>
  <si>
    <t>{"symbol": "SWK", "strategy": "Daily", "action": "LONG", "alert_price": 95.58, "score": "", "dir_prob": "75.8", "net_sigma": "", "grade": "", "align": "", "premium": "", "wrong_if": "", "context": "", "subject": "Alert: Rev - Screener v1 (SPY, 12): Any alert() function call", "body": "{\"ticker\":\"SWK\", \"setup\":\"Early Ignition\", \"side\":\"LONG\", \"price\":95.58, \"stage\":2, \"buy\":93.7, \"sell\":50.3, \"prime\":0, \"revL\":0, \"revS\":0, \"vcp\":0, \"dir_prob\":75.8, \"time\":1785418200000}", "ticker": "SWK", "setup": "Early Ignition", "side": "LONG", "price": 95.58, "stage": 2, "buy": 93.7, "sell": 50.3, "prime": 0, "revL": 0, "revS": 0, "vcp": 0, "time": 1785418200000, "email_id": "2814", "timestamp": "2026-07-30 16:01:11"}</t>
  </si>
  <si>
    <t>Buy: 92.3 | Sell: 26.3</t>
  </si>
  <si>
    <t>{"symbol": "A", "strategy": "Daily", "action": "LONG", "alert_price": 140.56, "score": "", "dir_prob": "84.4", "net_sigma": "", "grade": "", "align": "", "premium": "", "wrong_if": "", "context": "", "subject": "Alert: Rev - Screener v1 (SPY, 12): Any alert() function call", "body": "{\"ticker\":\"A\", \"setup\":\"Bullish Squeeze Release\", \"side\":\"LONG\", \"price\":140.56, \"stage\":2, \"buy\":84.5, \"sell\":26.3, \"prime\":0, \"revL\":0, \"revS\":0, \"vcp\":2, \"dir_prob\":84.4, \"time\":1785245400000}", "ticker": "A", "setup": "Bullish Squeeze Release", "side": "LONG", "price": 140.56, "stage": 2, "buy": 84.5, "sell": 26.3, "prime": 0, "revL": 0, "revS": 0, "vcp": 2, "time": 1785245400000, "email_id": "2643", "timestamp": "2026-07-28 16:01:41"}</t>
  </si>
  <si>
    <t>PWR</t>
  </si>
  <si>
    <t>Buy: 13.7 | Sell: 22.5</t>
  </si>
  <si>
    <t>{"symbol": "COR", "strategy": "Daily", "action": "LONG", "alert_price": 312.19, "score": "", "dir_prob": "92.2", "net_sigma": "", "grade": "", "align": "", "premium": "", "wrong_if": "", "context": "", "subject": "Alert: Rev - Screener v1 (SPY, 12): Any alert() function call", "body": "{\"ticker\":\"COR\", \"setup\":\"A+ Trend Long\", \"side\":\"LONG\", \"price\":312.19, \"stage\":2, \"buy\":92.3, \"sell\":26.3, \"prime\":2, \"revL\":0, \"revS\":0, \"vcp\":0, \"dir_prob\":92.2, \"time\":1785418200000}", "ticker": "COR", "setup": "A+ Trend Long", "side": "LONG", "price": 312.19, "stage": 2, "buy": 92.3, "sell": 26.3, "prime": 2, "revL": 0, "revS": 0, "vcp": 0, "time": 1785418200000, "email_id": "2815", "timestamp": "2026-07-30 16:01:08"}</t>
  </si>
  <si>
    <t>Buy: 95.7 | Sell: 13</t>
  </si>
  <si>
    <t>{"symbol": "PWR", "strategy": "Daily", "action": "LONG", "alert_price": 588.48, "score": "", "dir_prob": "40.8", "net_sigma": "", "grade": "", "align": "", "premium": "", "wrong_if": "", "context": "", "subject": "Alert: Rev - Screener v1 (SPY, 12): Any alert() function call", "body": "{\"ticker\":\"PWR\", \"setup\":\"Research Reversal (Any Stage)\", \"side\":\"LONG\", \"price\":588.48, \"stage\":4, \"buy\":13.7, \"sell\":22.5, \"prime\":0, \"revL\":8.5, \"revS\":0, \"vcp\":0, \"dir_prob\":40.8, \"time\":1785245400000}", "ticker": "PWR", "setup": "Research Reversal (Any Stage)", "side": "LONG", "price": 588.48, "stage": 4, "buy": 13.7, "sell": 22.5, "prime": 0, "revL": 8.5, "revS": 0, "vcp": 0, "time": 1785245400000, "email_id": "2638", "timestamp": "2026-07-28 16:01:21"}</t>
  </si>
  <si>
    <t>Buy: 95 | Sell: 21.8</t>
  </si>
  <si>
    <t>{"symbol": "XYL", "strategy": "Daily", "action": "LONG", "alert_price": 116.79, "score": "", "dir_prob": "96.9", "net_sigma": "", "grade": "", "align": "", "premium": "", "wrong_if": "", "context": "", "subject": "Alert: Rev - Screener v1 (SPY, 12): Any alert() function call", "body": "{\"ticker\":\"XYL\", \"setup\":\"A+ Trend Long\", \"side\":\"LONG\", \"price\":116.79, \"stage\":2, \"buy\":95.7, \"sell\":13, \"prime\":2, \"revL\":0, \"revS\":0, \"vcp\":0, \"dir_prob\":96.9, \"time\":1785418200000}", "ticker": "XYL", "setup": "A+ Trend Long", "side": "LONG", "price": 116.79, "stage": 2, "buy": 95.7, "sell": 13, "prime": 2, "revL": 0, "revS": 0, "vcp": 0, "time": 1785418200000, "email_id": "2816", "timestamp": "2026-07-30 16:01:16"}</t>
  </si>
  <si>
    <t>Buy: 93 | Sell: 10.6</t>
  </si>
  <si>
    <t>{"symbol": "TECH", "strategy": "Daily", "action": "LONG", "alert_price": 72.1, "score": "", "dir_prob": "94.1", "net_sigma": "", "grade": "", "align": "", "premium": "", "wrong_if": "", "context": "", "subject": "Alert: Rev - Screener v1 (SPY, 12): Any alert() function call", "body": "{\"ticker\":\"TECH\", \"setup\":\"A+ Trend Long\", \"side\":\"LONG\", \"price\":72.10, \"stage\":2, \"buy\":95, \"sell\":21.8, \"prime\":2, \"revL\":0, \"revS\":0, \"vcp\":1, \"dir_prob\":94.1, \"time\":1785245400000}", "ticker": "TECH", "setup": "A+ Trend Long", "side": "LONG", "price": 72.1, "stage": 2, "buy": 95, "sell": 21.8, "prime": 2, "revL": 0, "revS": 0, "vcp": 1, "time": 1785245400000, "email_id": "2647", "timestamp": "2026-07-28 16:01:34"}</t>
  </si>
  <si>
    <t>Buy: 91.8 | Sell: 26.8</t>
  </si>
  <si>
    <t>{"symbol": "IR", "strategy": "Daily", "action": "LONG", "alert_price": 84.29, "score": "", "dir_prob": "95.3", "net_sigma": "", "grade": "", "align": "", "premium": "", "wrong_if": "", "context": "", "subject": "Alert: Rev - Screener v1 (SPY, 12): Any alert() function call", "body": "{\"ticker\":\"IR\", \"setup\":\"A+ Trend Long\", \"side\":\"LONG\", \"price\":84.29, \"stage\":2, \"buy\":93, \"sell\":10.6, \"prime\":2, \"revL\":0, \"revS\":0, \"vcp\":0, \"dir_prob\":95.3, \"time\":1785418200000}", "ticker": "IR", "setup": "A+ Trend Long", "side": "LONG", "price": 84.29, "stage": 2, "buy": 93, "sell": 10.6, "prime": 2, "revL": 0, "revS": 0, "vcp": 0, "time": 1785418200000, "email_id": "2817", "timestamp": "2026-07-30 16:01:09"}</t>
  </si>
  <si>
    <t>Buy: 27.7 | Sell: 58.5</t>
  </si>
  <si>
    <t>{"symbol": "COF", "strategy": "Daily", "action": "LONG", "alert_price": 212.4, "score": "", "dir_prob": "94.1", "net_sigma": "", "grade": "", "align": "", "premium": "", "wrong_if": "", "context": "", "subject": "Alert: Rev - Screener v1 (SPY, 12): Any alert() function call", "body": "{\"ticker\":\"COF\", \"setup\":\"Bullish Squeeze Release\", \"side\":\"LONG\", \"price\":212.40, \"stage\":2, \"buy\":91.8, \"sell\":26.8, \"prime\":0, \"revL\":0, \"revS\":0, \"vcp\":2, \"dir_prob\":94.1, \"time\":1785245400000}", "ticker": "COF", "setup": "Bullish Squeeze Release", "side": "LONG", "price": 212.4, "stage": 2, "buy": 91.8, "sell": 26.8, "prime": 0, "revL": 0, "revS": 0, "vcp": 2, "time": 1785245400000, "email_id": "2648", "timestamp": "2026-07-28 16:01:42"}</t>
  </si>
  <si>
    <t>Buy: 16.2 | Sell: 45.6</t>
  </si>
  <si>
    <t>{"symbol": "JBHT", "strategy": "Daily", "action": "LONG", "alert_price": 269.1, "score": "", "dir_prob": "22.9", "net_sigma": "", "grade": "", "align": "", "premium": "", "wrong_if": "", "context": "", "subject": "Alert: Rev - Screener v1 (SPY, 12): Any alert() function call", "body": "{\"ticker\":\"JBHT\", \"setup\":\"Research Reversal (Any Stage)\", \"side\":\"LONG\", \"price\":269.10, \"stage\":4, \"buy\":27.7, \"sell\":58.5, \"prime\":0, \"revL\":7, \"revS\":0, \"vcp\":0, \"dir_prob\":22.9, \"time\":1785418200000}", "ticker": "JBHT", "setup": "Research Reversal (Any Stage)", "side": "LONG", "price": 269.1, "stage": 4, "buy": 27.7, "sell": 58.5, "prime": 0, "revL": 7, "revS": 0, "vcp": 0, "time": 1785418200000, "email_id": "2818", "timestamp": "2026-07-30 16:01:16"}</t>
  </si>
  <si>
    <t>Buy: 91.7 | Sell: 11</t>
  </si>
  <si>
    <t>{"symbol": "KO", "strategy": "Daily", "action": "LONG", "alert_price": 88.29, "score": "", "dir_prob": "30.6", "net_sigma": "", "grade": "", "align": "", "premium": "", "wrong_if": "", "context": "", "subject": "Alert: Rev - Screener v1 (SPY, 12): Any alert() function call", "body": "{\"ticker\":\"KO\", \"setup\":\"Bullish Squeeze Release\", \"side\":\"LONG\", \"price\":88.29, \"stage\":2, \"buy\":16.2, \"sell\":45.6, \"prime\":0, \"revL\":0, \"revS\":6.5, \"vcp\":2, \"dir_prob\":30.6, \"time\":1785245400000}", "ticker": "KO", "setup": "Bullish Squeeze Release", "side": "LONG", "price": 88.29, "stage": 2, "buy": 16.2, "sell": 45.6, "prime": 0, "revL": 0, "revS": 6.5, "vcp": 2, "time": 1785245400000, "email_id": "2649", "timestamp": "2026-07-28 16:01:35"}</t>
  </si>
  <si>
    <t>Buy: 91.7 | Sell: 13.5</t>
  </si>
  <si>
    <t>{"symbol": "PCAR", "strategy": "Daily", "action": "LONG", "alert_price": 133.73, "score": "", "dir_prob": "93.3", "net_sigma": "", "grade": "", "align": "", "premium": "", "wrong_if": "", "context": "", "subject": "Alert: Rev - Screener v1 (SPY, 12): Any alert() function call", "body": "{\"ticker\":\"PCAR\", \"setup\":\"A+ Trend Long\", \"side\":\"LONG\", \"price\":133.73, \"stage\":2, \"buy\":91.7, \"sell\":11, \"prime\":2, \"revL\":0, \"revS\":0, \"vcp\":0, \"dir_prob\":93.3, \"time\":1785418200000}", "ticker": "PCAR", "setup": "A+ Trend Long", "side": "LONG", "price": 133.73, "stage": 2, "buy": 91.7, "sell": 11, "prime": 2, "revL": 0, "revS": 0, "vcp": 0, "time": 1785418200000, "email_id": "2819", "timestamp": "2026-07-30 16:01:19"}</t>
  </si>
  <si>
    <t>Buy: 95.6 | Sell: 15</t>
  </si>
  <si>
    <t>{"symbol": "FE", "strategy": "Daily", "action": "LONG", "alert_price": 49.65, "score": "", "dir_prob": "90.9", "net_sigma": "", "grade": "", "align": "", "premium": "", "wrong_if": "", "context": "", "subject": "Alert: Rev - Screener v1 (SPY, 12): Any alert() function call", "body": "{\"ticker\":\"FE\", \"setup\":\"A+ Trend Long\", \"side\":\"LONG\", \"price\":49.65, \"stage\":2, \"buy\":91.7, \"sell\":13.5, \"prime\":2, \"revL\":0, \"revS\":0, \"vcp\":0, \"dir_prob\":90.9, \"time\":1785245400000}", "ticker": "FE", "setup": "A+ Trend Long", "side": "LONG", "price": 49.65, "stage": 2, "buy": 91.7, "sell": 13.5, "prime": 2, "revL": 0, "revS": 0, "vcp": 0, "time": 1785245400000, "email_id": "2650", "timestamp": "2026-07-28 16:01:40"}</t>
  </si>
  <si>
    <t>Buy: 90.5 | Sell: 16.9</t>
  </si>
  <si>
    <t>{"symbol": "VRSK", "strategy": "Daily", "action": "LONG", "alert_price": 200.25, "score": "", "dir_prob": "96.7", "net_sigma": "", "grade": "", "align": "", "premium": "", "wrong_if": "", "context": "", "subject": "Alert: Rev - Screener v1 (SPY, 12): Any alert() function call", "body": "{\"ticker\":\"VRSK\", \"setup\":\"A+ Trend Long\", \"side\":\"LONG\", \"price\":200.25, \"stage\":2, \"buy\":95.6, \"sell\":15, \"prime\":2, \"revL\":0, \"revS\":0, \"vcp\":0, \"dir_prob\":96.7, \"time\":1785418200000}", "ticker": "VRSK", "setup": "A+ Trend Long", "side": "LONG", "price": 200.25, "stage": 2, "buy": 95.6, "sell": 15, "prime": 2, "revL": 0, "revS": 0, "vcp": 0, "time": 1785418200000, "email_id": "2820", "timestamp": "2026-07-30 16:01:13"}</t>
  </si>
  <si>
    <t>Buy: 14.6 | Sell: 26.6</t>
  </si>
  <si>
    <t>{"symbol": "VTR", "strategy": "Daily", "action": "LONG", "alert_price": 98.15, "score": "", "dir_prob": "86.4", "net_sigma": "", "grade": "", "align": "", "premium": "", "wrong_if": "", "context": "", "subject": "Alert: Rev - Screener v1 (SPY, 12): Any alert() function call", "body": "{\"ticker\":\"VTR\", \"setup\":\"A+ Trend Long\", \"side\":\"LONG\", \"price\":98.15, \"stage\":2, \"buy\":90.5, \"sell\":16.9, \"prime\":2, \"revL\":0, \"revS\":0, \"vcp\":0, \"dir_prob\":86.4, \"time\":1785245400000}", "ticker": "VTR", "setup": "A+ Trend Long", "side": "LONG", "price": 98.15, "stage": 2, "buy": 90.5, "sell": 16.9, "prime": 2, "revL": 0, "revS": 0, "vcp": 0, "time": 1785245400000, "email_id": "2651", "timestamp": "2026-07-28 16:01:38"}</t>
  </si>
  <si>
    <t>Buy: 43 | Sell: 38</t>
  </si>
  <si>
    <t>{"symbol": "MA", "strategy": "Daily", "action": "LONG", "alert_price": 577.37, "score": "", "dir_prob": "58.9", "net_sigma": "", "grade": "", "align": "", "premium": "", "wrong_if": "", "context": "", "subject": "Alert: Rev - Screener v1 (SPY, 12): Any alert() function call", "body": "{\"ticker\":\"MA\", \"setup\":\"Early Ignition\", \"side\":\"LONG\", \"price\":577.37, \"stage\":2, \"buy\":14.6, \"sell\":26.6, \"prime\":0, \"revL\":0, \"revS\":0, \"vcp\":0, \"dir_prob\":58.9, \"time\":1785418200000}", "ticker": "MA", "setup": "Early Ignition", "side": "LONG", "price": 577.37, "stage": 2, "buy": 14.6, "sell": 26.6, "prime": 0, "revL": 0, "revS": 0, "vcp": 0, "time": 1785418200000, "email_id": "2821", "timestamp": "2026-07-30 16:01:40"}</t>
  </si>
  <si>
    <t>Buy: 94.5 | Sell: 7.6</t>
  </si>
  <si>
    <t>{"symbol": "AMGN", "strategy": "Daily", "action": "LONG", "alert_price": 393.04, "score": "", "dir_prob": "53.3", "net_sigma": "", "grade": "", "align": "", "premium": "", "wrong_if": "", "context": "", "subject": "Alert: Rev - Screener v1 (SPY, 12): Any alert() function call", "body": "{\"ticker\":\"AMGN\", \"setup\":\"Bullish Squeeze Release\", \"side\":\"LONG\", \"price\":393.04, \"stage\":2, \"buy\":43, \"sell\":38, \"prime\":0, \"revL\":0, \"revS\":0, \"vcp\":2, \"dir_prob\":53.3, \"time\":1785245400000}", "ticker": "AMGN", "setup": "Bullish Squeeze Release", "side": "LONG", "price": 393.04, "stage": 2, "buy": 43, "sell": 38, "prime": 0, "revL": 0, "revS": 0, "vcp": 2, "time": 1785245400000, "email_id": "2652", "timestamp": "2026-07-28 16:01:45"}</t>
  </si>
  <si>
    <t>Buy: 8.7 | Sell: 7.8</t>
  </si>
  <si>
    <t>{"symbol": "VEEV", "strategy": "Daily", "action": "LONG", "alert_price": 201.57, "score": "", "dir_prob": "98.4", "net_sigma": "", "grade": "", "align": "", "premium": "", "wrong_if": "", "context": "", "subject": "Alert: Rev - Screener v1 (SPY, 12): Any alert() function call", "body": "{\"ticker\":\"VEEV\", \"setup\":\"A+ Trend Long\", \"side\":\"LONG\", \"price\":201.57, \"stage\":2, \"buy\":94.5, \"sell\":7.6, \"prime\":2, \"revL\":0, \"revS\":0, \"vcp\":0, \"dir_prob\":98.4, \"time\":1785418200000}", "ticker": "VEEV", "setup": "A+ Trend Long", "side": "LONG", "price": 201.57, "stage": 2, "buy": 94.5, "sell": 7.6, "prime": 2, "revL": 0, "revS": 0, "vcp": 0, "time": 1785418200000, "email_id": "2822", "timestamp": "2026-07-30 16:01:23"}</t>
  </si>
  <si>
    <t>Buy: 92.9 | Sell: 53.1</t>
  </si>
  <si>
    <t>{"symbol": "AMAT", "strategy": "Daily", "action": "LONG", "alert_price": 476.27, "score": "", "dir_prob": "34.3", "net_sigma": "", "grade": "", "align": "", "premium": "", "wrong_if": "", "context": "", "subject": "Alert: Rev - Screener v1 (SPY, 12): Any alert() function call", "body": "{\"ticker\":\"AMAT\", \"setup\":\"Research Reversal (Any Stage)\", \"side\":\"LONG\", \"price\":476.27, \"stage\":4, \"buy\":8.7, \"sell\":7.8, \"prime\":0, \"revL\":7, \"revS\":0, \"vcp\":0, \"dir_prob\":34.3, \"time\":1785245400000}", "ticker": "AMAT", "setup": "Research Reversal (Any Stage)", "side": "LONG", "price": 476.27, "stage": 4, "buy": 8.7, "sell": 7.8, "prime": 0, "revL": 7, "revS": 0, "vcp": 0, "time": 1785245400000, "email_id": "2653", "timestamp": "2026-07-28 16:01:44"}</t>
  </si>
  <si>
    <t>Buy: 93.7 | Sell: 60</t>
  </si>
  <si>
    <t>{"symbol": "MET", "strategy": "Daily", "action": "LONG", "alert_price": 97.09, "score": "", "dir_prob": "75.5", "net_sigma": "", "grade": "", "align": "", "premium": "", "wrong_if": "", "context": "", "subject": "Alert: Rev - Screener v1 (SPY, 12): Any alert() function call", "body": "{\"ticker\":\"MET\", \"setup\":\"A+ Trend Long\", \"side\":\"LONG\", \"price\":97.09, \"stage\":2, \"buy\":92.9, \"sell\":53.1, \"prime\":2, \"revL\":0, \"revS\":0, \"vcp\":0, \"dir_prob\":75.5, \"time\":1785418200000}", "ticker": "MET", "setup": "A+ Trend Long", "side": "LONG", "price": 97.09, "stage": 2, "buy": 92.9, "sell": 53.1, "prime": 2, "revL": 0, "revS": 0, "vcp": 0, "time": 1785418200000, "email_id": "2823", "timestamp": "2026-07-30 16:01:18"}</t>
  </si>
  <si>
    <t>Buy: 93.3 | Sell: 13.8</t>
  </si>
  <si>
    <t>{"symbol": "MAS", "strategy": "Daily", "action": "LONG", "alert_price": 81.68, "score": "", "dir_prob": "71.7", "net_sigma": "", "grade": "", "align": "", "premium": "", "wrong_if": "", "context": "", "subject": "Alert: Rev - Screener v1 (SPY, 12): Any alert() function call", "body": "{\"ticker\":\"MAS\", \"setup\":\"Early Ignition\", \"side\":\"LONG\", \"price\":81.68, \"stage\":2, \"buy\":93.7, \"sell\":60, \"prime\":2, \"revL\":0, \"revS\":0, \"vcp\":0, \"dir_prob\":71.7, \"time\":1785245400000}", "ticker": "MAS", "setup": "Early Ignition", "side": "LONG", "price": 81.68, "stage": 2, "buy": 93.7, "sell": 60, "prime": 2, "revL": 0, "revS": 0, "vcp": 0, "time": 1785245400000, "email_id": "2654", "timestamp": "2026-07-28 16:01:38"}</t>
  </si>
  <si>
    <t>{"symbol": "HSIC", "strategy": "Daily", "action": "LONG", "alert_price": 85.14, "score": "", "dir_prob": "92.1", "net_sigma": "", "grade": "", "align": "", "premium": "", "wrong_if": "", "context": "", "subject": "Alert: Rev - Screener v1 (SPY, 12): Any alert() function call", "body": "{\"ticker\":\"HSIC\", \"setup\":\"A+ Trend Long\", \"side\":\"LONG\", \"price\":85.14, \"stage\":2, \"buy\":93.3, \"sell\":13.8, \"prime\":2, \"revL\":0, \"revS\":0, \"vcp\":1, \"dir_prob\":92.1, \"time\":1785418200000}", "ticker": "HSIC", "setup": "A+ Trend Long", "side": "LONG", "price": 85.14, "stage": 2, "buy": 93.3, "sell": 13.8, "prime": 2, "revL": 0, "revS": 0, "vcp": 1, "time": 1785418200000, "email_id": "2824", "timestamp": "2026-07-30 16:01:44"}</t>
  </si>
  <si>
    <t>Buy: 88.8 | Sell: 25.5</t>
  </si>
  <si>
    <t>{"symbol": "IVZ", "strategy": "Daily", "action": "LONG", "alert_price": 29.41, "score": "", "dir_prob": "83.7", "net_sigma": "", "grade": "", "align": "", "premium": "", "wrong_if": "", "context": "", "subject": "Alert: Rev - Screener v1 (SPY, 12): Any alert() function call", "body": "{\"ticker\":\"IVZ\", \"setup\":\"A+ Trend Long\", \"side\":\"LONG\", \"price\":29.41, \"stage\":2, \"buy\":88.8, \"sell\":25.5, \"prime\":2, \"revL\":0, \"revS\":0, \"vcp\":0, \"dir_prob\":83.7, \"time\":1785418200000}", "ticker": "IVZ", "setup": "A+ Trend Long", "side": "LONG", "price": 29.41, "stage": 2, "buy": 88.8, "sell": 25.5, "prime": 2, "revL": 0, "revS": 0, "vcp": 0, "time": 1785418200000, "email_id": "2825", "timestamp": "2026-07-30 16:01:17"}</t>
  </si>
  <si>
    <t>Buy: 93.1 | Sell: 7.4</t>
  </si>
  <si>
    <t>{"symbol": "WRB", "strategy": "Daily", "action": "LONG", "alert_price": 73.39, "score": "", "dir_prob": "95.6", "net_sigma": "", "grade": "", "align": "", "premium": "", "wrong_if": "", "context": "", "subject": "Alert: Rev - Screener v1 (SPY, 12): Any alert() function call", "body": "{\"ticker\":\"WRB\", \"setup\":\"A+ Trend Long\", \"side\":\"LONG\", \"price\":73.39, \"stage\":2, \"buy\":93.1, \"sell\":7.4, \"prime\":2, \"revL\":0, \"revS\":0, \"vcp\":0, \"dir_prob\":95.6, \"time\":1785418200000}", "ticker": "WRB", "setup": "A+ Trend Long", "side": "LONG", "price": 73.39, "stage": 2, "buy": 93.1, "sell": 7.4, "prime": 2, "revL": 0, "revS": 0, "vcp": 0, "time": 1785418200000, "email_id": "2826", "timestamp": "2026-07-30 16:01:19"}</t>
  </si>
  <si>
    <t>Buy: 96.6 | Sell: 4.7</t>
  </si>
  <si>
    <t>{"symbol": "EIX", "strategy": "Daily", "action": "LONG", "alert_price": 78.68, "score": "", "dir_prob": "90", "net_sigma": "", "grade": "", "align": "", "premium": "", "wrong_if": "", "context": "", "subject": "Alert: Rev - Screener v1 (SPY, 12): Any alert() function call", "body": "{\"ticker\":\"EIX\", \"setup\":\"A+ Trend Long\", \"side\":\"LONG\", \"price\":78.68, \"stage\":2, \"buy\":96.6, \"sell\":4.7, \"prime\":2, \"revL\":0, \"revS\":0, \"vcp\":0, \"dir_prob\":90, \"time\":1785418200000}", "ticker": "EIX", "setup": "A+ Trend Long", "side": "LONG", "price": 78.68, "stage": 2, "buy": 96.6, "sell": 4.7, "prime": 2, "revL": 0, "revS": 0, "vcp": 0, "time": 1785418200000, "email_id": "2827", "timestamp": "2026-07-30 16:01:23"}</t>
  </si>
  <si>
    <t>Buy: 49.2 | Sell: 22.5</t>
  </si>
  <si>
    <t>{"symbol": "BG", "strategy": "Daily", "action": "LONG", "alert_price": 105.07, "score": "", "dir_prob": "73.4", "net_sigma": "", "grade": "", "align": "", "premium": "", "wrong_if": "", "context": "", "subject": "Alert: Rev - Screener v1 (SPY, 12): Any alert() function call", "body": "{\"ticker\":\"BG\", \"setup\":\"Research Reversal (Any Stage)\", \"side\":\"LONG\", \"price\":105.07, \"stage\":4, \"buy\":49.2, \"sell\":22.5, \"prime\":0, \"revL\":7, \"revS\":0, \"vcp\":0, \"dir_prob\":73.4, \"time\":1785418200000}", "ticker": "BG", "setup": "Research Reversal (Any Stage)", "side": "LONG", "price": 105.07, "stage": 4, "buy": 49.2, "sell": 22.5, "prime": 0, "revL": 7, "revS": 0, "vcp": 0, "time": 1785418200000, "email_id": "2828", "timestamp": "2026-07-30 16:01:07"}</t>
  </si>
  <si>
    <t>Buy: 94 | Sell: 14.6</t>
  </si>
  <si>
    <t>{"symbol": "V", "strategy": "Daily", "action": "LONG", "alert_price": 366.19, "score": "", "dir_prob": "95.9", "net_sigma": "", "grade": "", "align": "", "premium": "", "wrong_if": "", "context": "", "subject": "Alert: Rev - Screener v1 (SPY, 12): Any alert() function call", "body": "{\"ticker\":\"V\", \"setup\":\"Bullish Squeeze Release\", \"side\":\"LONG\", \"price\":366.19, \"stage\":2, \"buy\":94, \"sell\":14.6, \"prime\":2, \"revL\":0, \"revS\":0, \"vcp\":2, \"dir_prob\":95.9, \"time\":1785418200000}", "ticker": "V", "setup": "Bullish Squeeze Release", "side": "LONG", "price": 366.19, "stage": 2, "buy": 94, "sell": 14.6, "prime": 2, "revL": 0, "revS": 0, "vcp": 2, "time": 1785418200000, "email_id": "2829", "timestamp": "2026-07-30 16:01:19"}</t>
  </si>
  <si>
    <t>Buy: 93.8 | Sell: 9</t>
  </si>
  <si>
    <t>{"symbol": "AAPL", "strategy": "Daily", "action": "LONG", "alert_price": 333.87, "score": "", "dir_prob": "92.2", "net_sigma": "", "grade": "", "align": "", "premium": "", "wrong_if": "", "context": "", "subject": "Alert: Rev - Screener v1 (SPY, 12): Any alert() function call", "body": "{\"ticker\":\"AAPL\", \"setup\":\"A+ Trend Long\", \"side\":\"LONG\", \"price\":333.87, \"stage\":2, \"buy\":93.8, \"sell\":9, \"prime\":2, \"revL\":0, \"revS\":0, \"vcp\":0, \"dir_prob\":92.2, \"time\":1785418200000}", "ticker": "AAPL", "setup": "A+ Trend Long", "side": "LONG", "price": 333.87, "stage": 2, "buy": 93.8, "sell": 9, "prime": 2, "revL": 0, "revS": 0, "vcp": 0, "time": 1785418200000, "email_id": "2830", "timestamp": "2026-07-30 16:01:25"}</t>
  </si>
  <si>
    <t>Buy: 88.3 | Sell: 42.5</t>
  </si>
  <si>
    <t>{"symbol": "KVUE", "strategy": "Daily", "action": "LONG", "alert_price": 19.3, "score": "", "dir_prob": "81.3", "net_sigma": "", "grade": "", "align": "", "premium": "", "wrong_if": "", "context": "", "subject": "Alert: Rev - Screener v1 (SPY, 12): Any alert() function call", "body": "{\"ticker\":\"KVUE\", \"setup\":\"A+ Trend Long\", \"side\":\"LONG\", \"price\":19.30, \"stage\":2, \"buy\":88.3, \"sell\":42.5, \"prime\":2, \"revL\":0, \"revS\":0, \"vcp\":0, \"dir_prob\":81.3, \"time\":1785418200000}", "ticker": "KVUE", "setup": "A+ Trend Long", "side": "LONG", "price": 19.3, "stage": 2, "buy": 88.3, "sell": 42.5, "prime": 2, "revL": 0, "revS": 0, "vcp": 0, "time": 1785418200000, "email_id": "2831", "timestamp": "2026-07-30 16:01:24"}</t>
  </si>
  <si>
    <t>Buy: 87.1 | Sell: 17.6</t>
  </si>
  <si>
    <t>{"symbol": "AMGN", "strategy": "Daily", "action": "LONG", "alert_price": 387.67, "score": "", "dir_prob": "89.2", "net_sigma": "", "grade": "", "align": "", "premium": "", "wrong_if": "", "context": "", "subject": "Alert: Rev - Screener v1 (SPY, 12): Any alert() function call", "body": "{\"ticker\":\"AMGN\", \"setup\":\"A+ Trend Long\", \"side\":\"LONG\", \"price\":387.67, \"stage\":2, \"buy\":87.1, \"sell\":17.6, \"prime\":2, \"revL\":0, \"revS\":0, \"vcp\":0, \"dir_prob\":89.2, \"time\":1785418200000}", "ticker": "AMGN", "setup": "A+ Trend Long", "side": "LONG", "price": 387.67, "stage": 2, "buy": 87.1, "sell": 17.6, "prime": 2, "revL": 0, "revS": 0, "vcp": 0, "time": 1785418200000, "email_id": "2832", "timestamp": "2026-07-30 16:01:22"}</t>
  </si>
  <si>
    <t>Buy: 91.2 | Sell: 12.9</t>
  </si>
  <si>
    <t>{"symbol": "TDY", "strategy": "Daily", "action": "LONG", "alert_price": 648.94, "score": "", "dir_prob": "95.4", "net_sigma": "", "grade": "", "align": "", "premium": "", "wrong_if": "", "context": "", "subject": "Alert: Rev - Screener v1 (SPY, 12): Any alert() function call", "body": "{\"ticker\":\"TDY\", \"setup\":\"A+ Trend Long\", \"side\":\"LONG\", \"price\":648.94, \"stage\":2, \"buy\":91.2, \"sell\":12.9, \"prime\":2, \"revL\":0, \"revS\":0, \"vcp\":1, \"dir_prob\":95.4, \"time\":1785418200000}", "ticker": "TDY", "setup": "A+ Trend Long", "side": "LONG", "price": 648.94, "stage": 2, "buy": 91.2, "sell": 12.9, "prime": 2, "revL": 0, "revS": 0, "vcp": 1, "time": 1785418200000, "email_id": "2833", "timestamp": "2026-07-30 16:01:24"}</t>
  </si>
  <si>
    <t>Buy: 96.9 | Sell: 24.1</t>
  </si>
  <si>
    <t>{"symbol": "FE", "strategy": "Daily", "action": "LONG", "alert_price": 48.71, "score": "", "dir_prob": "88.9", "net_sigma": "", "grade": "", "align": "", "premium": "", "wrong_if": "", "context": "", "subject": "Alert: Rev - Screener v1 (SPY, 12): Any alert() function call", "body": "{\"ticker\":\"FE\", \"setup\":\"A+ Trend Long\", \"side\":\"LONG\", \"price\":48.71, \"stage\":2, \"buy\":96.9, \"sell\":24.1, \"prime\":2, \"revL\":0, \"revS\":0, \"vcp\":1, \"dir_prob\":88.9, \"time\":1785418200000}", "ticker": "FE", "setup": "A+ Trend Long", "side": "LONG", "price": 48.71, "stage": 2, "buy": 96.9, "sell": 24.1, "prime": 2, "revL": 0, "revS": 0, "vcp": 1, "time": 1785418200000, "email_id": "2834", "timestamp": "2026-07-30 16:01:23"}</t>
  </si>
  <si>
    <t>Buy: 82.8 | Sell: 50.3</t>
  </si>
  <si>
    <t>{"symbol": "LYV", "strategy": "Daily", "action": "LONG", "alert_price": 183.63, "score": "", "dir_prob": "65.3", "net_sigma": "", "grade": "", "align": "", "premium": "", "wrong_if": "", "context": "", "subject": "Alert: Rev - Screener v1 (SPY, 12): Any alert() function call", "body": "{\"ticker\":\"LYV\", \"setup\":\"Early Ignition\", \"side\":\"LONG\", \"price\":183.63, \"stage\":2, \"buy\":82.8, \"sell\":50.3, \"prime\":1, \"revL\":0, \"revS\":0, \"vcp\":1, \"dir_prob\":65.3, \"time\":1785418200000}", "ticker": "LYV", "setup": "Early Ignition", "side": "LONG", "price": 183.63, "stage": 2, "buy": 82.8, "sell": 50.3, "prime": 1, "revL": 0, "revS": 0, "vcp": 1, "time": 1785418200000, "email_id": "2835", "timestamp": "2026-07-30 16:01:21"}</t>
  </si>
  <si>
    <t>Buy: 92.4 | Sell: 11.7</t>
  </si>
  <si>
    <t>{"symbol": "DOC", "strategy": "Daily", "action": "LONG", "alert_price": 22.06, "score": "", "dir_prob": "93.1", "net_sigma": "", "grade": "", "align": "", "premium": "", "wrong_if": "", "context": "", "subject": "Alert: Rev - Screener v1 (SPY, 12): Any alert() function call", "body": "{\"ticker\":\"DOC\", \"setup\":\"A+ Trend Long\", \"side\":\"LONG\", \"price\":22.06, \"stage\":2, \"buy\":92.4, \"sell\":11.7, \"prime\":2, \"revL\":0, \"revS\":0, \"vcp\":0, \"dir_prob\":93.1, \"time\":1785418200000}", "ticker": "DOC", "setup": "A+ Trend Long", "side": "LONG", "price": 22.06, "stage": 2, "buy": 92.4, "sell": 11.7, "prime": 2, "revL": 0, "revS": 0, "vcp": 0, "time": 1785418200000, "email_id": "2836", "timestamp": "2026-07-30 16:01:25"}</t>
  </si>
  <si>
    <t>Buy: 98.6 | Sell: 21.7</t>
  </si>
  <si>
    <t>{"symbol": "PCG", "strategy": "Daily", "action": "LONG", "alert_price": 17.78, "score": "", "dir_prob": "90.7", "net_sigma": "", "grade": "", "align": "", "premium": "", "wrong_if": "", "context": "", "subject": "Alert: Rev - Screener v1 (SPY, 12): Any alert() function call", "body": "{\"ticker\":\"PCG\", \"setup\":\"A+ Trend Long\", \"side\":\"LONG\", \"price\":17.78, \"stage\":2, \"buy\":98.6, \"sell\":21.7, \"prime\":2, \"revL\":0, \"revS\":0, \"vcp\":1, \"dir_prob\":90.7, \"time\":1785418200000}", "ticker": "PCG", "setup": "A+ Trend Long", "side": "LONG", "price": 17.78, "stage": 2, "buy": 98.6, "sell": 21.7, "prime": 2, "revL": 0, "revS": 0, "vcp": 1, "time": 1785418200000, "email_id": "2837", "timestamp": "2026-07-30 16:01:27"}</t>
  </si>
  <si>
    <t>Buy: 87.4 | Sell: 29.1</t>
  </si>
  <si>
    <t>{"symbol": "SYY", "strategy": "Daily", "action": "LONG", "alert_price": 84.71, "score": "", "dir_prob": "91", "net_sigma": "", "grade": "", "align": "", "premium": "", "wrong_if": "", "context": "", "subject": "Alert: Rev - Screener v1 (SPY, 12): Any alert() function call", "body": "{\"ticker\":\"SYY\", \"setup\":\"A+ Trend Long\", \"side\":\"LONG\", \"price\":84.71, \"stage\":2, \"buy\":87.4, \"sell\":29.1, \"prime\":2, \"revL\":0, \"revS\":0, \"vcp\":0, \"dir_prob\":91, \"time\":1785418200000}", "ticker": "SYY", "setup": "A+ Trend Long", "side": "LONG", "price": 84.71, "stage": 2, "buy": 87.4, "sell": 29.1, "prime": 2, "revL": 0, "revS": 0, "vcp": 0, "time": 1785418200000, "email_id": "2838", "timestamp": "2026-07-30 16:01:36"}</t>
  </si>
  <si>
    <t>Buy: 86 | Sell: 28.2</t>
  </si>
  <si>
    <t>{"symbol": "VRTX", "strategy": "Daily", "action": "LONG", "alert_price": 481.77, "score": "", "dir_prob": "83.8", "net_sigma": "", "grade": "", "align": "", "premium": "", "wrong_if": "", "context": "", "subject": "Alert: Rev - Screener v1 (SPY, 12): Any alert() function call", "body": "{\"ticker\":\"VRTX\", \"setup\":\"A+ Trend Long\", \"side\":\"LONG\", \"price\":481.77, \"stage\":2, \"buy\":86, \"sell\":28.2, \"prime\":2, \"revL\":0, \"revS\":0, \"vcp\":0, \"dir_prob\":83.8, \"time\":1785418200000}", "ticker": "VRTX", "setup": "A+ Trend Long", "side": "LONG", "price": 481.77, "stage": 2, "buy": 86, "sell": 28.2, "prime": 2, "revL": 0, "revS": 0, "vcp": 0, "time": 1785418200000, "email_id": "2839", "timestamp": "2026-07-30 16:01:30"}</t>
  </si>
  <si>
    <t>Buy: 88 | Sell: 54.5</t>
  </si>
  <si>
    <t>{"symbol": "CAH", "strategy": "Daily", "action": "LONG", "alert_price": 227.12, "score": "", "dir_prob": "83.3", "net_sigma": "", "grade": "", "align": "", "premium": "", "wrong_if": "", "context": "", "subject": "Alert: Rev - Screener v1 (SPY, 12): Any alert() function call", "body": "{\"ticker\":\"CAH\", \"setup\":\"A+ Trend Long\", \"side\":\"LONG\", \"price\":227.12, \"stage\":2, \"buy\":88, \"sell\":54.5, \"prime\":2, \"revL\":0, \"revS\":0, \"vcp\":0, \"dir_prob\":83.3, \"time\":1785418200000}", "ticker": "CAH", "setup": "A+ Trend Long", "side": "LONG", "price": 227.12, "stage": 2, "buy": 88, "sell": 54.5, "prime": 2, "revL": 0, "revS": 0, "vcp": 0, "time": 1785418200000, "email_id": "2840", "timestamp": "2026-07-30 16:01:26"}</t>
  </si>
  <si>
    <t>Buy: 97 | Sell: 6.1</t>
  </si>
  <si>
    <t>{"symbol": "WELL", "strategy": "Daily", "action": "LONG", "alert_price": 235.45, "score": "", "dir_prob": "90.1", "net_sigma": "", "grade": "", "align": "", "premium": "", "wrong_if": "", "context": "", "subject": "Alert: Rev - Screener v1 (SPY, 12): Any alert() function call", "body": "{\"ticker\":\"WELL\", \"setup\":\"A+ Trend Long\", \"side\":\"LONG\", \"price\":235.45, \"stage\":2, \"buy\":97, \"sell\":6.1, \"prime\":2, \"revL\":0, \"revS\":0, \"vcp\":0, \"dir_prob\":90.1, \"time\":1785418200000}", "ticker": "WELL", "setup": "A+ Trend Long", "side": "LONG", "price": 235.45, "stage": 2, "buy": 97, "sell": 6.1, "prime": 2, "revL": 0, "revS": 0, "vcp": 0, "time": 1785418200000, "email_id": "2841", "timestamp": "2026-07-30 16:01:36"}</t>
  </si>
  <si>
    <t>Buy: 91.5 | Sell: 12</t>
  </si>
  <si>
    <t>{"symbol": "KHC", "strategy": "Daily", "action": "LONG", "alert_price": 26.39, "score": "", "dir_prob": "94.1", "net_sigma": "", "grade": "", "align": "", "premium": "", "wrong_if": "", "context": "", "subject": "Alert: Rev - Screener v1 (SPY, 12): Any alert() function call", "body": "{\"ticker\":\"KHC\", \"setup\":\"A+ Trend Long\", \"side\":\"LONG\", \"price\":26.39, \"stage\":2, \"buy\":91.5, \"sell\":12, \"prime\":2, \"revL\":0, \"revS\":0, \"vcp\":0, \"dir_prob\":94.1, \"time\":1785418200000}", "ticker": "KHC", "setup": "A+ Trend Long", "side": "LONG", "price": 26.39, "stage": 2, "buy": 91.5, "sell": 12, "prime": 2, "revL": 0, "revS": 0, "vcp": 0, "time": 1785418200000, "email_id": "2842", "timestamp": "2026-07-30 16:01:27"}</t>
  </si>
  <si>
    <t>Buy: 91 | Sell: 16.9</t>
  </si>
  <si>
    <t>{"symbol": "BBY", "strategy": "Daily", "action": "LONG", "alert_price": 87.78, "score": "", "dir_prob": "91.9", "net_sigma": "", "grade": "", "align": "", "premium": "", "wrong_if": "", "context": "", "subject": "Alert: Rev - Screener v1 (SPY, 12): Any alert() function call", "body": "{\"ticker\":\"BBY\", \"setup\":\"A+ Trend Long\", \"side\":\"LONG\", \"price\":87.78, \"stage\":2, \"buy\":91, \"sell\":16.9, \"prime\":2, \"revL\":0, \"revS\":0, \"vcp\":0, \"dir_prob\":91.9, \"time\":1785418200000}", "ticker": "BBY", "setup": "A+ Trend Long", "side": "LONG", "price": 87.78, "stage": 2, "buy": 91, "sell": 16.9, "prime": 2, "revL": 0, "revS": 0, "vcp": 0, "time": 1785418200000, "email_id": "2843", "timestamp": "2026-07-30 16:01:19"}</t>
  </si>
  <si>
    <t>Buy: 93.4 | Sell: 25.5</t>
  </si>
  <si>
    <t>{"symbol": "TECH", "strategy": "Daily", "action": "LONG", "alert_price": 72.04, "score": "", "dir_prob": "92.9", "net_sigma": "", "grade": "", "align": "", "premium": "", "wrong_if": "", "context": "", "subject": "Alert: Rev - Screener v1 (SPY, 12): Any alert() function call", "body": "{\"ticker\":\"TECH\", \"setup\":\"A+ Trend Long\", \"side\":\"LONG\", \"price\":72.04, \"stage\":2, \"buy\":93.4, \"sell\":25.5, \"prime\":2, \"revL\":0, \"revS\":0, \"vcp\":1, \"dir_prob\":92.9, \"time\":1785418200000}", "ticker": "TECH", "setup": "A+ Trend Long", "side": "LONG", "price": 72.04, "stage": 2, "buy": 93.4, "sell": 25.5, "prime": 2, "revL": 0, "revS": 0, "vcp": 1, "time": 1785418200000, "email_id": "2844", "timestamp": "2026-07-30 16:01:31"}</t>
  </si>
  <si>
    <t>Buy: 96.7 | Sell: 5</t>
  </si>
  <si>
    <t>{"symbol": "VLO", "strategy": "Daily", "action": "LONG", "alert_price": 311.51, "score": "", "dir_prob": "94", "net_sigma": "", "grade": "", "align": "", "premium": "", "wrong_if": "", "context": "", "subject": "Alert: Rev - Screener v1 (SPY, 12): Any alert() function call", "body": "{\"ticker\":\"VLO\", \"setup\":\"A+ Trend Long\", \"side\":\"LONG\", \"price\":311.51, \"stage\":2, \"buy\":96.7, \"sell\":5, \"prime\":2, \"revL\":0, \"revS\":0, \"vcp\":0, \"dir_prob\":94, \"time\":1785418200000}", "ticker": "VLO", "setup": "A+ Trend Long", "side": "LONG", "price": 311.51, "stage": 2, "buy": 96.7, "sell": 5, "prime": 2, "revL": 0, "revS": 0, "vcp": 0, "time": 1785418200000, "email_id": "2845", "timestamp": "2026-07-30 16:02:13"}</t>
  </si>
  <si>
    <t>{"symbol": "CFG", "strategy": "Daily", "action": "LONG", "alert_price": 71.72, "score": "", "dir_prob": "89.1", "net_sigma": "", "grade": "", "align": "", "premium": "", "wrong_if": "", "context": "", "subject": "Alert: Rev - Screener v1 (SPY, 12): Any alert() function call", "body": "{\"ticker\":\"CFG\", \"setup\":\"A+ Trend Long\", \"side\":\"LONG\", \"price\":71.72, \"stage\":2, \"buy\":94.3, \"sell\":9.7, \"prime\":2, \"revL\":0, \"revS\":0, \"vcp\":1, \"dir_prob\":89.1, \"time\":1785418200000}", "ticker": "CFG", "setup": "A+ Trend Long", "side": "LONG", "price": 71.72, "stage": 2, "buy": 94.3, "sell": 9.7, "prime": 2, "revL": 0, "revS": 0, "vcp": 1, "time": 1785418200000, "email_id": "2846", "timestamp": "2026-07-30 16:02:14"}</t>
  </si>
  <si>
    <t>Buy: 89.9 | Sell: 17</t>
  </si>
  <si>
    <t>Buy: 93.5 | Sell: 33.6</t>
  </si>
  <si>
    <t>{"symbol": "MRK", "strategy": "Daily", "action": "LONG", "alert_price": 129.84, "score": "", "dir_prob": "88.3", "net_sigma": "", "grade": "", "align": "", "premium": "", "wrong_if": "", "context": "", "subject": "Alert: Rev - Screener v1 (SPY, 12): Any alert() function call", "body": "{\"ticker\":\"MRK\", \"setup\":\"A+ Trend Long\", \"side\":\"LONG\", \"price\":129.84, \"stage\":2, \"buy\":89.9, \"sell\":17, \"prime\":2, \"revL\":0, \"revS\":0, \"vcp\":0, \"dir_prob\":88.3, \"time\":1785418200000}", "ticker": "MRK", "setup": "A+ Trend Long", "side": "LONG", "price": 129.84, "stage": 2, "buy": 89.9, "sell": 17, "prime": 2, "revL": 0, "revS": 0, "vcp": 0, "time": 1785418200000, "email_id": "2847", "timestamp": "2026-07-30 16:01:31"}</t>
  </si>
  <si>
    <t>Buy: 95 | Sell: 7</t>
  </si>
  <si>
    <t>{"symbol": "SCHW", "strategy": "Daily", "action": "LONG", "alert_price": 104.34, "score": "", "dir_prob": "96.7", "net_sigma": "", "grade": "", "align": "", "premium": "", "wrong_if": "", "context": "", "subject": "Alert: Rev - Screener v1 (SPY, 12): Any alert() function call", "body": "{\"ticker\":\"SCHW\", \"setup\":\"A+ Trend Long\", \"side\":\"LONG\", \"price\":104.34, \"stage\":2, \"buy\":95, \"sell\":7, \"prime\":2, \"revL\":0, \"revS\":0, \"vcp\":0, \"dir_prob\":96.7, \"time\":1785418200000}", "ticker": "SCHW", "setup": "A+ Trend Long", "side": "LONG", "price": 104.34, "stage": 2, "buy": 95, "sell": 7, "prime": 2, "revL": 0, "revS": 0, "vcp": 0, "time": 1785418200000, "email_id": "2848", "timestamp": "2026-07-30 16:02:15"}</t>
  </si>
  <si>
    <t>{"symbol": "VTRS", "strategy": "Daily", "action": "LONG", "alert_price": 17.57, "score": "", "dir_prob": "82.2", "net_sigma": "", "grade": "", "align": "", "premium": "", "wrong_if": "", "context": "", "subject": "Alert: Rev - Screener v1 (SPY, 12): Any alert() function call", "body": "{\"ticker\":\"VTRS\", \"setup\":\"A+ Trend Long\", \"side\":\"LONG\", \"price\":17.57, \"stage\":2, \"buy\":93.5, \"sell\":33.6, \"prime\":2, \"revL\":0, \"revS\":0, \"vcp\":0, \"dir_prob\":82.2, \"time\":1785504600000}", "ticker": "VTRS", "setup": "A+ Trend Long", "side": "LONG", "price": 17.57, "stage": 2, "buy": 93.5, "sell": 33.6, "prime": 2, "revL": 0, "revS": 0, "vcp": 0, "time": 1785504600000, "email_id": "2942", "timestamp": "2026-07-31 16:01:21"}</t>
  </si>
  <si>
    <t>Buy: 92.7 | Sell: 14.1</t>
  </si>
  <si>
    <t>Buy: 93.4 | Sell: 19.6</t>
  </si>
  <si>
    <t>{"symbol": "IVZ", "strategy": "Daily", "action": "LONG", "alert_price": 29.62, "score": "", "dir_prob": "87.7", "net_sigma": "", "grade": "", "align": "", "premium": "", "wrong_if": "", "context": "", "subject": "Alert: Rev - Screener v1 (SPY, 12): Any alert() function call", "body": "{\"ticker\":\"IVZ\", \"setup\":\"A+ Trend Long\", \"side\":\"LONG\", \"price\":29.62, \"stage\":2, \"buy\":93.4, \"sell\":19.6, \"prime\":2, \"revL\":0, \"revS\":0, \"vcp\":0, \"dir_prob\":87.7, \"time\":1785504600000}", "ticker": "IVZ", "setup": "A+ Trend Long", "side": "LONG", "price": 29.62, "stage": 2, "buy": 93.4, "sell": 19.6, "prime": 2, "revL": 0, "revS": 0, "vcp": 0, "time": 1785504600000, "email_id": "2940", "timestamp": "2026-07-31 16:01:04"}</t>
  </si>
  <si>
    <t>{"symbol": "PM", "strategy": "Daily", "action": "LONG", "alert_price": 192.01, "score": "", "dir_prob": "94.3", "net_sigma": "", "grade": "", "align": "", "premium": "", "wrong_if": "", "context": "", "subject": "Alert: Rev - Screener v1 (SPY, 12): Any alert() function call", "body": "{\"ticker\":\"PM\", \"setup\":\"A+ Trend Long\", \"side\":\"LONG\", \"price\":192.01, \"stage\":2, \"buy\":92.7, \"sell\":14.1, \"prime\":2, \"revL\":0, \"revS\":0, \"vcp\":0, \"dir_prob\":94.3, \"time\":1785418200000}", "ticker": "PM", "setup": "A+ Trend Long", "side": "LONG", "price": 192.01, "stage": 2, "buy": 92.7, "sell": 14.1, "prime": 2, "revL": 0, "revS": 0, "vcp": 0, "time": 1785418200000, "email_id": "2849", "timestamp": "2026-07-30 16:01:29"}</t>
  </si>
  <si>
    <t>Buy: 92.5 | Sell: 9.9</t>
  </si>
  <si>
    <t>Buy: 94.5 | Sell: 7.4</t>
  </si>
  <si>
    <t>{"symbol": "NDAQ", "strategy": "Daily", "action": "LONG", "alert_price": 94.2, "score": "", "dir_prob": "95.1", "net_sigma": "", "grade": "", "align": "", "premium": "", "wrong_if": "", "context": "", "subject": "Alert: Rev - Screener v1 (SPY, 12): Any alert() function call", "body": "{\"ticker\":\"NDAQ\", \"setup\":\"A+ Trend Long\", \"side\":\"LONG\", \"price\":94.20, \"stage\":2, \"buy\":92.5, \"sell\":9.9, \"prime\":2, \"revL\":0, \"revS\":0, \"vcp\":0, \"dir_prob\":95.1, \"time\":1785504600000}", "ticker": "NDAQ", "setup": "A+ Trend Long", "side": "LONG", "price": 94.2, "stage": 2, "buy": 92.5, "sell": 9.9, "prime": 2, "revL": 0, "revS": 0, "vcp": 0, "time": 1785504600000, "email_id": "2941", "timestamp": "2026-07-31 16:01:03"}</t>
  </si>
  <si>
    <t>{"symbol": "ED", "strategy": "Daily", "action": "LONG", "alert_price": 109.66, "score": "", "dir_prob": "93.8", "net_sigma": "", "grade": "", "align": "", "premium": "", "wrong_if": "", "context": "", "subject": "Alert: Rev - Screener v1 (SPY, 12): Any alert() function call", "body": "{\"ticker\":\"ED\", \"setup\":\"A+ Trend Long\", \"side\":\"LONG\", \"price\":109.66, \"stage\":2, \"buy\":94.5, \"sell\":7.4, \"prime\":2, \"revL\":0, \"revS\":0, \"vcp\":1, \"dir_prob\":93.8, \"time\":1785418200000}", "ticker": "ED", "setup": "A+ Trend Long", "side": "LONG", "price": 109.66, "stage": 2, "buy": 94.5, "sell": 7.4, "prime": 2, "revL": 0, "revS": 0, "vcp": 1, "time": 1785418200000, "email_id": "2850", "timestamp": "2026-07-30 16:01:29"}</t>
  </si>
  <si>
    <t>Buy: 97 | Sell: 33.7</t>
  </si>
  <si>
    <t>Buy: 94.4 | Sell: 16.6</t>
  </si>
  <si>
    <t>{"symbol": "EG", "strategy": "Daily", "action": "LONG", "alert_price": 374.0, "score": "", "dir_prob": "85", "net_sigma": "", "grade": "", "align": "", "premium": "", "wrong_if": "", "context": "", "subject": "Alert: Rev - Screener v1 (SPY, 12): Any alert() function call", "body": "{\"ticker\":\"EG\", \"setup\":\"A+ Trend Long\", \"side\":\"LONG\", \"price\":374.00, \"stage\":2, \"buy\":97, \"sell\":33.7, \"prime\":2, \"revL\":0, \"revS\":0, \"vcp\":0, \"dir_prob\":85, \"time\":1785504600000}", "ticker": "EG", "setup": "A+ Trend Long", "side": "LONG", "price": 374.0, "stage": 2, "buy": 97, "sell": 33.7, "prime": 2, "revL": 0, "revS": 0, "vcp": 0, "time": 1785504600000, "email_id": "2943", "timestamp": "2026-07-31 16:01:21"}</t>
  </si>
  <si>
    <t>{"symbol": "GD", "strategy": "Daily", "action": "LONG", "alert_price": 382.22, "score": "", "dir_prob": "94.6", "net_sigma": "", "grade": "", "align": "", "premium": "", "wrong_if": "", "context": "", "subject": "Alert: Rev - Screener v1 (SPY, 12): Any alert() function call", "body": "{\"ticker\":\"GD\", \"setup\":\"A+ Trend Long\", \"side\":\"LONG\", \"price\":382.22, \"stage\":2, \"buy\":94.4, \"sell\":16.6, \"prime\":2, \"revL\":0, \"revS\":0, \"vcp\":0, \"dir_prob\":94.6, \"time\":1785418200000}", "ticker": "GD", "setup": "A+ Trend Long", "side": "LONG", "price": 382.22, "stage": 2, "buy": 94.4, "sell": 16.6, "prime": 2, "revL": 0, "revS": 0, "vcp": 0, "time": 1785418200000, "email_id": "2851", "timestamp": "2026-07-30 16:01:39"}</t>
  </si>
  <si>
    <t>Buy: 95 | Sell: 11.5</t>
  </si>
  <si>
    <t>Buy: 97.5 | Sell: 4.6</t>
  </si>
  <si>
    <t>{"symbol": "MTB", "strategy": "Daily", "action": "LONG", "alert_price": 246.35, "score": "", "dir_prob": "92.7", "net_sigma": "", "grade": "", "align": "", "premium": "", "wrong_if": "", "context": "", "subject": "Alert: Rev - Screener v1 (SPY, 12): Any alert() function call", "body": "{\"ticker\":\"MTB\", \"setup\":\"A+ Trend Long\", \"side\":\"LONG\", \"price\":246.35, \"stage\":2, \"buy\":95, \"sell\":11.5, \"prime\":2, \"revL\":0, \"revS\":0, \"vcp\":0, \"dir_prob\":92.7, \"time\":1785504600000}", "ticker": "MTB", "setup": "A+ Trend Long", "side": "LONG", "price": 246.35, "stage": 2, "buy": 95, "sell": 11.5, "prime": 2, "revL": 0, "revS": 0, "vcp": 0, "time": 1785504600000, "email_id": "2944", "timestamp": "2026-07-31 16:01:05"}</t>
  </si>
  <si>
    <t>{"symbol": "MPC", "strategy": "Daily", "action": "LONG", "alert_price": 313.99, "score": "", "dir_prob": "94.5", "net_sigma": "", "grade": "", "align": "", "premium": "", "wrong_if": "", "context": "", "subject": "Alert: Rev - Screener v1 (SPY, 12): Any alert() function call", "body": "{\"ticker\":\"MPC\", \"setup\":\"A+ Trend Long\", \"side\":\"LONG\", \"price\":313.99, \"stage\":2, \"buy\":97.5, \"sell\":4.6, \"prime\":2, \"revL\":0, \"revS\":0, \"vcp\":0, \"dir_prob\":94.5, \"time\":1785418200000}", "ticker": "MPC", "setup": "A+ Trend Long", "side": "LONG", "price": 313.99, "stage": 2, "buy": 97.5, "sell": 4.6, "prime": 2, "revL": 0, "revS": 0, "vcp": 0, "time": 1785418200000, "email_id": "2852", "timestamp": "2026-07-30 16:01:38"}</t>
  </si>
  <si>
    <t>Buy: 90.1 | Sell: 20.7</t>
  </si>
  <si>
    <t>Buy: 87.1 | Sell: 42</t>
  </si>
  <si>
    <t>{"symbol": "GL", "strategy": "Daily", "action": "LONG", "alert_price": 182.15, "score": "", "dir_prob": "81.4", "net_sigma": "", "grade": "", "align": "", "premium": "", "wrong_if": "", "context": "", "subject": "Alert: Rev - Screener v1 (SPY, 12): Any alert() function call", "body": "{\"ticker\":\"GL\", \"setup\":\"A+ Trend Long\", \"side\":\"LONG\", \"price\":182.15, \"stage\":2, \"buy\":90.1, \"sell\":20.7, \"prime\":2, \"revL\":0, \"revS\":0, \"vcp\":0, \"dir_prob\":81.4, \"time\":1785504600000}", "ticker": "GL", "setup": "A+ Trend Long", "side": "LONG", "price": 182.15, "stage": 2, "buy": 90.1, "sell": 20.7, "prime": 2, "revL": 0, "revS": 0, "vcp": 0, "time": 1785504600000, "email_id": "2945", "timestamp": "2026-07-31 16:01:00"}</t>
  </si>
  <si>
    <t>{"symbol": "KMB", "strategy": "Daily", "action": "LONG", "alert_price": 110.19, "score": "", "dir_prob": "91.7", "net_sigma": "", "grade": "", "align": "", "premium": "", "wrong_if": "", "context": "", "subject": "Alert: Rev - Screener v1 (SPY, 12): Any alert() function call", "body": "{\"ticker\":\"KMB\", \"setup\":\"A+ Trend Long\", \"side\":\"LONG\", \"price\":110.19, \"stage\":2, \"buy\":87.1, \"sell\":42, \"prime\":2, \"revL\":0, \"revS\":0, \"vcp\":0, \"dir_prob\":91.7, \"time\":1785418200000}", "ticker": "KMB", "setup": "A+ Trend Long", "side": "LONG", "price": 110.19, "stage": 2, "buy": 87.1, "sell": 42, "prime": 2, "revL": 0, "revS": 0, "vcp": 0, "time": 1785418200000, "email_id": "2853", "timestamp": "2026-07-30 16:01:19"}</t>
  </si>
  <si>
    <t>Buy: 96 | Sell: 6</t>
  </si>
  <si>
    <t>Buy: 87.6 | Sell: 53.8</t>
  </si>
  <si>
    <t>{"symbol": "VLO", "strategy": "Daily", "action": "LONG", "alert_price": 312.9, "score": "", "dir_prob": "93.5", "net_sigma": "", "grade": "", "align": "", "premium": "", "wrong_if": "", "context": "", "subject": "Alert: Rev - Screener v1 (SPY, 12): Any alert() function call", "body": "{\"ticker\":\"VLO\", \"setup\":\"A+ Trend Long\", \"side\":\"LONG\", \"price\":312.90, \"stage\":2, \"buy\":96, \"sell\":6, \"prime\":2, \"revL\":0, \"revS\":0, \"vcp\":0, \"dir_prob\":93.5, \"time\":1785504600000}", "ticker": "VLO", "setup": "A+ Trend Long", "side": "LONG", "price": 312.9, "stage": 2, "buy": 96, "sell": 6, "prime": 2, "revL": 0, "revS": 0, "vcp": 0, "time": 1785504600000, "email_id": "2946", "timestamp": "2026-07-31 16:01:00"}</t>
  </si>
  <si>
    <t>Buy: 88.3 | Sell: 8.8</t>
  </si>
  <si>
    <t>{"symbol": "COO", "strategy": "Daily", "action": "LONG", "alert_price": 72.64, "score": "", "dir_prob": "77.5", "net_sigma": "", "grade": "", "align": "", "premium": "", "wrong_if": "", "context": "", "subject": "Alert: Rev - Screener v1 (SPY, 12): Any alert() function call", "body": "{\"ticker\":\"COO\", \"setup\":\"A+ Trend Long\", \"side\":\"LONG\", \"price\":72.64, \"stage\":2, \"buy\":87.6, \"sell\":53.8, \"prime\":2, \"revL\":0, \"revS\":0, \"vcp\":1, \"dir_prob\":77.5, \"time\":1785418200000}", "ticker": "COO", "setup": "A+ Trend Long", "side": "LONG", "price": 72.64, "stage": 2, "buy": 87.6, "sell": 53.8, "prime": 2, "revL": 0, "revS": 0, "vcp": 1, "time": 1785418200000, "email_id": "2854", "timestamp": "2026-07-30 16:01:21"}</t>
  </si>
  <si>
    <t>Buy: 90.2 | Sell: 32.7</t>
  </si>
  <si>
    <t>{"symbol": "VEEV", "strategy": "Daily", "action": "LONG", "alert_price": 203.83, "score": "", "dir_prob": "97.7", "net_sigma": "", "grade": "", "align": "", "premium": "", "wrong_if": "", "context": "", "subject": "Alert: Rev - Screener v1 (SPY, 12): Any alert() function call", "body": "{\"ticker\":\"VEEV\", \"setup\":\"A+ Trend Long\", \"side\":\"LONG\", \"price\":203.83, \"stage\":2, \"buy\":88.3, \"sell\":8.8, \"prime\":2, \"revL\":0, \"revS\":0, \"vcp\":0, \"dir_prob\":97.7, \"time\":1785504600000}", "ticker": "VEEV", "setup": "A+ Trend Long", "side": "LONG", "price": 203.83, "stage": 2, "buy": 88.3, "sell": 8.8, "prime": 2, "revL": 0, "revS": 0, "vcp": 0, "time": 1785504600000, "email_id": "2948", "timestamp": "2026-07-31 16:01:03"}</t>
  </si>
  <si>
    <t>Buy: 92.9 | Sell: 5.4</t>
  </si>
  <si>
    <t>{"symbol": "SPG", "strategy": "Daily", "action": "LONG", "alert_price": 230.39, "score": "", "dir_prob": "75.7", "net_sigma": "", "grade": "", "align": "", "premium": "", "wrong_if": "", "context": "", "subject": "Alert: Rev - Screener v1 (SPY, 12): Any alert() function call", "body": "{\"ticker\":\"SPG\", \"setup\":\"A+ Trend Long\", \"side\":\"LONG\", \"price\":230.39, \"stage\":2, \"buy\":90.2, \"sell\":32.7, \"prime\":2, \"revL\":0, \"revS\":0, \"vcp\":0, \"dir_prob\":75.7, \"time\":1785418200000}", "ticker": "SPG", "setup": "A+ Trend Long", "side": "LONG", "price": 230.39, "stage": 2, "buy": 90.2, "sell": 32.7, "prime": 2, "revL": 0, "revS": 0, "vcp": 0, "time": 1785418200000, "email_id": "2855", "timestamp": "2026-07-30 16:01:31"}</t>
  </si>
  <si>
    <t>{"symbol": "GPN", "strategy": "Daily", "action": "LONG", "alert_price": 84.09, "score": "", "dir_prob": "97.7", "net_sigma": "", "grade": "", "align": "", "premium": "", "wrong_if": "", "context": "", "subject": "Alert: Rev - Screener v1 (SPY, 12): Any alert() function call", "body": "{\"ticker\":\"GPN\", \"setup\":\"A+ Trend Long\", \"side\":\"LONG\", \"price\":84.09, \"stage\":2, \"buy\":92.9, \"sell\":5.4, \"prime\":2, \"revL\":0, \"revS\":0, \"vcp\":0, \"dir_prob\":97.7, \"time\":1785504600000}", "ticker": "GPN", "setup": "A+ Trend Long", "side": "LONG", "price": 84.09, "stage": 2, "buy": 92.9, "sell": 5.4, "prime": 2, "revL": 0, "revS": 0, "vcp": 0, "time": 1785504600000, "email_id": "2950", "timestamp": "2026-07-31 16:01:02"}</t>
  </si>
  <si>
    <t>Buy: 93.8 | Sell: 33.4</t>
  </si>
  <si>
    <t>Buy: 95.8 | Sell: 16.5</t>
  </si>
  <si>
    <t>{"symbol": "BRO", "strategy": "Daily", "action": "LONG", "alert_price": 70.4, "score": "", "dir_prob": "99.3", "net_sigma": "", "grade": "", "align": "", "premium": "", "wrong_if": "", "context": "", "subject": "Alert: Rev - Screener v1 (SPY, 12): Any alert() function call", "body": "{\"ticker\":\"BRO\", \"setup\":\"A+ Trend Long\", \"side\":\"LONG\", \"price\":70.40, \"stage\":2, \"buy\":95.8, \"sell\":16.5, \"prime\":2, \"revL\":0, \"revS\":0, \"vcp\":0, \"dir_prob\":99.3, \"time\":1785504600000}", "ticker": "BRO", "setup": "A+ Trend Long", "side": "LONG", "price": 70.4, "stage": 2, "buy": 95.8, "sell": 16.5, "prime": 2, "revL": 0, "revS": 0, "vcp": 0, "time": 1785504600000, "email_id": "2947", "timestamp": "2026-07-31 16:01:26"}</t>
  </si>
  <si>
    <t>{"symbol": "RF", "strategy": "Daily", "action": "LONG", "alert_price": 30.85, "score": "", "dir_prob": "84", "net_sigma": "", "grade": "", "align": "", "premium": "", "wrong_if": "", "context": "", "subject": "Alert: Rev - Screener v1 (SPY, 12): Any alert() function call", "body": "{\"ticker\":\"RF\", \"setup\":\"A+ Trend Long\", \"side\":\"LONG\", \"price\":30.85, \"stage\":2, \"buy\":93.8, \"sell\":33.4, \"prime\":2, \"revL\":0, \"revS\":0, \"vcp\":0, \"dir_prob\":84, \"time\":1785418200000}", "ticker": "RF", "setup": "A+ Trend Long", "side": "LONG", "price": 30.85, "stage": 2, "buy": 93.8, "sell": 33.4, "prime": 2, "revL": 0, "revS": 0, "vcp": 0, "time": 1785418200000, "email_id": "2856", "timestamp": "2026-07-30 16:01:39"}</t>
  </si>
  <si>
    <t>Buy: 97.1 | Sell: 25.4</t>
  </si>
  <si>
    <t>Buy: 94.6 | Sell: 8.9</t>
  </si>
  <si>
    <t>{"symbol": "VTR", "strategy": "Daily", "action": "LONG", "alert_price": 93.55, "score": "", "dir_prob": "85.5", "net_sigma": "", "grade": "", "align": "", "premium": "", "wrong_if": "", "context": "", "subject": "Alert: Rev - Screener v1 (SPY, 12): Any alert() function call", "body": "{\"ticker\":\"VTR\", \"setup\":\"A+ Trend Long\", \"side\":\"LONG\", \"price\":93.55, \"stage\":2, \"buy\":97.1, \"sell\":25.4, \"prime\":2, \"revL\":0, \"revS\":0, \"vcp\":0, \"dir_prob\":85.5, \"time\":1785504600000}", "ticker": "VTR", "setup": "A+ Trend Long", "side": "LONG", "price": 93.55, "stage": 2, "buy": 97.1, "sell": 25.4, "prime": 2, "revL": 0, "revS": 0, "vcp": 0, "time": 1785504600000, "email_id": "2951", "timestamp": "2026-07-31 16:01:06"}</t>
  </si>
  <si>
    <t>Buy: 46.1 | Sell: 92</t>
  </si>
  <si>
    <t>{"symbol": "BAC", "strategy": "Daily", "action": "LONG", "alert_price": 61.75, "score": "", "dir_prob": "90.4", "net_sigma": "", "grade": "", "align": "", "premium": "", "wrong_if": "", "context": "", "subject": "Alert: Rev - Screener v1 (SPY, 12): Any alert() function call", "body": "{\"ticker\":\"BAC\", \"setup\":\"A+ Trend Long\", \"side\":\"LONG\", \"price\":61.75, \"stage\":2, \"buy\":94.6, \"sell\":8.9, \"prime\":2, \"revL\":0, \"revS\":0, \"vcp\":0, \"dir_prob\":90.4, \"time\":1785418200000}", "ticker": "BAC", "setup": "A+ Trend Long", "side": "LONG", "price": 61.75, "stage": 2, "buy": 94.6, "sell": 8.9, "prime": 2, "revL": 0, "revS": 0, "vcp": 0, "time": 1785418200000, "email_id": "2857", "timestamp": "2026-07-30 16:01:52"}</t>
  </si>
  <si>
    <t>FDS</t>
  </si>
  <si>
    <t>Buy: 92 | Sell: 34.1</t>
  </si>
  <si>
    <t>{"symbol": "MGM", "strategy": "Daily", "action": "LONG", "alert_price": 44.57, "score": "", "dir_prob": "19.6", "net_sigma": "", "grade": "", "align": "", "premium": "", "wrong_if": "", "context": "", "subject": "Alert: Rev - Screener v1 (SPY, 12): Any alert() function call", "body": "{\"ticker\":\"MGM\", \"setup\":\"Research Reversal (Any Stage)\", \"side\":\"LONG\", \"price\":44.57, \"stage\":4, \"buy\":46.1, \"sell\":92, \"prime\":-2, \"revL\":7.5, \"revS\":0, \"vcp\":1, \"dir_prob\":19.6, \"time\":1785504600000}", "ticker": "MGM", "setup": "Research Reversal (Any Stage)", "side": "LONG", "price": 44.57, "stage": 4, "buy": 46.1, "sell": 92, "prime": -2, "revL": 7.5, "revS": 0, "vcp": 1, "time": 1785504600000, "email_id": "2952", "timestamp": "2026-07-31 16:01:06"}</t>
  </si>
  <si>
    <t>Buy: 92.8 | Sell: 15.2</t>
  </si>
  <si>
    <t>{"symbol": "TDY", "strategy": "Daily", "action": "LONG", "alert_price": 655.77, "score": "", "dir_prob": "95.3", "net_sigma": "", "grade": "", "align": "", "premium": "", "wrong_if": "", "context": "", "subject": "Alert: Rev - Screener v1 (SPY, 12): Any alert() function call", "body": "{\"ticker\":\"TDY\", \"setup\":\"A+ Trend Long\", \"side\":\"LONG\", \"price\":655.77, \"stage\":2, \"buy\":92.8, \"sell\":15.2, \"prime\":2, \"revL\":0, \"revS\":0, \"vcp\":1, \"dir_prob\":95.3, \"time\":1785504600000}", "ticker": "TDY", "setup": "A+ Trend Long", "side": "LONG", "price": 655.77, "stage": 2, "buy": 92.8, "sell": 15.2, "prime": 2, "revL": 0, "revS": 0, "vcp": 1, "time": 1785504600000, "email_id": "2956", "timestamp": "2026-07-31 16:01:07"}</t>
  </si>
  <si>
    <t>Buy: 92.9 | Sell: 15</t>
  </si>
  <si>
    <t>{"symbol": "FDS", "strategy": "Daily", "action": "LONG", "alert_price": 263.08, "score": "", "dir_prob": "87.4", "net_sigma": "", "grade": "", "align": "", "premium": "", "wrong_if": "", "context": "", "subject": "Alert: Rev - Screener v1 (SPY, 12): Any alert() function call", "body": "{\"ticker\":\"FDS\", \"setup\":\"A+ Trend Long\", \"side\":\"LONG\", \"price\":263.08, \"stage\":2, \"buy\":92, \"sell\":34.1, \"prime\":2, \"revL\":0, \"revS\":0, \"vcp\":0, \"dir_prob\":87.4, \"time\":1785418200000}", "ticker": "FDS", "setup": "A+ Trend Long", "side": "LONG", "price": 263.08, "stage": 2, "buy": 92, "sell": 34.1, "prime": 2, "revL": 0, "revS": 0, "vcp": 0, "time": 1785418200000, "email_id": "2858", "timestamp": "2026-07-30 16:01:34"}</t>
  </si>
  <si>
    <t>Buy: 88.7 | Sell: 29.8</t>
  </si>
  <si>
    <t>{"symbol": "JNJ", "strategy": "Daily", "action": "LONG", "alert_price": 256.44, "score": "", "dir_prob": "91.3", "net_sigma": "", "grade": "", "align": "", "premium": "", "wrong_if": "", "context": "", "subject": "Alert: Rev - Screener v1 (SPY, 12): Any alert() function call", "body": "{\"ticker\":\"JNJ\", \"setup\":\"A+ Trend Long\", \"side\":\"LONG\", \"price\":256.44, \"stage\":2, \"buy\":92.9, \"sell\":15, \"prime\":2, \"revL\":0, \"revS\":0, \"vcp\":0, \"dir_prob\":91.3, \"time\":1785504600000}", "ticker": "JNJ", "setup": "A+ Trend Long", "side": "LONG", "price": 256.44, "stage": 2, "buy": 92.9, "sell": 15, "prime": 2, "revL": 0, "revS": 0, "vcp": 0, "time": 1785504600000, "email_id": "2957", "timestamp": "2026-07-31 16:01:10"}</t>
  </si>
  <si>
    <t>Buy: 94.5 | Sell: 32.9</t>
  </si>
  <si>
    <t>{"symbol": "ABBV", "strategy": "Daily", "action": "LONG", "alert_price": 257.64, "score": "", "dir_prob": "85.7", "net_sigma": "", "grade": "", "align": "", "premium": "", "wrong_if": "", "context": "", "subject": "Alert: Rev - Screener v1 (SPY, 12): Any alert() function call", "body": "{\"ticker\":\"ABBV\", \"setup\":\"A+ Trend Long\", \"side\":\"LONG\", \"price\":257.64, \"stage\":2, \"buy\":88.7, \"sell\":29.8, \"prime\":2, \"revL\":0, \"revS\":0, \"vcp\":0, \"dir_prob\":85.7, \"time\":1785418200000}", "ticker": "ABBV", "setup": "A+ Trend Long", "side": "LONG", "price": 257.64, "stage": 2, "buy": 88.7, "sell": 29.8, "prime": 2, "revL": 0, "revS": 0, "vcp": 0, "time": 1785418200000, "email_id": "2859", "timestamp": "2026-07-30 16:01:47"}</t>
  </si>
  <si>
    <t>{"symbol": "AMCR", "strategy": "Daily", "action": "LONG", "alert_price": 44.89, "score": "", "dir_prob": "88.1", "net_sigma": "", "grade": "", "align": "", "premium": "", "wrong_if": "", "context": "", "subject": "Alert: Rev - Screener v1 (SPY, 12): Any alert() function call", "body": "{\"ticker\":\"AMCR\", \"setup\":\"A+ Trend Long\", \"side\":\"LONG\", \"price\":44.89, \"stage\":2, \"buy\":94.5, \"sell\":32.9, \"prime\":2, \"revL\":0, \"revS\":0, \"vcp\":0, \"dir_prob\":88.1, \"time\":1785504600000}", "ticker": "AMCR", "setup": "A+ Trend Long", "side": "LONG", "price": 44.89, "stage": 2, "buy": 94.5, "sell": 32.9, "prime": 2, "revL": 0, "revS": 0, "vcp": 0, "time": 1785504600000, "email_id": "2949", "timestamp": "2026-07-31 16:01:04"}</t>
  </si>
  <si>
    <t>Buy: 89.9 | Sell: 12</t>
  </si>
  <si>
    <t>Buy: 98.5 | Sell: 12.1</t>
  </si>
  <si>
    <t>{"symbol": "PCG", "strategy": "Daily", "action": "LONG", "alert_price": 17.38, "score": "", "dir_prob": "92.6", "net_sigma": "", "grade": "", "align": "", "premium": "", "wrong_if": "", "context": "", "subject": "Alert: Rev - Screener v1 (SPY, 12): Any alert() function call", "body": "{\"ticker\":\"PCG\", \"setup\":\"A+ Trend Long\", \"side\":\"LONG\", \"price\":17.38, \"stage\":2, \"buy\":98.5, \"sell\":12.1, \"prime\":2, \"revL\":0, \"revS\":0, \"vcp\":1, \"dir_prob\":92.6, \"time\":1785504600000}", "ticker": "PCG", "setup": "A+ Trend Long", "side": "LONG", "price": 17.38, "stage": 2, "buy": 98.5, "sell": 12.1, "prime": 2, "revL": 0, "revS": 0, "vcp": 1, "time": 1785504600000, "email_id": "2958", "timestamp": "2026-07-31 16:01:04"}</t>
  </si>
  <si>
    <t>Buy: 91.1 | Sell: 32.1</t>
  </si>
  <si>
    <t>{"symbol": "MTD", "strategy": "Daily", "action": "LONG", "alert_price": 1380.89, "score": "", "dir_prob": "93.6", "net_sigma": "", "grade": "", "align": "", "premium": "", "wrong_if": "", "context": "", "subject": "Alert: Rev - Screener v1 (SPY, 12): Any alert() function call", "body": "{\"ticker\":\"MTD\", \"setup\":\"A+ Trend Long\", \"side\":\"LONG\", \"price\":1380.89, \"stage\":2, \"buy\":89.9, \"sell\":12, \"prime\":2, \"revL\":0, \"revS\":0, \"vcp\":0, \"dir_prob\":93.6, \"time\":1785418200000}", "ticker": "MTD", "setup": "A+ Trend Long", "side": "LONG", "price": 1380.89, "stage": 2, "buy": 89.9, "sell": 12, "prime": 2, "revL": 0, "revS": 0, "vcp": 0, "time": 1785418200000, "email_id": "2860", "timestamp": "2026-07-30 16:01:39"}</t>
  </si>
  <si>
    <t>{"symbol": "AIZ", "strategy": "Daily", "action": "LONG", "alert_price": 279.17, "score": "", "dir_prob": "78.2", "net_sigma": "", "grade": "", "align": "", "premium": "", "wrong_if": "", "context": "", "subject": "Alert: Rev - Screener v1 (SPY, 12): Any alert() function call", "body": "{\"ticker\":\"AIZ\", \"setup\":\"A+ Trend Long\", \"side\":\"LONG\", \"price\":279.17, \"stage\":2, \"buy\":91.1, \"sell\":32.1, \"prime\":2, \"revL\":0, \"revS\":0, \"vcp\":1, \"dir_prob\":78.2, \"time\":1785504600000}", "ticker": "AIZ", "setup": "A+ Trend Long", "side": "LONG", "price": 279.17, "stage": 2, "buy": 91.1, "sell": 32.1, "prime": 2, "revL": 0, "revS": 0, "vcp": 1, "time": 1785504600000, "email_id": "2959", "timestamp": "2026-07-31 16:01:13"}</t>
  </si>
  <si>
    <t>NDSN</t>
  </si>
  <si>
    <t>Buy: 85.7 | Sell: 27.1</t>
  </si>
  <si>
    <t>{"symbol": "J", "strategy": "Daily", "action": "LONG", "alert_price": 132.81, "score": "", "dir_prob": "96.1", "net_sigma": "", "grade": "", "align": "", "premium": "", "wrong_if": "", "context": "", "subject": "Alert: Rev - Screener v1 (SPY, 12): Any alert() function call", "body": "{\"ticker\":\"J\", \"setup\":\"A+ Trend Long\", \"side\":\"LONG\", \"price\":132.81, \"stage\":2, \"buy\":92.3, \"sell\":9.9, \"prime\":2, \"revL\":0, \"revS\":0, \"vcp\":0, \"dir_prob\":96.1, \"time\":1785418200000}", "ticker": "J", "setup": "A+ Trend Long", "side": "LONG", "price": 132.81, "stage": 2, "buy": 92.3, "sell": 9.9, "prime": 2, "revL": 0, "revS": 0, "vcp": 0, "time": 1785418200000, "email_id": "2861", "timestamp": "2026-07-30 16:01:45"}</t>
  </si>
  <si>
    <t>{"symbol": "NDSN", "strategy": "Daily", "action": "LONG", "alert_price": 297.76, "score": "", "dir_prob": "84.3", "net_sigma": "", "grade": "", "align": "", "premium": "", "wrong_if": "", "context": "", "subject": "Alert: Rev - Screener v1 (SPY, 12): Any alert() function call", "body": "{\"ticker\":\"NDSN\", \"setup\":\"Bullish Squeeze Release\", \"side\":\"LONG\", \"price\":297.76, \"stage\":2, \"buy\":85.7, \"sell\":27.1, \"prime\":0, \"revL\":0, \"revS\":0, \"vcp\":2, \"dir_prob\":84.3, \"time\":1785504600000}", "ticker": "NDSN", "setup": "Bullish Squeeze Release", "side": "LONG", "price": 297.76, "stage": 2, "buy": 85.7, "sell": 27.1, "prime": 0, "revL": 0, "revS": 0, "vcp": 2, "time": 1785504600000, "email_id": "2960", "timestamp": "2026-07-31 16:01:09"}</t>
  </si>
  <si>
    <t>Buy: 53.6 | Sell: 32.1</t>
  </si>
  <si>
    <t>Buy: 92.7 | Sell: 17.6</t>
  </si>
  <si>
    <t>{"symbol": "HSIC", "strategy": "Daily", "action": "LONG", "alert_price": 85.75, "score": "", "dir_prob": "91", "net_sigma": "", "grade": "", "align": "", "premium": "", "wrong_if": "", "context": "", "subject": "Alert: Rev - Screener v1 (SPY, 12): Any alert() function call", "body": "{\"ticker\":\"HSIC\", \"setup\":\"A+ Trend Long\", \"side\":\"LONG\", \"price\":85.75, \"stage\":2, \"buy\":92.7, \"sell\":17.6, \"prime\":2, \"revL\":0, \"revS\":0, \"vcp\":1, \"dir_prob\":91, \"time\":1785504600000}", "ticker": "HSIC", "setup": "A+ Trend Long", "side": "LONG", "price": 85.75, "stage": 2, "buy": 92.7, "sell": 17.6, "prime": 2, "revL": 0, "revS": 0, "vcp": 1, "time": 1785504600000, "email_id": "2961", "timestamp": "2026-07-31 16:01:13"}</t>
  </si>
  <si>
    <t>Buy: 94.6 | Sell: 27.5</t>
  </si>
  <si>
    <t>{"symbol": "ZBRA", "strategy": "Daily", "action": "LONG", "alert_price": 288.77, "score": "", "dir_prob": "79.9", "net_sigma": "", "grade": "", "align": "", "premium": "", "wrong_if": "", "context": "", "subject": "Alert: Rev - Screener v1 (SPY, 12): Any alert() function call", "body": "{\"ticker\":\"ZBRA\", \"setup\":\"Bullish Squeeze Release\", \"side\":\"LONG\", \"price\":288.77, \"stage\":2, \"buy\":53.6, \"sell\":32.1, \"prime\":0, \"revL\":0, \"revS\":0, \"vcp\":2, \"dir_prob\":79.9, \"time\":1785418200000}", "ticker": "ZBRA", "setup": "Bullish Squeeze Release", "side": "LONG", "price": 288.77, "stage": 2, "buy": 53.6, "sell": 32.1, "prime": 0, "revL": 0, "revS": 0, "vcp": 2, "time": 1785418200000, "email_id": "2862", "timestamp": "2026-07-30 16:01:40"}</t>
  </si>
  <si>
    <t>Buy: 88.1 | Sell: 45.4</t>
  </si>
  <si>
    <t>{"symbol": "BXP", "strategy": "Daily", "action": "LONG", "alert_price": 70.12, "score": "", "dir_prob": "90.3", "net_sigma": "", "grade": "", "align": "", "premium": "", "wrong_if": "", "context": "", "subject": "Alert: Rev - Screener v1 (SPY, 12): Any alert() function call", "body": "{\"ticker\":\"BXP\", \"setup\":\"A+ Trend Long\", \"side\":\"LONG\", \"price\":70.12, \"stage\":2, \"buy\":94.6, \"sell\":27.5, \"prime\":2, \"revL\":0, \"revS\":0, \"vcp\":0, \"dir_prob\":90.3, \"time\":1785504600000}", "ticker": "BXP", "setup": "A+ Trend Long", "side": "LONG", "price": 70.12, "stage": 2, "buy": 94.6, "sell": 27.5, "prime": 2, "revL": 0, "revS": 0, "vcp": 0, "time": 1785504600000, "email_id": "2962", "timestamp": "2026-07-31 16:01:12"}</t>
  </si>
  <si>
    <t>Buy: 93.3 | Sell: 15.9</t>
  </si>
  <si>
    <t>{"symbol": "AXON", "strategy": "Daily", "action": "LONG", "alert_price": 525.17, "score": "", "dir_prob": "89", "net_sigma": "", "grade": "", "align": "", "premium": "", "wrong_if": "", "context": "", "subject": "Alert: Rev - Screener v1 (SPY, 12): Any alert() function call", "body": "{\"ticker\":\"AXON\", \"setup\":\"A+ Trend Long\", \"side\":\"LONG\", \"price\":525.17, \"stage\":2, \"buy\":88.1, \"sell\":45.4, \"prime\":2, \"revL\":0, \"revS\":0, \"vcp\":0, \"dir_prob\":89, \"time\":1785418200000}", "ticker": "AXON", "setup": "A+ Trend Long", "side": "LONG", "price": 525.17, "stage": 2, "buy": 88.1, "sell": 45.4, "prime": 2, "revL": 0, "revS": 0, "vcp": 0, "time": 1785418200000, "email_id": "2863", "timestamp": "2026-07-30 16:01:41"}</t>
  </si>
  <si>
    <t>Buy: 92.8 | Sell: 11.9</t>
  </si>
  <si>
    <t>{"symbol": "XYL", "strategy": "Daily", "action": "LONG", "alert_price": 117.02, "score": "", "dir_prob": "96.3", "net_sigma": "", "grade": "", "align": "", "premium": "", "wrong_if": "", "context": "", "subject": "Alert: Rev - Screener v1 (SPY, 12): Any alert() function call", "body": "{\"ticker\":\"XYL\", \"setup\":\"A+ Trend Long\", \"side\":\"LONG\", \"price\":117.02, \"stage\":2, \"buy\":93.3, \"sell\":15.9, \"prime\":2, \"revL\":0, \"revS\":0, \"vcp\":0, \"dir_prob\":96.3, \"time\":1785504600000}", "ticker": "XYL", "setup": "A+ Trend Long", "side": "LONG", "price": 117.02, "stage": 2, "buy": 93.3, "sell": 15.9, "prime": 2, "revL": 0, "revS": 0, "vcp": 0, "time": 1785504600000, "email_id": "2963", "timestamp": "2026-07-31 16:01:11"}</t>
  </si>
  <si>
    <t>Buy: 30 | Sell: 50.2</t>
  </si>
  <si>
    <t>{"symbol": "AES", "strategy": "Daily", "action": "LONG", "alert_price": 14.85, "score": "", "dir_prob": "91.2", "net_sigma": "", "grade": "", "align": "", "premium": "", "wrong_if": "", "context": "", "subject": "Alert: Rev - Screener v1 (SPY, 12): Any alert() function call", "body": "{\"ticker\":\"AES\", \"setup\":\"A+ Trend Long\", \"side\":\"LONG\", \"price\":14.85, \"stage\":2, \"buy\":92.8, \"sell\":11.9, \"prime\":2, \"revL\":0, \"revS\":0, \"vcp\":0, \"dir_prob\":91.2, \"time\":1785418200000}", "ticker": "AES", "setup": "A+ Trend Long", "side": "LONG", "price": 14.85, "stage": 2, "buy": 92.8, "sell": 11.9, "prime": 2, "revL": 0, "revS": 0, "vcp": 0, "time": 1785418200000, "email_id": "2864", "timestamp": "2026-07-30 16:01:25"}</t>
  </si>
  <si>
    <t>{"symbol": "MAS", "strategy": "Daily", "action": "LONG", "alert_price": 71.48, "score": "", "dir_prob": "35.6", "net_sigma": "", "grade": "", "align": "", "premium": "", "wrong_if": "", "context": "", "subject": "Alert: Rev - Screener v1 (SPY, 12): Any alert() function call", "body": "{\"ticker\":\"MAS\", \"setup\":\"Research Reversal (Any Stage)\", \"side\":\"LONG\", \"price\":71.48, \"stage\":4, \"buy\":30, \"sell\":50.2, \"prime\":0, \"revL\":7.5, \"revS\":0, \"vcp\":0, \"dir_prob\":35.6, \"time\":1785504600000}", "ticker": "MAS", "setup": "Research Reversal (Any Stage)", "side": "LONG", "price": 71.48, "stage": 4, "buy": 30, "sell": 50.2, "prime": 0, "revL": 7.5, "revS": 0, "vcp": 0, "time": 1785504600000, "email_id": "2964", "timestamp": "2026-07-31 16:01:13"}</t>
  </si>
  <si>
    <t>Buy: 92.7 | Sell: 17.5</t>
  </si>
  <si>
    <t>Buy: 94.3 | Sell: 21.3</t>
  </si>
  <si>
    <t>{"symbol": "NWSA", "strategy": "Daily", "action": "LONG", "alert_price": 27.56, "score": "", "dir_prob": "94.6", "net_sigma": "", "grade": "", "align": "", "premium": "", "wrong_if": "", "context": "", "subject": "Alert: Rev - Screener v1 (SPY, 12): Any alert() function call", "body": "{\"ticker\":\"NWSA\", \"setup\":\"A+ Trend Long\", \"side\":\"LONG\", \"price\":27.56, \"stage\":2, \"buy\":94.3, \"sell\":21.3, \"prime\":2, \"revL\":0, \"revS\":0, \"vcp\":0, \"dir_prob\":94.6, \"time\":1785504600000}", "ticker": "NWSA", "setup": "A+ Trend Long", "side": "LONG", "price": 27.56, "stage": 2, "buy": 94.3, "sell": 21.3, "prime": 2, "revL": 0, "revS": 0, "vcp": 0, "time": 1785504600000, "email_id": "2965", "timestamp": "2026-07-31 16:01:14"}</t>
  </si>
  <si>
    <t>Buy: 89.5 | Sell: 32.6</t>
  </si>
  <si>
    <t>{"symbol": "TROW", "strategy": "Daily", "action": "LONG", "alert_price": 119.4, "score": "", "dir_prob": "91.6", "net_sigma": "", "grade": "", "align": "", "premium": "", "wrong_if": "", "context": "", "subject": "Alert: Rev - Screener v1 (SPY, 12): Any alert() function call", "body": "{\"ticker\":\"TROW\", \"setup\":\"A+ Trend Long\", \"side\":\"LONG\", \"price\":119.40, \"stage\":2, \"buy\":92.7, \"sell\":17.5, \"prime\":2, \"revL\":0, \"revS\":0, \"vcp\":1, \"dir_prob\":91.6, \"time\":1785418200000}", "ticker": "TROW", "setup": "A+ Trend Long", "side": "LONG", "price": 119.4, "stage": 2, "buy": 92.7, "sell": 17.5, "prime": 2, "revL": 0, "revS": 0, "vcp": 1, "time": 1785418200000, "email_id": "2865", "timestamp": "2026-07-30 16:01:56"}</t>
  </si>
  <si>
    <t>Buy: 89.5 | Sell: 43.1</t>
  </si>
  <si>
    <t>{"symbol": "KMB", "strategy": "Daily", "action": "LONG", "alert_price": 109.32, "score": "", "dir_prob": "94.1", "net_sigma": "", "grade": "", "align": "", "premium": "", "wrong_if": "", "context": "", "subject": "Alert: Rev - Screener v1 (SPY, 12): Any alert() function call", "body": "{\"ticker\":\"KMB\", \"setup\":\"A+ Trend Long\", \"side\":\"LONG\", \"price\":109.32, \"stage\":2, \"buy\":89.5, \"sell\":32.6, \"prime\":2, \"revL\":0, \"revS\":0, \"vcp\":0, \"dir_prob\":94.1, \"time\":1785504600000}", "ticker": "KMB", "setup": "A+ Trend Long", "side": "LONG", "price": 109.32, "stage": 2, "buy": 89.5, "sell": 32.6, "prime": 2, "revL": 0, "revS": 0, "vcp": 0, "time": 1785504600000, "email_id": "2966", "timestamp": "2026-07-31 16:01:55"}</t>
  </si>
  <si>
    <t>Buy: 92.8 | Sell: 11.8</t>
  </si>
  <si>
    <t>{"symbol": "DASH", "strategy": "Daily", "action": "LONG", "alert_price": 197.44, "score": "", "dir_prob": "90", "net_sigma": "", "grade": "", "align": "", "premium": "", "wrong_if": "", "context": "", "subject": "Alert: Rev - Screener v1 (SPY, 12): Any alert() function call", "body": "{\"ticker\":\"DASH\", \"setup\":\"A+ Trend Long\", \"side\":\"LONG\", \"price\":197.44, \"stage\":2, \"buy\":89.5, \"sell\":43.1, \"prime\":2, \"revL\":0, \"revS\":0, \"vcp\":0, \"dir_prob\":90, \"time\":1785418200000}", "ticker": "DASH", "setup": "A+ Trend Long", "side": "LONG", "price": 197.44, "stage": 2, "buy": 89.5, "sell": 43.1, "prime": 2, "revL": 0, "revS": 0, "vcp": 0, "time": 1785418200000, "email_id": "2866", "timestamp": "2026-07-30 16:01:37"}</t>
  </si>
  <si>
    <t>{"symbol": "ALL", "strategy": "Daily", "action": "LONG", "alert_price": 264.17, "score": "", "dir_prob": "88.4", "net_sigma": "", "grade": "", "align": "", "premium": "", "wrong_if": "", "context": "", "subject": "Alert: Rev - Screener v1 (SPY, 12): Any alert() function call", "body": "{\"ticker\":\"ALL\", \"setup\":\"A+ Trend Long\", \"side\":\"LONG\", \"price\":264.17, \"stage\":2, \"buy\":92.8, \"sell\":11.8, \"prime\":2, \"revL\":0, \"revS\":0, \"vcp\":0, \"dir_prob\":88.4, \"time\":1785504600000}", "ticker": "ALL", "setup": "A+ Trend Long", "side": "LONG", "price": 264.17, "stage": 2, "buy": 92.8, "sell": 11.8, "prime": 2, "revL": 0, "revS": 0, "vcp": 0, "time": 1785504600000, "email_id": "2967", "timestamp": "2026-07-31 16:01:15"}</t>
  </si>
  <si>
    <t>Buy: 94.9 | Sell: 11.8</t>
  </si>
  <si>
    <t>Buy: 92.7 | Sell: 36.6</t>
  </si>
  <si>
    <t>{"symbol": "MCK", "strategy": "Daily", "action": "LONG", "alert_price": 856.19, "score": "", "dir_prob": "93.9", "net_sigma": "", "grade": "", "align": "", "premium": "", "wrong_if": "", "context": "", "subject": "Alert: Rev - Screener v1 (SPY, 12): Any alert() function call", "body": "{\"ticker\":\"MCK\", \"setup\":\"A+ Trend Long\", \"side\":\"LONG\", \"price\":856.19, \"stage\":2, \"buy\":94.9, \"sell\":11.8, \"prime\":2, \"revL\":0, \"revS\":0, \"vcp\":0, \"dir_prob\":93.9, \"time\":1785504600000}", "ticker": "MCK", "setup": "A+ Trend Long", "side": "LONG", "price": 856.19, "stage": 2, "buy": 94.9, "sell": 11.8, "prime": 2, "revL": 0, "revS": 0, "vcp": 0, "time": 1785504600000, "email_id": "2968", "timestamp": "2026-07-31 16:01:18"}</t>
  </si>
  <si>
    <t>Buy: 94.9 | Sell: 17.2</t>
  </si>
  <si>
    <t>{"symbol": "GPC", "strategy": "Daily", "action": "LONG", "alert_price": 124.84, "score": "", "dir_prob": "89.2", "net_sigma": "", "grade": "", "align": "", "premium": "", "wrong_if": "", "context": "", "subject": "Alert: Rev - Screener v1 (SPY, 12): Any alert() function call", "body": "{\"ticker\":\"GPC\", \"setup\":\"A+ Trend Long\", \"side\":\"LONG\", \"price\":124.84, \"stage\":2, \"buy\":92.7, \"sell\":36.6, \"prime\":2, \"revL\":0, \"revS\":0, \"vcp\":0, \"dir_prob\":89.2, \"time\":1785418200000}", "ticker": "GPC", "setup": "A+ Trend Long", "side": "LONG", "price": 124.84, "stage": 2, "buy": 92.7, "sell": 36.6, "prime": 2, "revL": 0, "revS": 0, "vcp": 0, "time": 1785418200000, "email_id": "2867", "timestamp": "2026-07-30 16:01:33"}</t>
  </si>
  <si>
    <t>Buy: 93.7 | Sell: 33.3</t>
  </si>
  <si>
    <t>{"symbol": "PCAR", "strategy": "Daily", "action": "LONG", "alert_price": 132.69, "score": "", "dir_prob": "92.7", "net_sigma": "", "grade": "", "align": "", "premium": "", "wrong_if": "", "context": "", "subject": "Alert: Rev - Screener v1 (SPY, 12): Any alert() function call", "body": "{\"ticker\":\"PCAR\", \"setup\":\"A+ Trend Long\", \"side\":\"LONG\", \"price\":132.69, \"stage\":2, \"buy\":94.9, \"sell\":17.2, \"prime\":2, \"revL\":0, \"revS\":0, \"vcp\":0, \"dir_prob\":92.7, \"time\":1785504600000}", "ticker": "PCAR", "setup": "A+ Trend Long", "side": "LONG", "price": 132.69, "stage": 2, "buy": 94.9, "sell": 17.2, "prime": 2, "revL": 0, "revS": 0, "vcp": 0, "time": 1785504600000, "email_id": "2969", "timestamp": "2026-07-31 16:01:14"}</t>
  </si>
  <si>
    <t>Buy: 93.5 | Sell: 37</t>
  </si>
  <si>
    <t>{"symbol": "DHR", "strategy": "Daily", "action": "LONG", "alert_price": 196.2, "score": "", "dir_prob": "84.7", "net_sigma": "", "grade": "", "align": "", "premium": "", "wrong_if": "", "context": "", "subject": "Alert: Rev - Screener v1 (SPY, 12): Any alert() function call", "body": "{\"ticker\":\"DHR\", \"setup\":\"A+ Trend Long\", \"side\":\"LONG\", \"price\":196.20, \"stage\":2, \"buy\":93.7, \"sell\":33.3, \"prime\":2, \"revL\":0, \"revS\":0, \"vcp\":0, \"dir_prob\":84.7, \"time\":1785418200000}", "ticker": "DHR", "setup": "A+ Trend Long", "side": "LONG", "price": 196.2, "stage": 2, "buy": 93.7, "sell": 33.3, "prime": 2, "revL": 0, "revS": 0, "vcp": 0, "time": 1785418200000, "email_id": "2868", "timestamp": "2026-07-30 16:01:30"}</t>
  </si>
  <si>
    <t>Buy: 93.7 | Sell: 26.4</t>
  </si>
  <si>
    <t>{"symbol": "BALL", "strategy": "Daily", "action": "LONG", "alert_price": 64.89, "score": "", "dir_prob": "91", "net_sigma": "", "grade": "", "align": "", "premium": "", "wrong_if": "", "context": "", "subject": "Alert: Rev - Screener v1 (SPY, 12): Any alert() function call", "body": "{\"ticker\":\"BALL\", \"setup\":\"A+ Trend Long\", \"side\":\"LONG\", \"price\":64.89, \"stage\":2, \"buy\":93.5, \"sell\":37, \"prime\":2, \"revL\":0, \"revS\":0, \"vcp\":0, \"dir_prob\":91, \"time\":1785504600000}", "ticker": "BALL", "setup": "A+ Trend Long", "side": "LONG", "price": 64.89, "stage": 2, "buy": 93.5, "sell": 37, "prime": 2, "revL": 0, "revS": 0, "vcp": 0, "time": 1785504600000, "email_id": "2970", "timestamp": "2026-07-31 16:01:11"}</t>
  </si>
  <si>
    <t>{"symbol": "USB", "strategy": "Daily", "action": "LONG", "alert_price": 63.01, "score": "", "dir_prob": "91.8", "net_sigma": "", "grade": "", "align": "", "premium": "", "wrong_if": "", "context": "", "subject": "Alert: Rev - Screener v1 (SPY, 12): Any alert() function call", "body": "{\"ticker\":\"USB\", \"setup\":\"A+ Trend Long\", \"side\":\"LONG\", \"price\":63.01, \"stage\":2, \"buy\":96.4, \"sell\":6.3, \"prime\":2, \"revL\":0, \"revS\":0, \"vcp\":1, \"dir_prob\":91.8, \"time\":1785504600000}", "ticker": "USB", "setup": "A+ Trend Long", "side": "LONG", "price": 63.01, "stage": 2, "buy": 96.4, "sell": 6.3, "prime": 2, "revL": 0, "revS": 0, "vcp": 1, "time": 1785504600000, "email_id": "2971", "timestamp": "2026-07-31 16:01:01"}</t>
  </si>
  <si>
    <t>{"symbol": "INCY", "strategy": "Daily", "action": "LONG", "alert_price": 123.11, "score": "", "dir_prob": "88.2", "net_sigma": "", "grade": "", "align": "", "premium": "", "wrong_if": "", "context": "", "subject": "Alert: Rev - Screener v1 (SPY, 12): Any alert() function call", "body": "{\"ticker\":\"INCY\", \"setup\":\"A+ Trend Long\", \"side\":\"LONG\", \"price\":123.11, \"stage\":2, \"buy\":93.7, \"sell\":26.4, \"prime\":2, \"revL\":0, \"revS\":0, \"vcp\":0, \"dir_prob\":88.2, \"time\":1785418200000}", "ticker": "INCY", "setup": "A+ Trend Long", "side": "LONG", "price": 123.11, "stage": 2, "buy": 93.7, "sell": 26.4, "prime": 2, "revL": 0, "revS": 0, "vcp": 0, "time": 1785418200000, "email_id": "2869", "timestamp": "2026-07-30 16:01:39"}</t>
  </si>
  <si>
    <t>Buy: 94 | Sell: 24.7</t>
  </si>
  <si>
    <t>Buy: 96 | Sell: 19.6</t>
  </si>
  <si>
    <t>{"symbol": "EXPE", "strategy": "Daily", "action": "LONG", "alert_price": 294.74, "score": "", "dir_prob": "84.1", "net_sigma": "", "grade": "", "align": "", "premium": "", "wrong_if": "", "context": "", "subject": "Alert: Rev - Screener v1 (SPY, 12): Any alert() function call", "body": "{\"ticker\":\"EXPE\", \"setup\":\"A+ Trend Long\", \"side\":\"LONG\", \"price\":294.74, \"stage\":2, \"buy\":94, \"sell\":24.7, \"prime\":2, \"revL\":0, \"revS\":0, \"vcp\":0, \"dir_prob\":84.1, \"time\":1785504600000}", "ticker": "EXPE", "setup": "A+ Trend Long", "side": "LONG", "price": 294.74, "stage": 2, "buy": 94, "sell": 24.7, "prime": 2, "revL": 0, "revS": 0, "vcp": 0, "time": 1785504600000, "email_id": "2972", "timestamp": "2026-07-31 16:01:13"}</t>
  </si>
  <si>
    <t>CNP</t>
  </si>
  <si>
    <t>Buy: 25.1 | Sell: 25.1</t>
  </si>
  <si>
    <t>{"symbol": "ACGL", "strategy": "Daily", "action": "LONG", "alert_price": 101.14, "score": "", "dir_prob": "91.9", "net_sigma": "", "grade": "", "align": "", "premium": "", "wrong_if": "", "context": "", "subject": "Alert: Rev - Screener v1 (SPY, 12): Any alert() function call", "body": "{\"ticker\":\"ACGL\", \"setup\":\"A+ Trend Long\", \"side\":\"LONG\", \"price\":101.14, \"stage\":2, \"buy\":96, \"sell\":19.6, \"prime\":2, \"revL\":0, \"revS\":0, \"vcp\":1, \"dir_prob\":91.9, \"time\":1785418200000}", "ticker": "ACGL", "setup": "A+ Trend Long", "side": "LONG", "price": 101.14, "stage": 2, "buy": 96, "sell": 19.6, "prime": 2, "revL": 0, "revS": 0, "vcp": 1, "time": 1785418200000, "email_id": "2870", "timestamp": "2026-07-30 16:01:50"}</t>
  </si>
  <si>
    <t>Buy: 93.9 | Sell: 16.8</t>
  </si>
  <si>
    <t>{"symbol": "CNP", "strategy": "Daily", "action": "LONG", "alert_price": 42.05, "score": "", "dir_prob": "45.7", "net_sigma": "", "grade": "", "align": "", "premium": "", "wrong_if": "", "context": "", "subject": "Alert: Rev - Screener v1 (SPY, 12): Any alert() function call", "body": "{\"ticker\":\"CNP\", \"setup\":\"Research Reversal (Any Stage)\", \"side\":\"LONG\", \"price\":42.05, \"stage\":4, \"buy\":25.1, \"sell\":25.1, \"prime\":0, \"revL\":7.5, \"revS\":0, \"vcp\":-2, \"dir_prob\":45.7, \"time\":1785504600000}", "ticker": "CNP", "setup": "Research Reversal (Any Stage)", "side": "LONG", "price": 42.05, "stage": 4, "buy": 25.1, "sell": 25.1, "prime": 0, "revL": 7.5, "revS": 0, "vcp": -2, "time": 1785504600000, "email_id": "2973", "timestamp": "2026-07-31 16:01:23"}</t>
  </si>
  <si>
    <t>Buy: 94.1 | Sell: 23.3</t>
  </si>
  <si>
    <t>{"symbol": "COR", "strategy": "Daily", "action": "LONG", "alert_price": 311.32, "score": "", "dir_prob": "93", "net_sigma": "", "grade": "", "align": "", "premium": "", "wrong_if": "", "context": "", "subject": "Alert: Rev - Screener v1 (SPY, 12): Any alert() function call", "body": "{\"ticker\":\"COR\", \"setup\":\"A+ Trend Long\", \"side\":\"LONG\", \"price\":311.32, \"stage\":2, \"buy\":94.1, \"sell\":23.3, \"prime\":2, \"revL\":0, \"revS\":0, \"vcp\":0, \"dir_prob\":93, \"time\":1785504600000}", "ticker": "COR", "setup": "A+ Trend Long", "side": "LONG", "price": 311.32, "stage": 2, "buy": 94.1, "sell": 23.3, "prime": 2, "revL": 0, "revS": 0, "vcp": 0, "time": 1785504600000, "email_id": "2974", "timestamp": "2026-07-31 16:01:11"}</t>
  </si>
  <si>
    <t>Buy: 91.4 | Sell: 15.6</t>
  </si>
  <si>
    <t>{"symbol": "VLTO", "strategy": "Daily", "action": "LONG", "alert_price": 94.76, "score": "", "dir_prob": "97.8", "net_sigma": "", "grade": "", "align": "", "premium": "", "wrong_if": "", "context": "", "subject": "Alert: Rev - Screener v1 (SPY, 12): Any alert() function call", "body": "{\"ticker\":\"VLTO\", \"setup\":\"A+ Trend Long\", \"side\":\"LONG\", \"price\":94.76, \"stage\":2, \"buy\":93.9, \"sell\":16.8, \"prime\":2, \"revL\":0, \"revS\":0, \"vcp\":0, \"dir_prob\":97.8, \"time\":1785418200000}", "ticker": "VLTO", "setup": "A+ Trend Long", "side": "LONG", "price": 94.76, "stage": 2, "buy": 93.9, "sell": 16.8, "prime": 2, "revL": 0, "revS": 0, "vcp": 0, "time": 1785418200000, "email_id": "2871", "timestamp": "2026-07-30 16:01:38"}</t>
  </si>
  <si>
    <t>Buy: 89.5 | Sell: 11.4</t>
  </si>
  <si>
    <t>{"symbol": "DLTR", "strategy": "Daily", "action": "LONG", "alert_price": 127.21, "score": "", "dir_prob": "93.7", "net_sigma": "", "grade": "", "align": "", "premium": "", "wrong_if": "", "context": "", "subject": "Alert: Rev - Screener v1 (SPY, 12): Any alert() function call", "body": "{\"ticker\":\"DLTR\", \"setup\":\"A+ Trend Long\", \"side\":\"LONG\", \"price\":127.21, \"stage\":2, \"buy\":91.4, \"sell\":15.6, \"prime\":2, \"revL\":0, \"revS\":0, \"vcp\":1, \"dir_prob\":93.7, \"time\":1785504600000}", "ticker": "DLTR", "setup": "A+ Trend Long", "side": "LONG", "price": 127.21, "stage": 2, "buy": 91.4, "sell": 15.6, "prime": 2, "revL": 0, "revS": 0, "vcp": 1, "time": 1785504600000, "email_id": "2975", "timestamp": "2026-07-31 16:01:22"}</t>
  </si>
  <si>
    <t>Buy: 90.5 | Sell: 45</t>
  </si>
  <si>
    <t>{"symbol": "ALL", "strategy": "Daily", "action": "LONG", "alert_price": 265.37, "score": "", "dir_prob": "87.6", "net_sigma": "", "grade": "", "align": "", "premium": "", "wrong_if": "", "context": "", "subject": "Alert: Rev - Screener v1 (SPY, 12): Any alert() function call", "body": "{\"ticker\":\"ALL\", \"setup\":\"A+ Trend Long\", \"side\":\"LONG\", \"price\":265.37, \"stage\":2, \"buy\":89.5, \"sell\":11.4, \"prime\":2, \"revL\":0, \"revS\":0, \"vcp\":0, \"dir_prob\":87.6, \"time\":1785418200000}", "ticker": "ALL", "setup": "A+ Trend Long", "side": "LONG", "price": 265.37, "stage": 2, "buy": 89.5, "sell": 11.4, "prime": 2, "revL": 0, "revS": 0, "vcp": 0, "time": 1785418200000, "email_id": "2872", "timestamp": "2026-07-30 16:01:47"}</t>
  </si>
  <si>
    <t>{"symbol": "DASH", "strategy": "Daily", "action": "LONG", "alert_price": 196.16, "score": "", "dir_prob": "89.7", "net_sigma": "", "grade": "", "align": "", "premium": "", "wrong_if": "", "context": "", "subject": "Alert: Rev - Screener v1 (SPY, 12): Any alert() function call", "body": "{\"ticker\":\"DASH\", \"setup\":\"A+ Trend Long\", \"side\":\"LONG\", \"price\":196.16, \"stage\":2, \"buy\":90.5, \"sell\":45, \"prime\":2, \"revL\":0, \"revS\":0, \"vcp\":0, \"dir_prob\":89.7, \"time\":1785504600000}", "ticker": "DASH", "setup": "A+ Trend Long", "side": "LONG", "price": 196.16, "stage": 2, "buy": 90.5, "sell": 45, "prime": 2, "revL": 0, "revS": 0, "vcp": 0, "time": 1785504600000, "email_id": "2976", "timestamp": "2026-07-31 16:01:19"}</t>
  </si>
  <si>
    <t>Buy: 90.8 | Sell: 29.2</t>
  </si>
  <si>
    <t>Buy: 96.9 | Sell: 18.7</t>
  </si>
  <si>
    <t>{"symbol": "NSC", "strategy": "Daily", "action": "LONG", "alert_price": 335.7, "score": "", "dir_prob": "92.6", "net_sigma": "", "grade": "", "align": "", "premium": "", "wrong_if": "", "context": "", "subject": "Alert: Rev - Screener v1 (SPY, 12): Any alert() function call", "body": "{\"ticker\":\"NSC\", \"setup\":\"A+ Trend Long\", \"side\":\"LONG\", \"price\":335.70, \"stage\":2, \"buy\":96.9, \"sell\":18.7, \"prime\":2, \"revL\":0, \"revS\":0, \"vcp\":0, \"dir_prob\":92.6, \"time\":1785504600000}", "ticker": "NSC", "setup": "A+ Trend Long", "side": "LONG", "price": 335.7, "stage": 2, "buy": 96.9, "sell": 18.7, "prime": 2, "revL": 0, "revS": 0, "vcp": 0, "time": 1785504600000, "email_id": "2977", "timestamp": "2026-07-31 16:01:18"}</t>
  </si>
  <si>
    <t>{"symbol": "RJF", "strategy": "Daily", "action": "LONG", "alert_price": 175.02, "score": "", "dir_prob": "88.5", "net_sigma": "", "grade": "", "align": "", "premium": "", "wrong_if": "", "context": "", "subject": "Alert: Rev - Screener v1 (SPY, 12): Any alert() function call", "body": "{\"ticker\":\"RJF\", \"setup\":\"A+ Trend Long\", \"side\":\"LONG\", \"price\":175.02, \"stage\":2, \"buy\":90.8, \"sell\":29.2, \"prime\":2, \"revL\":0, \"revS\":0, \"vcp\":0, \"dir_prob\":88.5, \"time\":1785418200000}", "ticker": "RJF", "setup": "A+ Trend Long", "side": "LONG", "price": 175.02, "stage": 2, "buy": 90.8, "sell": 29.2, "prime": 2, "revL": 0, "revS": 0, "vcp": 0, "time": 1785418200000, "email_id": "2873", "timestamp": "2026-07-30 16:01:40"}</t>
  </si>
  <si>
    <t>Buy: 93.2 | Sell: 32.1</t>
  </si>
  <si>
    <t>{"symbol": "KHC", "strategy": "Daily", "action": "LONG", "alert_price": 25.86, "score": "", "dir_prob": "94.9", "net_sigma": "", "grade": "", "align": "", "premium": "", "wrong_if": "", "context": "", "subject": "Alert: Rev - Screener v1 (SPY, 12): Any alert() function call", "body": "{\"ticker\":\"KHC\", \"setup\":\"A+ Trend Long\", \"side\":\"LONG\", \"price\":25.86, \"stage\":2, \"buy\":96.2, \"sell\":12, \"prime\":2, \"revL\":0, \"revS\":0, \"vcp\":0, \"dir_prob\":94.9, \"time\":1785504600000}", "ticker": "KHC", "setup": "A+ Trend Long", "side": "LONG", "price": 25.86, "stage": 2, "buy": 96.2, "sell": 12, "prime": 2, "revL": 0, "revS": 0, "vcp": 0, "time": 1785504600000, "email_id": "2978", "timestamp": "2026-07-31 16:01:15"}</t>
  </si>
  <si>
    <t>Buy: 94.3 | Sell: 7.8</t>
  </si>
  <si>
    <t>{"symbol": "BXP", "strategy": "Daily", "action": "LONG", "alert_price": 71.69, "score": "", "dir_prob": "88.7", "net_sigma": "", "grade": "", "align": "", "premium": "", "wrong_if": "", "context": "", "subject": "Alert: Rev - Screener v1 (SPY, 12): Any alert() function call", "body": "{\"ticker\":\"BXP\", \"setup\":\"A+ Trend Long\", \"side\":\"LONG\", \"price\":71.69, \"stage\":2, \"buy\":93.2, \"sell\":32.1, \"prime\":2, \"revL\":0, \"revS\":0, \"vcp\":0, \"dir_prob\":88.7, \"time\":1785418200000}", "ticker": "BXP", "setup": "A+ Trend Long", "side": "LONG", "price": 71.69, "stage": 2, "buy": 93.2, "sell": 32.1, "prime": 2, "revL": 0, "revS": 0, "vcp": 0, "time": 1785418200000, "email_id": "2874", "timestamp": "2026-07-30 16:01:48"}</t>
  </si>
  <si>
    <t>Buy: 86.9 | Sell: 23.5</t>
  </si>
  <si>
    <t>{"symbol": "WRB", "strategy": "Daily", "action": "LONG", "alert_price": 72.58, "score": "", "dir_prob": "95.6", "net_sigma": "", "grade": "", "align": "", "premium": "", "wrong_if": "", "context": "", "subject": "Alert: Rev - Screener v1 (SPY, 12): Any alert() function call", "body": "{\"ticker\":\"WRB\", \"setup\":\"A+ Trend Long\", \"side\":\"LONG\", \"price\":72.58, \"stage\":2, \"buy\":94.3, \"sell\":7.8, \"prime\":2, \"revL\":0, \"revS\":0, \"vcp\":0, \"dir_prob\":95.6, \"time\":1785504600000}", "ticker": "WRB", "setup": "A+ Trend Long", "side": "LONG", "price": 72.58, "stage": 2, "buy": 94.3, "sell": 7.8, "prime": 2, "revL": 0, "revS": 0, "vcp": 0, "time": 1785504600000, "email_id": "2979", "timestamp": "2026-07-31 16:01:20"}</t>
  </si>
  <si>
    <t>Buy: 95 | Sell: 20.5</t>
  </si>
  <si>
    <t>{"symbol": "PRU", "strategy": "Daily", "action": "LONG", "alert_price": 122.11, "score": "", "dir_prob": "89.7", "net_sigma": "", "grade": "", "align": "", "premium": "", "wrong_if": "", "context": "", "subject": "Alert: Rev - Screener v1 (SPY, 12): Any alert() function call", "body": "{\"ticker\":\"PRU\", \"setup\":\"A+ Trend Long\", \"side\":\"LONG\", \"price\":122.11, \"stage\":2, \"buy\":95, \"sell\":20.5, \"prime\":2, \"revL\":0, \"revS\":0, \"vcp\":0, \"dir_prob\":89.7, \"time\":1785504600000}", "ticker": "PRU", "setup": "A+ Trend Long", "side": "LONG", "price": 122.11, "stage": 2, "buy": 95, "sell": 20.5, "prime": 2, "revL": 0, "revS": 0, "vcp": 0, "time": 1785504600000, "email_id": "2981", "timestamp": "2026-07-31 16:01:04"}</t>
  </si>
  <si>
    <t>{"symbol": "SHW", "strategy": "Daily", "action": "LONG", "alert_price": 344.91, "score": "", "dir_prob": "90.4", "net_sigma": "", "grade": "", "align": "", "premium": "", "wrong_if": "", "context": "", "subject": "Alert: Rev - Screener v1 (SPY, 12): Any alert() function call", "body": "{\"ticker\":\"SHW\", \"setup\":\"A+ Trend Long\", \"side\":\"LONG\", \"price\":344.91, \"stage\":2, \"buy\":86.9, \"sell\":23.5, \"prime\":2, \"revL\":0, \"revS\":0, \"vcp\":0, \"dir_prob\":90.4, \"time\":1785418200000}", "ticker": "SHW", "setup": "A+ Trend Long", "side": "LONG", "price": 344.91, "stage": 2, "buy": 86.9, "sell": 23.5, "prime": 2, "revL": 0, "revS": 0, "vcp": 0, "time": 1785418200000, "email_id": "2875", "timestamp": "2026-07-30 16:01:59"}</t>
  </si>
  <si>
    <t>Buy: 87.3 | Sell: 40.2</t>
  </si>
  <si>
    <t>Buy: 90.8 | Sell: 33.1</t>
  </si>
  <si>
    <t>{"symbol": "BNY", "strategy": "Daily", "action": "LONG", "alert_price": 156.35, "score": "", "dir_prob": "68.2", "net_sigma": "", "grade": "", "align": "", "premium": "", "wrong_if": "", "context": "", "subject": "Alert: Rev - Screener v1 (SPY, 12): Any alert() function call", "body": "{\"ticker\":\"BNY\", \"setup\":\"A+ Trend Long\", \"side\":\"LONG\", \"price\":156.35, \"stage\":2, \"buy\":87.3, \"sell\":40.2, \"prime\":2, \"revL\":0, \"revS\":0, \"vcp\":0, \"dir_prob\":68.2, \"time\":1785504600000}", "ticker": "BNY", "setup": "A+ Trend Long", "side": "LONG", "price": 156.35, "stage": 2, "buy": 87.3, "sell": 40.2, "prime": 2, "revL": 0, "revS": 0, "vcp": 0, "time": 1785504600000, "email_id": "2982", "timestamp": "2026-07-31 16:01:24"}</t>
  </si>
  <si>
    <t>{"symbol": "TYL", "strategy": "Daily", "action": "LONG", "alert_price": 323.03, "score": "", "dir_prob": "99.3", "net_sigma": "", "grade": "", "align": "", "premium": "", "wrong_if": "", "context": "", "subject": "Alert: Rev - Screener v1 (SPY, 12): Any alert() function call", "body": "{\"ticker\":\"TYL\", \"setup\":\"Early Ignition\", \"side\":\"LONG\", \"price\":323.03, \"stage\":2, \"buy\":90.8, \"sell\":33.1, \"prime\":0, \"revL\":0, \"revS\":0, \"vcp\":0, \"dir_prob\":99.3, \"time\":1785418200000}", "ticker": "TYL", "setup": "Early Ignition", "side": "LONG", "price": 323.03, "stage": 2, "buy": 90.8, "sell": 33.1, "prime": 0, "revL": 0, "revS": 0, "vcp": 0, "time": 1785418200000, "email_id": "2876", "timestamp": "2026-07-30 16:01:50"}</t>
  </si>
  <si>
    <t>Buy: 90.4 | Sell: 38.6</t>
  </si>
  <si>
    <t>{"symbol": "VRSK", "strategy": "Daily", "action": "LONG", "alert_price": 194.89, "score": "", "dir_prob": "97", "net_sigma": "", "grade": "", "align": "", "premium": "", "wrong_if": "", "context": "", "subject": "Alert: Rev - Screener v1 (SPY, 12): Any alert() function call", "body": "{\"ticker\":\"VRSK\", \"setup\":\"A+ Trend Long\", \"side\":\"LONG\", \"price\":194.89, \"stage\":2, \"buy\":97.4, \"sell\":13.7, \"prime\":2, \"revL\":0, \"revS\":0, \"vcp\":0, \"dir_prob\":97, \"time\":1785504600000}", "ticker": "VRSK", "setup": "A+ Trend Long", "side": "LONG", "price": 194.89, "stage": 2, "buy": 97.4, "sell": 13.7, "prime": 2, "revL": 0, "revS": 0, "vcp": 0, "time": 1785504600000, "email_id": "2983", "timestamp": "2026-07-31 16:01:13"}</t>
  </si>
  <si>
    <t>Buy: 89.8 | Sell: 25.6</t>
  </si>
  <si>
    <t>{"symbol": "DE", "strategy": "Daily", "action": "LONG", "alert_price": 599.44, "score": "", "dir_prob": "89.6", "net_sigma": "", "grade": "", "align": "", "premium": "", "wrong_if": "", "context": "", "subject": "Alert: Rev - Screener v1 (SPY, 12): Any alert() function call", "body": "{\"ticker\":\"DE\", \"setup\":\"A+ Trend Long\", \"side\":\"LONG\", \"price\":599.44, \"stage\":2, \"buy\":90.4, \"sell\":38.6, \"prime\":2, \"revL\":0, \"revS\":0, \"vcp\":0, \"dir_prob\":89.6, \"time\":1785418200000}", "ticker": "DE", "setup": "A+ Trend Long", "side": "LONG", "price": 599.44, "stage": 2, "buy": 90.4, "sell": 38.6, "prime": 2, "revL": 0, "revS": 0, "vcp": 0, "time": 1785418200000, "email_id": "2877", "timestamp": "2026-07-30 16:01:51"}</t>
  </si>
  <si>
    <t>{"symbol": "SHW", "strategy": "Daily", "action": "LONG", "alert_price": 340.84, "score": "", "dir_prob": "90.6", "net_sigma": "", "grade": "", "align": "", "premium": "", "wrong_if": "", "context": "", "subject": "Alert: Rev - Screener v1 (SPY, 12): Any alert() function call", "body": "{\"ticker\":\"SHW\", \"setup\":\"A+ Trend Long\", \"side\":\"LONG\", \"price\":340.84, \"stage\":2, \"buy\":89.8, \"sell\":25.6, \"prime\":2, \"revL\":0, \"revS\":0, \"vcp\":0, \"dir_prob\":90.6, \"time\":1785504600000}", "ticker": "SHW", "setup": "A+ Trend Long", "side": "LONG", "price": 340.84, "stage": 2, "buy": 89.8, "sell": 25.6, "prime": 2, "revL": 0, "revS": 0, "vcp": 0, "time": 1785504600000, "email_id": "2984", "timestamp": "2026-07-31 16:01:18"}</t>
  </si>
  <si>
    <t>EFX</t>
  </si>
  <si>
    <t>Buy: 96.8 | Sell: 32.7</t>
  </si>
  <si>
    <t>Buy: 95.1 | Sell: 19.8</t>
  </si>
  <si>
    <t>{"symbol": "EFX", "strategy": "Daily", "action": "LONG", "alert_price": 172.64, "score": "", "dir_prob": "99.4", "net_sigma": "", "grade": "", "align": "", "premium": "", "wrong_if": "", "context": "", "subject": "Alert: Rev - Screener v1 (SPY, 12): Any alert() function call", "body": "{\"ticker\":\"EFX\", \"setup\":\"Bullish Squeeze Release\", \"side\":\"LONG\", \"price\":172.64, \"stage\":2, \"buy\":95.1, \"sell\":19.8, \"prime\":0, \"revL\":0, \"revS\":0, \"vcp\":2, \"dir_prob\":99.4, \"time\":1785504600000}", "ticker": "EFX", "setup": "Bullish Squeeze Release", "side": "LONG", "price": 172.64, "stage": 2, "buy": 95.1, "sell": 19.8, "prime": 0, "revL": 0, "revS": 0, "vcp": 2, "time": 1785504600000, "email_id": "2985", "timestamp": "2026-07-31 16:01:21"}</t>
  </si>
  <si>
    <t>Buy: 96.3 | Sell: 15.9</t>
  </si>
  <si>
    <t>{"symbol": "ES", "strategy": "Daily", "action": "LONG", "alert_price": 73.82, "score": "", "dir_prob": "89.4", "net_sigma": "", "grade": "", "align": "", "premium": "", "wrong_if": "", "context": "", "subject": "Alert: Rev - Screener v1 (SPY, 12): Any alert() function call", "body": "{\"ticker\":\"ES\", \"setup\":\"A+ Trend Long\", \"side\":\"LONG\", \"price\":73.82, \"stage\":2, \"buy\":96.8, \"sell\":32.7, \"prime\":2, \"revL\":0, \"revS\":0, \"vcp\":1, \"dir_prob\":89.4, \"time\":1785418200000}", "ticker": "ES", "setup": "A+ Trend Long", "side": "LONG", "price": 73.82, "stage": 2, "buy": 96.8, "sell": 32.7, "prime": 2, "revL": 0, "revS": 0, "vcp": 1, "time": 1785418200000, "email_id": "2878", "timestamp": "2026-07-30 16:01:39"}</t>
  </si>
  <si>
    <t>Buy: 94.7 | Sell: 9.5</t>
  </si>
  <si>
    <t>{"symbol": "VLTO", "strategy": "Daily", "action": "LONG", "alert_price": 94.18, "score": "", "dir_prob": "98", "net_sigma": "", "grade": "", "align": "", "premium": "", "wrong_if": "", "context": "", "subject": "Alert: Rev - Screener v1 (SPY, 12): Any alert() function call", "body": "{\"ticker\":\"VLTO\", \"setup\":\"A+ Trend Long\", \"side\":\"LONG\", \"price\":94.18, \"stage\":2, \"buy\":96.3, \"sell\":15.9, \"prime\":2, \"revL\":0, \"revS\":0, \"vcp\":0, \"dir_prob\":98, \"time\":1785504600000}", "ticker": "VLTO", "setup": "A+ Trend Long", "side": "LONG", "price": 94.18, "stage": 2, "buy": 96.3, "sell": 15.9, "prime": 2, "revL": 0, "revS": 0, "vcp": 0, "time": 1785504600000, "email_id": "2980", "timestamp": "2026-07-31 16:01:20"}</t>
  </si>
  <si>
    <t>Buy: 93.6 | Sell: 10.7</t>
  </si>
  <si>
    <t>{"symbol": "PNC", "strategy": "Daily", "action": "LONG", "alert_price": 248.73, "score": "", "dir_prob": "92.8", "net_sigma": "", "grade": "", "align": "", "premium": "", "wrong_if": "", "context": "", "subject": "Alert: Rev - Screener v1 (SPY, 12): Any alert() function call", "body": "{\"ticker\":\"PNC\", \"setup\":\"A+ Trend Long\", \"side\":\"LONG\", \"price\":248.73, \"stage\":2, \"buy\":94.7, \"sell\":9.5, \"prime\":2, \"revL\":0, \"revS\":0, \"vcp\":1, \"dir_prob\":92.8, \"time\":1785418200000}", "ticker": "PNC", "setup": "A+ Trend Long", "side": "LONG", "price": 248.73, "stage": 2, "buy": 94.7, "sell": 9.5, "prime": 2, "revL": 0, "revS": 0, "vcp": 1, "time": 1785418200000, "email_id": "2879", "timestamp": "2026-07-30 16:02:01"}</t>
  </si>
  <si>
    <t>{"symbol": "NWS", "strategy": "Daily", "action": "LONG", "alert_price": 31.27, "score": "", "dir_prob": "96.4", "net_sigma": "", "grade": "", "align": "", "premium": "", "wrong_if": "", "context": "", "subject": "Alert: Rev - Screener v1 (SPY, 12): Any alert() function call", "body": "{\"ticker\":\"NWS\", \"setup\":\"A+ Trend Long\", \"side\":\"LONG\", \"price\":31.27, \"stage\":2, \"buy\":93.6, \"sell\":10.7, \"prime\":2, \"revL\":0, \"revS\":0, \"vcp\":0, \"dir_prob\":96.4, \"time\":1785504600000}", "ticker": "NWS", "setup": "A+ Trend Long", "side": "LONG", "price": 31.27, "stage": 2, "buy": 93.6, "sell": 10.7, "prime": 2, "revL": 0, "revS": 0, "vcp": 0, "time": 1785504600000, "email_id": "2986", "timestamp": "2026-07-31 16:01:25"}</t>
  </si>
  <si>
    <t>Buy: 25.1 | Sell: 53.4</t>
  </si>
  <si>
    <t>{"symbol": "DXCM", "strategy": "Daily", "action": "LONG", "alert_price": 83.45, "score": "", "dir_prob": "39.3", "net_sigma": "", "grade": "", "align": "", "premium": "", "wrong_if": "", "context": "", "subject": "Alert: Rev - Screener v1 (SPY, 12): Any alert() function call", "body": "{\"ticker\":\"DXCM\", \"setup\":\"Bullish Squeeze Release\", \"side\":\"LONG\", \"price\":83.45, \"stage\":2, \"buy\":25.1, \"sell\":53.4, \"prime\":0, \"revL\":0, \"revS\":0, \"vcp\":2, \"dir_prob\":39.3, \"time\":1785504600000}", "ticker": "DXCM", "setup": "Bullish Squeeze Release", "side": "LONG", "price": 83.45, "stage": 2, "buy": 25.1, "sell": 53.4, "prime": 0, "revL": 0, "revS": 0, "vcp": 2, "time": 1785504600000, "email_id": "2987", "timestamp": "2026-07-31 16:01:24"}</t>
  </si>
  <si>
    <t>BLK</t>
  </si>
  <si>
    <t>{"symbol": "JKHY", "strategy": "Daily", "action": "LONG", "alert_price": 154.15, "score": "", "dir_prob": "97.7", "net_sigma": "", "grade": "", "align": "", "premium": "", "wrong_if": "", "context": "", "subject": "Alert: Rev - Screener v1 (SPY, 12): Any alert() function call", "body": "{\"ticker\":\"JKHY\", \"setup\":\"A+ Trend Long\", \"side\":\"LONG\", \"price\":154.15, \"stage\":2, \"buy\":94.6, \"sell\":9.5, \"prime\":2, \"revL\":0, \"revS\":0, \"vcp\":0, \"dir_prob\":97.7, \"time\":1785418200000}", "ticker": "JKHY", "setup": "A+ Trend Long", "side": "LONG", "price": 154.15, "stage": 2, "buy": 94.6, "sell": 9.5, "prime": 2, "revL": 0, "revS": 0, "vcp": 0, "time": 1785418200000, "email_id": "2880", "timestamp": "2026-07-30 16:01:54"}</t>
  </si>
  <si>
    <t>Buy: 89.8 | Sell: 29.1</t>
  </si>
  <si>
    <t>Buy: 97.1 | Sell: 11</t>
  </si>
  <si>
    <t>{"symbol": "BLK", "strategy": "Daily", "action": "LONG", "alert_price": 1090.31, "score": "", "dir_prob": "91.7", "net_sigma": "", "grade": "", "align": "", "premium": "", "wrong_if": "", "context": "", "subject": "Alert: Rev - Screener v1 (SPY, 12): Any alert() function call", "body": "{\"ticker\":\"BLK\", \"setup\":\"A+ Trend Long\", \"side\":\"LONG\", \"price\":1090.31, \"stage\":2, \"buy\":89.8, \"sell\":29.1, \"prime\":2, \"revL\":0, \"revS\":0, \"vcp\":0, \"dir_prob\":91.7, \"time\":1785504600000}", "ticker": "BLK", "setup": "A+ Trend Long", "side": "LONG", "price": 1090.31, "stage": 2, "buy": 89.8, "sell": 29.1, "prime": 2, "revL": 0, "revS": 0, "vcp": 0, "time": 1785504600000, "email_id": "2988", "timestamp": "2026-07-31 16:01:21"}</t>
  </si>
  <si>
    <t>Buy: 93.6 | Sell: 39.6</t>
  </si>
  <si>
    <t>{"symbol": "NSC", "strategy": "Daily", "action": "LONG", "alert_price": 333.93, "score": "", "dir_prob": "94", "net_sigma": "", "grade": "", "align": "", "premium": "", "wrong_if": "", "context": "", "subject": "Alert: Rev - Screener v1 (SPY, 12): Any alert() function call", "body": "{\"ticker\":\"NSC\", \"setup\":\"A+ Trend Long\", \"side\":\"LONG\", \"price\":333.93, \"stage\":2, \"buy\":97.1, \"sell\":11, \"prime\":2, \"revL\":0, \"revS\":0, \"vcp\":0, \"dir_prob\":94, \"time\":1785418200000}", "ticker": "NSC", "setup": "A+ Trend Long", "side": "LONG", "price": 333.93, "stage": 2, "buy": 97.1, "sell": 11, "prime": 2, "revL": 0, "revS": 0, "vcp": 0, "time": 1785418200000, "email_id": "2881", "timestamp": "2026-07-30 16:01:58"}</t>
  </si>
  <si>
    <t>Buy: 93.3 | Sell: 15.5</t>
  </si>
  <si>
    <t>{"symbol": "HRL", "strategy": "Daily", "action": "LONG", "alert_price": 25.02, "score": "", "dir_prob": "87.1", "net_sigma": "", "grade": "", "align": "", "premium": "", "wrong_if": "", "context": "", "subject": "Alert: Rev - Screener v1 (SPY, 12): Any alert() function call", "body": "{\"ticker\":\"HRL\", \"setup\":\"A+ Trend Long\", \"side\":\"LONG\", \"price\":25.02, \"stage\":2, \"buy\":93.6, \"sell\":39.6, \"prime\":2, \"revL\":0, \"revS\":0, \"vcp\":1, \"dir_prob\":87.1, \"time\":1785504600000}", "ticker": "HRL", "setup": "A+ Trend Long", "side": "LONG", "price": 25.02, "stage": 2, "buy": 93.6, "sell": 39.6, "prime": 2, "revL": 0, "revS": 0, "vcp": 1, "time": 1785504600000, "email_id": "2989", "timestamp": "2026-07-31 16:01:18"}</t>
  </si>
  <si>
    <t>Buy: 92.8 | Sell: 14.1</t>
  </si>
  <si>
    <t>{"symbol": "ITW", "strategy": "Daily", "action": "LONG", "alert_price": 283.7, "score": "", "dir_prob": "92.9", "net_sigma": "", "grade": "", "align": "", "premium": "", "wrong_if": "", "context": "", "subject": "Alert: Rev - Screener v1 (SPY, 12): Any alert() function call", "body": "{\"ticker\":\"ITW\", \"setup\":\"A+ Trend Long\", \"side\":\"LONG\", \"price\":283.70, \"stage\":2, \"buy\":93.3, \"sell\":15.5, \"prime\":2, \"revL\":0, \"revS\":0, \"vcp\":0, \"dir_prob\":92.9, \"time\":1785418200000}", "ticker": "ITW", "setup": "A+ Trend Long", "side": "LONG", "price": 283.7, "stage": 2, "buy": 93.3, "sell": 15.5, "prime": 2, "revL": 0, "revS": 0, "vcp": 0, "time": 1785418200000, "email_id": "2882", "timestamp": "2026-07-30 16:01:44"}</t>
  </si>
  <si>
    <t>{"symbol": "IP", "strategy": "Daily", "action": "LONG", "alert_price": 40.81, "score": "", "dir_prob": "96.9", "net_sigma": "", "grade": "", "align": "", "premium": "", "wrong_if": "", "context": "", "subject": "Alert: Rev - Screener v1 (SPY, 12): Any alert() function call", "body": "{\"ticker\":\"IP\", \"setup\":\"A+ Trend Long\", \"side\":\"LONG\", \"price\":40.81, \"stage\":2, \"buy\":92.8, \"sell\":14.1, \"prime\":2, \"revL\":0, \"revS\":0, \"vcp\":0, \"dir_prob\":96.9, \"time\":1785504600000}", "ticker": "IP", "setup": "A+ Trend Long", "side": "LONG", "price": 40.81, "stage": 2, "buy": 92.8, "sell": 14.1, "prime": 2, "revL": 0, "revS": 0, "vcp": 0, "time": 1785504600000, "email_id": "2990", "timestamp": "2026-07-31 16:01:29"}</t>
  </si>
  <si>
    <t>Buy: 96.3 | Sell: 12.8</t>
  </si>
  <si>
    <t>Buy: 94.7 | Sell: 6.8</t>
  </si>
  <si>
    <t>{"symbol": "TRV", "strategy": "Daily", "action": "LONG", "alert_price": 374.35, "score": "", "dir_prob": "93.9", "net_sigma": "", "grade": "", "align": "", "premium": "", "wrong_if": "", "context": "", "subject": "Alert: Rev - Screener v1 (SPY, 12): Any alert() function call", "body": "{\"ticker\":\"TRV\", \"setup\":\"A+ Trend Long\", \"side\":\"LONG\", \"price\":374.35, \"stage\":2, \"buy\":94.7, \"sell\":6.8, \"prime\":2, \"revL\":0, \"revS\":0, \"vcp\":0, \"dir_prob\":93.9, \"time\":1785504600000}", "ticker": "TRV", "setup": "A+ Trend Long", "side": "LONG", "price": 374.35, "stage": 2, "buy": 94.7, "sell": 6.8, "prime": 2, "revL": 0, "revS": 0, "vcp": 0, "time": 1785504600000, "email_id": "2991", "timestamp": "2026-07-31 16:01:23"}</t>
  </si>
  <si>
    <t>SJM</t>
  </si>
  <si>
    <t>Buy: 88.4 | Sell: 14.2</t>
  </si>
  <si>
    <t>{"symbol": "VTR", "strategy": "Daily", "action": "LONG", "alert_price": 91.93, "score": "", "dir_prob": "89.5", "net_sigma": "", "grade": "", "align": "", "premium": "", "wrong_if": "", "context": "", "subject": "Alert: Rev - Screener v1 (SPY, 12): Any alert() function call", "body": "{\"ticker\":\"VTR\", \"setup\":\"A+ Trend Long\", \"side\":\"LONG\", \"price\":91.93, \"stage\":2, \"buy\":96.3, \"sell\":12.8, \"prime\":2, \"revL\":0, \"revS\":0, \"vcp\":0, \"dir_prob\":89.5, \"time\":1785418200000}", "ticker": "VTR", "setup": "A+ Trend Long", "side": "LONG", "price": 91.93, "stage": 2, "buy": 96.3, "sell": 12.8, "prime": 2, "revL": 0, "revS": 0, "vcp": 0, "time": 1785418200000, "email_id": "2883", "timestamp": "2026-07-30 16:02:04"}</t>
  </si>
  <si>
    <t>Buy: 91.4 | Sell: 36.1</t>
  </si>
  <si>
    <t>{"symbol": "SJM", "strategy": "Daily", "action": "LONG", "alert_price": 119.28, "score": "", "dir_prob": "91.6", "net_sigma": "", "grade": "", "align": "", "premium": "", "wrong_if": "", "context": "", "subject": "Alert: Rev - Screener v1 (SPY, 12): Any alert() function call", "body": "{\"ticker\":\"SJM\", \"setup\":\"A+ Trend Long\", \"side\":\"LONG\", \"price\":119.28, \"stage\":2, \"buy\":88.4, \"sell\":14.2, \"prime\":2, \"revL\":0, \"revS\":0, \"vcp\":0, \"dir_prob\":91.6, \"time\":1785504600000}", "ticker": "SJM", "setup": "A+ Trend Long", "side": "LONG", "price": 119.28, "stage": 2, "buy": 88.4, "sell": 14.2, "prime": 2, "revL": 0, "revS": 0, "vcp": 0, "time": 1785504600000, "email_id": "2992", "timestamp": "2026-07-31 16:01:22"}</t>
  </si>
  <si>
    <t>Buy: 96.8 | Sell: 22</t>
  </si>
  <si>
    <t>{"symbol": "AMCR", "strategy": "Daily", "action": "LONG", "alert_price": 45.15, "score": "", "dir_prob": "85.9", "net_sigma": "", "grade": "", "align": "", "premium": "", "wrong_if": "", "context": "", "subject": "Alert: Rev - Screener v1 (SPY, 12): Any alert() function call", "body": "{\"ticker\":\"AMCR\", \"setup\":\"A+ Trend Long\", \"side\":\"LONG\", \"price\":45.15, \"stage\":2, \"buy\":91.4, \"sell\":36.1, \"prime\":2, \"revL\":0, \"revS\":0, \"vcp\":0, \"dir_prob\":85.9, \"time\":1785418200000}", "ticker": "AMCR", "setup": "A+ Trend Long", "side": "LONG", "price": 45.15, "stage": 2, "buy": 91.4, "sell": 36.1, "prime": 2, "revL": 0, "revS": 0, "vcp": 0, "time": 1785418200000, "email_id": "2884", "timestamp": "2026-07-30 16:01:54"}</t>
  </si>
  <si>
    <t>{"symbol": "UNP", "strategy": "Daily", "action": "LONG", "alert_price": 292.14, "score": "", "dir_prob": "89.5", "net_sigma": "", "grade": "", "align": "", "premium": "", "wrong_if": "", "context": "", "subject": "Alert: Rev - Screener v1 (SPY, 12): Any alert() function call", "body": "{\"ticker\":\"UNP\", \"setup\":\"A+ Trend Long\", \"side\":\"LONG\", \"price\":292.14, \"stage\":2, \"buy\":96.8, \"sell\":22, \"prime\":2, \"revL\":0, \"revS\":0, \"vcp\":0, \"dir_prob\":89.5, \"time\":1785504600000}", "ticker": "UNP", "setup": "A+ Trend Long", "side": "LONG", "price": 292.14, "stage": 2, "buy": 96.8, "sell": 22, "prime": 2, "revL": 0, "revS": 0, "vcp": 0, "time": 1785504600000, "email_id": "2993", "timestamp": "2026-07-31 16:01:12"}</t>
  </si>
  <si>
    <t>Buy: 92.1 | Sell: 36.5</t>
  </si>
  <si>
    <t>Buy: 95.4 | Sell: 13.2</t>
  </si>
  <si>
    <t>{"symbol": "ITW", "strategy": "Daily", "action": "LONG", "alert_price": 286.96, "score": "", "dir_prob": "93.7", "net_sigma": "", "grade": "", "align": "", "premium": "", "wrong_if": "", "context": "", "subject": "Alert: Rev - Screener v1 (SPY, 12): Any alert() function call", "body": "{\"ticker\":\"ITW\", \"setup\":\"A+ Trend Long\", \"side\":\"LONG\", \"price\":286.96, \"stage\":2, \"buy\":95.4, \"sell\":13.2, \"prime\":2, \"revL\":0, \"revS\":0, \"vcp\":0, \"dir_prob\":93.7, \"time\":1785504600000}", "ticker": "ITW", "setup": "A+ Trend Long", "side": "LONG", "price": 286.96, "stage": 2, "buy": 95.4, "sell": 13.2, "prime": 2, "revL": 0, "revS": 0, "vcp": 0, "time": 1785504600000, "email_id": "2994", "timestamp": "2026-07-31 16:01:28"}</t>
  </si>
  <si>
    <t>Buy: 92.2 | Sell: 34.1</t>
  </si>
  <si>
    <t>{"symbol": "VTRS", "strategy": "Daily", "action": "LONG", "alert_price": 17.77, "score": "", "dir_prob": "80.1", "net_sigma": "", "grade": "", "align": "", "premium": "", "wrong_if": "", "context": "", "subject": "Alert: Rev - Screener v1 (SPY, 12): Any alert() function call", "body": "{\"ticker\":\"VTRS\", \"setup\":\"A+ Trend Long\", \"side\":\"LONG\", \"price\":17.77, \"stage\":2, \"buy\":92.1, \"sell\":36.5, \"prime\":2, \"revL\":0, \"revS\":0, \"vcp\":0, \"dir_prob\":80.1, \"time\":1785418200000}", "ticker": "VTRS", "setup": "A+ Trend Long", "side": "LONG", "price": 17.77, "stage": 2, "buy": 92.1, "sell": 36.5, "prime": 2, "revL": 0, "revS": 0, "vcp": 0, "time": 1785418200000, "email_id": "2885", "timestamp": "2026-07-30 16:01:53"}</t>
  </si>
  <si>
    <t>Buy: 91.5 | Sell: 17</t>
  </si>
  <si>
    <t>{"symbol": "TECH", "strategy": "Daily", "action": "LONG", "alert_price": 72.1, "score": "", "dir_prob": "90.5", "net_sigma": "", "grade": "", "align": "", "premium": "", "wrong_if": "", "context": "", "subject": "Alert: Rev - Screener v1 (SPY, 12): Any alert() function call", "body": "{\"ticker\":\"TECH\", \"setup\":\"A+ Trend Long\", \"side\":\"LONG\", \"price\":72.10, \"stage\":2, \"buy\":92.2, \"sell\":34.1, \"prime\":2, \"revL\":0, \"revS\":0, \"vcp\":1, \"dir_prob\":90.5, \"time\":1785504600000}", "ticker": "TECH", "setup": "A+ Trend Long", "side": "LONG", "price": 72.1, "stage": 2, "buy": 92.2, "sell": 34.1, "prime": 2, "revL": 0, "revS": 0, "vcp": 1, "time": 1785504600000, "email_id": "2995", "timestamp": "2026-07-31 16:01:12"}</t>
  </si>
  <si>
    <t>Buy: 93.9 | Sell: 8.3</t>
  </si>
  <si>
    <t>{"symbol": "XYZ", "strategy": "Daily", "action": "LONG", "alert_price": 82.61, "score": "", "dir_prob": "91.6", "net_sigma": "", "grade": "", "align": "", "premium": "", "wrong_if": "", "context": "", "subject": "Alert: Rev - Screener v1 (SPY, 12): Any alert() function call", "body": "{\"ticker\":\"XYZ\", \"setup\":\"A+ Trend Long\", \"side\":\"LONG\", \"price\":82.61, \"stage\":2, \"buy\":91.5, \"sell\":17, \"prime\":2, \"revL\":0, \"revS\":0, \"vcp\":1, \"dir_prob\":91.6, \"time\":1785418200000}", "ticker": "XYZ", "setup": "A+ Trend Long", "side": "LONG", "price": 82.61, "stage": 2, "buy": 91.5, "sell": 17, "prime": 2, "revL": 0, "revS": 0, "vcp": 1, "time": 1785418200000, "email_id": "2886", "timestamp": "2026-07-30 16:01:55"}</t>
  </si>
  <si>
    <t>{"symbol": "SCHW", "strategy": "Daily", "action": "LONG", "alert_price": 105.24, "score": "", "dir_prob": "96.4", "net_sigma": "", "grade": "", "align": "", "premium": "", "wrong_if": "", "context": "", "subject": "Alert: Rev - Screener v1 (SPY, 12): Any alert() function call", "body": "{\"ticker\":\"SCHW\", \"setup\":\"A+ Trend Long\", \"side\":\"LONG\", \"price\":105.24, \"stage\":2, \"buy\":93.9, \"sell\":8.3, \"prime\":2, \"revL\":0, \"revS\":0, \"vcp\":1, \"dir_prob\":96.4, \"time\":1785504600000}", "ticker": "SCHW", "setup": "A+ Trend Long", "side": "LONG", "price": 105.24, "stage": 2, "buy": 93.9, "sell": 8.3, "prime": 2, "revL": 0, "revS": 0, "vcp": 1, "time": 1785504600000, "email_id": "2996", "timestamp": "2026-07-31 16:01:25"}</t>
  </si>
  <si>
    <t>Buy: 88.5 | Sell: 37.4</t>
  </si>
  <si>
    <t>Buy: 90.6 | Sell: 17</t>
  </si>
  <si>
    <t>{"symbol": "HRL", "strategy": "Daily", "action": "LONG", "alert_price": 25.37, "score": "", "dir_prob": "86.1", "net_sigma": "", "grade": "", "align": "", "premium": "", "wrong_if": "", "context": "", "subject": "Alert: Rev - Screener v1 (SPY, 12): Any alert() function call", "body": "{\"ticker\":\"HRL\", \"setup\":\"A+ Trend Long\", \"side\":\"LONG\", \"price\":25.37, \"stage\":2, \"buy\":88.5, \"sell\":37.4, \"prime\":2, \"revL\":0, \"revS\":0, \"vcp\":1, \"dir_prob\":86.1, \"time\":1785418200000}", "ticker": "HRL", "setup": "A+ Trend Long", "side": "LONG", "price": 25.37, "stage": 2, "buy": 88.5, "sell": 37.4, "prime": 2, "revL": 0, "revS": 0, "vcp": 1, "time": 1785418200000, "email_id": "2887", "timestamp": "2026-07-30 16:01:47"}</t>
  </si>
  <si>
    <t>{"symbol": "MRK", "strategy": "Daily", "action": "LONG", "alert_price": 130.2, "score": "", "dir_prob": "88.5", "net_sigma": "", "grade": "", "align": "", "premium": "", "wrong_if": "", "context": "", "subject": "Alert: Rev - Screener v1 (SPY, 12): Any alert() function call", "body": "{\"ticker\":\"MRK\", \"setup\":\"A+ Trend Long\", \"side\":\"LONG\", \"price\":130.20, \"stage\":2, \"buy\":90.6, \"sell\":17, \"prime\":2, \"revL\":0, \"revS\":0, \"vcp\":0, \"dir_prob\":88.5, \"time\":1785504600000}", "ticker": "MRK", "setup": "A+ Trend Long", "side": "LONG", "price": 130.2, "stage": 2, "buy": 90.6, "sell": 17, "prime": 2, "revL": 0, "revS": 0, "vcp": 0, "time": 1785504600000, "email_id": "2997", "timestamp": "2026-07-31 16:01:27"}</t>
  </si>
  <si>
    <t>Buy: 89.4 | Sell: 42.3</t>
  </si>
  <si>
    <t>Buy: 97.9 | Sell: 26.6</t>
  </si>
  <si>
    <t>{"symbol": "BALL", "strategy": "Daily", "action": "LONG", "alert_price": 65.32, "score": "", "dir_prob": "88.3", "net_sigma": "", "grade": "", "align": "", "premium": "", "wrong_if": "", "context": "", "subject": "Alert: Rev - Screener v1 (SPY, 12): Any alert() function call", "body": "{\"ticker\":\"BALL\", \"setup\":\"A+ Trend Long\", \"side\":\"LONG\", \"price\":65.32, \"stage\":2, \"buy\":89.4, \"sell\":42.3, \"prime\":2, \"revL\":0, \"revS\":0, \"vcp\":0, \"dir_prob\":88.3, \"time\":1785418200000}", "ticker": "BALL", "setup": "A+ Trend Long", "side": "LONG", "price": 65.32, "stage": 2, "buy": 89.4, "sell": 42.3, "prime": 2, "revL": 0, "revS": 0, "vcp": 0, "time": 1785418200000, "email_id": "2888", "timestamp": "2026-07-30 16:01:51"}</t>
  </si>
  <si>
    <t>{"symbol": "FE", "strategy": "Daily", "action": "LONG", "alert_price": 48.31, "score": "", "dir_prob": "88.4", "net_sigma": "", "grade": "", "align": "", "premium": "", "wrong_if": "", "context": "", "subject": "Alert: Rev - Screener v1 (SPY, 12): Any alert() function call", "body": "{\"ticker\":\"FE\", \"setup\":\"A+ Trend Long\", \"side\":\"LONG\", \"price\":48.31, \"stage\":2, \"buy\":97.9, \"sell\":26.6, \"prime\":2, \"revL\":0, \"revS\":0, \"vcp\":1, \"dir_prob\":88.4, \"time\":1785504600000}", "ticker": "FE", "setup": "A+ Trend Long", "side": "LONG", "price": 48.31, "stage": 2, "buy": 97.9, "sell": 26.6, "prime": 2, "revL": 0, "revS": 0, "vcp": 1, "time": 1785504600000, "email_id": "2998", "timestamp": "2026-07-31 16:01:22"}</t>
  </si>
  <si>
    <t>Buy: 92.4 | Sell: 30.3</t>
  </si>
  <si>
    <t>Buy: 90.9 | Sell: 31.4</t>
  </si>
  <si>
    <t>{"symbol": "CF", "strategy": "Daily", "action": "LONG", "alert_price": 125.19, "score": "", "dir_prob": "95.3", "net_sigma": "", "grade": "", "align": "", "premium": "", "wrong_if": "", "context": "", "subject": "Alert: Rev - Screener v1 (SPY, 12): Any alert() function call", "body": "{\"ticker\":\"CF\", \"setup\":\"A+ Trend Long\", \"side\":\"LONG\", \"price\":125.19, \"stage\":2, \"buy\":90.9, \"sell\":31.4, \"prime\":2, \"revL\":0, \"revS\":0, \"vcp\":0, \"dir_prob\":95.3, \"time\":1785504600000}", "ticker": "CF", "setup": "A+ Trend Long", "side": "LONG", "price": 125.19, "stage": 2, "buy": 90.9, "sell": 31.4, "prime": 2, "revL": 0, "revS": 0, "vcp": 0, "time": 1785504600000, "email_id": "2999", "timestamp": "2026-07-31 16:01:22"}</t>
  </si>
  <si>
    <t>EVRG</t>
  </si>
  <si>
    <t>{"symbol": "EXPE", "strategy": "Daily", "action": "LONG", "alert_price": 293.09, "score": "", "dir_prob": "81.1", "net_sigma": "", "grade": "", "align": "", "premium": "", "wrong_if": "", "context": "", "subject": "Alert: Rev - Screener v1 (SPY, 12): Any alert() function call", "body": "{\"ticker\":\"EXPE\", \"setup\":\"A+ Trend Long\", \"side\":\"LONG\", \"price\":293.09, \"stage\":2, \"buy\":92.4, \"sell\":30.3, \"prime\":2, \"revL\":0, \"revS\":0, \"vcp\":0, \"dir_prob\":81.1, \"time\":1785418200000}", "ticker": "EXPE", "setup": "A+ Trend Long", "side": "LONG", "price": 293.09, "stage": 2, "buy": 92.4, "sell": 30.3, "prime": 2, "revL": 0, "revS": 0, "vcp": 0, "time": 1785418200000, "email_id": "2889", "timestamp": "2026-07-30 16:01:54"}</t>
  </si>
  <si>
    <t>Buy: 15.6 | Sell: 28.3</t>
  </si>
  <si>
    <t>Buy: 95.1 | Sell: 4.2</t>
  </si>
  <si>
    <t>{"symbol": "EVRG", "strategy": "Daily", "action": "LONG", "alert_price": 83.01, "score": "", "dir_prob": "34.8", "net_sigma": "", "grade": "", "align": "", "premium": "", "wrong_if": "", "context": "", "subject": "Alert: Rev - Screener v1 (SPY, 12): Any alert() function call", "body": "{\"ticker\":\"EVRG\", \"setup\":\"Research Reversal (Any Stage)\", \"side\":\"LONG\", \"price\":83.01, \"stage\":4, \"buy\":15.6, \"sell\":28.3, \"prime\":0, \"revL\":9.5, \"revS\":0, \"vcp\":1, \"dir_prob\":34.8, \"time\":1785504600000}", "ticker": "EVRG", "setup": "Research Reversal (Any Stage)", "side": "LONG", "price": 83.01, "stage": 4, "buy": 15.6, "sell": 28.3, "prime": 0, "revL": 9.5, "revS": 0, "vcp": 1, "time": 1785504600000, "email_id": "3002", "timestamp": "2026-07-31 16:01:23"}</t>
  </si>
  <si>
    <t>{"symbol": "MTB", "strategy": "Daily", "action": "LONG", "alert_price": 246.97, "score": "", "dir_prob": "94.2", "net_sigma": "", "grade": "", "align": "", "premium": "", "wrong_if": "", "context": "", "subject": "Alert: Rev - Screener v1 (SPY, 12): Any alert() function call", "body": "{\"ticker\":\"MTB\", \"setup\":\"A+ Trend Long\", \"side\":\"LONG\", \"price\":246.97, \"stage\":2, \"buy\":95.1, \"sell\":4.2, \"prime\":2, \"revL\":0, \"revS\":0, \"vcp\":0, \"dir_prob\":94.2, \"time\":1785418200000}", "ticker": "MTB", "setup": "A+ Trend Long", "side": "LONG", "price": 246.97, "stage": 2, "buy": 95.1, "sell": 4.2, "prime": 2, "revL": 0, "revS": 0, "vcp": 0, "time": 1785418200000, "email_id": "2890", "timestamp": "2026-07-30 16:01:48"}</t>
  </si>
  <si>
    <t>Buy: 18.6 | Sell: 24.7</t>
  </si>
  <si>
    <t>Buy: 93.5 | Sell: 24.9</t>
  </si>
  <si>
    <t>{"symbol": "WEC", "strategy": "Daily", "action": "LONG", "alert_price": 109.4, "score": "", "dir_prob": "44.4", "net_sigma": "", "grade": "", "align": "", "premium": "", "wrong_if": "", "context": "", "subject": "Alert: Rev - Screener v1 (SPY, 12): Any alert() function call", "body": "{\"ticker\":\"WEC\", \"setup\":\"Research Reversal (Any Stage)\", \"side\":\"LONG\", \"price\":109.40, \"stage\":4, \"buy\":18.6, \"sell\":24.7, \"prime\":0, \"revL\":7.5, \"revS\":0, \"vcp\":0, \"dir_prob\":44.4, \"time\":1785504600000}", "ticker": "WEC", "setup": "Research Reversal (Any Stage)", "side": "LONG", "price": 109.4, "stage": 4, "buy": 18.6, "sell": 24.7, "prime": 0, "revL": 7.5, "revS": 0, "vcp": 0, "time": 1785504600000, "email_id": "3004", "timestamp": "2026-07-31 16:01:30"}</t>
  </si>
  <si>
    <t>TGT</t>
  </si>
  <si>
    <t>Buy: 90 | Sell: 15.6</t>
  </si>
  <si>
    <t>{"symbol": "NWSA", "strategy": "Daily", "action": "LONG", "alert_price": 28.1, "score": "", "dir_prob": "94.1", "net_sigma": "", "grade": "", "align": "", "premium": "", "wrong_if": "", "context": "", "subject": "Alert: Rev - Screener v1 (SPY, 12): Any alert() function call", "body": "{\"ticker\":\"NWSA\", \"setup\":\"A+ Trend Long\", \"side\":\"LONG\", \"price\":28.10, \"stage\":2, \"buy\":93.5, \"sell\":24.9, \"prime\":2, \"revL\":0, \"revS\":0, \"vcp\":0, \"dir_prob\":94.1, \"time\":1785418200000}", "ticker": "NWSA", "setup": "A+ Trend Long", "side": "LONG", "price": 28.1, "stage": 2, "buy": 93.5, "sell": 24.9, "prime": 2, "revL": 0, "revS": 0, "vcp": 0, "time": 1785418200000, "email_id": "2891", "timestamp": "2026-07-30 16:02:07"}</t>
  </si>
  <si>
    <t>Buy: 96.7 | Sell: 5.2</t>
  </si>
  <si>
    <t>{"symbol": "TGT", "strategy": "Daily", "action": "LONG", "alert_price": 144.54, "score": "", "dir_prob": "90.5", "net_sigma": "", "grade": "", "align": "", "premium": "", "wrong_if": "", "context": "", "subject": "Alert: Rev - Screener v1 (SPY, 12): Any alert() function call", "body": "{\"ticker\":\"TGT\", \"setup\":\"A+ Trend Long\", \"side\":\"LONG\", \"price\":144.54, \"stage\":2, \"buy\":90, \"sell\":15.6, \"prime\":2, \"revL\":0, \"revS\":0, \"vcp\":0, \"dir_prob\":90.5, \"time\":1785504600000}", "ticker": "TGT", "setup": "A+ Trend Long", "side": "LONG", "price": 144.54, "stage": 2, "buy": 90, "sell": 15.6, "prime": 2, "revL": 0, "revS": 0, "vcp": 0, "time": 1785504600000, "email_id": "3005", "timestamp": "2026-07-31 16:01:31"}</t>
  </si>
  <si>
    <t>Buy: 10.2 | Sell: 8.7</t>
  </si>
  <si>
    <t>{"symbol": "PSX", "strategy": "Daily", "action": "LONG", "alert_price": 210.6, "score": "", "dir_prob": "93.8", "net_sigma": "", "grade": "", "align": "", "premium": "", "wrong_if": "", "context": "", "subject": "Alert: Rev - Screener v1 (SPY, 12): Any alert() function call", "body": "{\"ticker\":\"PSX\", \"setup\":\"A+ Trend Long\", \"side\":\"LONG\", \"price\":210.60, \"stage\":2, \"buy\":96.7, \"sell\":5.2, \"prime\":2, \"revL\":0, \"revS\":0, \"vcp\":0, \"dir_prob\":93.8, \"time\":1785418200000}", "ticker": "PSX", "setup": "A+ Trend Long", "side": "LONG", "price": 210.6, "stage": 2, "buy": 96.7, "sell": 5.2, "prime": 2, "revL": 0, "revS": 0, "vcp": 0, "time": 1785418200000, "email_id": "2892", "timestamp": "2026-07-30 16:02:00"}</t>
  </si>
  <si>
    <t>Buy: 96.7 | Sell: 48</t>
  </si>
  <si>
    <t>{"symbol": "LNT", "strategy": "Daily", "action": "LONG", "alert_price": 70.8, "score": "", "dir_prob": "46.4", "net_sigma": "", "grade": "", "align": "", "premium": "", "wrong_if": "", "context": "", "subject": "Alert: Rev - Screener v1 (SPY, 12): Any alert() function call", "body": "{\"ticker\":\"LNT\", \"setup\":\"Research Reversal (Any Stage)\", \"side\":\"LONG\", \"price\":70.80, \"stage\":4, \"buy\":10.2, \"sell\":8.7, \"prime\":0, \"revL\":8.5, \"revS\":0, \"vcp\":0, \"dir_prob\":46.4, \"time\":1785504600000}", "ticker": "LNT", "setup": "Research Reversal (Any Stage)", "side": "LONG", "price": 70.8, "stage": 4, "buy": 10.2, "sell": 8.7, "prime": 0, "revL": 8.5, "revS": 0, "vcp": 0, "time": 1785504600000, "email_id": "3006", "timestamp": "2026-07-31 16:01:26"}</t>
  </si>
  <si>
    <t>{"symbol": "AON", "strategy": "Daily", "action": "LONG", "alert_price": 366.57, "score": "", "dir_prob": "89.5", "net_sigma": "", "grade": "", "align": "", "premium": "", "wrong_if": "", "context": "", "subject": "Alert: Rev - Screener v1 (SPY, 12): Any alert() function call", "body": "{\"ticker\":\"AON\", \"setup\":\"A+ Trend Long\", \"side\":\"LONG\", \"price\":366.57, \"stage\":2, \"buy\":96.7, \"sell\":48, \"prime\":2, \"revL\":0, \"revS\":0, \"vcp\":1, \"dir_prob\":89.5, \"time\":1785418200000}", "ticker": "AON", "setup": "A+ Trend Long", "side": "LONG", "price": 366.57, "stage": 2, "buy": 96.7, "sell": 48, "prime": 2, "revL": 0, "revS": 0, "vcp": 1, "time": 1785418200000, "email_id": "2893", "timestamp": "2026-07-30 16:02:02"}</t>
  </si>
  <si>
    <t>Buy: 96.3 | Sell: 40.4</t>
  </si>
  <si>
    <t>{"symbol": "CFG", "strategy": "Daily", "action": "LONG", "alert_price": 71.63, "score": "", "dir_prob": "88.8", "net_sigma": "", "grade": "", "align": "", "premium": "", "wrong_if": "", "context": "", "subject": "Alert: Rev - Screener v1 (SPY, 12): Any alert() function call", "body": "{\"ticker\":\"CFG\", \"setup\":\"A+ Trend Long\", \"side\":\"LONG\", \"price\":71.63, \"stage\":2, \"buy\":94.2, \"sell\":10.7, \"prime\":2, \"revL\":0, \"revS\":0, \"vcp\":1, \"dir_prob\":88.8, \"time\":1785504600000}", "ticker": "CFG", "setup": "A+ Trend Long", "side": "LONG", "price": 71.63, "stage": 2, "buy": 94.2, "sell": 10.7, "prime": 2, "revL": 0, "revS": 0, "vcp": 1, "time": 1785504600000, "email_id": "3007", "timestamp": "2026-07-31 16:01:24"}</t>
  </si>
  <si>
    <t>Buy: 96 | Sell: 54.9</t>
  </si>
  <si>
    <t>{"symbol": "EA", "strategy": "Daily", "action": "LONG", "alert_price": 209.59, "score": "", "dir_prob": "83.1", "net_sigma": "", "grade": "", "align": "", "premium": "", "wrong_if": "", "context": "", "subject": "Alert: Rev - Screener v1 (SPY, 12): Any alert() function call", "body": "{\"ticker\":\"EA\", \"setup\":\"Early Ignition\", \"side\":\"LONG\", \"price\":209.59, \"stage\":2, \"buy\":96.3, \"sell\":40.4, \"prime\":2, \"revL\":0, \"revS\":0, \"vcp\":0, \"dir_prob\":83.1, \"time\":1785418200000}", "ticker": "EA", "setup": "Early Ignition", "side": "LONG", "price": 209.59, "stage": 2, "buy": 96.3, "sell": 40.4, "prime": 2, "revL": 0, "revS": 0, "vcp": 0, "time": 1785418200000, "email_id": "2894", "timestamp": "2026-07-30 16:01:55"}</t>
  </si>
  <si>
    <t>{"symbol": "EA", "strategy": "Daily", "action": "LONG", "alert_price": 209.9, "score": "", "dir_prob": "75.6", "net_sigma": "", "grade": "", "align": "", "premium": "", "wrong_if": "", "context": "", "subject": "Alert: Rev - Screener v1 (SPY, 12): Any alert() function call", "body": "{\"ticker\":\"EA\", \"setup\":\"Early Ignition\", \"side\":\"LONG\", \"price\":209.90, \"stage\":2, \"buy\":96, \"sell\":54.9, \"prime\":2, \"revL\":0, \"revS\":0, \"vcp\":0, \"dir_prob\":75.6, \"time\":1785504600000}", "ticker": "EA", "setup": "Early Ignition", "side": "LONG", "price": 209.9, "stage": 2, "buy": 96, "sell": 54.9, "prime": 2, "revL": 0, "revS": 0, "vcp": 0, "time": 1785504600000, "email_id": "3008", "timestamp": "2026-07-31 16:01:38"}</t>
  </si>
  <si>
    <t>Buy: 94.2 | Sell: 9.7</t>
  </si>
  <si>
    <t>Buy: 94.2 | Sell: 46.1</t>
  </si>
  <si>
    <t>{"symbol": "CRL", "strategy": "Daily", "action": "LONG", "alert_price": 232.45, "score": "", "dir_prob": "83.5", "net_sigma": "", "grade": "", "align": "", "premium": "", "wrong_if": "", "context": "", "subject": "Alert: Rev - Screener v1 (SPY, 12): Any alert() function call", "body": "{\"ticker\":\"CRL\", \"setup\":\"A+ Trend Long\", \"side\":\"LONG\", \"price\":232.45, \"stage\":2, \"buy\":94.2, \"sell\":46.1, \"prime\":2, \"revL\":0, \"revS\":0, \"vcp\":1, \"dir_prob\":83.5, \"time\":1785504600000}", "ticker": "CRL", "setup": "A+ Trend Long", "side": "LONG", "price": 232.45, "stage": 2, "buy": 94.2, "sell": 46.1, "prime": 2, "revL": 0, "revS": 0, "vcp": 1, "time": 1785504600000, "email_id": "3009", "timestamp": "2026-07-31 16:01:31"}</t>
  </si>
  <si>
    <t>{"symbol": "FITB", "strategy": "Daily", "action": "LONG", "alert_price": 56.6, "score": "", "dir_prob": "90.6", "net_sigma": "", "grade": "", "align": "", "premium": "", "wrong_if": "", "context": "", "subject": "Alert: Rev - Screener v1 (SPY, 12): Any alert() function call", "body": "{\"ticker\":\"FITB\", \"setup\":\"A+ Trend Long\", \"side\":\"LONG\", \"price\":56.60, \"stage\":2, \"buy\":94.2, \"sell\":9.7, \"prime\":2, \"revL\":0, \"revS\":0, \"vcp\":1, \"dir_prob\":90.6, \"time\":1785418200000}", "ticker": "FITB", "setup": "A+ Trend Long", "side": "LONG", "price": 56.6, "stage": 2, "buy": 94.2, "sell": 9.7, "prime": 2, "revL": 0, "revS": 0, "vcp": 1, "time": 1785418200000, "email_id": "2895", "timestamp": "2026-07-30 16:02:06"}</t>
  </si>
  <si>
    <t>Buy: 89.3 | Sell: 60</t>
  </si>
  <si>
    <t>{"symbol": "PNC", "strategy": "Daily", "action": "LONG", "alert_price": 249.87, "score": "", "dir_prob": "91.8", "net_sigma": "", "grade": "", "align": "", "premium": "", "wrong_if": "", "context": "", "subject": "Alert: Rev - Screener v1 (SPY, 12): Any alert() function call", "body": "{\"ticker\":\"PNC\", \"setup\":\"A+ Trend Long\", \"side\":\"LONG\", \"price\":249.87, \"stage\":2, \"buy\":93.5, \"sell\":12.4, \"prime\":2, \"revL\":0, \"revS\":0, \"vcp\":1, \"dir_prob\":91.8, \"time\":1785504600000}", "ticker": "PNC", "setup": "A+ Trend Long", "side": "LONG", "price": 249.87, "stage": 2, "buy": 93.5, "sell": 12.4, "prime": 2, "revL": 0, "revS": 0, "vcp": 1, "time": 1785504600000, "email_id": "3010", "timestamp": "2026-07-31 16:01:28"}</t>
  </si>
  <si>
    <t>Buy: 95.1 | Sell: 15.7</t>
  </si>
  <si>
    <t>{"symbol": "IEX", "strategy": "Daily", "action": "LONG", "alert_price": 233.77, "score": "", "dir_prob": "63.3", "net_sigma": "", "grade": "", "align": "", "premium": "", "wrong_if": "", "context": "", "subject": "Alert: Rev - Screener v1 (SPY, 12): Any alert() function call", "body": "{\"ticker\":\"IEX\", \"setup\":\"Early Ignition\", \"side\":\"LONG\", \"price\":233.77, \"stage\":2, \"buy\":89.3, \"sell\":60, \"prime\":0, \"revL\":0, \"revS\":4.5, \"vcp\":1, \"dir_prob\":63.3, \"time\":1785418200000}", "ticker": "IEX", "setup": "Early Ignition", "side": "LONG", "price": 233.77, "stage": 2, "buy": 89.3, "sell": 60, "prime": 0, "revL": 0, "revS": 4.5, "vcp": 1, "time": 1785418200000, "email_id": "2896", "timestamp": "2026-07-30 16:01:58"}</t>
  </si>
  <si>
    <t>Buy: 93.2 | Sell: 18.8</t>
  </si>
  <si>
    <t>Buy: 91.2 | Sell: 14.1</t>
  </si>
  <si>
    <t>{"symbol": "GD", "strategy": "Daily", "action": "LONG", "alert_price": 383.42, "score": "", "dir_prob": "94.9", "net_sigma": "", "grade": "", "align": "", "premium": "", "wrong_if": "", "context": "", "subject": "Alert: Rev - Screener v1 (SPY, 12): Any alert() function call", "body": "{\"ticker\":\"GD\", \"setup\":\"A+ Trend Long\", \"side\":\"LONG\", \"price\":383.42, \"stage\":2, \"buy\":95.1, \"sell\":15.7, \"prime\":2, \"revL\":0, \"revS\":0, \"vcp\":0, \"dir_prob\":94.9, \"time\":1785504600000}", "ticker": "GD", "setup": "A+ Trend Long", "side": "LONG", "price": 383.42, "stage": 2, "buy": 95.1, "sell": 15.7, "prime": 2, "revL": 0, "revS": 0, "vcp": 0, "time": 1785504600000, "email_id": "3011", "timestamp": "2026-07-31 16:01:33"}</t>
  </si>
  <si>
    <t>Buy: 97 | Sell: 18.9</t>
  </si>
  <si>
    <t>{"symbol": "JNJ", "strategy": "Daily", "action": "LONG", "alert_price": 255.88, "score": "", "dir_prob": "90.9", "net_sigma": "", "grade": "", "align": "", "premium": "", "wrong_if": "", "context": "", "subject": "Alert: Rev - Screener v1 (SPY, 12): Any alert() function call", "body": "{\"ticker\":\"JNJ\", \"setup\":\"A+ Trend Long\", \"side\":\"LONG\", \"price\":255.88, \"stage\":2, \"buy\":91.2, \"sell\":14.1, \"prime\":2, \"revL\":0, \"revS\":0, \"vcp\":0, \"dir_prob\":90.9, \"time\":1785418200000}", "ticker": "JNJ", "setup": "A+ Trend Long", "side": "LONG", "price": 255.88, "stage": 2, "buy": 91.2, "sell": 14.1, "prime": 2, "revL": 0, "revS": 0, "vcp": 0, "time": 1785418200000, "email_id": "2897", "timestamp": "2026-07-30 16:02:06"}</t>
  </si>
  <si>
    <t>{"symbol": "O", "strategy": "Daily", "action": "LONG", "alert_price": 63.88, "score": "", "dir_prob": "94.1", "net_sigma": "", "grade": "", "align": "", "premium": "", "wrong_if": "", "context": "", "subject": "Alert: Rev - Screener v1 (SPY, 12): Any alert() function call", "body": "{\"ticker\":\"O\", \"setup\":\"A+ Trend Long\", \"side\":\"LONG\", \"price\":63.88, \"stage\":2, \"buy\":97, \"sell\":18.9, \"prime\":2, \"revL\":0, \"revS\":0, \"vcp\":0, \"dir_prob\":94.1, \"time\":1785504600000}", "ticker": "O", "setup": "A+ Trend Long", "side": "LONG", "price": 63.88, "stage": 2, "buy": 97, "sell": 18.9, "prime": 2, "revL": 0, "revS": 0, "vcp": 0, "time": 1785504600000, "email_id": "3012", "timestamp": "2026-07-31 16:01:32"}</t>
  </si>
  <si>
    <t>LIN</t>
  </si>
  <si>
    <t>Buy: 30 | Sell: 8.7</t>
  </si>
  <si>
    <t>Buy: 92.4 | Sell: 12.1</t>
  </si>
  <si>
    <t>{"symbol": "LIN", "strategy": "Daily", "action": "LONG", "alert_price": 478.47, "score": "", "dir_prob": "74.1", "net_sigma": "", "grade": "", "align": "", "premium": "", "wrong_if": "", "context": "", "subject": "Alert: Rev - Screener v1 (SPY, 12): Any alert() function call", "body": "{\"ticker\":\"LIN\", \"setup\":\"Research Reversal (Any Stage)\", \"side\":\"LONG\", \"price\":478.47, \"stage\":4, \"buy\":30, \"sell\":8.7, \"prime\":0, \"revL\":8.5, \"revS\":0, \"vcp\":0, \"dir_prob\":74.1, \"time\":1785504600000}", "ticker": "LIN", "setup": "Research Reversal (Any Stage)", "side": "LONG", "price": 478.47, "stage": 4, "buy": 30, "sell": 8.7, "prime": 0, "revL": 8.5, "revS": 0, "vcp": 0, "time": 1785504600000, "email_id": "3013", "timestamp": "2026-07-31 16:01:38"}</t>
  </si>
  <si>
    <t>{"symbol": "EXPE", "strategy": "Daily", "action": "LONG", "alert_price": 298.13, "score": "", "dir_prob": "86", "net_sigma": "", "grade": "", "align": "", "premium": "", "wrong_if": "", "context": "", "subject": "Alert: Rev - Screener v1 (SPY, 12): Any alert() function call", "body": "{\"ticker\":\"EXPE\", \"setup\":\"A+ Trend Long\", \"side\":\"LONG\", \"price\":298.13, \"stage\":2, \"buy\":93.2, \"sell\":18.8, \"prime\":2, \"revL\":0, \"revS\":0, \"vcp\":0, \"dir_prob\":86, \"time\":1785763800000}", "ticker": "EXPE", "setup": "A+ Trend Long", "side": "LONG", "price": 298.13, "stage": 2, "buy": 93.2, "sell": 18.8, "prime": 2, "revL": 0, "revS": 0, "vcp": 0, "time": 1785763800000, "email_id": "3078", "timestamp": "2026-08-03 16:01:01"}</t>
  </si>
  <si>
    <t>Buy: 97.1 | Sell: 12.4</t>
  </si>
  <si>
    <t>Buy: 96.1 | Sell: 28.2</t>
  </si>
  <si>
    <t>{"symbol": "NWS", "strategy": "Daily", "action": "LONG", "alert_price": 31.79, "score": "", "dir_prob": "96.3", "net_sigma": "", "grade": "", "align": "", "premium": "", "wrong_if": "", "context": "", "subject": "Alert: Rev - Screener v1 (SPY, 12): Any alert() function call", "body": "{\"ticker\":\"NWS\", \"setup\":\"A+ Trend Long\", \"side\":\"LONG\", \"price\":31.79, \"stage\":2, \"buy\":92.4, \"sell\":12.1, \"prime\":2, \"revL\":0, \"revS\":0, \"vcp\":0, \"dir_prob\":96.3, \"time\":1785418200000}", "ticker": "NWS", "setup": "A+ Trend Long", "side": "LONG", "price": 31.79, "stage": 2, "buy": 92.4, "sell": 12.1, "prime": 2, "revL": 0, "revS": 0, "vcp": 0, "time": 1785418200000, "email_id": "2898", "timestamp": "2026-07-30 16:01:53"}</t>
  </si>
  <si>
    <t>Buy: 97.2 | Sell: 16.8</t>
  </si>
  <si>
    <t>{"symbol": "ACGL", "strategy": "Daily", "action": "LONG", "alert_price": 100.56, "score": "", "dir_prob": "93.4", "net_sigma": "", "grade": "", "align": "", "premium": "", "wrong_if": "", "context": "", "subject": "Alert: Rev - Screener v1 (SPY, 12): Any alert() function call", "body": "{\"ticker\":\"ACGL\", \"setup\":\"A+ Trend Long\", \"side\":\"LONG\", \"price\":100.56, \"stage\":2, \"buy\":97.1, \"sell\":12.4, \"prime\":2, \"revL\":0, \"revS\":0, \"vcp\":1, \"dir_prob\":93.4, \"time\":1785504600000}", "ticker": "ACGL", "setup": "A+ Trend Long", "side": "LONG", "price": 100.56, "stage": 2, "buy": 97.1, "sell": 12.4, "prime": 2, "revL": 0, "revS": 0, "vcp": 1, "time": 1785504600000, "email_id": "3014", "timestamp": "2026-07-31 16:01:32"}</t>
  </si>
  <si>
    <t>Buy: 92.6 | Sell: 10.5</t>
  </si>
  <si>
    <t>{"symbol": "UNP", "strategy": "Daily", "action": "LONG", "alert_price": 289.42, "score": "", "dir_prob": "91", "net_sigma": "", "grade": "", "align": "", "premium": "", "wrong_if": "", "context": "", "subject": "Alert: Rev - Screener v1 (SPY, 12): Any alert() function call", "body": "{\"ticker\":\"UNP\", \"setup\":\"A+ Trend Long\", \"side\":\"LONG\", \"price\":289.42, \"stage\":2, \"buy\":97.2, \"sell\":16.8, \"prime\":2, \"revL\":0, \"revS\":0, \"vcp\":0, \"dir_prob\":91, \"time\":1785418200000}", "ticker": "UNP", "setup": "A+ Trend Long", "side": "LONG", "price": 289.42, "stage": 2, "buy": 97.2, "sell": 16.8, "prime": 2, "revL": 0, "revS": 0, "vcp": 0, "time": 1785418200000, "email_id": "2899", "timestamp": "2026-07-30 16:02:09"}</t>
  </si>
  <si>
    <t>{"symbol": "AJG", "strategy": "Daily", "action": "LONG", "alert_price": 247.79, "score": "", "dir_prob": "97.1", "net_sigma": "", "grade": "", "align": "", "premium": "", "wrong_if": "", "context": "", "subject": "Alert: Rev - Screener v1 (SPY, 12): Any alert() function call", "body": "{\"ticker\":\"AJG\", \"setup\":\"A+ Trend Long\", \"side\":\"LONG\", \"price\":247.79, \"stage\":2, \"buy\":96.1, \"sell\":28.2, \"prime\":2, \"revL\":0, \"revS\":0, \"vcp\":0, \"dir_prob\":97.1, \"time\":1785763800000}", "ticker": "AJG", "setup": "A+ Trend Long", "side": "LONG", "price": 247.79, "stage": 2, "buy": 96.1, "sell": 28.2, "prime": 2, "revL": 0, "revS": 0, "vcp": 0, "time": 1785763800000, "email_id": "3079", "timestamp": "2026-08-03 16:01:02"}</t>
  </si>
  <si>
    <t>{"symbol": "AFL", "strategy": "Daily", "action": "LONG", "alert_price": 127.51, "score": "", "dir_prob": "88.7", "net_sigma": "", "grade": "", "align": "", "premium": "", "wrong_if": "", "context": "", "subject": "Alert: Rev - Screener v1 (SPY, 12): Any alert() function call", "body": "{\"ticker\":\"AFL\", \"setup\":\"A+ Trend Long\", \"side\":\"LONG\", \"price\":127.51, \"stage\":2, \"buy\":92.6, \"sell\":10.5, \"prime\":2, \"revL\":0, \"revS\":0, \"vcp\":0, \"dir_prob\":88.7, \"time\":1785504600000}", "ticker": "AFL", "setup": "A+ Trend Long", "side": "LONG", "price": 127.51, "stage": 2, "buy": 92.6, "sell": 10.5, "prime": 2, "revL": 0, "revS": 0, "vcp": 0, "time": 1785504600000, "email_id": "3015", "timestamp": "2026-07-31 16:01:33"}</t>
  </si>
  <si>
    <t>Buy: 90 | Sell: 30.4</t>
  </si>
  <si>
    <t>Buy: 95.7 | Sell: 39.2</t>
  </si>
  <si>
    <t>{"symbol": "DASH", "strategy": "Daily", "action": "LONG", "alert_price": 200.51, "score": "", "dir_prob": "93.7", "net_sigma": "", "grade": "", "align": "", "premium": "", "wrong_if": "", "context": "", "subject": "Alert: Rev - Screener v1 (SPY, 12): Any alert() function call", "body": "{\"ticker\":\"DASH\", \"setup\":\"A+ Trend Long\", \"side\":\"LONG\", \"price\":200.51, \"stage\":2, \"buy\":90, \"sell\":30.4, \"prime\":2, \"revL\":0, \"revS\":0, \"vcp\":0, \"dir_prob\":93.7, \"time\":1785763800000}", "ticker": "DASH", "setup": "A+ Trend Long", "side": "LONG", "price": 200.51, "stage": 2, "buy": 90, "sell": 30.4, "prime": 2, "revL": 0, "revS": 0, "vcp": 0, "time": 1785763800000, "email_id": "3080", "timestamp": "2026-08-03 16:01:03"}</t>
  </si>
  <si>
    <t>Buy: 90.4 | Sell: 9.1</t>
  </si>
  <si>
    <t>{"symbol": "MET", "strategy": "Daily", "action": "LONG", "alert_price": 96.13, "score": "", "dir_prob": "83.1", "net_sigma": "", "grade": "", "align": "", "premium": "", "wrong_if": "", "context": "", "subject": "Alert: Rev - Screener v1 (SPY, 12): Any alert() function call", "body": "{\"ticker\":\"MET\", \"setup\":\"A+ Trend Long\", \"side\":\"LONG\", \"price\":96.13, \"stage\":2, \"buy\":95.7, \"sell\":39.2, \"prime\":2, \"revL\":0, \"revS\":0, \"vcp\":0, \"dir_prob\":83.1, \"time\":1785504600000}", "ticker": "MET", "setup": "A+ Trend Long", "side": "LONG", "price": 96.13, "stage": 2, "buy": 95.7, "sell": 39.2, "prime": 2, "revL": 0, "revS": 0, "vcp": 0, "time": 1785504600000, "email_id": "3016", "timestamp": "2026-07-31 16:01:37"}</t>
  </si>
  <si>
    <t>Buy: 93.6 | Sell: 22.7</t>
  </si>
  <si>
    <t>{"symbol": "ITW", "strategy": "Daily", "action": "LONG", "alert_price": 288.56, "score": "", "dir_prob": "93.5", "net_sigma": "", "grade": "", "align": "", "premium": "", "wrong_if": "", "context": "", "subject": "Alert: Rev - Screener v1 (SPY, 12): Any alert() function call", "body": "{\"ticker\":\"ITW\", \"setup\":\"A+ Trend Long\", \"side\":\"LONG\", \"price\":288.56, \"stage\":2, \"buy\":90.4, \"sell\":9.1, \"prime\":2, \"revL\":0, \"revS\":0, \"vcp\":0, \"dir_prob\":93.5, \"time\":1785763800000}", "ticker": "ITW", "setup": "A+ Trend Long", "side": "LONG", "price": 288.56, "stage": 2, "buy": 90.4, "sell": 9.1, "prime": 2, "revL": 0, "revS": 0, "vcp": 0, "time": 1785763800000, "email_id": "3081", "timestamp": "2026-08-03 16:01:11"}</t>
  </si>
  <si>
    <t>{"symbol": "ABBV", "strategy": "Daily", "action": "LONG", "alert_price": 250.98, "score": "", "dir_prob": "89.5", "net_sigma": "", "grade": "", "align": "", "premium": "", "wrong_if": "", "context": "", "subject": "Alert: Rev - Screener v1 (SPY, 12): Any alert() function call", "body": "{\"ticker\":\"ABBV\", \"setup\":\"A+ Trend Long\", \"side\":\"LONG\", \"price\":250.98, \"stage\":2, \"buy\":93.6, \"sell\":22.7, \"prime\":2, \"revL\":0, \"revS\":0, \"vcp\":0, \"dir_prob\":89.5, \"time\":1785504600000}", "ticker": "ABBV", "setup": "A+ Trend Long", "side": "LONG", "price": 250.98, "stage": 2, "buy": 93.6, "sell": 22.7, "prime": 2, "revL": 0, "revS": 0, "vcp": 0, "time": 1785504600000, "email_id": "3017", "timestamp": "2026-07-31 16:01:37"}</t>
  </si>
  <si>
    <t>Buy: 95.9 | Sell: 10.6</t>
  </si>
  <si>
    <t>Buy: 93 | Sell: 36.5</t>
  </si>
  <si>
    <t>{"symbol": "INCY", "strategy": "Daily", "action": "LONG", "alert_price": 118.44, "score": "", "dir_prob": "93", "net_sigma": "", "grade": "", "align": "", "premium": "", "wrong_if": "", "context": "", "subject": "Alert: Rev - Screener v1 (SPY, 12): Any alert() function call", "body": "{\"ticker\":\"INCY\", \"setup\":\"A+ Trend Long\", \"side\":\"LONG\", \"price\":118.44, \"stage\":2, \"buy\":95.9, \"sell\":10.6, \"prime\":2, \"revL\":0, \"revS\":0, \"vcp\":0, \"dir_prob\":93, \"time\":1785763800000}", "ticker": "INCY", "setup": "A+ Trend Long", "side": "LONG", "price": 118.44, "stage": 2, "buy": 95.9, "sell": 10.6, "prime": 2, "revL": 0, "revS": 0, "vcp": 0, "time": 1785763800000, "email_id": "3082", "timestamp": "2026-08-03 16:01:03"}</t>
  </si>
  <si>
    <t>{"symbol": "DHR", "strategy": "Daily", "action": "LONG", "alert_price": 195.06, "score": "", "dir_prob": "83.1", "net_sigma": "", "grade": "", "align": "", "premium": "", "wrong_if": "", "context": "", "subject": "Alert: Rev - Screener v1 (SPY, 12): Any alert() function call", "body": "{\"ticker\":\"DHR\", \"setup\":\"A+ Trend Long\", \"side\":\"LONG\", \"price\":195.06, \"stage\":2, \"buy\":93, \"sell\":36.5, \"prime\":2, \"revL\":0, \"revS\":0, \"vcp\":0, \"dir_prob\":83.1, \"time\":1785504600000}", "ticker": "DHR", "setup": "A+ Trend Long", "side": "LONG", "price": 195.06, "stage": 2, "buy": 93, "sell": 36.5, "prime": 2, "revL": 0, "revS": 0, "vcp": 0, "time": 1785504600000, "email_id": "3018", "timestamp": "2026-07-31 16:01:34"}</t>
  </si>
  <si>
    <t>Buy: 92.9 | Sell: 24.2</t>
  </si>
  <si>
    <t>{"symbol": "WELL", "strategy": "Daily", "action": "LONG", "alert_price": 234.67, "score": "", "dir_prob": "87", "net_sigma": "", "grade": "", "align": "", "premium": "", "wrong_if": "", "context": "", "subject": "Alert: Rev - Screener v1 (SPY, 12): Any alert() function call", "body": "{\"ticker\":\"WELL\", \"setup\":\"A+ Trend Long\", \"side\":\"LONG\", \"price\":234.67, \"stage\":2, \"buy\":96.9, \"sell\":16.1, \"prime\":2, \"revL\":0, \"revS\":0, \"vcp\":0, \"dir_prob\":87, \"time\":1785504600000}", "ticker": "WELL", "setup": "A+ Trend Long", "side": "LONG", "price": 234.67, "stage": 2, "buy": 96.9, "sell": 16.1, "prime": 2, "revL": 0, "revS": 0, "vcp": 0, "time": 1785504600000, "email_id": "3019", "timestamp": "2026-07-31 16:01:33"}</t>
  </si>
  <si>
    <t>{"symbol": "HSIC", "strategy": "Daily", "action": "LONG", "alert_price": 86.46, "score": "", "dir_prob": "89.2", "net_sigma": "", "grade": "", "align": "", "premium": "", "wrong_if": "", "context": "", "subject": "Alert: Rev - Screener v1 (SPY, 12): Any alert() function call", "body": "{\"ticker\":\"HSIC\", \"setup\":\"A+ Trend Long\", \"side\":\"LONG\", \"price\":86.46, \"stage\":2, \"buy\":92.9, \"sell\":24.2, \"prime\":2, \"revL\":0, \"revS\":0, \"vcp\":1, \"dir_prob\":89.2, \"time\":1785763800000}", "ticker": "HSIC", "setup": "A+ Trend Long", "side": "LONG", "price": 86.46, "stage": 2, "buy": 92.9, "sell": 24.2, "prime": 2, "revL": 0, "revS": 0, "vcp": 1, "time": 1785763800000, "email_id": "3083", "timestamp": "2026-08-03 16:01:05"}</t>
  </si>
  <si>
    <t>Buy: 97.6 | Sell: 39.8</t>
  </si>
  <si>
    <t>Buy: 97.1 | Sell: 32</t>
  </si>
  <si>
    <t>{"symbol": "AON", "strategy": "Daily", "action": "LONG", "alert_price": 360.55, "score": "", "dir_prob": "91.9", "net_sigma": "", "grade": "", "align": "", "premium": "", "wrong_if": "", "context": "", "subject": "Alert: Rev - Screener v1 (SPY, 12): Any alert() function call", "body": "{\"ticker\":\"AON\", \"setup\":\"A+ Trend Long\", \"side\":\"LONG\", \"price\":360.55, \"stage\":2, \"buy\":97.6, \"sell\":39.8, \"prime\":2, \"revL\":0, \"revS\":0, \"vcp\":1, \"dir_prob\":91.9, \"time\":1785504600000}", "ticker": "AON", "setup": "A+ Trend Long", "side": "LONG", "price": 360.55, "stage": 2, "buy": 97.6, "sell": 39.8, "prime": 2, "revL": 0, "revS": 0, "vcp": 1, "time": 1785504600000, "email_id": "3020", "timestamp": "2026-07-31 16:01:33"}</t>
  </si>
  <si>
    <t>{"symbol": "AON", "strategy": "Daily", "action": "LONG", "alert_price": 357.47, "score": "", "dir_prob": "93.4", "net_sigma": "", "grade": "", "align": "", "premium": "", "wrong_if": "", "context": "", "subject": "Alert: Rev - Screener v1 (SPY, 12): Any alert() function call", "body": "{\"ticker\":\"AON\", \"setup\":\"A+ Trend Long\", \"side\":\"LONG\", \"price\":357.47, \"stage\":2, \"buy\":97.1, \"sell\":32, \"prime\":2, \"revL\":0, \"revS\":0, \"vcp\":1, \"dir_prob\":93.4, \"time\":1785763800000}", "ticker": "AON", "setup": "A+ Trend Long", "side": "LONG", "price": 357.47, "stage": 2, "buy": 97.1, "sell": 32, "prime": 2, "revL": 0, "revS": 0, "vcp": 1, "time": 1785763800000, "email_id": "3084", "timestamp": "2026-08-03 16:01:05"}</t>
  </si>
  <si>
    <t>Buy: 92.5 | Sell: 14.9</t>
  </si>
  <si>
    <t>Buy: 89.3 | Sell: 35.6</t>
  </si>
  <si>
    <t>{"symbol": "XYZ", "strategy": "Daily", "action": "LONG", "alert_price": 81.23, "score": "", "dir_prob": "92.3", "net_sigma": "", "grade": "", "align": "", "premium": "", "wrong_if": "", "context": "", "subject": "Alert: Rev - Screener v1 (SPY, 12): Any alert() function call", "body": "{\"ticker\":\"XYZ\", \"setup\":\"A+ Trend Long\", \"side\":\"LONG\", \"price\":81.23, \"stage\":2, \"buy\":92.5, \"sell\":14.9, \"prime\":2, \"revL\":0, \"revS\":0, \"vcp\":1, \"dir_prob\":92.3, \"time\":1785504600000}", "ticker": "XYZ", "setup": "A+ Trend Long", "side": "LONG", "price": 81.23, "stage": 2, "buy": 92.5, "sell": 14.9, "prime": 2, "revL": 0, "revS": 0, "vcp": 1, "time": 1785504600000, "email_id": "3021", "timestamp": "2026-07-31 16:01:28"}</t>
  </si>
  <si>
    <t>{"symbol": "TECH", "strategy": "Daily", "action": "LONG", "alert_price": 72.15, "score": "", "dir_prob": "89.2", "net_sigma": "", "grade": "", "align": "", "premium": "", "wrong_if": "", "context": "", "subject": "Alert: Rev - Screener v1 (SPY, 12): Any alert() function call", "body": "{\"ticker\":\"TECH\", \"setup\":\"A+ Trend Long\", \"side\":\"LONG\", \"price\":72.15, \"stage\":2, \"buy\":89.3, \"sell\":35.6, \"prime\":2, \"revL\":0, \"revS\":4, \"vcp\":1, \"dir_prob\":89.2, \"time\":1785763800000}", "ticker": "TECH", "setup": "A+ Trend Long", "side": "LONG", "price": 72.15, "stage": 2, "buy": 89.3, "sell": 35.6, "prime": 2, "revL": 0, "revS": 4, "vcp": 1, "time": 1785763800000, "email_id": "3085", "timestamp": "2026-08-03 16:01:00"}</t>
  </si>
  <si>
    <t>Buy: 88.3 | Sell: 8.6</t>
  </si>
  <si>
    <t>Buy: 96.2 | Sell: 8.5</t>
  </si>
  <si>
    <t>{"symbol": "AMP", "strategy": "Daily", "action": "LONG", "alert_price": 545.84, "score": "", "dir_prob": "96.7", "net_sigma": "", "grade": "", "align": "", "premium": "", "wrong_if": "", "context": "", "subject": "Alert: Rev - Screener v1 (SPY, 12): Any alert() function call", "body": "{\"ticker\":\"AMP\", \"setup\":\"A+ Trend Long\", \"side\":\"LONG\", \"price\":545.84, \"stage\":2, \"buy\":88.3, \"sell\":8.6, \"prime\":2, \"revL\":0, \"revS\":0, \"vcp\":0, \"dir_prob\":96.7, \"time\":1785504600000}", "ticker": "AMP", "setup": "A+ Trend Long", "side": "LONG", "price": 545.84, "stage": 2, "buy": 88.3, "sell": 8.6, "prime": 2, "revL": 0, "revS": 0, "vcp": 0, "time": 1785504600000, "email_id": "3022", "timestamp": "2026-07-31 16:01:27"}</t>
  </si>
  <si>
    <t>Buy: 87 | Sell: 30.3</t>
  </si>
  <si>
    <t>{"symbol": "KHC", "strategy": "Daily", "action": "LONG", "alert_price": 26.42, "score": "", "dir_prob": "95.4", "net_sigma": "", "grade": "", "align": "", "premium": "", "wrong_if": "", "context": "", "subject": "Alert: Rev - Screener v1 (SPY, 12): Any alert() function call", "body": "{\"ticker\":\"KHC\", \"setup\":\"A+ Trend Long\", \"side\":\"LONG\", \"price\":26.42, \"stage\":2, \"buy\":96.2, \"sell\":8.5, \"prime\":2, \"revL\":0, \"revS\":0, \"vcp\":0, \"dir_prob\":95.4, \"time\":1785763800000}", "ticker": "KHC", "setup": "A+ Trend Long", "side": "LONG", "price": 26.42, "stage": 2, "buy": 96.2, "sell": 8.5, "prime": 2, "revL": 0, "revS": 0, "vcp": 0, "time": 1785763800000, "email_id": "3086", "timestamp": "2026-08-03 16:01:07"}</t>
  </si>
  <si>
    <t>Buy: 85.6 | Sell: 18.4</t>
  </si>
  <si>
    <t>{"symbol": "AXON", "strategy": "Daily", "action": "LONG", "alert_price": 527.75, "score": "", "dir_prob": "92.7", "net_sigma": "", "grade": "", "align": "", "premium": "", "wrong_if": "", "context": "", "subject": "Alert: Rev - Screener v1 (SPY, 12): Any alert() function call", "body": "{\"ticker\":\"AXON\", \"setup\":\"A+ Trend Long\", \"side\":\"LONG\", \"price\":527.75, \"stage\":2, \"buy\":87, \"sell\":30.3, \"prime\":2, \"revL\":0, \"revS\":0, \"vcp\":0, \"dir_prob\":92.7, \"time\":1785504600000}", "ticker": "AXON", "setup": "A+ Trend Long", "side": "LONG", "price": 527.75, "stage": 2, "buy": 87, "sell": 30.3, "prime": 2, "revL": 0, "revS": 0, "vcp": 0, "time": 1785504600000, "email_id": "3023", "timestamp": "2026-07-31 16:01:36"}</t>
  </si>
  <si>
    <t>Buy: 94.3 | Sell: 14.9</t>
  </si>
  <si>
    <t>{"symbol": "CBRE", "strategy": "Daily", "action": "LONG", "alert_price": 148.37, "score": "", "dir_prob": "90.2", "net_sigma": "", "grade": "", "align": "", "premium": "", "wrong_if": "", "context": "", "subject": "Alert: Rev - Screener v1 (SPY, 12): Any alert() function call", "body": "{\"ticker\":\"CBRE\", \"setup\":\"A+ Trend Long\", \"side\":\"LONG\", \"price\":148.37, \"stage\":2, \"buy\":85.6, \"sell\":18.4, \"prime\":2, \"revL\":0, \"revS\":0, \"vcp\":0, \"dir_prob\":90.2, \"time\":1785763800000}", "ticker": "CBRE", "setup": "A+ Trend Long", "side": "LONG", "price": 148.37, "stage": 2, "buy": 85.6, "sell": 18.4, "prime": 2, "revL": 0, "revS": 0, "vcp": 0, "time": 1785763800000, "email_id": "3087", "timestamp": "2026-08-03 16:01:02"}</t>
  </si>
  <si>
    <t>Buy: 91.5 | Sell: 15.1</t>
  </si>
  <si>
    <t>{"symbol": "V", "strategy": "Daily", "action": "LONG", "alert_price": 365.99, "score": "", "dir_prob": "95.7", "net_sigma": "", "grade": "", "align": "", "premium": "", "wrong_if": "", "context": "", "subject": "Alert: Rev - Screener v1 (SPY, 12): Any alert() function call", "body": "{\"ticker\":\"V\", \"setup\":\"A+ Trend Long\", \"side\":\"LONG\", \"price\":365.99, \"stage\":2, \"buy\":94.3, \"sell\":14.9, \"prime\":2, \"revL\":0, \"revS\":0, \"vcp\":0, \"dir_prob\":95.7, \"time\":1785504600000}", "ticker": "V", "setup": "A+ Trend Long", "side": "LONG", "price": 365.99, "stage": 2, "buy": 94.3, "sell": 14.9, "prime": 2, "revL": 0, "revS": 0, "vcp": 0, "time": 1785504600000, "email_id": "3024", "timestamp": "2026-07-31 16:01:29"}</t>
  </si>
  <si>
    <t>{"symbol": "CVX", "strategy": "Daily", "action": "LONG", "alert_price": 193.15, "score": "", "dir_prob": "93.6", "net_sigma": "", "grade": "", "align": "", "premium": "", "wrong_if": "", "context": "", "subject": "Alert: Rev - Screener v1 (SPY, 12): Any alert() function call", "body": "{\"ticker\":\"CVX\", \"setup\":\"A+ Trend Long\", \"side\":\"LONG\", \"price\":193.15, \"stage\":2, \"buy\":91.5, \"sell\":15.1, \"prime\":2, \"revL\":0, \"revS\":0, \"vcp\":0, \"dir_prob\":93.6, \"time\":1785763800000}", "ticker": "CVX", "setup": "A+ Trend Long", "side": "LONG", "price": 193.15, "stage": 2, "buy": 91.5, "sell": 15.1, "prime": 2, "revL": 0, "revS": 0, "vcp": 0, "time": 1785763800000, "email_id": "3088", "timestamp": "2026-08-03 16:01:07"}</t>
  </si>
  <si>
    <t>Buy: 96.9 | Sell: 9.9</t>
  </si>
  <si>
    <t>{"symbol": "DG", "strategy": "Daily", "action": "LONG", "alert_price": 127.08, "score": "", "dir_prob": "95.7", "net_sigma": "", "grade": "", "align": "", "premium": "", "wrong_if": "", "context": "", "subject": "Alert: Rev - Screener v1 (SPY, 12): Any alert() function call", "body": "{\"ticker\":\"DG\", \"setup\":\"A+ Trend Long\", \"side\":\"LONG\", \"price\":127.08, \"stage\":2, \"buy\":94.6, \"sell\":10.3, \"prime\":2, \"revL\":0, \"revS\":0, \"vcp\":0, \"dir_prob\":95.7, \"time\":1785504600000}", "ticker": "DG", "setup": "A+ Trend Long", "side": "LONG", "price": 127.08, "stage": 2, "buy": 94.6, "sell": 10.3, "prime": 2, "revL": 0, "revS": 0, "vcp": 0, "time": 1785504600000, "email_id": "3025", "timestamp": "2026-07-31 16:01:36"}</t>
  </si>
  <si>
    <t>Buy: 96.1 | Sell: 6.5</t>
  </si>
  <si>
    <t>{"symbol": "VRSK", "strategy": "Daily", "action": "LONG", "alert_price": 193.06, "score": "", "dir_prob": "97.2", "net_sigma": "", "grade": "", "align": "", "premium": "", "wrong_if": "", "context": "", "subject": "Alert: Rev - Screener v1 (SPY, 12): Any alert() function call", "body": "{\"ticker\":\"VRSK\", \"setup\":\"A+ Trend Long\", \"side\":\"LONG\", \"price\":193.06, \"stage\":2, \"buy\":96.9, \"sell\":9.9, \"prime\":2, \"revL\":0, \"revS\":0, \"vcp\":0, \"dir_prob\":97.2, \"time\":1785763800000}", "ticker": "VRSK", "setup": "A+ Trend Long", "side": "LONG", "price": 193.06, "stage": 2, "buy": 96.9, "sell": 9.9, "prime": 2, "revL": 0, "revS": 0, "vcp": 0, "time": 1785763800000, "email_id": "3089", "timestamp": "2026-08-03 16:01:01"}</t>
  </si>
  <si>
    <t>Buy: 11.5 | Sell: 16.9</t>
  </si>
  <si>
    <t>{"symbol": "PSX", "strategy": "Daily", "action": "LONG", "alert_price": 211.65, "score": "", "dir_prob": "93.3", "net_sigma": "", "grade": "", "align": "", "premium": "", "wrong_if": "", "context": "", "subject": "Alert: Rev - Screener v1 (SPY, 12): Any alert() function call", "body": "{\"ticker\":\"PSX\", \"setup\":\"A+ Trend Long\", \"side\":\"LONG\", \"price\":211.65, \"stage\":2, \"buy\":96.1, \"sell\":6.5, \"prime\":2, \"revL\":0, \"revS\":0, \"vcp\":0, \"dir_prob\":93.3, \"time\":1785504600000}", "ticker": "PSX", "setup": "A+ Trend Long", "side": "LONG", "price": 211.65, "stage": 2, "buy": 96.1, "sell": 6.5, "prime": 2, "revL": 0, "revS": 0, "vcp": 0, "time": 1785504600000, "email_id": "3026", "timestamp": "2026-07-31 16:01:29"}</t>
  </si>
  <si>
    <t>Buy: 39.5 | Sell: 38</t>
  </si>
  <si>
    <t>{"symbol": "PNW", "strategy": "Daily", "action": "LONG", "alert_price": 100.86, "score": "", "dir_prob": "51", "net_sigma": "", "grade": "", "align": "", "premium": "", "wrong_if": "", "context": "", "subject": "Alert: Rev - Screener v1 (SPY, 12): Any alert() function call", "body": "{\"ticker\":\"PNW\", \"setup\":\"Research Reversal (Any Stage)\", \"side\":\"LONG\", \"price\":100.86, \"stage\":4, \"buy\":11.5, \"sell\":16.9, \"prime\":0, \"revL\":8.5, \"revS\":0, \"vcp\":0, \"dir_prob\":51, \"time\":1785763800000}", "ticker": "PNW", "setup": "Research Reversal (Any Stage)", "side": "LONG", "price": 100.86, "stage": 4, "buy": 11.5, "sell": 16.9, "prime": 0, "revL": 8.5, "revS": 0, "vcp": 0, "time": 1785763800000, "email_id": "3090", "timestamp": "2026-08-03 16:01:06"}</t>
  </si>
  <si>
    <t>Buy: 94.5 | Sell: 15.6</t>
  </si>
  <si>
    <t>{"symbol": "AEP", "strategy": "Daily", "action": "LONG", "alert_price": 127.84, "score": "", "dir_prob": "51.1", "net_sigma": "", "grade": "", "align": "", "premium": "", "wrong_if": "", "context": "", "subject": "Alert: Rev - Screener v1 (SPY, 12): Any alert() function call", "body": "{\"ticker\":\"AEP\", \"setup\":\"Research Reversal (Any Stage)\", \"side\":\"LONG\", \"price\":127.84, \"stage\":4, \"buy\":39.5, \"sell\":38, \"prime\":0, \"revL\":8, \"revS\":0, \"vcp\":0, \"dir_prob\":51.1, \"time\":1785504600000}", "ticker": "AEP", "setup": "Research Reversal (Any Stage)", "side": "LONG", "price": 127.84, "stage": 4, "buy": 39.5, "sell": 38, "prime": 0, "revL": 8, "revS": 0, "vcp": 0, "time": 1785504600000, "email_id": "3027", "timestamp": "2026-07-31 16:01:30"}</t>
  </si>
  <si>
    <t>Buy: 92.4 | Sell: 32.2</t>
  </si>
  <si>
    <t>{"symbol": "NWSA", "strategy": "Daily", "action": "LONG", "alert_price": 27.95, "score": "", "dir_prob": "95.5", "net_sigma": "", "grade": "", "align": "", "premium": "", "wrong_if": "", "context": "", "subject": "Alert: Rev - Screener v1 (SPY, 12): Any alert() function call", "body": "{\"ticker\":\"NWSA\", \"setup\":\"A+ Trend Long\", \"side\":\"LONG\", \"price\":27.95, \"stage\":2, \"buy\":94.5, \"sell\":15.6, \"prime\":2, \"revL\":0, \"revS\":0, \"vcp\":0, \"dir_prob\":95.5, \"time\":1785763800000}", "ticker": "NWSA", "setup": "A+ Trend Long", "side": "LONG", "price": 27.95, "stage": 2, "buy": 94.5, "sell": 15.6, "prime": 2, "revL": 0, "revS": 0, "vcp": 0, "time": 1785763800000, "email_id": "3091", "timestamp": "2026-08-03 16:01:12"}</t>
  </si>
  <si>
    <t>{"symbol": "SPG", "strategy": "Daily", "action": "LONG", "alert_price": 229.42, "score": "", "dir_prob": "77.2", "net_sigma": "", "grade": "", "align": "", "premium": "", "wrong_if": "", "context": "", "subject": "Alert: Rev - Screener v1 (SPY, 12): Any alert() function call", "body": "{\"ticker\":\"SPG\", \"setup\":\"A+ Trend Long\", \"side\":\"LONG\", \"price\":229.42, \"stage\":2, \"buy\":92.4, \"sell\":32.2, \"prime\":2, \"revL\":0, \"revS\":0, \"vcp\":0, \"dir_prob\":77.2, \"time\":1785504600000}", "ticker": "SPG", "setup": "A+ Trend Long", "side": "LONG", "price": 229.42, "stage": 2, "buy": 92.4, "sell": 32.2, "prime": 2, "revL": 0, "revS": 0, "vcp": 0, "time": 1785504600000, "email_id": "3028", "timestamp": "2026-07-31 16:01:40"}</t>
  </si>
  <si>
    <t>Buy: 95.1 | Sell: 15.4</t>
  </si>
  <si>
    <t>Buy: 94.7 | Sell: 8.6</t>
  </si>
  <si>
    <t>{"symbol": "WM", "strategy": "Daily", "action": "LONG", "alert_price": 226.59, "score": "", "dir_prob": "94.2", "net_sigma": "", "grade": "", "align": "", "premium": "", "wrong_if": "", "context": "", "subject": "Alert: Rev - Screener v1 (SPY, 12): Any alert() function call", "body": "{\"ticker\":\"WM\", \"setup\":\"A+ Trend Long\", \"side\":\"LONG\", \"price\":226.59, \"stage\":2, \"buy\":95.1, \"sell\":15.4, \"prime\":2, \"revL\":0, \"revS\":0, \"vcp\":-2, \"dir_prob\":94.2, \"time\":1785504600000}", "ticker": "WM", "setup": "A+ Trend Long", "side": "LONG", "price": 226.59, "stage": 2, "buy": 95.1, "sell": 15.4, "prime": 2, "revL": 0, "revS": 0, "vcp": -2, "time": 1785504600000, "email_id": "3029", "timestamp": "2026-07-31 16:01:47"}</t>
  </si>
  <si>
    <t>Buy: 15.7 | Sell: 14.2</t>
  </si>
  <si>
    <t>{"symbol": "WRB", "strategy": "Daily", "action": "LONG", "alert_price": 72.1, "score": "", "dir_prob": "95.4", "net_sigma": "", "grade": "", "align": "", "premium": "", "wrong_if": "", "context": "", "subject": "Alert: Rev - Screener v1 (SPY, 12): Any alert() function call", "body": "{\"ticker\":\"WRB\", \"setup\":\"A+ Trend Long\", \"side\":\"LONG\", \"price\":72.10, \"stage\":2, \"buy\":94.7, \"sell\":8.6, \"prime\":2, \"revL\":0, \"revS\":0, \"vcp\":0, \"dir_prob\":95.4, \"time\":1785763800000}", "ticker": "WRB", "setup": "A+ Trend Long", "side": "LONG", "price": 72.1, "stage": 2, "buy": 94.7, "sell": 8.6, "prime": 2, "revL": 0, "revS": 0, "vcp": 0, "time": 1785763800000, "email_id": "3092", "timestamp": "2026-08-03 16:01:30"}</t>
  </si>
  <si>
    <t>Buy: 93 | Sell: 40.5</t>
  </si>
  <si>
    <t>{"symbol": "PNW", "strategy": "Daily", "action": "LONG", "alert_price": 100.98, "score": "", "dir_prob": "56.3", "net_sigma": "", "grade": "", "align": "", "premium": "", "wrong_if": "", "context": "", "subject": "Alert: Rev - Screener v1 (SPY, 12): Any alert() function call", "body": "{\"ticker\":\"PNW\", \"setup\":\"Research Reversal (Any Stage)\", \"side\":\"LONG\", \"price\":100.98, \"stage\":4, \"buy\":15.7, \"sell\":14.2, \"prime\":0, \"revL\":10.5, \"revS\":0, \"vcp\":0, \"dir_prob\":56.3, \"time\":1785504600000}", "ticker": "PNW", "setup": "Research Reversal (Any Stage)", "side": "LONG", "price": 100.98, "stage": 4, "buy": 15.7, "sell": 14.2, "prime": 0, "revL": 10.5, "revS": 0, "vcp": 0, "time": 1785504600000, "email_id": "3030", "timestamp": "2026-07-31 16:01:48"}</t>
  </si>
  <si>
    <t>Buy: 91.7 | Sell: 18.3</t>
  </si>
  <si>
    <t>{"symbol": "HRL", "strategy": "Daily", "action": "LONG", "alert_price": 25.23, "score": "", "dir_prob": "86.4", "net_sigma": "", "grade": "", "align": "", "premium": "", "wrong_if": "", "context": "", "subject": "Alert: Rev - Screener v1 (SPY, 12): Any alert() function call", "body": "{\"ticker\":\"HRL\", \"setup\":\"A+ Trend Long\", \"side\":\"LONG\", \"price\":25.23, \"stage\":2, \"buy\":93, \"sell\":40.5, \"prime\":2, \"revL\":0, \"revS\":0, \"vcp\":1, \"dir_prob\":86.4, \"time\":1785763800000}", "ticker": "HRL", "setup": "A+ Trend Long", "side": "LONG", "price": 25.23, "stage": 2, "buy": 93, "sell": 40.5, "prime": 2, "revL": 0, "revS": 0, "vcp": 1, "time": 1785763800000, "email_id": "3093", "timestamp": "2026-08-03 16:01:11"}</t>
  </si>
  <si>
    <t>{"symbol": "TMO", "strategy": "Daily", "action": "LONG", "alert_price": 574.11, "score": "", "dir_prob": "87.4", "net_sigma": "", "grade": "", "align": "", "premium": "", "wrong_if": "", "context": "", "subject": "Alert: Rev - Screener v1 (SPY, 12): Any alert() function call", "body": "{\"ticker\":\"TMO\", \"setup\":\"A+ Trend Long\", \"side\":\"LONG\", \"price\":574.11, \"stage\":2, \"buy\":91.7, \"sell\":18.3, \"prime\":2, \"revL\":0, \"revS\":0, \"vcp\":0, \"dir_prob\":87.4, \"time\":1785504600000}", "ticker": "TMO", "setup": "A+ Trend Long", "side": "LONG", "price": 574.11, "stage": 2, "buy": 91.7, "sell": 18.3, "prime": 2, "revL": 0, "revS": 0, "vcp": 0, "time": 1785504600000, "email_id": "3031", "timestamp": "2026-07-31 16:01:43"}</t>
  </si>
  <si>
    <t>Buy: 95.9 | Sell: 11</t>
  </si>
  <si>
    <t>{"symbol": "ALL", "strategy": "Daily", "action": "LONG", "alert_price": 262.73, "score": "", "dir_prob": "89", "net_sigma": "", "grade": "", "align": "", "premium": "", "wrong_if": "", "context": "", "subject": "Alert: Rev - Screener v1 (SPY, 12): Any alert() function call", "body": "{\"ticker\":\"ALL\", \"setup\":\"A+ Trend Long\", \"side\":\"LONG\", \"price\":262.73, \"stage\":2, \"buy\":93.9, \"sell\":10.6, \"prime\":2, \"revL\":0, \"revS\":0, \"vcp\":0, \"dir_prob\":89, \"time\":1785763800000}", "ticker": "ALL", "setup": "A+ Trend Long", "side": "LONG", "price": 262.73, "stage": 2, "buy": 93.9, "sell": 10.6, "prime": 2, "revL": 0, "revS": 0, "vcp": 0, "time": 1785763800000, "email_id": "3094", "timestamp": "2026-08-03 16:01:08"}</t>
  </si>
  <si>
    <t>Buy: 92.9 | Sell: 37.8</t>
  </si>
  <si>
    <t>{"symbol": "IR", "strategy": "Daily", "action": "LONG", "alert_price": 83.4, "score": "", "dir_prob": "95.5", "net_sigma": "", "grade": "", "align": "", "premium": "", "wrong_if": "", "context": "", "subject": "Alert: Rev - Screener v1 (SPY, 12): Any alert() function call", "body": "{\"ticker\":\"IR\", \"setup\":\"A+ Trend Long\", \"side\":\"LONG\", \"price\":83.40, \"stage\":2, \"buy\":95.9, \"sell\":11, \"prime\":2, \"revL\":0, \"revS\":0, \"vcp\":0, \"dir_prob\":95.5, \"time\":1785504600000}", "ticker": "IR", "setup": "A+ Trend Long", "side": "LONG", "price": 83.4, "stage": 2, "buy": 95.9, "sell": 11, "prime": 2, "revL": 0, "revS": 0, "vcp": 0, "time": 1785504600000, "email_id": "3032", "timestamp": "2026-07-31 16:01:38"}</t>
  </si>
  <si>
    <t>Buy: 85 | Sell: 60</t>
  </si>
  <si>
    <t>{"symbol": "GPC", "strategy": "Daily", "action": "LONG", "alert_price": 128.54, "score": "", "dir_prob": "88.8", "net_sigma": "", "grade": "", "align": "", "premium": "", "wrong_if": "", "context": "", "subject": "Alert: Rev - Screener v1 (SPY, 12): Any alert() function call", "body": "{\"ticker\":\"GPC\", \"setup\":\"A+ Trend Long\", \"side\":\"LONG\", \"price\":128.54, \"stage\":2, \"buy\":92.9, \"sell\":37.8, \"prime\":2, \"revL\":0, \"revS\":0, \"vcp\":1, \"dir_prob\":88.8, \"time\":1785763800000}", "ticker": "GPC", "setup": "A+ Trend Long", "side": "LONG", "price": 128.54, "stage": 2, "buy": 92.9, "sell": 37.8, "prime": 2, "revL": 0, "revS": 0, "vcp": 1, "time": 1785763800000, "email_id": "3095", "timestamp": "2026-08-03 16:01:11"}</t>
  </si>
  <si>
    <t>Buy: 93.7 | Sell: 13.7</t>
  </si>
  <si>
    <t>{"symbol": "CAH", "strategy": "Daily", "action": "LONG", "alert_price": 230.08, "score": "", "dir_prob": "78.4", "net_sigma": "", "grade": "", "align": "", "premium": "", "wrong_if": "", "context": "", "subject": "Alert: Rev - Screener v1 (SPY, 12): Any alert() function call", "body": "{\"ticker\":\"CAH\", \"setup\":\"A+ Trend Long\", \"side\":\"LONG\", \"price\":230.08, \"stage\":2, \"buy\":85, \"sell\":60, \"prime\":2, \"revL\":0, \"revS\":0, \"vcp\":0, \"dir_prob\":78.4, \"time\":1785504600000}", "ticker": "CAH", "setup": "A+ Trend Long", "side": "LONG", "price": 230.08, "stage": 2, "buy": 85, "sell": 60, "prime": 2, "revL": 0, "revS": 0, "vcp": 0, "time": 1785504600000, "email_id": "3033", "timestamp": "2026-07-31 16:01:31"}</t>
  </si>
  <si>
    <t>Buy: 87 | Sell: 20</t>
  </si>
  <si>
    <t>{"symbol": "V", "strategy": "Daily", "action": "LONG", "alert_price": 365.5, "score": "", "dir_prob": "95.7", "net_sigma": "", "grade": "", "align": "", "premium": "", "wrong_if": "", "context": "", "subject": "Alert: Rev - Screener v1 (SPY, 12): Any alert() function call", "body": "{\"ticker\":\"V\", \"setup\":\"A+ Trend Long\", \"side\":\"LONG\", \"price\":365.50, \"stage\":2, \"buy\":93.7, \"sell\":13.7, \"prime\":2, \"revL\":0, \"revS\":0, \"vcp\":0, \"dir_prob\":95.7, \"time\":1785763800000}", "ticker": "V", "setup": "A+ Trend Long", "side": "LONG", "price": 365.5, "stage": 2, "buy": 93.7, "sell": 13.7, "prime": 2, "revL": 0, "revS": 0, "vcp": 0, "time": 1785763800000, "email_id": "3096", "timestamp": "2026-08-03 16:01:12"}</t>
  </si>
  <si>
    <t>Buy: 95.1 | Sell: 8.5</t>
  </si>
  <si>
    <t>{"symbol": "RJF", "strategy": "Daily", "action": "LONG", "alert_price": 175.99, "score": "", "dir_prob": "90.2", "net_sigma": "", "grade": "", "align": "", "premium": "", "wrong_if": "", "context": "", "subject": "Alert: Rev - Screener v1 (SPY, 12): Any alert() function call", "body": "{\"ticker\":\"RJF\", \"setup\":\"A+ Trend Long\", \"side\":\"LONG\", \"price\":175.99, \"stage\":2, \"buy\":87, \"sell\":20, \"prime\":2, \"revL\":0, \"revS\":0, \"vcp\":0, \"dir_prob\":90.2, \"time\":1785504600000}", "ticker": "RJF", "setup": "A+ Trend Long", "side": "LONG", "price": 175.99, "stage": 2, "buy": 87, "sell": 20, "prime": 2, "revL": 0, "revS": 0, "vcp": 0, "time": 1785504600000, "email_id": "3036", "timestamp": "2026-07-31 16:01:44"}</t>
  </si>
  <si>
    <t>Buy: 97 | Sell: 5.3</t>
  </si>
  <si>
    <t>{"symbol": "NDAQ", "strategy": "Daily", "action": "LONG", "alert_price": 94.15, "score": "", "dir_prob": "95.5", "net_sigma": "", "grade": "", "align": "", "premium": "", "wrong_if": "", "context": "", "subject": "Alert: Rev - Screener v1 (SPY, 12): Any alert() function call", "body": "{\"ticker\":\"NDAQ\", \"setup\":\"A+ Trend Long\", \"side\":\"LONG\", \"price\":94.15, \"stage\":2, \"buy\":95.1, \"sell\":8.5, \"prime\":2, \"revL\":0, \"revS\":0, \"vcp\":0, \"dir_prob\":95.5, \"time\":1785763800000}", "ticker": "NDAQ", "setup": "A+ Trend Long", "side": "LONG", "price": 94.15, "stage": 2, "buy": 95.1, "sell": 8.5, "prime": 2, "revL": 0, "revS": 0, "vcp": 0, "time": 1785763800000, "email_id": "3097", "timestamp": "2026-08-03 16:01:10"}</t>
  </si>
  <si>
    <t>Buy: 90.4 | Sell: 18.8</t>
  </si>
  <si>
    <t>{"symbol": "MPC", "strategy": "Daily", "action": "LONG", "alert_price": 316.52, "score": "", "dir_prob": "94.2", "net_sigma": "", "grade": "", "align": "", "premium": "", "wrong_if": "", "context": "", "subject": "Alert: Rev - Screener v1 (SPY, 12): Any alert() function call", "body": "{\"ticker\":\"MPC\", \"setup\":\"A+ Trend Long\", \"side\":\"LONG\", \"price\":316.52, \"stage\":2, \"buy\":97, \"sell\":5.3, \"prime\":2, \"revL\":0, \"revS\":0, \"vcp\":0, \"dir_prob\":94.2, \"time\":1785504600000}", "ticker": "MPC", "setup": "A+ Trend Long", "side": "LONG", "price": 316.52, "stage": 2, "buy": 97, "sell": 5.3, "prime": 2, "revL": 0, "revS": 0, "vcp": 0, "time": 1785504600000, "email_id": "3037", "timestamp": "2026-07-31 16:01:47"}</t>
  </si>
  <si>
    <t>Buy: 86.3 | Sell: 37.9</t>
  </si>
  <si>
    <t>{"symbol": "GL", "strategy": "Daily", "action": "LONG", "alert_price": 184.07, "score": "", "dir_prob": "82.2", "net_sigma": "", "grade": "", "align": "", "premium": "", "wrong_if": "", "context": "", "subject": "Alert: Rev - Screener v1 (SPY, 12): Any alert() function call", "body": "{\"ticker\":\"GL\", \"setup\":\"A+ Trend Long\", \"side\":\"LONG\", \"price\":184.07, \"stage\":2, \"buy\":90.4, \"sell\":18.8, \"prime\":2, \"revL\":0, \"revS\":4, \"vcp\":0, \"dir_prob\":82.2, \"time\":1785763800000}", "ticker": "GL", "setup": "A+ Trend Long", "side": "LONG", "price": 184.07, "stage": 2, "buy": 90.4, "sell": 18.8, "prime": 2, "revL": 0, "revS": 4, "vcp": 0, "time": 1785763800000, "email_id": "3098", "timestamp": "2026-08-03 16:01:14"}</t>
  </si>
  <si>
    <t>Buy: 95.5 | Sell: 5.6</t>
  </si>
  <si>
    <t>{"symbol": "GEN", "strategy": "Daily", "action": "LONG", "alert_price": 27.45, "score": "", "dir_prob": "89.2", "net_sigma": "", "grade": "", "align": "", "premium": "", "wrong_if": "", "context": "", "subject": "Alert: Rev - Screener v1 (SPY, 12): Any alert() function call", "body": "{\"ticker\":\"GEN\", \"setup\":\"Bullish Squeeze Release\", \"side\":\"LONG\", \"price\":27.45, \"stage\":2, \"buy\":86.3, \"sell\":37.9, \"prime\":0, \"revL\":0, \"revS\":0, \"vcp\":2, \"dir_prob\":89.2, \"time\":1785504600000}", "ticker": "GEN", "setup": "Bullish Squeeze Release", "side": "LONG", "price": 27.45, "stage": 2, "buy": 86.3, "sell": 37.9, "prime": 0, "revL": 0, "revS": 0, "vcp": 2, "time": 1785504600000, "email_id": "3034", "timestamp": "2026-07-31 16:01:38"}</t>
  </si>
  <si>
    <t>{"symbol": "TRV", "strategy": "Daily", "action": "LONG", "alert_price": 373.89, "score": "", "dir_prob": "94.1", "net_sigma": "", "grade": "", "align": "", "premium": "", "wrong_if": "", "context": "", "subject": "Alert: Rev - Screener v1 (SPY, 12): Any alert() function call", "body": "{\"ticker\":\"TRV\", \"setup\":\"A+ Trend Long\", \"side\":\"LONG\", \"price\":373.89, \"stage\":2, \"buy\":95.5, \"sell\":5.6, \"prime\":2, \"revL\":0, \"revS\":0, \"vcp\":0, \"dir_prob\":94.1, \"time\":1785763800000}", "ticker": "TRV", "setup": "A+ Trend Long", "side": "LONG", "price": 373.89, "stage": 2, "buy": 95.5, "sell": 5.6, "prime": 2, "revL": 0, "revS": 0, "vcp": 0, "time": 1785763800000, "email_id": "3099", "timestamp": "2026-08-03 16:01:15"}</t>
  </si>
  <si>
    <t>Buy: 88.2 | Sell: 39.7</t>
  </si>
  <si>
    <t>Buy: 93.7 | Sell: 8.9</t>
  </si>
  <si>
    <t>{"symbol": "MTB", "strategy": "Daily", "action": "LONG", "alert_price": 249.42, "score": "", "dir_prob": "92.8", "net_sigma": "", "grade": "", "align": "", "premium": "", "wrong_if": "", "context": "", "subject": "Alert: Rev - Screener v1 (SPY, 12): Any alert() function call", "body": "{\"ticker\":\"MTB\", \"setup\":\"A+ Trend Long\", \"side\":\"LONG\", \"price\":249.42, \"stage\":2, \"buy\":93.7, \"sell\":8.9, \"prime\":2, \"revL\":0, \"revS\":0, \"vcp\":0, \"dir_prob\":92.8, \"time\":1785763800000}", "ticker": "MTB", "setup": "A+ Trend Long", "side": "LONG", "price": 249.42, "stage": 2, "buy": 93.7, "sell": 8.9, "prime": 2, "revL": 0, "revS": 0, "vcp": 0, "time": 1785763800000, "email_id": "3100", "timestamp": "2026-08-03 16:01:17"}</t>
  </si>
  <si>
    <t>{"symbol": "F", "strategy": "Daily", "action": "LONG", "alert_price": 14.68, "score": "", "dir_prob": "85.2", "net_sigma": "", "grade": "", "align": "", "premium": "", "wrong_if": "", "context": "", "subject": "Alert: Rev - Screener v1 (SPY, 12): Any alert() function call", "body": "{\"ticker\":\"F\", \"setup\":\"A+ Trend Long\", \"side\":\"LONG\", \"price\":14.68, \"stage\":2, \"buy\":88.2, \"sell\":39.7, \"prime\":2, \"revL\":0, \"revS\":0, \"vcp\":0, \"dir_prob\":85.2, \"time\":1785504600000}", "ticker": "F", "setup": "A+ Trend Long", "side": "LONG", "price": 14.68, "stage": 2, "buy": 88.2, "sell": 39.7, "prime": 2, "revL": 0, "revS": 0, "vcp": 0, "time": 1785504600000, "email_id": "3038", "timestamp": "2026-07-31 16:01:47"}</t>
  </si>
  <si>
    <t>Buy: 94.2 | Sell: 26.4</t>
  </si>
  <si>
    <t>{"symbol": "USB", "strategy": "Daily", "action": "LONG", "alert_price": 63.94, "score": "", "dir_prob": "90.9", "net_sigma": "", "grade": "", "align": "", "premium": "", "wrong_if": "", "context": "", "subject": "Alert: Rev - Screener v1 (SPY, 12): Any alert() function call", "body": "{\"ticker\":\"USB\", \"setup\":\"A+ Trend Long\", \"side\":\"LONG\", \"price\":63.94, \"stage\":2, \"buy\":95, \"sell\":8.5, \"prime\":2, \"revL\":0, \"revS\":0, \"vcp\":1, \"dir_prob\":90.9, \"time\":1785763800000}", "ticker": "USB", "setup": "A+ Trend Long", "side": "LONG", "price": 63.94, "stage": 2, "buy": 95, "sell": 8.5, "prime": 2, "revL": 0, "revS": 0, "vcp": 1, "time": 1785763800000, "email_id": "3101", "timestamp": "2026-08-03 16:01:16"}</t>
  </si>
  <si>
    <t>Buy: 94.3 | Sell: 53.5</t>
  </si>
  <si>
    <t>{"symbol": "PM", "strategy": "Daily", "action": "LONG", "alert_price": 190.79, "score": "", "dir_prob": "92", "net_sigma": "", "grade": "", "align": "", "premium": "", "wrong_if": "", "context": "", "subject": "Alert: Rev - Screener v1 (SPY, 12): Any alert() function call", "body": "{\"ticker\":\"PM\", \"setup\":\"A+ Trend Long\", \"side\":\"LONG\", \"price\":190.79, \"stage\":2, \"buy\":94.2, \"sell\":26.4, \"prime\":2, \"revL\":0, \"revS\":0, \"vcp\":0, \"dir_prob\":92, \"time\":1785504600000}", "ticker": "PM", "setup": "A+ Trend Long", "side": "LONG", "price": 190.79, "stage": 2, "buy": 94.2, "sell": 26.4, "prime": 2, "revL": 0, "revS": 0, "vcp": 0, "time": 1785504600000, "email_id": "3039", "timestamp": "2026-07-31 16:01:42"}</t>
  </si>
  <si>
    <t>Buy: 93.9 | Sell: 13</t>
  </si>
  <si>
    <t>{"symbol": "EA", "strategy": "Daily", "action": "LONG", "alert_price": 209.91, "score": "", "dir_prob": "75.5", "net_sigma": "", "grade": "", "align": "", "premium": "", "wrong_if": "", "context": "", "subject": "Alert: Rev - Screener v1 (SPY, 12): Any alert() function call", "body": "{\"ticker\":\"EA\", \"setup\":\"A+ Trend Long\", \"side\":\"LONG\", \"price\":209.91, \"stage\":2, \"buy\":94.3, \"sell\":53.5, \"prime\":2, \"revL\":0, \"revS\":0, \"vcp\":0, \"dir_prob\":75.5, \"time\":1785763800000}", "ticker": "EA", "setup": "A+ Trend Long", "side": "LONG", "price": 209.91, "stage": 2, "buy": 94.3, "sell": 53.5, "prime": 2, "revL": 0, "revS": 0, "vcp": 0, "time": 1785763800000, "email_id": "3102", "timestamp": "2026-08-03 16:01:16"}</t>
  </si>
  <si>
    <t>{"symbol": "FITB", "strategy": "Daily", "action": "LONG", "alert_price": 56.5, "score": "", "dir_prob": "89.5", "net_sigma": "", "grade": "", "align": "", "premium": "", "wrong_if": "", "context": "", "subject": "Alert: Rev - Screener v1 (SPY, 12): Any alert() function call", "body": "{\"ticker\":\"FITB\", \"setup\":\"A+ Trend Long\", \"side\":\"LONG\", \"price\":56.50, \"stage\":2, \"buy\":93.9, \"sell\":13, \"prime\":2, \"revL\":0, \"revS\":0, \"vcp\":1, \"dir_prob\":89.5, \"time\":1785504600000}", "ticker": "FITB", "setup": "A+ Trend Long", "side": "LONG", "price": 56.5, "stage": 2, "buy": 93.9, "sell": 13, "prime": 2, "revL": 0, "revS": 0, "vcp": 1, "time": 1785504600000, "email_id": "3040", "timestamp": "2026-07-31 16:01:32"}</t>
  </si>
  <si>
    <t>Buy: 94.8 | Sell: 7.1</t>
  </si>
  <si>
    <t>{"symbol": "BAC", "strategy": "Daily", "action": "LONG", "alert_price": 61.98, "score": "", "dir_prob": "90.8", "net_sigma": "", "grade": "", "align": "", "premium": "", "wrong_if": "", "context": "", "subject": "Alert: Rev - Screener v1 (SPY, 12): Any alert() function call", "body": "{\"ticker\":\"BAC\", \"setup\":\"A+ Trend Long\", \"side\":\"LONG\", \"price\":61.98, \"stage\":2, \"buy\":94.8, \"sell\":7.1, \"prime\":2, \"revL\":0, \"revS\":0, \"vcp\":0, \"dir_prob\":90.8, \"time\":1785504600000}", "ticker": "BAC", "setup": "A+ Trend Long", "side": "LONG", "price": 61.98, "stage": 2, "buy": 94.8, "sell": 7.1, "prime": 2, "revL": 0, "revS": 0, "vcp": 0, "time": 1785504600000, "email_id": "3041", "timestamp": "2026-07-31 16:01:43"}</t>
  </si>
  <si>
    <t>{"symbol": "CF", "strategy": "Daily", "action": "LONG", "alert_price": 118.32, "score": "", "dir_prob": "96.9", "net_sigma": "", "grade": "", "align": "", "premium": "", "wrong_if": "", "context": "", "subject": "Alert: Rev - Screener v1 (SPY, 12): Any alert() function call", "body": "{\"ticker\":\"CF\", \"setup\":\"A+ Trend Long\", \"side\":\"LONG\", \"price\":118.32, \"stage\":2, \"buy\":94.6, \"sell\":21.8, \"prime\":2, \"revL\":0, \"revS\":0, \"vcp\":0, \"dir_prob\":96.9, \"time\":1785763800000}", "ticker": "CF", "setup": "A+ Trend Long", "side": "LONG", "price": 118.32, "stage": 2, "buy": 94.6, "sell": 21.8, "prime": 2, "revL": 0, "revS": 0, "vcp": 0, "time": 1785763800000, "email_id": "3103", "timestamp": "2026-08-03 16:01:19"}</t>
  </si>
  <si>
    <t>Buy: 94.2 | Sell: 36.7</t>
  </si>
  <si>
    <t>Buy: 79.5 | Sell: 17.2</t>
  </si>
  <si>
    <t>{"symbol": "FDS", "strategy": "Daily", "action": "LONG", "alert_price": 263.47, "score": "", "dir_prob": "87.2", "net_sigma": "", "grade": "", "align": "", "premium": "", "wrong_if": "", "context": "", "subject": "Alert: Rev - Screener v1 (SPY, 12): Any alert() function call", "body": "{\"ticker\":\"FDS\", \"setup\":\"A+ Trend Long\", \"side\":\"LONG\", \"price\":263.47, \"stage\":2, \"buy\":94.2, \"sell\":36.7, \"prime\":2, \"revL\":0, \"revS\":0, \"vcp\":0, \"dir_prob\":87.2, \"time\":1785504600000}", "ticker": "FDS", "setup": "A+ Trend Long", "side": "LONG", "price": 263.47, "stage": 2, "buy": 94.2, "sell": 36.7, "prime": 2, "revL": 0, "revS": 0, "vcp": 0, "time": 1785504600000, "email_id": "3042", "timestamp": "2026-07-31 16:01:20"}</t>
  </si>
  <si>
    <t>{"symbol": "VEEV", "strategy": "Daily", "action": "LONG", "alert_price": 206.16, "score": "", "dir_prob": "95.5", "net_sigma": "", "grade": "", "align": "", "premium": "", "wrong_if": "", "context": "", "subject": "Alert: Rev - Screener v1 (SPY, 12): Any alert() function call", "body": "{\"ticker\":\"VEEV\", \"setup\":\"Early Ignition\", \"side\":\"LONG\", \"price\":206.16, \"stage\":2, \"buy\":79.5, \"sell\":17.2, \"prime\":1, \"revL\":0, \"revS\":0, \"vcp\":0, \"dir_prob\":95.5, \"time\":1785763800000}", "ticker": "VEEV", "setup": "Early Ignition", "side": "LONG", "price": 206.16, "stage": 2, "buy": 79.5, "sell": 17.2, "prime": 1, "revL": 0, "revS": 0, "vcp": 0, "time": 1785763800000, "email_id": "3104", "timestamp": "2026-08-03 16:01:19"}</t>
  </si>
  <si>
    <t>Buy: 91.3 | Sell: 21.5</t>
  </si>
  <si>
    <t>Buy: 97.4 | Sell: 24.4</t>
  </si>
  <si>
    <t>{"symbol": "FE", "strategy": "Daily", "action": "LONG", "alert_price": 48.43, "score": "", "dir_prob": "88.8", "net_sigma": "", "grade": "", "align": "", "premium": "", "wrong_if": "", "context": "", "subject": "Alert: Rev - Screener v1 (SPY, 12): Any alert() function call", "body": "{\"ticker\":\"FE\", \"setup\":\"A+ Trend Long\", \"side\":\"LONG\", \"price\":48.43, \"stage\":2, \"buy\":97.4, \"sell\":24.4, \"prime\":2, \"revL\":0, \"revS\":0, \"vcp\":1, \"dir_prob\":88.8, \"time\":1785763800000}", "ticker": "FE", "setup": "A+ Trend Long", "side": "LONG", "price": 48.43, "stage": 2, "buy": 97.4, "sell": 24.4, "prime": 2, "revL": 0, "revS": 0, "vcp": 1, "time": 1785763800000, "email_id": "3105", "timestamp": "2026-08-03 16:01:19"}</t>
  </si>
  <si>
    <t>{"symbol": "KVUE", "strategy": "Daily", "action": "LONG", "alert_price": 19.22, "score": "", "dir_prob": "89.9", "net_sigma": "", "grade": "", "align": "", "premium": "", "wrong_if": "", "context": "", "subject": "Alert: Rev - Screener v1 (SPY, 12): Any alert() function call", "body": "{\"ticker\":\"KVUE\", \"setup\":\"A+ Trend Long\", \"side\":\"LONG\", \"price\":19.22, \"stage\":2, \"buy\":91.3, \"sell\":21.5, \"prime\":2, \"revL\":0, \"revS\":0, \"vcp\":1, \"dir_prob\":89.9, \"time\":1785504600000}", "ticker": "KVUE", "setup": "A+ Trend Long", "side": "LONG", "price": 19.22, "stage": 2, "buy": 91.3, "sell": 21.5, "prime": 2, "revL": 0, "revS": 0, "vcp": 1, "time": 1785504600000, "email_id": "3035", "timestamp": "2026-07-31 16:01:45"}</t>
  </si>
  <si>
    <t>Buy: 96.1 | Sell: 25.6</t>
  </si>
  <si>
    <t>Buy: 96.7 | Sell: 19.4</t>
  </si>
  <si>
    <t>Buy: 91.4 | Sell: 10.8</t>
  </si>
  <si>
    <t>{"symbol": "UNP", "strategy": "Daily", "action": "LONG", "alert_price": 291.38, "score": "", "dir_prob": "88.1", "net_sigma": "", "grade": "", "align": "", "premium": "", "wrong_if": "", "context": "", "subject": "Alert: Rev - Screener v1 (SPY, 12): Any alert() function call", "body": "{\"ticker\":\"UNP\", \"setup\":\"A+ Trend Long\", \"side\":\"LONG\", \"price\":291.38, \"stage\":2, \"buy\":96.1, \"sell\":25.6, \"prime\":2, \"revL\":0, \"revS\":0, \"vcp\":0, \"dir_prob\":88.1, \"time\":1785763800000}", "ticker": "UNP", "setup": "A+ Trend Long", "side": "LONG", "price": 291.38, "stage": 2, "buy": 96.1, "sell": 25.6, "prime": 2, "revL": 0, "revS": 0, "vcp": 0, "time": 1785763800000, "email_id": "3106", "timestamp": "2026-08-03 16:01:21"}</t>
  </si>
  <si>
    <t>{"symbol": "AWK", "strategy": "Daily", "action": "LONG", "alert_price": 134.22, "score": "", "dir_prob": "95.8", "net_sigma": "", "grade": "", "align": "", "premium": "", "wrong_if": "", "context": "", "subject": "Alert: Rev - Screener v1 (SPY, 12): Any alert() function call", "body": "{\"ticker\":\"AWK\", \"setup\":\"A+ Trend Long\", \"side\":\"LONG\", \"price\":134.22, \"stage\":2, \"buy\":96.7, \"sell\":19.4, \"prime\":2, \"revL\":0, \"revS\":0, \"vcp\":1, \"dir_prob\":95.8, \"time\":1785504600000}", "ticker": "AWK", "setup": "A+ Trend Long", "side": "LONG", "price": 134.22, "stage": 2, "buy": 96.7, "sell": 19.4, "prime": 2, "revL": 0, "revS": 0, "vcp": 1, "time": 1785504600000, "email_id": "3044", "timestamp": "2026-07-31 16:01:25"}</t>
  </si>
  <si>
    <t>Buy: 92.6 | Sell: 39.2</t>
  </si>
  <si>
    <t>Buy: 93.9 | Sell: 32.4</t>
  </si>
  <si>
    <t>{"symbol": "DHR", "strategy": "Daily", "action": "LONG", "alert_price": 197.52, "score": "", "dir_prob": "81.6", "net_sigma": "", "grade": "", "align": "", "premium": "", "wrong_if": "", "context": "", "subject": "Alert: Rev - Screener v1 (SPY, 12): Any alert() function call", "body": "{\"ticker\":\"DHR\", \"setup\":\"A+ Trend Long\", \"side\":\"LONG\", \"price\":197.52, \"stage\":2, \"buy\":92.6, \"sell\":39.2, \"prime\":2, \"revL\":0, \"revS\":0, \"vcp\":0, \"dir_prob\":81.6, \"time\":1785763800000}", "ticker": "DHR", "setup": "A+ Trend Long", "side": "LONG", "price": 197.52, "stage": 2, "buy": 92.6, "sell": 39.2, "prime": 2, "revL": 0, "revS": 0, "vcp": 0, "time": 1785763800000, "email_id": "3107", "timestamp": "2026-08-03 16:01:20"}</t>
  </si>
  <si>
    <t>{"symbol": "GPC", "strategy": "Daily", "action": "LONG", "alert_price": 124.44, "score": "", "dir_prob": "90.6", "net_sigma": "", "grade": "", "align": "", "premium": "", "wrong_if": "", "context": "", "subject": "Alert: Rev - Screener v1 (SPY, 12): Any alert() function call", "body": "{\"ticker\":\"GPC\", \"setup\":\"A+ Trend Long\", \"side\":\"LONG\", \"price\":124.44, \"stage\":2, \"buy\":93.9, \"sell\":32.4, \"prime\":2, \"revL\":0, \"revS\":0, \"vcp\":1, \"dir_prob\":90.6, \"time\":1785504600000}", "ticker": "GPC", "setup": "A+ Trend Long", "side": "LONG", "price": 124.44, "stage": 2, "buy": 93.9, "sell": 32.4, "prime": 2, "revL": 0, "revS": 0, "vcp": 1, "time": 1785504600000, "email_id": "3045", "timestamp": "2026-07-31 16:01:20"}</t>
  </si>
  <si>
    <t>PKG</t>
  </si>
  <si>
    <t>Buy: 96.9 | Sell: 28.1</t>
  </si>
  <si>
    <t>Buy: 90.2 | Sell: 35.7</t>
  </si>
  <si>
    <t>{"symbol": "EG", "strategy": "Daily", "action": "LONG", "alert_price": 372.07, "score": "", "dir_prob": "86.7", "net_sigma": "", "grade": "", "align": "", "premium": "", "wrong_if": "", "context": "", "subject": "Alert: Rev - Screener v1 (SPY, 12): Any alert() function call", "body": "{\"ticker\":\"EG\", \"setup\":\"A+ Trend Long\", \"side\":\"LONG\", \"price\":372.07, \"stage\":2, \"buy\":96.9, \"sell\":28.1, \"prime\":2, \"revL\":0, \"revS\":0, \"vcp\":0, \"dir_prob\":86.7, \"time\":1785763800000}", "ticker": "EG", "setup": "A+ Trend Long", "side": "LONG", "price": 372.07, "stage": 2, "buy": 96.9, "sell": 28.1, "prime": 2, "revL": 0, "revS": 0, "vcp": 0, "time": 1785763800000, "email_id": "3108", "timestamp": "2026-08-03 16:01:15"}</t>
  </si>
  <si>
    <t>{"symbol": "PKG", "strategy": "Daily", "action": "LONG", "alert_price": 245.92, "score": "", "dir_prob": "85.7", "net_sigma": "", "grade": "", "align": "", "premium": "", "wrong_if": "", "context": "", "subject": "Alert: Rev - Screener v1 (SPY, 12): Any alert() function call", "body": "{\"ticker\":\"PKG\", \"setup\":\"A+ Trend Long\", \"side\":\"LONG\", \"price\":245.92, \"stage\":2, \"buy\":90.2, \"sell\":35.7, \"prime\":2, \"revL\":0, \"revS\":0, \"vcp\":0, \"dir_prob\":85.7, \"time\":1785504600000}", "ticker": "PKG", "setup": "A+ Trend Long", "side": "LONG", "price": 245.92, "stage": 2, "buy": 90.2, "sell": 35.7, "prime": 2, "revL": 0, "revS": 0, "vcp": 0, "time": 1785504600000, "email_id": "3048", "timestamp": "2026-07-31 16:01:20"}</t>
  </si>
  <si>
    <t>Buy: 93.1 | Sell: 23.4</t>
  </si>
  <si>
    <t>Buy: 96.4 | Sell: 28.1</t>
  </si>
  <si>
    <t>{"symbol": "AMGN", "strategy": "Daily", "action": "LONG", "alert_price": 390.18, "score": "", "dir_prob": "91.9", "net_sigma": "", "grade": "", "align": "", "premium": "", "wrong_if": "", "context": "", "subject": "Alert: Rev - Screener v1 (SPY, 12): Any alert() function call", "body": "{\"ticker\":\"AMGN\", \"setup\":\"A+ Trend Long\", \"side\":\"LONG\", \"price\":390.18, \"stage\":2, \"buy\":91.4, \"sell\":10.8, \"prime\":2, \"revL\":0, \"revS\":0, \"vcp\":0, \"dir_prob\":91.9, \"time\":1785850200000}", "ticker": "AMGN", "setup": "A+ Trend Long", "side": "LONG", "price": 390.18, "stage": 2, "buy": 91.4, "sell": 10.8, "prime": 2, "revL": 0, "revS": 0, "vcp": 0, "time": 1785850200000, "email_id": "3202", "timestamp": "2026-08-04 16:01:11"}</t>
  </si>
  <si>
    <t>constructible_watch</t>
  </si>
  <si>
    <t>Buy: 93.8 | Sell: 11.5</t>
  </si>
  <si>
    <t>{"symbol": "MRK", "strategy": "Daily", "action": "LONG", "alert_price": 127.8, "score": "", "dir_prob": "87.1", "net_sigma": "", "grade": "", "align": "", "premium": "", "wrong_if": "", "context": "", "subject": "Alert: Rev - Screener v1 (SPY, 12): Any alert() function call", "body": "{\"ticker\":\"MRK\", \"setup\":\"A+ Trend Long\", \"side\":\"LONG\", \"price\":127.80, \"stage\":2, \"buy\":93.1, \"sell\":23.4, \"prime\":2, \"revL\":0, \"revS\":0, \"vcp\":0, \"dir_prob\":87.1, \"time\":1785763800000}", "ticker": "MRK", "setup": "A+ Trend Long", "side": "LONG", "price": 127.8, "stage": 2, "buy": 93.1, "sell": 23.4, "prime": 2, "revL": 0, "revS": 0, "vcp": 0, "time": 1785763800000, "email_id": "3109", "timestamp": "2026-08-03 16:01:18"}</t>
  </si>
  <si>
    <t>Buy: 97.1 | Sell: 18.2</t>
  </si>
  <si>
    <t>{"symbol": "AJG", "strategy": "Daily", "action": "LONG", "alert_price": 249.43, "score": "", "dir_prob": "97.2", "net_sigma": "", "grade": "", "align": "", "premium": "", "wrong_if": "", "context": "", "subject": "Alert: Rev - Screener v1 (SPY, 12): Any alert() function call", "body": "{\"ticker\":\"AJG\", \"setup\":\"A+ Trend Long\", \"side\":\"LONG\", \"price\":249.43, \"stage\":2, \"buy\":96.4, \"sell\":28.1, \"prime\":2, \"revL\":0, \"revS\":0, \"vcp\":0, \"dir_prob\":97.2, \"time\":1785504600000}", "ticker": "AJG", "setup": "A+ Trend Long", "side": "LONG", "price": 249.43, "stage": 2, "buy": 96.4, "sell": 28.1, "prime": 2, "revL": 0, "revS": 0, "vcp": 0, "time": 1785504600000, "email_id": "3049", "timestamp": "2026-07-31 16:01:19"}</t>
  </si>
  <si>
    <t>Buy: 94.8 | Sell: 20.5</t>
  </si>
  <si>
    <t>{"symbol": "O", "strategy": "Daily", "action": "LONG", "alert_price": 63.5, "score": "", "dir_prob": "94.1", "net_sigma": "", "grade": "", "align": "", "premium": "", "wrong_if": "", "context": "", "subject": "Alert: Rev - Screener v1 (SPY, 12): Any alert() function call", "body": "{\"ticker\":\"O\", \"setup\":\"A+ Trend Long\", \"side\":\"LONG\", \"price\":63.50, \"stage\":2, \"buy\":97.1, \"sell\":18.2, \"prime\":2, \"revL\":0, \"revS\":0, \"vcp\":0, \"dir_prob\":94.1, \"time\":1785763800000}", "ticker": "O", "setup": "A+ Trend Long", "side": "LONG", "price": 63.5, "stage": 2, "buy": 97.1, "sell": 18.2, "prime": 2, "revL": 0, "revS": 0, "vcp": 0, "time": 1785763800000, "email_id": "3110", "timestamp": "2026-08-03 16:01:23"}</t>
  </si>
  <si>
    <t>{"symbol": "XYL", "strategy": "Daily", "action": "LONG", "alert_price": 122.16, "score": "", "dir_prob": "96.6", "net_sigma": "", "grade": "", "align": "", "premium": "", "wrong_if": "", "context": "", "subject": "Alert: Rev - Screener v1 (SPY, 12): Any alert() function call", "body": "{\"ticker\":\"XYL\", \"setup\":\"A+ Trend Long\", \"side\":\"LONG\", \"price\":122.16, \"stage\":2, \"buy\":93.8, \"sell\":11.5, \"prime\":2, \"revL\":0, \"revS\":0, \"vcp\":0, \"dir_prob\":96.6, \"time\":1785850200000}", "ticker": "XYL", "setup": "A+ Trend Long", "side": "LONG", "price": 122.16, "stage": 2, "buy": 93.8, "sell": 11.5, "prime": 2, "revL": 0, "revS": 0, "vcp": 0, "time": 1785850200000, "email_id": "3203", "timestamp": "2026-08-04 16:01:01"}</t>
  </si>
  <si>
    <t>no_setup</t>
  </si>
  <si>
    <t>{"symbol": "AMGN", "strategy": "Daily", "action": "LONG", "alert_price": 385.22, "score": "", "dir_prob": "90.6", "net_sigma": "", "grade": "", "align": "", "premium": "", "wrong_if": "", "context": "", "subject": "Alert: Rev - Screener v1 (SPY, 12): Any alert() function call", "body": "{\"ticker\":\"AMGN\", \"setup\":\"A+ Trend Long\", \"side\":\"LONG\", \"price\":385.22, \"stage\":2, \"buy\":94.8, \"sell\":20.5, \"prime\":2, \"revL\":0, \"revS\":0, \"vcp\":0, \"dir_prob\":90.6, \"time\":1785504600000}", "ticker": "AMGN", "setup": "A+ Trend Long", "side": "LONG", "price": 385.22, "stage": 2, "buy": 94.8, "sell": 20.5, "prime": 2, "revL": 0, "revS": 0, "vcp": 0, "time": 1785504600000, "email_id": "3050", "timestamp": "2026-07-31 16:01:24"}</t>
  </si>
  <si>
    <t>Buy: 92.4 | Sell: 14.6</t>
  </si>
  <si>
    <t>Buy: 90.5 | Sell: 5.9</t>
  </si>
  <si>
    <t>Buy: 56.1 | Sell: 11.4</t>
  </si>
  <si>
    <t>{"symbol": "XYZ", "strategy": "Daily", "action": "LONG", "alert_price": 82.11, "score": "", "dir_prob": "92.4", "net_sigma": "", "grade": "", "align": "", "premium": "", "wrong_if": "", "context": "", "subject": "Alert: Rev - Screener v1 (SPY, 12): Any alert() function call", "body": "{\"ticker\":\"XYZ\", \"setup\":\"Bullish Squeeze Release\", \"side\":\"LONG\", \"price\":82.11, \"stage\":2, \"buy\":92.4, \"sell\":14.6, \"prime\":2, \"revL\":0, \"revS\":0, \"vcp\":2, \"dir_prob\":92.4, \"time\":1785763800000}", "ticker": "XYZ", "setup": "Bullish Squeeze Release", "side": "LONG", "price": 82.11, "stage": 2, "buy": 92.4, "sell": 14.6, "prime": 2, "revL": 0, "revS": 0, "vcp": 2, "time": 1785763800000, "email_id": "3111", "timestamp": "2026-08-03 16:01:22"}</t>
  </si>
  <si>
    <t>{"symbol": "CTAS", "strategy": "Daily", "action": "LONG", "alert_price": 204.59, "score": "", "dir_prob": "96.7", "net_sigma": "", "grade": "", "align": "", "premium": "", "wrong_if": "", "context": "", "subject": "Alert: Rev - Screener v1 (SPY, 12): Any alert() function call", "body": "{\"ticker\":\"CTAS\", \"setup\":\"A+ Trend Long\", \"side\":\"LONG\", \"price\":204.59, \"stage\":2, \"buy\":90.5, \"sell\":5.9, \"prime\":2, \"revL\":0, \"revS\":0, \"vcp\":0, \"dir_prob\":96.7, \"time\":1785504600000}", "ticker": "CTAS", "setup": "A+ Trend Long", "side": "LONG", "price": 204.59, "stage": 2, "buy": 90.5, "sell": 5.9, "prime": 2, "revL": 0, "revS": 0, "vcp": 0, "time": 1785504600000, "email_id": "3051", "timestamp": "2026-07-31 16:01:30"}</t>
  </si>
  <si>
    <t>Buy: 93.7 | Sell: 7</t>
  </si>
  <si>
    <t>{"symbol": "TDY", "strategy": "Daily", "action": "LONG", "alert_price": 684.83, "score": "", "dir_prob": "87.2", "net_sigma": "", "grade": "", "align": "", "premium": "", "wrong_if": "", "context": "", "subject": "Alert: Rev - Screener v1 (SPY, 12): Any alert() function call", "body": "{\"ticker\":\"TDY\", \"setup\":\"Bullish Squeeze Release\", \"side\":\"LONG\", \"price\":684.83, \"stage\":2, \"buy\":56.1, \"sell\":11.4, \"prime\":0, \"revL\":0, \"revS\":0, \"vcp\":2, \"dir_prob\":87.2, \"time\":1785850200000}", "ticker": "TDY", "setup": "Bullish Squeeze Release", "side": "LONG", "price": 684.83, "stage": 2, "buy": 56.1, "sell": 11.4, "prime": 0, "revL": 0, "revS": 0, "vcp": 2, "time": 1785850200000, "email_id": "3200", "timestamp": "2026-08-04 16:01:01"}</t>
  </si>
  <si>
    <t>Buy: 88.4 | Sell: 52.9</t>
  </si>
  <si>
    <t>Buy: 92.8 | Sell: 19.4</t>
  </si>
  <si>
    <t>{"symbol": "BAC", "strategy": "Daily", "action": "LONG", "alert_price": 62.49, "score": "", "dir_prob": "90.3", "net_sigma": "", "grade": "", "align": "", "premium": "", "wrong_if": "", "context": "", "subject": "Alert: Rev - Screener v1 (SPY, 12): Any alert() function call", "body": "{\"ticker\":\"BAC\", \"setup\":\"A+ Trend Long\", \"side\":\"LONG\", \"price\":62.49, \"stage\":2, \"buy\":93.7, \"sell\":7, \"prime\":2, \"revL\":0, \"revS\":0, \"vcp\":0, \"dir_prob\":90.3, \"time\":1785763800000}", "ticker": "BAC", "setup": "A+ Trend Long", "side": "LONG", "price": 62.49, "stage": 2, "buy": 93.7, "sell": 7, "prime": 2, "revL": 0, "revS": 0, "vcp": 0, "time": 1785763800000, "email_id": "3112", "timestamp": "2026-08-03 16:01:16"}</t>
  </si>
  <si>
    <t>Buy: 89.9 | Sell: 12.5</t>
  </si>
  <si>
    <t>{"symbol": "COO", "strategy": "Daily", "action": "LONG", "alert_price": 72.3, "score": "", "dir_prob": "78.4", "net_sigma": "", "grade": "", "align": "", "premium": "", "wrong_if": "", "context": "", "subject": "Alert: Rev - Screener v1 (SPY, 12): Any alert() function call", "body": "{\"ticker\":\"COO\", \"setup\":\"A+ Trend Long\", \"side\":\"LONG\", \"price\":72.30, \"stage\":2, \"buy\":88.4, \"sell\":52.9, \"prime\":2, \"revL\":0, \"revS\":0, \"vcp\":1, \"dir_prob\":78.4, \"time\":1785504600000}", "ticker": "COO", "setup": "A+ Trend Long", "side": "LONG", "price": 72.3, "stage": 2, "buy": 88.4, "sell": 52.9, "prime": 2, "revL": 0, "revS": 0, "vcp": 1, "time": 1785504600000, "email_id": "3052", "timestamp": "2026-07-31 16:01:19"}</t>
  </si>
  <si>
    <t>Buy: 96.1 | Sell: 15.1</t>
  </si>
  <si>
    <t>{"symbol": "PRU", "strategy": "Daily", "action": "LONG", "alert_price": 123.43, "score": "", "dir_prob": "89", "net_sigma": "", "grade": "", "align": "", "premium": "", "wrong_if": "", "context": "", "subject": "Alert: Rev - Screener v1 (SPY, 12): Any alert() function call", "body": "{\"ticker\":\"PRU\", \"setup\":\"A+ Trend Long\", \"side\":\"LONG\", \"price\":123.43, \"stage\":2, \"buy\":92.8, \"sell\":19.4, \"prime\":2, \"revL\":0, \"revS\":0, \"vcp\":0, \"dir_prob\":89, \"time\":1785850200000}", "ticker": "PRU", "setup": "A+ Trend Long", "side": "LONG", "price": 123.43, "stage": 2, "buy": 92.8, "sell": 19.4, "prime": 2, "revL": 0, "revS": 0, "vcp": 0, "time": 1785850200000, "email_id": "3204", "timestamp": "2026-08-04 16:01:04"}</t>
  </si>
  <si>
    <t>Buy: 92.3 | Sell: 8.8</t>
  </si>
  <si>
    <t>{"symbol": "BRO", "strategy": "Daily", "action": "LONG", "alert_price": 71.78, "score": "", "dir_prob": "99.2", "net_sigma": "", "grade": "", "align": "", "premium": "", "wrong_if": "", "context": "", "subject": "Alert: Rev - Screener v1 (SPY, 12): Any alert() function call", "body": "{\"ticker\":\"BRO\", \"setup\":\"A+ Trend Long\", \"side\":\"LONG\", \"price\":71.78, \"stage\":2, \"buy\":89.9, \"sell\":12.5, \"prime\":2, \"revL\":0, \"revS\":0, \"vcp\":0, \"dir_prob\":99.2, \"time\":1785763800000}", "ticker": "BRO", "setup": "A+ Trend Long", "side": "LONG", "price": 71.78, "stage": 2, "buy": 89.9, "sell": 12.5, "prime": 2, "revL": 0, "revS": 0, "vcp": 0, "time": 1785763800000, "email_id": "3113", "timestamp": "2026-08-03 16:01:18"}</t>
  </si>
  <si>
    <t>Buy: 98.4 | Sell: 11.1</t>
  </si>
  <si>
    <t>{"symbol": "INCY", "strategy": "Daily", "action": "LONG", "alert_price": 119.48, "score": "", "dir_prob": "92.2", "net_sigma": "", "grade": "", "align": "", "premium": "", "wrong_if": "", "context": "", "subject": "Alert: Rev - Screener v1 (SPY, 12): Any alert() function call", "body": "{\"ticker\":\"INCY\", \"setup\":\"A+ Trend Long\", \"side\":\"LONG\", \"price\":119.48, \"stage\":2, \"buy\":96.1, \"sell\":15.1, \"prime\":2, \"revL\":0, \"revS\":0, \"vcp\":0, \"dir_prob\":92.2, \"time\":1785504600000}", "ticker": "INCY", "setup": "A+ Trend Long", "side": "LONG", "price": 119.48, "stage": 2, "buy": 96.1, "sell": 15.1, "prime": 2, "revL": 0, "revS": 0, "vcp": 0, "time": 1785504600000, "email_id": "3053", "timestamp": "2026-07-31 16:01:18"}</t>
  </si>
  <si>
    <t>Buy: 95.1 | Sell: 17.7</t>
  </si>
  <si>
    <t>{"symbol": "PCG", "strategy": "Daily", "action": "LONG", "alert_price": 17.44, "score": "", "dir_prob": "92.7", "net_sigma": "", "grade": "", "align": "", "premium": "", "wrong_if": "", "context": "", "subject": "Alert: Rev - Screener v1 (SPY, 12): Any alert() function call", "body": "{\"ticker\":\"PCG\", \"setup\":\"A+ Trend Long\", \"side\":\"LONG\", \"price\":17.44, \"stage\":2, \"buy\":98.4, \"sell\":11.1, \"prime\":2, \"revL\":0, \"revS\":0, \"vcp\":1, \"dir_prob\":92.7, \"time\":1785763800000}", "ticker": "PCG", "setup": "A+ Trend Long", "side": "LONG", "price": 17.44, "stage": 2, "buy": 98.4, "sell": 11.1, "prime": 2, "revL": 0, "revS": 0, "vcp": 1, "time": 1785763800000, "email_id": "3114", "timestamp": "2026-08-03 16:01:24"}</t>
  </si>
  <si>
    <t>{"symbol": "MTB", "strategy": "Daily", "action": "LONG", "alert_price": 252.93, "score": "", "dir_prob": "92.4", "net_sigma": "", "grade": "", "align": "", "premium": "", "wrong_if": "", "context": "", "subject": "Alert: Rev - Screener v1 (SPY, 12): Any alert() function call", "body": "{\"ticker\":\"MTB\", \"setup\":\"A+ Trend Long\", \"side\":\"LONG\", \"price\":252.93, \"stage\":2, \"buy\":92.3, \"sell\":8.8, \"prime\":2, \"revL\":0, \"revS\":0, \"vcp\":0, \"dir_prob\":92.4, \"time\":1785850200000}", "ticker": "MTB", "setup": "A+ Trend Long", "side": "LONG", "price": 252.93, "stage": 2, "buy": 92.3, "sell": 8.8, "prime": 2, "revL": 0, "revS": 0, "vcp": 0, "time": 1785850200000, "email_id": "3205", "timestamp": "2026-08-04 16:01:07"}</t>
  </si>
  <si>
    <t>{"symbol": "L", "strategy": "Daily", "action": "LONG", "alert_price": 116.02, "score": "", "dir_prob": "88.3", "net_sigma": "", "grade": "", "align": "", "premium": "", "wrong_if": "", "context": "", "subject": "Alert: Rev - Screener v1 (SPY, 12): Any alert() function call", "body": "{\"ticker\":\"L\", \"setup\":\"A+ Trend Long\", \"side\":\"LONG\", \"price\":116.02, \"stage\":2, \"buy\":95.1, \"sell\":17.7, \"prime\":2, \"revL\":0, \"revS\":0, \"vcp\":0, \"dir_prob\":88.3, \"time\":1785504600000}", "ticker": "L", "setup": "A+ Trend Long", "side": "LONG", "price": 116.02, "stage": 2, "buy": 95.1, "sell": 17.7, "prime": 2, "revL": 0, "revS": 0, "vcp": 0, "time": 1785504600000, "email_id": "3054", "timestamp": "2026-07-31 16:01:27"}</t>
  </si>
  <si>
    <t>Buy: 89.9 | Sell: 18.6</t>
  </si>
  <si>
    <t>Buy: 87.7 | Sell: 25.3</t>
  </si>
  <si>
    <t>{"symbol": "AMCR", "strategy": "Daily", "action": "LONG", "alert_price": 46.03, "score": "", "dir_prob": "86.9", "net_sigma": "", "grade": "", "align": "", "premium": "", "wrong_if": "", "context": "", "subject": "Alert: Rev - Screener v1 (SPY, 12): Any alert() function call", "body": "{\"ticker\":\"AMCR\", \"setup\":\"A+ Trend Long\", \"side\":\"LONG\", \"price\":46.03, \"stage\":2, \"buy\":93.1, \"sell\":34.9, \"prime\":2, \"revL\":0, \"revS\":0, \"vcp\":0, \"dir_prob\":86.9, \"time\":1785763800000}", "ticker": "AMCR", "setup": "A+ Trend Long", "side": "LONG", "price": 46.03, "stage": 2, "buy": 93.1, "sell": 34.9, "prime": 2, "revL": 0, "revS": 0, "vcp": 0, "time": 1785763800000, "email_id": "3115", "timestamp": "2026-08-03 16:01:23"}</t>
  </si>
  <si>
    <t>Buy: 95.4 | Sell: 13.9</t>
  </si>
  <si>
    <t>{"symbol": "SYY", "strategy": "Daily", "action": "LONG", "alert_price": 85.25, "score": "", "dir_prob": "92.1", "net_sigma": "", "grade": "", "align": "", "premium": "", "wrong_if": "", "context": "", "subject": "Alert: Rev - Screener v1 (SPY, 12): Any alert() function call", "body": "{\"ticker\":\"SYY\", \"setup\":\"A+ Trend Long\", \"side\":\"LONG\", \"price\":85.25, \"stage\":2, \"buy\":87.7, \"sell\":25.3, \"prime\":2, \"revL\":0, \"revS\":0, \"vcp\":0, \"dir_prob\":92.1, \"time\":1785504600000}", "ticker": "SYY", "setup": "A+ Trend Long", "side": "LONG", "price": 85.25, "stage": 2, "buy": 87.7, "sell": 25.3, "prime": 2, "revL": 0, "revS": 0, "vcp": 0, "time": 1785504600000, "email_id": "3055", "timestamp": "2026-07-31 16:01:27"}</t>
  </si>
  <si>
    <t>{"symbol": "GL", "strategy": "Daily", "action": "LONG", "alert_price": 183.92, "score": "", "dir_prob": "81.9", "net_sigma": "", "grade": "", "align": "", "premium": "", "wrong_if": "", "context": "", "subject": "Alert: Rev - Screener v1 (SPY, 12): Any alert() function call", "body": "{\"ticker\":\"GL\", \"setup\":\"A+ Trend Long\", \"side\":\"LONG\", \"price\":183.92, \"stage\":2, \"buy\":89.9, \"sell\":18.6, \"prime\":2, \"revL\":0, \"revS\":0, \"vcp\":0, \"dir_prob\":81.9, \"time\":1785850200000}", "ticker": "GL", "setup": "A+ Trend Long", "side": "LONG", "price": 183.92, "stage": 2, "buy": 89.9, "sell": 18.6, "prime": 2, "revL": 0, "revS": 0, "vcp": 0, "time": 1785850200000, "email_id": "3206", "timestamp": "2026-08-04 16:01:08"}</t>
  </si>
  <si>
    <t>high_10d_volatility</t>
  </si>
  <si>
    <t>{"symbol": "AMGN", "strategy": "Daily", "action": "LONG", "alert_price": 378.86, "score": "", "dir_prob": "92.2", "net_sigma": "", "grade": "", "align": "", "premium": "", "wrong_if": "", "context": "", "subject": "Alert: Rev - Screener v1 (SPY, 12): Any alert() function call", "body": "{\"ticker\":\"AMGN\", \"setup\":\"A+ Trend Long\", \"side\":\"LONG\", \"price\":378.86, \"stage\":2, \"buy\":95.4, \"sell\":13.9, \"prime\":2, \"revL\":0, \"revS\":0, \"vcp\":0, \"dir_prob\":92.2, \"time\":1785763800000}", "ticker": "AMGN", "setup": "A+ Trend Long", "side": "LONG", "price": 378.86, "stage": 2, "buy": 95.4, "sell": 13.9, "prime": 2, "revL": 0, "revS": 0, "vcp": 0, "time": 1785763800000, "email_id": "3116", "timestamp": "2026-08-03 16:01:18"}</t>
  </si>
  <si>
    <t>Buy: 94.6 | Sell: 24.6</t>
  </si>
  <si>
    <t>{"symbol": "MET", "strategy": "Daily", "action": "LONG", "alert_price": 96.32, "score": "", "dir_prob": "87.5", "net_sigma": "", "grade": "", "align": "", "premium": "", "wrong_if": "", "context": "", "subject": "Alert: Rev - Screener v1 (SPY, 12): Any alert() function call", "body": "{\"ticker\":\"MET\", \"setup\":\"A+ Trend Long\", \"side\":\"LONG\", \"price\":96.32, \"stage\":2, \"buy\":94.6, \"sell\":24.6, \"prime\":2, \"revL\":0, \"revS\":0, \"vcp\":0, \"dir_prob\":87.5, \"time\":1785763800000}", "ticker": "MET", "setup": "A+ Trend Long", "side": "LONG", "price": 96.32, "stage": 2, "buy": 94.6, "sell": 24.6, "prime": 2, "revL": 0, "revS": 0, "vcp": 0, "time": 1785763800000, "email_id": "3117", "timestamp": "2026-08-03 16:01:18"}</t>
  </si>
  <si>
    <t>Buy: 96.1 | Sell: 11.9</t>
  </si>
  <si>
    <t>{"symbol": "GD", "strategy": "Daily", "action": "LONG", "alert_price": 385.79, "score": "", "dir_prob": "95.5", "net_sigma": "", "grade": "", "align": "", "premium": "", "wrong_if": "", "context": "", "subject": "Alert: Rev - Screener v1 (SPY, 12): Any alert() function call", "body": "{\"ticker\":\"GD\", \"setup\":\"A+ Trend Long\", \"side\":\"LONG\", \"price\":385.79, \"stage\":2, \"buy\":93.9, \"sell\":10.4, \"prime\":2, \"revL\":0, \"revS\":0, \"vcp\":0, \"dir_prob\":95.5, \"time\":1785850200000}", "ticker": "GD", "setup": "A+ Trend Long", "side": "LONG", "price": 385.79, "stage": 2, "buy": 93.9, "sell": 10.4, "prime": 2, "revL": 0, "revS": 0, "vcp": 0, "time": 1785850200000, "email_id": "3208", "timestamp": "2026-08-04 16:01:09"}</t>
  </si>
  <si>
    <t>{"symbol": "JKHY", "strategy": "Daily", "action": "LONG", "alert_price": 153.94, "score": "", "dir_prob": "97.9", "net_sigma": "", "grade": "", "align": "", "premium": "", "wrong_if": "", "context": "", "subject": "Alert: Rev - Screener v1 (SPY, 12): Any alert() function call", "body": "{\"ticker\":\"JKHY\", \"setup\":\"A+ Trend Long\", \"side\":\"LONG\", \"price\":153.94, \"stage\":2, \"buy\":95.7, \"sell\":7.2, \"prime\":2, \"revL\":0, \"revS\":0, \"vcp\":0, \"dir_prob\":97.9, \"time\":1785504600000}", "ticker": "JKHY", "setup": "A+ Trend Long", "side": "LONG", "price": 153.94, "stage": 2, "buy": 95.7, "sell": 7.2, "prime": 2, "revL": 0, "revS": 0, "vcp": 0, "time": 1785504600000, "email_id": "3056", "timestamp": "2026-07-31 16:01:19"}</t>
  </si>
  <si>
    <t>Buy: 95.9 | Sell: 4.8</t>
  </si>
  <si>
    <t>Buy: 95 | Sell: 26.6</t>
  </si>
  <si>
    <t>{"symbol": "VLTO", "strategy": "Daily", "action": "LONG", "alert_price": 94.78, "score": "", "dir_prob": "98.2", "net_sigma": "", "grade": "", "align": "", "premium": "", "wrong_if": "", "context": "", "subject": "Alert: Rev - Screener v1 (SPY, 12): Any alert() function call", "body": "{\"ticker\":\"VLTO\", \"setup\":\"A+ Trend Long\", \"side\":\"LONG\", \"price\":94.78, \"stage\":2, \"buy\":96.1, \"sell\":11.9, \"prime\":2, \"revL\":0, \"revS\":0, \"vcp\":0, \"dir_prob\":98.2, \"time\":1785763800000}", "ticker": "VLTO", "setup": "A+ Trend Long", "side": "LONG", "price": 94.78, "stage": 2, "buy": 96.1, "sell": 11.9, "prime": 2, "revL": 0, "revS": 0, "vcp": 0, "time": 1785763800000, "email_id": "3118", "timestamp": "2026-08-03 16:01:26"}</t>
  </si>
  <si>
    <t>{"symbol": "MPC", "strategy": "Daily", "action": "LONG", "alert_price": 307.2, "score": "", "dir_prob": "94.2", "net_sigma": "", "grade": "", "align": "", "premium": "", "wrong_if": "", "context": "", "subject": "Alert: Rev - Screener v1 (SPY, 12): Any alert() function call", "body": "{\"ticker\":\"MPC\", \"setup\":\"A+ Trend Long\", \"side\":\"LONG\", \"price\":307.20, \"stage\":2, \"buy\":97.3, \"sell\":4.4, \"prime\":2, \"revL\":0, \"revS\":0, \"vcp\":0, \"dir_prob\":94.2, \"time\":1785763800000}", "ticker": "MPC", "setup": "A+ Trend Long", "side": "LONG", "price": 307.2, "stage": 2, "buy": 97.3, "sell": 4.4, "prime": 2, "revL": 0, "revS": 0, "vcp": 0, "time": 1785763800000, "email_id": "3119", "timestamp": "2026-08-03 16:01:26"}</t>
  </si>
  <si>
    <t>{"symbol": "TRV", "strategy": "Daily", "action": "LONG", "alert_price": 377.37, "score": "", "dir_prob": "94.2", "net_sigma": "", "grade": "", "align": "", "premium": "", "wrong_if": "", "context": "", "subject": "Alert: Rev - Screener v1 (SPY, 12): Any alert() function call", "body": "{\"ticker\":\"TRV\", \"setup\":\"A+ Trend Long\", \"side\":\"LONG\", \"price\":377.37, \"stage\":2, \"buy\":95.9, \"sell\":4.8, \"prime\":2, \"revL\":0, \"revS\":0, \"vcp\":0, \"dir_prob\":94.2, \"time\":1785850200000}", "ticker": "TRV", "setup": "A+ Trend Long", "side": "LONG", "price": 377.37, "stage": 2, "buy": 95.9, "sell": 4.8, "prime": 2, "revL": 0, "revS": 0, "vcp": 0, "time": 1785850200000, "email_id": "3207", "timestamp": "2026-08-04 16:01:09"}</t>
  </si>
  <si>
    <t>rich_high_volatility</t>
  </si>
  <si>
    <t>{"symbol": "CBRE", "strategy": "Daily", "action": "LONG", "alert_price": 146.82, "score": "", "dir_prob": "90.6", "net_sigma": "", "grade": "", "align": "", "premium": "", "wrong_if": "", "context": "", "subject": "Alert: Rev - Screener v1 (SPY, 12): Any alert() function call", "body": "{\"ticker\":\"CBRE\", \"setup\":\"A+ Trend Long\", \"side\":\"LONG\", \"price\":146.82, \"stage\":2, \"buy\":95, \"sell\":26.6, \"prime\":2, \"revL\":0, \"revS\":0, \"vcp\":0, \"dir_prob\":90.6, \"time\":1785504600000}", "ticker": "CBRE", "setup": "A+ Trend Long", "side": "LONG", "price": 146.82, "stage": 2, "buy": 95, "sell": 26.6, "prime": 2, "revL": 0, "revS": 0, "vcp": 0, "time": 1785504600000, "email_id": "3057", "timestamp": "2026-07-31 16:01:26"}</t>
  </si>
  <si>
    <t>Buy: 22.8 | Sell: 14.8</t>
  </si>
  <si>
    <t>Buy: 95.6 | Sell: 10.3</t>
  </si>
  <si>
    <t>{"symbol": "LIN", "strategy": "Daily", "action": "LONG", "alert_price": 480.49, "score": "", "dir_prob": "63.3", "net_sigma": "", "grade": "", "align": "", "premium": "", "wrong_if": "", "context": "", "subject": "Alert: Rev - Screener v1 (SPY, 12): Any alert() function call", "body": "{\"ticker\":\"LIN\", \"setup\":\"Research Reversal (Any Stage)\", \"side\":\"LONG\", \"price\":480.49, \"stage\":4, \"buy\":22.8, \"sell\":14.8, \"prime\":0, \"revL\":7.5, \"revS\":0, \"vcp\":0, \"dir_prob\":63.3, \"time\":1785763800000}", "ticker": "LIN", "setup": "Research Reversal (Any Stage)", "side": "LONG", "price": 480.49, "stage": 4, "buy": 22.8, "sell": 14.8, "prime": 0, "revL": 7.5, "revS": 0, "vcp": 0, "time": 1785763800000, "email_id": "3120", "timestamp": "2026-08-03 16:01:20"}</t>
  </si>
  <si>
    <t>{"symbol": "J", "strategy": "Daily", "action": "LONG", "alert_price": 134.9, "score": "", "dir_prob": "96.5", "net_sigma": "", "grade": "", "align": "", "premium": "", "wrong_if": "", "context": "", "subject": "Alert: Rev - Screener v1 (SPY, 12): Any alert() function call", "body": "{\"ticker\":\"J\", \"setup\":\"A+ Trend Long\", \"side\":\"LONG\", \"price\":134.90, \"stage\":2, \"buy\":95.6, \"sell\":10.3, \"prime\":2, \"revL\":0, \"revS\":0, \"vcp\":0, \"dir_prob\":96.5, \"time\":1785504600000}", "ticker": "J", "setup": "A+ Trend Long", "side": "LONG", "price": 134.9, "stage": 2, "buy": 95.6, "sell": 10.3, "prime": 2, "revL": 0, "revS": 0, "vcp": 0, "time": 1785504600000, "email_id": "3058", "timestamp": "2026-07-31 16:01:24"}</t>
  </si>
  <si>
    <t>Buy: 95.1 | Sell: 16.8</t>
  </si>
  <si>
    <t>Buy: 94.3 | Sell: 11.1</t>
  </si>
  <si>
    <t>{"symbol": "MPC", "strategy": "Daily", "action": "LONG", "alert_price": 312.62, "score": "", "dir_prob": "94", "net_sigma": "", "grade": "", "align": "", "premium": "", "wrong_if": "", "context": "", "subject": "Alert: Rev - Screener v1 (SPY, 12): Any alert() function call", "body": "{\"ticker\":\"MPC\", \"setup\":\"A+ Trend Long\", \"side\":\"LONG\", \"price\":312.62, \"stage\":2, \"buy\":96.8, \"sell\":4.6, \"prime\":2, \"revL\":0, \"revS\":0, \"vcp\":0, \"dir_prob\":94, \"time\":1785850200000}", "ticker": "MPC", "setup": "A+ Trend Long", "side": "LONG", "price": 312.62, "stage": 2, "buy": 96.8, "sell": 4.6, "prime": 2, "revL": 0, "revS": 0, "vcp": 0, "time": 1785850200000, "email_id": "3209", "timestamp": "2026-08-04 16:01:08"}</t>
  </si>
  <si>
    <t>extreme_extension</t>
  </si>
  <si>
    <t>Buy: 95.7 | Sell: 52</t>
  </si>
  <si>
    <t>{"symbol": "PCAR", "strategy": "Daily", "action": "LONG", "alert_price": 132.03, "score": "", "dir_prob": "92.8", "net_sigma": "", "grade": "", "align": "", "premium": "", "wrong_if": "", "context": "", "subject": "Alert: Rev - Screener v1 (SPY, 12): Any alert() function call", "body": "{\"ticker\":\"PCAR\", \"setup\":\"A+ Trend Long\", \"side\":\"LONG\", \"price\":132.03, \"stage\":2, \"buy\":95.1, \"sell\":16.8, \"prime\":2, \"revL\":0, \"revS\":0, \"vcp\":0, \"dir_prob\":92.8, \"time\":1785763800000}", "ticker": "PCAR", "setup": "A+ Trend Long", "side": "LONG", "price": 132.03, "stage": 2, "buy": 95.1, "sell": 16.8, "prime": 2, "revL": 0, "revS": 0, "vcp": 0, "time": 1785763800000, "email_id": "3121", "timestamp": "2026-08-03 16:01:26"}</t>
  </si>
  <si>
    <t>Buy: 85.9 | Sell: 20</t>
  </si>
  <si>
    <t>{"symbol": "BBY", "strategy": "Daily", "action": "LONG", "alert_price": 86.26, "score": "", "dir_prob": "93.5", "net_sigma": "", "grade": "", "align": "", "premium": "", "wrong_if": "", "context": "", "subject": "Alert: Rev - Screener v1 (SPY, 12): Any alert() function call", "body": "{\"ticker\":\"BBY\", \"setup\":\"A+ Trend Long\", \"side\":\"LONG\", \"price\":86.26, \"stage\":2, \"buy\":94.3, \"sell\":11.1, \"prime\":2, \"revL\":0, \"revS\":0, \"vcp\":0, \"dir_prob\":93.5, \"time\":1785504600000}", "ticker": "BBY", "setup": "A+ Trend Long", "side": "LONG", "price": 86.26, "stage": 2, "buy": 94.3, "sell": 11.1, "prime": 2, "revL": 0, "revS": 0, "vcp": 0, "time": 1785504600000, "email_id": "3059", "timestamp": "2026-07-31 16:01:21"}</t>
  </si>
  <si>
    <t>Buy: 92.9 | Sell: 37.2</t>
  </si>
  <si>
    <t>{"symbol": "HSIC", "strategy": "Daily", "action": "LONG", "alert_price": 89.09, "score": "", "dir_prob": "80.3", "net_sigma": "", "grade": "", "align": "", "premium": "", "wrong_if": "", "context": "", "subject": "Alert: Rev - Screener v1 (SPY, 12): Any alert() function call", "body": "{\"ticker\":\"HSIC\", \"setup\":\"Early Ignition\", \"side\":\"LONG\", \"price\":89.09, \"stage\":2, \"buy\":95.7, \"sell\":52, \"prime\":2, \"revL\":0, \"revS\":4.5, \"vcp\":1, \"dir_prob\":80.3, \"time\":1785850200000}", "ticker": "HSIC", "setup": "Early Ignition", "side": "LONG", "price": 89.09, "stage": 2, "buy": 95.7, "sell": 52, "prime": 2, "revL": 0, "revS": 4.5, "vcp": 1, "time": 1785850200000, "email_id": "3210", "timestamp": "2026-08-04 16:01:11"}</t>
  </si>
  <si>
    <t>{"symbol": "ERIE", "strategy": "Daily", "action": "LONG", "alert_price": 237.01, "score": "", "dir_prob": "97.4", "net_sigma": "", "grade": "", "align": "", "premium": "", "wrong_if": "", "context": "", "subject": "Alert: Rev - Screener v1 (SPY, 12): Any alert() function call", "body": "{\"ticker\":\"ERIE\", \"setup\":\"A+ Trend Long\", \"side\":\"LONG\", \"price\":237.01, \"stage\":2, \"buy\":85.9, \"sell\":20, \"prime\":2, \"revL\":0, \"revS\":0, \"vcp\":0, \"dir_prob\":97.4, \"time\":1785763800000}", "ticker": "ERIE", "setup": "A+ Trend Long", "side": "LONG", "price": 237.01, "stage": 2, "buy": 85.9, "sell": 20, "prime": 2, "revL": 0, "revS": 0, "vcp": 0, "time": 1785763800000, "email_id": "3122", "timestamp": "2026-08-03 16:01:26"}</t>
  </si>
  <si>
    <t>Buy: 30.4 | Sell: 86.2</t>
  </si>
  <si>
    <t>{"symbol": "RF", "strategy": "Daily", "action": "LONG", "alert_price": 30.95, "score": "", "dir_prob": "82.1", "net_sigma": "", "grade": "", "align": "", "premium": "", "wrong_if": "", "context": "", "subject": "Alert: Rev - Screener v1 (SPY, 12): Any alert() function call", "body": "{\"ticker\":\"RF\", \"setup\":\"A+ Trend Long\", \"side\":\"LONG\", \"price\":30.95, \"stage\":2, \"buy\":92.9, \"sell\":37.2, \"prime\":2, \"revL\":0, \"revS\":0, \"vcp\":0, \"dir_prob\":82.1, \"time\":1785504600000}", "ticker": "RF", "setup": "A+ Trend Long", "side": "LONG", "price": 30.95, "stage": 2, "buy": 92.9, "sell": 37.2, "prime": 2, "revL": 0, "revS": 0, "vcp": 0, "time": 1785504600000, "email_id": "3064", "timestamp": "2026-07-31 16:01:18"}</t>
  </si>
  <si>
    <t>Buy: 95.5 | Sell: 30.2</t>
  </si>
  <si>
    <t>{"symbol": "MGM", "strategy": "Daily", "action": "LONG", "alert_price": 44.49, "score": "", "dir_prob": "15.1", "net_sigma": "", "grade": "", "align": "", "premium": "", "wrong_if": "", "context": "", "subject": "Alert: Rev - Screener v1 (SPY, 12): Any alert() function call", "body": "{\"ticker\":\"MGM\", \"setup\":\"Research Reversal (Any Stage)\", \"side\":\"LONG\", \"price\":44.49, \"stage\":4, \"buy\":30.4, \"sell\":86.2, \"prime\":-2, \"revL\":8.5, \"revS\":0, \"vcp\":1, \"dir_prob\":15.1, \"time\":1785763800000}", "ticker": "MGM", "setup": "Research Reversal (Any Stage)", "side": "LONG", "price": 44.49, "stage": 4, "buy": 30.4, "sell": 86.2, "prime": -2, "revL": 8.5, "revS": 0, "vcp": 1, "time": 1785763800000, "email_id": "3123", "timestamp": "2026-08-03 16:01:28"}</t>
  </si>
  <si>
    <t>Buy: 93.6 | Sell: 41.6</t>
  </si>
  <si>
    <t>{"symbol": "AJG", "strategy": "Daily", "action": "LONG", "alert_price": 248.03, "score": "", "dir_prob": "96.6", "net_sigma": "", "grade": "", "align": "", "premium": "", "wrong_if": "", "context": "", "subject": "Alert: Rev - Screener v1 (SPY, 12): Any alert() function call", "body": "{\"ticker\":\"AJG\", \"setup\":\"A+ Trend Long\", \"side\":\"LONG\", \"price\":248.03, \"stage\":2, \"buy\":95.5, \"sell\":30.2, \"prime\":2, \"revL\":0, \"revS\":0, \"vcp\":0, \"dir_prob\":96.6, \"time\":1785850200000}", "ticker": "AJG", "setup": "A+ Trend Long", "side": "LONG", "price": 248.03, "stage": 2, "buy": 95.5, "sell": 30.2, "prime": 2, "revL": 0, "revS": 0, "vcp": 0, "time": 1785850200000, "email_id": "3211", "timestamp": "2026-08-04 16:01:10"}</t>
  </si>
  <si>
    <t>{"symbol": "CRL", "strategy": "Daily", "action": "LONG", "alert_price": 230.67, "score": "", "dir_prob": "85.2", "net_sigma": "", "grade": "", "align": "", "premium": "", "wrong_if": "", "context": "", "subject": "Alert: Rev - Screener v1 (SPY, 12): Any alert() function call", "body": "{\"ticker\":\"CRL\", \"setup\":\"A+ Trend Long\", \"side\":\"LONG\", \"price\":230.67, \"stage\":2, \"buy\":93.6, \"sell\":41.6, \"prime\":2, \"revL\":0, \"revS\":0, \"vcp\":1, \"dir_prob\":85.2, \"time\":1785763800000}", "ticker": "CRL", "setup": "A+ Trend Long", "side": "LONG", "price": 230.67, "stage": 2, "buy": 93.6, "sell": 41.6, "prime": 2, "revL": 0, "revS": 0, "vcp": 1, "time": 1785763800000, "email_id": "3124", "timestamp": "2026-08-03 16:01:20"}</t>
  </si>
  <si>
    <t>Buy: 93 | Sell: 13.3</t>
  </si>
  <si>
    <t>{"symbol": "BRO", "strategy": "Daily", "action": "LONG", "alert_price": 71.17, "score": "", "dir_prob": "99.3", "net_sigma": "", "grade": "", "align": "", "premium": "", "wrong_if": "", "context": "", "subject": "Alert: Rev - Screener v1 (SPY, 12): Any alert() function call", "body": "{\"ticker\":\"BRO\", \"setup\":\"A+ Trend Long\", \"side\":\"LONG\", \"price\":71.17, \"stage\":2, \"buy\":94.6, \"sell\":10.3, \"prime\":2, \"revL\":0, \"revS\":0, \"vcp\":0, \"dir_prob\":99.3, \"time\":1785850200000}", "ticker": "BRO", "setup": "A+ Trend Long", "side": "LONG", "price": 71.17, "stage": 2, "buy": 94.6, "sell": 10.3, "prime": 2, "revL": 0, "revS": 0, "vcp": 0, "time": 1785850200000, "email_id": "3212", "timestamp": "2026-08-04 16:01:11"}</t>
  </si>
  <si>
    <t>Buy: 96.3 | Sell: 31.3</t>
  </si>
  <si>
    <t>{"symbol": "JNJ", "strategy": "Daily", "action": "LONG", "alert_price": 254.44, "score": "", "dir_prob": "91.7", "net_sigma": "", "grade": "", "align": "", "premium": "", "wrong_if": "", "context": "", "subject": "Alert: Rev - Screener v1 (SPY, 12): Any alert() function call", "body": "{\"ticker\":\"JNJ\", \"setup\":\"A+ Trend Long\", \"side\":\"LONG\", \"price\":254.44, \"stage\":2, \"buy\":93, \"sell\":13.3, \"prime\":2, \"revL\":0, \"revS\":0, \"vcp\":0, \"dir_prob\":91.7, \"time\":1785763800000}", "ticker": "JNJ", "setup": "A+ Trend Long", "side": "LONG", "price": 254.44, "stage": 2, "buy": 93, "sell": 13.3, "prime": 2, "revL": 0, "revS": 0, "vcp": 0, "time": 1785763800000, "email_id": "3125", "timestamp": "2026-08-03 16:01:23"}</t>
  </si>
  <si>
    <t>Buy: 87.1 | Sell: 27.9</t>
  </si>
  <si>
    <t>{"symbol": "AES", "strategy": "Daily", "action": "LONG", "alert_price": 14.71, "score": "", "dir_prob": "84.8", "net_sigma": "", "grade": "", "align": "", "premium": "", "wrong_if": "", "context": "", "subject": "Alert: Rev - Screener v1 (SPY, 12): Any alert() function call", "body": "{\"ticker\":\"AES\", \"setup\":\"A+ Trend Long\", \"side\":\"LONG\", \"price\":14.71, \"stage\":2, \"buy\":87.1, \"sell\":27.9, \"prime\":2, \"revL\":0, \"revS\":0, \"vcp\":0, \"dir_prob\":84.8, \"time\":1785763800000}", "ticker": "AES", "setup": "A+ Trend Long", "side": "LONG", "price": 14.71, "stage": 2, "buy": 87.1, "sell": 27.9, "prime": 2, "revL": 0, "revS": 0, "vcp": 0, "time": 1785763800000, "email_id": "3126", "timestamp": "2026-08-03 16:01:28"}</t>
  </si>
  <si>
    <t>{"symbol": "BALL", "strategy": "Daily", "action": "LONG", "alert_price": 63.72, "score": "", "dir_prob": "92.7", "net_sigma": "", "grade": "", "align": "", "premium": "", "wrong_if": "", "context": "", "subject": "Alert: Rev - Screener v1 (SPY, 12): Any alert() function call", "body": "{\"ticker\":\"BALL\", \"setup\":\"A+ Trend Long\", \"side\":\"LONG\", \"price\":63.72, \"stage\":2, \"buy\":96.3, \"sell\":31.3, \"prime\":2, \"revL\":0, \"revS\":0, \"vcp\":0, \"dir_prob\":92.7, \"time\":1785850200000}", "ticker": "BALL", "setup": "A+ Trend Long", "side": "LONG", "price": 63.72, "stage": 2, "buy": 96.3, "sell": 31.3, "prime": 2, "revL": 0, "revS": 0, "vcp": 0, "time": 1785850200000, "email_id": "3213", "timestamp": "2026-08-04 16:01:09"}</t>
  </si>
  <si>
    <t>Buy: 93.3 | Sell: 13.4</t>
  </si>
  <si>
    <t>Buy: 28.6 | Sell: 34.4</t>
  </si>
  <si>
    <t>{"symbol": "WM", "strategy": "Daily", "action": "LONG", "alert_price": 226.44, "score": "", "dir_prob": "94", "net_sigma": "", "grade": "", "align": "", "premium": "", "wrong_if": "", "context": "", "subject": "Alert: Rev - Screener v1 (SPY, 12): Any alert() function call", "body": "{\"ticker\":\"WM\", \"setup\":\"A+ Trend Long\", \"side\":\"LONG\", \"price\":226.44, \"stage\":2, \"buy\":93.3, \"sell\":13.4, \"prime\":2, \"revL\":0, \"revS\":0, \"vcp\":0, \"dir_prob\":94, \"time\":1785763800000}", "ticker": "WM", "setup": "A+ Trend Long", "side": "LONG", "price": 226.44, "stage": 2, "buy": 93.3, "sell": 13.4, "prime": 2, "revL": 0, "revS": 0, "vcp": 0, "time": 1785763800000, "email_id": "3127", "timestamp": "2026-08-03 16:01:18"}</t>
  </si>
  <si>
    <t>Buy: 94.9 | Sell: 13.8</t>
  </si>
  <si>
    <t>{"symbol": "GWW", "strategy": "Daily", "action": "LONG", "alert_price": 1300.0, "score": "", "dir_prob": "43.3", "net_sigma": "", "grade": "", "align": "", "premium": "", "wrong_if": "", "context": "", "subject": "Alert: Rev - Screener v1 (SPY, 12): Any alert() function call", "body": "{\"ticker\":\"GWW\", \"setup\":\"Research Reversal (Any Stage)\", \"side\":\"LONG\", \"price\":1300.00, \"stage\":4, \"buy\":28.6, \"sell\":34.4, \"prime\":0, \"revL\":7.5, \"revS\":0, \"vcp\":1, \"dir_prob\":43.3, \"time\":1785850200000}", "ticker": "GWW", "setup": "Research Reversal (Any Stage)", "side": "LONG", "price": 1300.0, "stage": 4, "buy": 28.6, "sell": 34.4, "prime": 0, "revL": 7.5, "revS": 0, "vcp": 1, "time": 1785850200000, "email_id": "3214", "timestamp": "2026-08-04 16:01:12"}</t>
  </si>
  <si>
    <t>{"symbol": "L", "strategy": "Daily", "action": "LONG", "alert_price": 116.18, "score": "", "dir_prob": "89.3", "net_sigma": "", "grade": "", "align": "", "premium": "", "wrong_if": "", "context": "", "subject": "Alert: Rev - Screener v1 (SPY, 12): Any alert() function call", "body": "{\"ticker\":\"L\", \"setup\":\"A+ Trend Long\", \"side\":\"LONG\", \"price\":116.18, \"stage\":2, \"buy\":94.9, \"sell\":13.8, \"prime\":2, \"revL\":0, \"revS\":0, \"vcp\":0, \"dir_prob\":89.3, \"time\":1785763800000}", "ticker": "L", "setup": "A+ Trend Long", "side": "LONG", "price": 116.18, "stage": 2, "buy": 94.9, "sell": 13.8, "prime": 2, "revL": 0, "revS": 0, "vcp": 0, "time": 1785763800000, "email_id": "3128", "timestamp": "2026-08-03 16:01:26"}</t>
  </si>
  <si>
    <t>Buy: 85.6 | Sell: 9.8</t>
  </si>
  <si>
    <t>{"symbol": "PSX", "strategy": "Daily", "action": "LONG", "alert_price": 206.16, "score": "", "dir_prob": "93.8", "net_sigma": "", "grade": "", "align": "", "premium": "", "wrong_if": "", "context": "", "subject": "Alert: Rev - Screener v1 (SPY, 12): Any alert() function call", "body": "{\"ticker\":\"PSX\", \"setup\":\"A+ Trend Long\", \"side\":\"LONG\", \"price\":206.16, \"stage\":2, \"buy\":97.1, \"sell\":4.5, \"prime\":2, \"revL\":0, \"revS\":0, \"vcp\":0, \"dir_prob\":93.8, \"time\":1785763800000}", "ticker": "PSX", "setup": "A+ Trend Long", "side": "LONG", "price": 206.16, "stage": 2, "buy": 97.1, "sell": 4.5, "prime": 2, "revL": 0, "revS": 0, "vcp": 0, "time": 1785763800000, "email_id": "3129", "timestamp": "2026-08-03 16:01:24"}</t>
  </si>
  <si>
    <t>{"symbol": "NWS", "strategy": "Daily", "action": "LONG", "alert_price": 32.71, "score": "", "dir_prob": "95.2", "net_sigma": "", "grade": "", "align": "", "premium": "", "wrong_if": "", "context": "", "subject": "Alert: Rev - Screener v1 (SPY, 12): Any alert() function call", "body": "{\"ticker\":\"NWS\", \"setup\":\"A+ Trend Long\", \"side\":\"LONG\", \"price\":32.71, \"stage\":2, \"buy\":85.6, \"sell\":9.8, \"prime\":2, \"revL\":0, \"revS\":0, \"vcp\":0, \"dir_prob\":95.2, \"time\":1785850200000}", "ticker": "NWS", "setup": "A+ Trend Long", "side": "LONG", "price": 32.71, "stage": 2, "buy": 85.6, "sell": 9.8, "prime": 2, "revL": 0, "revS": 0, "vcp": 0, "time": 1785850200000, "email_id": "3215", "timestamp": "2026-08-04 16:01:02"}</t>
  </si>
  <si>
    <t>Buy: 93 | Sell: 31</t>
  </si>
  <si>
    <t>Buy: 91.7 | Sell: 14.2</t>
  </si>
  <si>
    <t>{"symbol": "KVUE", "strategy": "Daily", "action": "LONG", "alert_price": 19.0, "score": "", "dir_prob": "87.4", "net_sigma": "", "grade": "", "align": "", "premium": "", "wrong_if": "", "context": "", "subject": "Alert: Rev - Screener v1 (SPY, 12): Any alert() function call", "body": "{\"ticker\":\"KVUE\", \"setup\":\"A+ Trend Long\", \"side\":\"LONG\", \"price\":19.00, \"stage\":2, \"buy\":93, \"sell\":31, \"prime\":2, \"revL\":0, \"revS\":0, \"vcp\":1, \"dir_prob\":87.4, \"time\":1785763800000}", "ticker": "KVUE", "setup": "A+ Trend Long", "side": "LONG", "price": 19.0, "stage": 2, "buy": 93, "sell": 31, "prime": 2, "revL": 0, "revS": 0, "vcp": 1, "time": 1785763800000, "email_id": "3130", "timestamp": "2026-08-03 16:01:32"}</t>
  </si>
  <si>
    <t>Buy: 95.4 | Sell: 19.3</t>
  </si>
  <si>
    <t>{"symbol": "V", "strategy": "Daily", "action": "LONG", "alert_price": 369.44, "score": "", "dir_prob": "95.2", "net_sigma": "", "grade": "", "align": "", "premium": "", "wrong_if": "", "context": "", "subject": "Alert: Rev - Screener v1 (SPY, 12): Any alert() function call", "body": "{\"ticker\":\"V\", \"setup\":\"A+ Trend Long\", \"side\":\"LONG\", \"price\":369.44, \"stage\":2, \"buy\":91.7, \"sell\":14.2, \"prime\":2, \"revL\":0, \"revS\":0, \"vcp\":0, \"dir_prob\":95.2, \"time\":1785850200000}", "ticker": "V", "setup": "A+ Trend Long", "side": "LONG", "price": 369.44, "stage": 2, "buy": 91.7, "sell": 14.2, "prime": 2, "revL": 0, "revS": 0, "vcp": 0, "time": 1785850200000, "email_id": "3216", "timestamp": "2026-08-04 16:01:13"}</t>
  </si>
  <si>
    <t>Buy: 95.7 | Sell: 5.4</t>
  </si>
  <si>
    <t>{"symbol": "COR", "strategy": "Daily", "action": "LONG", "alert_price": 308.37, "score": "", "dir_prob": "93.9", "net_sigma": "", "grade": "", "align": "", "premium": "", "wrong_if": "", "context": "", "subject": "Alert: Rev - Screener v1 (SPY, 12): Any alert() function call", "body": "{\"ticker\":\"COR\", \"setup\":\"A+ Trend Long\", \"side\":\"LONG\", \"price\":308.37, \"stage\":2, \"buy\":95.4, \"sell\":19.3, \"prime\":2, \"revL\":0, \"revS\":0, \"vcp\":0, \"dir_prob\":93.9, \"time\":1785763800000}", "ticker": "COR", "setup": "A+ Trend Long", "side": "LONG", "price": 308.37, "stage": 2, "buy": 95.4, "sell": 19.3, "prime": 2, "revL": 0, "revS": 0, "vcp": 0, "time": 1785763800000, "email_id": "3131", "timestamp": "2026-08-03 16:01:27"}</t>
  </si>
  <si>
    <t>Buy: 96.5 | Sell: 13.1</t>
  </si>
  <si>
    <t>{"symbol": "MCK", "strategy": "Daily", "action": "LONG", "alert_price": 824.8, "score": "", "dir_prob": "93.8", "net_sigma": "", "grade": "", "align": "", "premium": "", "wrong_if": "", "context": "", "subject": "Alert: Rev - Screener v1 (SPY, 12): Any alert() function call", "body": "{\"ticker\":\"MCK\", \"setup\":\"A+ Trend Long\", \"side\":\"LONG\", \"price\":824.80, \"stage\":2, \"buy\":96.5, \"sell\":13.1, \"prime\":2, \"revL\":0, \"revS\":0, \"vcp\":0, \"dir_prob\":93.8, \"time\":1785763800000}", "ticker": "MCK", "setup": "A+ Trend Long", "side": "LONG", "price": 824.8, "stage": 2, "buy": 96.5, "sell": 13.1, "prime": 2, "revL": 0, "revS": 0, "vcp": 0, "time": 1785763800000, "email_id": "3132", "timestamp": "2026-08-03 16:01:23"}</t>
  </si>
  <si>
    <t>{"symbol": "VLO", "strategy": "Daily", "action": "LONG", "alert_price": 308.7, "score": "", "dir_prob": "93.3", "net_sigma": "", "grade": "", "align": "", "premium": "", "wrong_if": "", "context": "", "subject": "Alert: Rev - Screener v1 (SPY, 12): Any alert() function call", "body": "{\"ticker\":\"VLO\", \"setup\":\"A+ Trend Long\", \"side\":\"LONG\", \"price\":308.70, \"stage\":2, \"buy\":95.7, \"sell\":5.4, \"prime\":2, \"revL\":0, \"revS\":0, \"vcp\":0, \"dir_prob\":93.3, \"time\":1785850200000}", "ticker": "VLO", "setup": "A+ Trend Long", "side": "LONG", "price": 308.7, "stage": 2, "buy": 95.7, "sell": 5.4, "prime": 2, "revL": 0, "revS": 0, "vcp": 0, "time": 1785850200000, "email_id": "3217", "timestamp": "2026-08-04 16:01:13"}</t>
  </si>
  <si>
    <t>Buy: 96.4 | Sell: 11.6</t>
  </si>
  <si>
    <t>Buy: 91.4 | Sell: 15.5</t>
  </si>
  <si>
    <t>{"symbol": "AWK", "strategy": "Daily", "action": "LONG", "alert_price": 131.31, "score": "", "dir_prob": "96.5", "net_sigma": "", "grade": "", "align": "", "premium": "", "wrong_if": "", "context": "", "subject": "Alert: Rev - Screener v1 (SPY, 12): Any alert() function call", "body": "{\"ticker\":\"AWK\", \"setup\":\"A+ Trend Long\", \"side\":\"LONG\", \"price\":131.31, \"stage\":2, \"buy\":96.4, \"sell\":11.6, \"prime\":2, \"revL\":0, \"revS\":0, \"vcp\":1, \"dir_prob\":96.5, \"time\":1785763800000}", "ticker": "AWK", "setup": "A+ Trend Long", "side": "LONG", "price": 131.31, "stage": 2, "buy": 96.4, "sell": 11.6, "prime": 2, "revL": 0, "revS": 0, "vcp": 1, "time": 1785763800000, "email_id": "3133", "timestamp": "2026-08-03 16:01:27"}</t>
  </si>
  <si>
    <t>Buy: 93.3 | Sell: 59.9</t>
  </si>
  <si>
    <t>{"symbol": "XYZ", "strategy": "Daily", "action": "LONG", "alert_price": 84.66, "score": "", "dir_prob": "92", "net_sigma": "", "grade": "", "align": "", "premium": "", "wrong_if": "", "context": "", "subject": "Alert: Rev - Screener v1 (SPY, 12): Any alert() function call", "body": "{\"ticker\":\"XYZ\", \"setup\":\"A+ Trend Long\", \"side\":\"LONG\", \"price\":84.66, \"stage\":2, \"buy\":91.4, \"sell\":15.5, \"prime\":2, \"revL\":0, \"revS\":0, \"vcp\":0, \"dir_prob\":92, \"time\":1785850200000}", "ticker": "XYZ", "setup": "A+ Trend Long", "side": "LONG", "price": 84.66, "stage": 2, "buy": 91.4, "sell": 15.5, "prime": 2, "revL": 0, "revS": 0, "vcp": 0, "time": 1785850200000, "email_id": "3219", "timestamp": "2026-08-04 16:01:13"}</t>
  </si>
  <si>
    <t>Buy: 88.7 | Sell: 60</t>
  </si>
  <si>
    <t>{"symbol": "SYY", "strategy": "Daily", "action": "LONG", "alert_price": 84.96, "score": "", "dir_prob": "81.7", "net_sigma": "", "grade": "", "align": "", "premium": "", "wrong_if": "", "context": "", "subject": "Alert: Rev - Screener v1 (SPY, 12): Any alert() function call", "body": "{\"ticker\":\"SYY\", \"setup\":\"A+ Trend Long\", \"side\":\"LONG\", \"price\":84.96, \"stage\":2, \"buy\":93.3, \"sell\":59.9, \"prime\":2, \"revL\":0, \"revS\":0, \"vcp\":0, \"dir_prob\":81.7, \"time\":1785763800000}", "ticker": "SYY", "setup": "A+ Trend Long", "side": "LONG", "price": 84.96, "stage": 2, "buy": 93.3, "sell": 59.9, "prime": 2, "revL": 0, "revS": 0, "vcp": 0, "time": 1785763800000, "email_id": "3134", "timestamp": "2026-08-03 16:01:32"}</t>
  </si>
  <si>
    <t>Buy: 94.1 | Sell: 10.4</t>
  </si>
  <si>
    <t>{"symbol": "NWS", "strategy": "Daily", "action": "LONG", "alert_price": 31.8, "score": "", "dir_prob": "96.4", "net_sigma": "", "grade": "", "align": "", "premium": "", "wrong_if": "", "context": "", "subject": "Alert: Rev - Screener v1 (SPY, 12): Any alert() function call", "body": "{\"ticker\":\"NWS\", \"setup\":\"A+ Trend Long\", \"side\":\"LONG\", \"price\":31.80, \"stage\":2, \"buy\":94.1, \"sell\":10.4, \"prime\":2, \"revL\":0, \"revS\":0, \"vcp\":0, \"dir_prob\":96.4, \"time\":1785763800000}", "ticker": "NWS", "setup": "A+ Trend Long", "side": "LONG", "price": 31.8, "stage": 2, "buy": 94.1, "sell": 10.4, "prime": 2, "revL": 0, "revS": 0, "vcp": 0, "time": 1785763800000, "email_id": "3135", "timestamp": "2026-08-03 16:01:28"}</t>
  </si>
  <si>
    <t>Buy: 90.4 | Sell: 17.5</t>
  </si>
  <si>
    <t>{"symbol": "WAT", "strategy": "Daily", "action": "LONG", "alert_price": 396.25, "score": "", "dir_prob": "73.7", "net_sigma": "", "grade": "", "align": "", "premium": "", "wrong_if": "", "context": "", "subject": "Alert: Rev - Screener v1 (SPY, 12): Any alert() function call", "body": "{\"ticker\":\"WAT\", \"setup\":\"Early Ignition\", \"side\":\"LONG\", \"price\":396.25, \"stage\":2, \"buy\":88.7, \"sell\":60, \"prime\":0, \"revL\":0, \"revS\":0, \"vcp\":1, \"dir_prob\":73.7, \"time\":1785850200000}", "ticker": "WAT", "setup": "Early Ignition", "side": "LONG", "price": 396.25, "stage": 2, "buy": 88.7, "sell": 60, "prime": 0, "revL": 0, "revS": 0, "vcp": 1, "time": 1785850200000, "email_id": "3221", "timestamp": "2026-08-04 16:01:11"}</t>
  </si>
  <si>
    <t>chasing_without_target</t>
  </si>
  <si>
    <t>Buy: 95 | Sell: 8.8</t>
  </si>
  <si>
    <t>{"symbol": "DLTR", "strategy": "Daily", "action": "LONG", "alert_price": 129.37, "score": "", "dir_prob": "93.1", "net_sigma": "", "grade": "", "align": "", "premium": "", "wrong_if": "", "context": "", "subject": "Alert: Rev - Screener v1 (SPY, 12): Any alert() function call", "body": "{\"ticker\":\"DLTR\", \"setup\":\"A+ Trend Long\", \"side\":\"LONG\", \"price\":129.37, \"stage\":2, \"buy\":90.4, \"sell\":17.5, \"prime\":2, \"revL\":0, \"revS\":0, \"vcp\":1, \"dir_prob\":93.1, \"time\":1785763800000}", "ticker": "DLTR", "setup": "A+ Trend Long", "side": "LONG", "price": 129.37, "stage": 2, "buy": 90.4, "sell": 17.5, "prime": 2, "revL": 0, "revS": 0, "vcp": 1, "time": 1785763800000, "email_id": "3136", "timestamp": "2026-08-03 16:01:30"}</t>
  </si>
  <si>
    <t>Buy: 94.4 | Sell: 7.9</t>
  </si>
  <si>
    <t>{"symbol": "BBY", "strategy": "Daily", "action": "LONG", "alert_price": 85.27, "score": "", "dir_prob": "94", "net_sigma": "", "grade": "", "align": "", "premium": "", "wrong_if": "", "context": "", "subject": "Alert: Rev - Screener v1 (SPY, 12): Any alert() function call", "body": "{\"ticker\":\"BBY\", \"setup\":\"A+ Trend Long\", \"side\":\"LONG\", \"price\":85.27, \"stage\":2, \"buy\":94.4, \"sell\":7.9, \"prime\":2, \"revL\":0, \"revS\":0, \"vcp\":0, \"dir_prob\":94, \"time\":1785763800000}", "ticker": "BBY", "setup": "A+ Trend Long", "side": "LONG", "price": 85.27, "stage": 2, "buy": 94.4, "sell": 7.9, "prime": 2, "revL": 0, "revS": 0, "vcp": 0, "time": 1785763800000, "email_id": "3137", "timestamp": "2026-08-03 16:01:35"}</t>
  </si>
  <si>
    <t>{"symbol": "INCY", "strategy": "Daily", "action": "LONG", "alert_price": 120.59, "score": "", "dir_prob": "93.1", "net_sigma": "", "grade": "", "align": "", "premium": "", "wrong_if": "", "context": "", "subject": "Alert: Rev - Screener v1 (SPY, 12): Any alert() function call", "body": "{\"ticker\":\"INCY\", \"setup\":\"A+ Trend Long\", \"side\":\"LONG\", \"price\":120.59, \"stage\":2, \"buy\":95, \"sell\":8.8, \"prime\":2, \"revL\":0, \"revS\":0, \"vcp\":0, \"dir_prob\":93.1, \"time\":1785850200000}", "ticker": "INCY", "setup": "A+ Trend Long", "side": "LONG", "price": 120.59, "stage": 2, "buy": 95, "sell": 8.8, "prime": 2, "revL": 0, "revS": 0, "vcp": 0, "time": 1785850200000, "email_id": "3222", "timestamp": "2026-08-04 16:01:12"}</t>
  </si>
  <si>
    <t>Buy: 93.9 | Sell: 35.6</t>
  </si>
  <si>
    <t>Buy: 95.7 | Sell: 22.2</t>
  </si>
  <si>
    <t>{"symbol": "BALL", "strategy": "Daily", "action": "LONG", "alert_price": 65.19, "score": "", "dir_prob": "91.2", "net_sigma": "", "grade": "", "align": "", "premium": "", "wrong_if": "", "context": "", "subject": "Alert: Rev - Screener v1 (SPY, 12): Any alert() function call", "body": "{\"ticker\":\"BALL\", \"setup\":\"A+ Trend Long\", \"side\":\"LONG\", \"price\":65.19, \"stage\":2, \"buy\":93.9, \"sell\":35.6, \"prime\":2, \"revL\":0, \"revS\":0, \"vcp\":0, \"dir_prob\":91.2, \"time\":1785763800000}", "ticker": "BALL", "setup": "A+ Trend Long", "side": "LONG", "price": 65.19, "stage": 2, "buy": 93.9, "sell": 35.6, "prime": 2, "revL": 0, "revS": 0, "vcp": 0, "time": 1785763800000, "email_id": "3138", "timestamp": "2026-08-03 16:01:33"}</t>
  </si>
  <si>
    <t>Buy: 93.9 | Sell: 13.3</t>
  </si>
  <si>
    <t>{"symbol": "NSC", "strategy": "Daily", "action": "LONG", "alert_price": 341.32, "score": "", "dir_prob": "91.6", "net_sigma": "", "grade": "", "align": "", "premium": "", "wrong_if": "", "context": "", "subject": "Alert: Rev - Screener v1 (SPY, 12): Any alert() function call", "body": "{\"ticker\":\"NSC\", \"setup\":\"A+ Trend Long\", \"side\":\"LONG\", \"price\":341.32, \"stage\":2, \"buy\":95.7, \"sell\":22.2, \"prime\":2, \"revL\":0, \"revS\":0, \"vcp\":0, \"dir_prob\":91.6, \"time\":1785850200000}", "ticker": "NSC", "setup": "A+ Trend Long", "side": "LONG", "price": 341.32, "stage": 2, "buy": 95.7, "sell": 22.2, "prime": 2, "revL": 0, "revS": 0, "vcp": 0, "time": 1785850200000, "email_id": "3223", "timestamp": "2026-08-04 16:01:17"}</t>
  </si>
  <si>
    <t>Buy: 87.3 | Sell: 25.1</t>
  </si>
  <si>
    <t>{"symbol": "PRU", "strategy": "Daily", "action": "LONG", "alert_price": 123.0, "score": "", "dir_prob": "91.1", "net_sigma": "", "grade": "", "align": "", "premium": "", "wrong_if": "", "context": "", "subject": "Alert: Rev - Screener v1 (SPY, 12): Any alert() function call", "body": "{\"ticker\":\"PRU\", \"setup\":\"A+ Trend Long\", \"side\":\"LONG\", \"price\":123.00, \"stage\":2, \"buy\":93.9, \"sell\":13.3, \"prime\":2, \"revL\":0, \"revS\":0, \"vcp\":0, \"dir_prob\":91.1, \"time\":1785763800000}", "ticker": "PRU", "setup": "A+ Trend Long", "side": "LONG", "price": 123.0, "stage": 2, "buy": 93.9, "sell": 13.3, "prime": 2, "revL": 0, "revS": 0, "vcp": 0, "time": 1785763800000, "email_id": "3139", "timestamp": "2026-08-03 16:01:28"}</t>
  </si>
  <si>
    <t>Buy: 90.5 | Sell: 10.3</t>
  </si>
  <si>
    <t>{"symbol": "AIZ", "strategy": "Daily", "action": "LONG", "alert_price": 281.15, "score": "", "dir_prob": "79.5", "net_sigma": "", "grade": "", "align": "", "premium": "", "wrong_if": "", "context": "", "subject": "Alert: Rev - Screener v1 (SPY, 12): Any alert() function call", "body": "{\"ticker\":\"AIZ\", \"setup\":\"A+ Trend Long\", \"side\":\"LONG\", \"price\":281.15, \"stage\":2, \"buy\":87.3, \"sell\":25.1, \"prime\":2, \"revL\":0, \"revS\":0, \"vcp\":1, \"dir_prob\":79.5, \"time\":1785850200000}", "ticker": "AIZ", "setup": "A+ Trend Long", "side": "LONG", "price": 281.15, "stage": 2, "buy": 87.3, "sell": 25.1, "prime": 2, "revL": 0, "revS": 0, "vcp": 1, "time": 1785850200000, "email_id": "3224", "timestamp": "2026-08-04 16:01:53"}</t>
  </si>
  <si>
    <t>{"symbol": "KO", "strategy": "Daily", "action": "LONG", "alert_price": 86.87, "score": "", "dir_prob": "92.4", "net_sigma": "", "grade": "", "align": "", "premium": "", "wrong_if": "", "context": "", "subject": "Alert: Rev - Screener v1 (SPY, 12): Any alert() function call", "body": "{\"ticker\":\"KO\", \"setup\":\"A+ Trend Long\", \"side\":\"LONG\", \"price\":86.87, \"stage\":2, \"buy\":90.5, \"sell\":10.3, \"prime\":2, \"revL\":0, \"revS\":0, \"vcp\":0, \"dir_prob\":92.4, \"time\":1785763800000}", "ticker": "KO", "setup": "A+ Trend Long", "side": "LONG", "price": 86.87, "stage": 2, "buy": 90.5, "sell": 10.3, "prime": 2, "revL": 0, "revS": 0, "vcp": 0, "time": 1785763800000, "email_id": "3140", "timestamp": "2026-08-03 16:01:28"}</t>
  </si>
  <si>
    <t>Buy: 96.3 | Sell: 19.8</t>
  </si>
  <si>
    <t>Buy: 90.6 | Sell: 47.5</t>
  </si>
  <si>
    <t>{"symbol": "NSC", "strategy": "Daily", "action": "LONG", "alert_price": 336.58, "score": "", "dir_prob": "92.2", "net_sigma": "", "grade": "", "align": "", "premium": "", "wrong_if": "", "context": "", "subject": "Alert: Rev - Screener v1 (SPY, 12): Any alert() function call", "body": "{\"ticker\":\"NSC\", \"setup\":\"A+ Trend Long\", \"side\":\"LONG\", \"price\":336.58, \"stage\":2, \"buy\":96.3, \"sell\":19.8, \"prime\":2, \"revL\":0, \"revS\":0, \"vcp\":0, \"dir_prob\":92.2, \"time\":1785763800000}", "ticker": "NSC", "setup": "A+ Trend Long", "side": "LONG", "price": 336.58, "stage": 2, "buy": 96.3, "sell": 19.8, "prime": 2, "revL": 0, "revS": 0, "vcp": 0, "time": 1785763800000, "email_id": "3141", "timestamp": "2026-08-03 16:01:36"}</t>
  </si>
  <si>
    <t>{"symbol": "ABNB", "strategy": "Daily", "action": "LONG", "alert_price": 149.94, "score": "", "dir_prob": "84.8", "net_sigma": "", "grade": "", "align": "", "premium": "", "wrong_if": "", "context": "", "subject": "Alert: Rev - Screener v1 (SPY, 12): Any alert() function call", "body": "{\"ticker\":\"ABNB\", \"setup\":\"A+ Trend Long\", \"side\":\"LONG\", \"price\":149.94, \"stage\":2, \"buy\":90.6, \"sell\":47.5, \"prime\":2, \"revL\":0, \"revS\":0, \"vcp\":0, \"dir_prob\":84.8, \"time\":1785850200000}", "ticker": "ABNB", "setup": "A+ Trend Long", "side": "LONG", "price": 149.94, "stage": 2, "buy": 90.6, "sell": 47.5, "prime": 2, "revL": 0, "revS": 0, "vcp": 0, "time": 1785850200000, "email_id": "3225", "timestamp": "2026-08-04 16:01:12"}</t>
  </si>
  <si>
    <t>EOG</t>
  </si>
  <si>
    <t>Buy: 92.8 | Sell: 12.8</t>
  </si>
  <si>
    <t>Buy: 96.3 | Sell: 60</t>
  </si>
  <si>
    <t>{"symbol": "EOG", "strategy": "Daily", "action": "LONG", "alert_price": 145.67, "score": "", "dir_prob": "97.8", "net_sigma": "", "grade": "", "align": "", "premium": "", "wrong_if": "", "context": "", "subject": "Alert: Rev - Screener v1 (SPY, 12): Any alert() function call", "body": "{\"ticker\":\"EOG\", \"setup\":\"A+ Trend Long\", \"side\":\"LONG\", \"price\":145.67, \"stage\":2, \"buy\":92.8, \"sell\":12.8, \"prime\":2, \"revL\":0, \"revS\":0, \"vcp\":0, \"dir_prob\":97.8, \"time\":1785763800000}", "ticker": "EOG", "setup": "A+ Trend Long", "side": "LONG", "price": 145.67, "stage": 2, "buy": 92.8, "sell": 12.8, "prime": 2, "revL": 0, "revS": 0, "vcp": 0, "time": 1785763800000, "email_id": "3142", "timestamp": "2026-08-03 16:01:35"}</t>
  </si>
  <si>
    <t>{"symbol": "KMB", "strategy": "Daily", "action": "LONG", "alert_price": 111.55, "score": "", "dir_prob": "88.3", "net_sigma": "", "grade": "", "align": "", "premium": "", "wrong_if": "", "context": "", "subject": "Alert: Rev - Screener v1 (SPY, 12): Any alert() function call", "body": "{\"ticker\":\"KMB\", \"setup\":\"A+ Trend Long\", \"side\":\"LONG\", \"price\":111.55, \"stage\":2, \"buy\":96.3, \"sell\":60, \"prime\":2, \"revL\":0, \"revS\":0, \"vcp\":1, \"dir_prob\":88.3, \"time\":1785850200000}", "ticker": "KMB", "setup": "A+ Trend Long", "side": "LONG", "price": 111.55, "stage": 2, "buy": 96.3, "sell": 60, "prime": 2, "revL": 0, "revS": 0, "vcp": 1, "time": 1785850200000, "email_id": "3226", "timestamp": "2026-08-04 16:01:11"}</t>
  </si>
  <si>
    <t>Buy: 91.6 | Sell: 44.8</t>
  </si>
  <si>
    <t>{"symbol": "CFG", "strategy": "Daily", "action": "LONG", "alert_price": 72.7, "score": "", "dir_prob": "87.7", "net_sigma": "", "grade": "", "align": "", "premium": "", "wrong_if": "", "context": "", "subject": "Alert: Rev - Screener v1 (SPY, 12): Any alert() function call", "body": "{\"ticker\":\"CFG\", \"setup\":\"A+ Trend Long\", \"side\":\"LONG\", \"price\":72.70, \"stage\":2, \"buy\":92.6, \"sell\":12.8, \"prime\":2, \"revL\":0, \"revS\":0, \"vcp\":1, \"dir_prob\":87.7, \"time\":1785763800000}", "ticker": "CFG", "setup": "A+ Trend Long", "side": "LONG", "price": 72.7, "stage": 2, "buy": 92.6, "sell": 12.8, "prime": 2, "revL": 0, "revS": 0, "vcp": 1, "time": 1785763800000, "email_id": "3143", "timestamp": "2026-08-03 16:01:30"}</t>
  </si>
  <si>
    <t>{"symbol": "CRL", "strategy": "Daily", "action": "LONG", "alert_price": 234.16, "score": "", "dir_prob": "83", "net_sigma": "", "grade": "", "align": "", "premium": "", "wrong_if": "", "context": "", "subject": "Alert: Rev - Screener v1 (SPY, 12): Any alert() function call", "body": "{\"ticker\":\"CRL\", \"setup\":\"A+ Trend Long\", \"side\":\"LONG\", \"price\":234.16, \"stage\":2, \"buy\":91.6, \"sell\":44.8, \"prime\":2, \"revL\":0, \"revS\":0, \"vcp\":1, \"dir_prob\":83, \"time\":1785850200000}", "ticker": "CRL", "setup": "A+ Trend Long", "side": "LONG", "price": 234.16, "stage": 2, "buy": 91.6, "sell": 44.8, "prime": 2, "revL": 0, "revS": 0, "vcp": 1, "time": 1785850200000, "email_id": "3228", "timestamp": "2026-08-04 16:01:11"}</t>
  </si>
  <si>
    <t>Buy: 94.1 | Sell: 16.2</t>
  </si>
  <si>
    <t>{"symbol": "DG", "strategy": "Daily", "action": "LONG", "alert_price": 127.72, "score": "", "dir_prob": "95.5", "net_sigma": "", "grade": "", "align": "", "premium": "", "wrong_if": "", "context": "", "subject": "Alert: Rev - Screener v1 (SPY, 12): Any alert() function call", "body": "{\"ticker\":\"DG\", \"setup\":\"A+ Trend Long\", \"side\":\"LONG\", \"price\":127.72, \"stage\":2, \"buy\":94.4, \"sell\":10.7, \"prime\":2, \"revL\":0, \"revS\":0, \"vcp\":0, \"dir_prob\":95.5, \"time\":1785763800000}", "ticker": "DG", "setup": "A+ Trend Long", "side": "LONG", "price": 127.72, "stage": 2, "buy": 94.4, "sell": 10.7, "prime": 2, "revL": 0, "revS": 0, "vcp": 0, "time": 1785763800000, "email_id": "3144", "timestamp": "2026-08-03 16:01:26"}</t>
  </si>
  <si>
    <t>{"symbol": "MRK", "strategy": "Daily", "action": "LONG", "alert_price": 128.1, "score": "", "dir_prob": "89.7", "net_sigma": "", "grade": "", "align": "", "premium": "", "wrong_if": "", "context": "", "subject": "Alert: Rev - Screener v1 (SPY, 12): Any alert() function call", "body": "{\"ticker\":\"MRK\", \"setup\":\"A+ Trend Long\", \"side\":\"LONG\", \"price\":128.10, \"stage\":2, \"buy\":94.1, \"sell\":16.2, \"prime\":2, \"revL\":0, \"revS\":0, \"vcp\":0, \"dir_prob\":89.7, \"time\":1785850200000}", "ticker": "MRK", "setup": "A+ Trend Long", "side": "LONG", "price": 128.1, "stage": 2, "buy": 94.1, "sell": 16.2, "prime": 2, "revL": 0, "revS": 0, "vcp": 0, "time": 1785850200000, "email_id": "3229", "timestamp": "2026-08-04 16:01:21"}</t>
  </si>
  <si>
    <t>Buy: 86.5 | Sell: 40.8</t>
  </si>
  <si>
    <t>{"symbol": "AFL", "strategy": "Daily", "action": "LONG", "alert_price": 126.69, "score": "", "dir_prob": "89.7", "net_sigma": "", "grade": "", "align": "", "premium": "", "wrong_if": "", "context": "", "subject": "Alert: Rev - Screener v1 (SPY, 12): Any alert() function call", "body": "{\"ticker\":\"AFL\", \"setup\":\"A+ Trend Long\", \"side\":\"LONG\", \"price\":126.69, \"stage\":2, \"buy\":94.2, \"sell\":8, \"prime\":2, \"revL\":0, \"revS\":0, \"vcp\":0, \"dir_prob\":89.7, \"time\":1785763800000}", "ticker": "AFL", "setup": "A+ Trend Long", "side": "LONG", "price": 126.69, "stage": 2, "buy": 94.2, "sell": 8, "prime": 2, "revL": 0, "revS": 0, "vcp": 0, "time": 1785763800000, "email_id": "3145", "timestamp": "2026-08-03 16:01:38"}</t>
  </si>
  <si>
    <t>Buy: 90.8 | Sell: 13.1</t>
  </si>
  <si>
    <t>{"symbol": "ANET", "strategy": "Daily", "action": "LONG", "alert_price": 190.55, "score": "", "dir_prob": "80.9", "net_sigma": "", "grade": "", "align": "", "premium": "", "wrong_if": "", "context": "", "subject": "Alert: Rev - Screener v1 (SPY, 12): Any alert() function call", "body": "{\"ticker\":\"ANET\", \"setup\":\"Early Ignition\", \"side\":\"LONG\", \"price\":190.55, \"stage\":2, \"buy\":86.5, \"sell\":40.8, \"prime\":0, \"revL\":0, \"revS\":4, \"vcp\":-2, \"dir_prob\":80.9, \"time\":1785850200000}", "ticker": "ANET", "setup": "Early Ignition", "side": "LONG", "price": 190.55, "stage": 2, "buy": 86.5, "sell": 40.8, "prime": 0, "revL": 0, "revS": 4, "vcp": -2, "time": 1785850200000, "email_id": "3230", "timestamp": "2026-08-04 16:01:23"}</t>
  </si>
  <si>
    <t>{"symbol": "SJM", "strategy": "Daily", "action": "LONG", "alert_price": 117.52, "score": "", "dir_prob": "92.3", "net_sigma": "", "grade": "", "align": "", "premium": "", "wrong_if": "", "context": "", "subject": "Alert: Rev - Screener v1 (SPY, 12): Any alert() function call", "body": "{\"ticker\":\"SJM\", \"setup\":\"A+ Trend Long\", \"side\":\"LONG\", \"price\":117.52, \"stage\":2, \"buy\":90.8, \"sell\":13.1, \"prime\":2, \"revL\":0, \"revS\":0, \"vcp\":0, \"dir_prob\":92.3, \"time\":1785763800000}", "ticker": "SJM", "setup": "A+ Trend Long", "side": "LONG", "price": 117.52, "stage": 2, "buy": 90.8, "sell": 13.1, "prime": 2, "revL": 0, "revS": 0, "vcp": 0, "time": 1785763800000, "email_id": "3146", "timestamp": "2026-08-03 16:01:38"}</t>
  </si>
  <si>
    <t>Buy: 89 | Sell: 34.1</t>
  </si>
  <si>
    <t>Buy: 96.4 | Sell: 10.3</t>
  </si>
  <si>
    <t>{"symbol": "TECH", "strategy": "Daily", "action": "LONG", "alert_price": 72.1, "score": "", "dir_prob": "89.6", "net_sigma": "", "grade": "", "align": "", "premium": "", "wrong_if": "", "context": "", "subject": "Alert: Rev - Screener v1 (SPY, 12): Any alert() function call", "body": "{\"ticker\":\"TECH\", \"setup\":\"A+ Trend Long\", \"side\":\"LONG\", \"price\":72.10, \"stage\":2, \"buy\":89, \"sell\":34.1, \"prime\":2, \"revL\":0, \"revS\":0, \"vcp\":1, \"dir_prob\":89.6, \"time\":1785850200000}", "ticker": "TECH", "setup": "A+ Trend Long", "side": "LONG", "price": 72.1, "stage": 2, "buy": 89, "sell": 34.1, "prime": 2, "revL": 0, "revS": 0, "vcp": 1, "time": 1785850200000, "email_id": "3231", "timestamp": "2026-08-04 16:01:23"}</t>
  </si>
  <si>
    <t>{"symbol": "ACGL", "strategy": "Daily", "action": "LONG", "alert_price": 101.12, "score": "", "dir_prob": "93.5", "net_sigma": "", "grade": "", "align": "", "premium": "", "wrong_if": "", "context": "", "subject": "Alert: Rev - Screener v1 (SPY, 12): Any alert() function call", "body": "{\"ticker\":\"ACGL\", \"setup\":\"A+ Trend Long\", \"side\":\"LONG\", \"price\":101.12, \"stage\":2, \"buy\":96.4, \"sell\":10.3, \"prime\":2, \"revL\":0, \"revS\":0, \"vcp\":1, \"dir_prob\":93.5, \"time\":1785763800000}", "ticker": "ACGL", "setup": "A+ Trend Long", "side": "LONG", "price": 101.12, "stage": 2, "buy": 96.4, "sell": 10.3, "prime": 2, "revL": 0, "revS": 0, "vcp": 1, "time": 1785763800000, "email_id": "3147", "timestamp": "2026-08-03 16:01:34"}</t>
  </si>
  <si>
    <t>Buy: 89.6 | Sell: 11.3</t>
  </si>
  <si>
    <t>Buy: 93.3 | Sell: 20.9</t>
  </si>
  <si>
    <t>{"symbol": "BXP", "strategy": "Daily", "action": "LONG", "alert_price": 70.41, "score": "", "dir_prob": "91.4", "net_sigma": "", "grade": "", "align": "", "premium": "", "wrong_if": "", "context": "", "subject": "Alert: Rev - Screener v1 (SPY, 12): Any alert() function call", "body": "{\"ticker\":\"BXP\", \"setup\":\"A+ Trend Long\", \"side\":\"LONG\", \"price\":70.41, \"stage\":2, \"buy\":93.3, \"sell\":20.9, \"prime\":2, \"revL\":0, \"revS\":0, \"vcp\":0, \"dir_prob\":91.4, \"time\":1785763800000}", "ticker": "BXP", "setup": "A+ Trend Long", "side": "LONG", "price": 70.41, "stage": 2, "buy": 93.3, "sell": 20.9, "prime": 2, "revL": 0, "revS": 0, "vcp": 0, "time": 1785763800000, "email_id": "3148", "timestamp": "2026-08-03 16:01:40"}</t>
  </si>
  <si>
    <t>{"symbol": "SCHW", "strategy": "Daily", "action": "LONG", "alert_price": 106.34, "score": "", "dir_prob": "95.5", "net_sigma": "", "grade": "", "align": "", "premium": "", "wrong_if": "", "context": "", "subject": "Alert: Rev - Screener v1 (SPY, 12): Any alert() function call", "body": "{\"ticker\":\"SCHW\", \"setup\":\"Bullish Squeeze Release\", \"side\":\"LONG\", \"price\":106.34, \"stage\":2, \"buy\":89.6, \"sell\":11.3, \"prime\":2, \"revL\":0, \"revS\":0, \"vcp\":2, \"dir_prob\":95.5, \"time\":1785850200000}", "ticker": "SCHW", "setup": "Bullish Squeeze Release", "side": "LONG", "price": 106.34, "stage": 2, "buy": 89.6, "sell": 11.3, "prime": 2, "revL": 0, "revS": 0, "vcp": 2, "time": 1785850200000, "email_id": "3232", "timestamp": "2026-08-04 16:01:20"}</t>
  </si>
  <si>
    <t>Buy: 56.5 | Sell: 31.5</t>
  </si>
  <si>
    <t>Buy: 91.8 | Sell: 8.3</t>
  </si>
  <si>
    <t>{"symbol": "ZBRA", "strategy": "Daily", "action": "LONG", "alert_price": 291.48, "score": "", "dir_prob": "82.2", "net_sigma": "", "grade": "", "align": "", "premium": "", "wrong_if": "", "context": "", "subject": "Alert: Rev - Screener v1 (SPY, 12): Any alert() function call", "body": "{\"ticker\":\"ZBRA\", \"setup\":\"Early Ignition\", \"side\":\"LONG\", \"price\":291.48, \"stage\":2, \"buy\":56.5, \"sell\":31.5, \"prime\":0, \"revL\":0, \"revS\":0, \"vcp\":0, \"dir_prob\":82.2, \"time\":1785763800000}", "ticker": "ZBRA", "setup": "Early Ignition", "side": "LONG", "price": 291.48, "stage": 2, "buy": 56.5, "sell": 31.5, "prime": 0, "revL": 0, "revS": 0, "vcp": 0, "time": 1785763800000, "email_id": "3149", "timestamp": "2026-08-03 16:01:39"}</t>
  </si>
  <si>
    <t>Buy: 68 | Sell: 46.6</t>
  </si>
  <si>
    <t>{"symbol": "BAC", "strategy": "Daily", "action": "LONG", "alert_price": 62.91, "score": "", "dir_prob": "89.3", "net_sigma": "", "grade": "", "align": "", "premium": "", "wrong_if": "", "context": "", "subject": "Alert: Rev - Screener v1 (SPY, 12): Any alert() function call", "body": "{\"ticker\":\"BAC\", \"setup\":\"A+ Trend Long\", \"side\":\"LONG\", \"price\":62.91, \"stage\":2, \"buy\":91.8, \"sell\":8.3, \"prime\":2, \"revL\":0, \"revS\":0, \"vcp\":0, \"dir_prob\":89.3, \"time\":1785850200000}", "ticker": "BAC", "setup": "A+ Trend Long", "side": "LONG", "price": 62.91, "stage": 2, "buy": 91.8, "sell": 8.3, "prime": 2, "revL": 0, "revS": 0, "vcp": 0, "time": 1785850200000, "email_id": "3233", "timestamp": "2026-08-04 16:01:13"}</t>
  </si>
  <si>
    <t>Buy: 96.9 | Sell: 24.7</t>
  </si>
  <si>
    <t>{"symbol": "NTAP", "strategy": "Daily", "action": "LONG", "alert_price": 182.94, "score": "", "dir_prob": "73.9", "net_sigma": "", "grade": "", "align": "", "premium": "", "wrong_if": "", "context": "", "subject": "Alert: Rev - Screener v1 (SPY, 12): Any alert() function call", "body": "{\"ticker\":\"NTAP\", \"setup\":\"Bullish Squeeze Release\", \"side\":\"LONG\", \"price\":182.94, \"stage\":2, \"buy\":68, \"sell\":46.6, \"prime\":0, \"revL\":0, \"revS\":0, \"vcp\":2, \"dir_prob\":73.9, \"time\":1785763800000}", "ticker": "NTAP", "setup": "Bullish Squeeze Release", "side": "LONG", "price": 182.94, "stage": 2, "buy": 68, "sell": 46.6, "prime": 0, "revL": 0, "revS": 0, "vcp": 2, "time": 1785763800000, "email_id": "3150", "timestamp": "2026-08-03 16:01:31"}</t>
  </si>
  <si>
    <t>Buy: 91.1 | Sell: 16.1</t>
  </si>
  <si>
    <t>{"symbol": "FE", "strategy": "Daily", "action": "LONG", "alert_price": 48.27, "score": "", "dir_prob": "88.3", "net_sigma": "", "grade": "", "align": "", "premium": "", "wrong_if": "", "context": "", "subject": "Alert: Rev - Screener v1 (SPY, 12): Any alert() function call", "body": "{\"ticker\":\"FE\", \"setup\":\"A+ Trend Long\", \"side\":\"LONG\", \"price\":48.27, \"stage\":2, \"buy\":96.9, \"sell\":24.7, \"prime\":2, \"revL\":0, \"revS\":0, \"vcp\":1, \"dir_prob\":88.3, \"time\":1785850200000}", "ticker": "FE", "setup": "A+ Trend Long", "side": "LONG", "price": 48.27, "stage": 2, "buy": 96.9, "sell": 24.7, "prime": 2, "revL": 0, "revS": 0, "vcp": 1, "time": 1785850200000, "email_id": "3234", "timestamp": "2026-08-04 16:01:22"}</t>
  </si>
  <si>
    <t>Buy: 93.1 | Sell: 12.8</t>
  </si>
  <si>
    <t>{"symbol": "PNC", "strategy": "Daily", "action": "LONG", "alert_price": 251.69, "score": "", "dir_prob": "90.2", "net_sigma": "", "grade": "", "align": "", "premium": "", "wrong_if": "", "context": "", "subject": "Alert: Rev - Screener v1 (SPY, 12): Any alert() function call", "body": "{\"ticker\":\"PNC\", \"setup\":\"A+ Trend Long\", \"side\":\"LONG\", \"price\":251.69, \"stage\":2, \"buy\":91.1, \"sell\":16.1, \"prime\":2, \"revL\":0, \"revS\":0, \"vcp\":1, \"dir_prob\":90.2, \"time\":1785763800000}", "ticker": "PNC", "setup": "A+ Trend Long", "side": "LONG", "price": 251.69, "stage": 2, "buy": 91.1, "sell": 16.1, "prime": 2, "revL": 0, "revS": 0, "vcp": 1, "time": 1785763800000, "email_id": "3151", "timestamp": "2026-08-03 16:01:40"}</t>
  </si>
  <si>
    <t>Buy: 87.2 | Sell: 29</t>
  </si>
  <si>
    <t>{"symbol": "AIZ", "strategy": "Daily", "action": "LONG", "alert_price": 282.46, "score": "", "dir_prob": "77.6", "net_sigma": "", "grade": "", "align": "", "premium": "", "wrong_if": "", "context": "", "subject": "Alert: Rev - Screener v1 (SPY, 12): Any alert() function call", "body": "{\"ticker\":\"AIZ\", \"setup\":\"A+ Trend Long\", \"side\":\"LONG\", \"price\":282.46, \"stage\":2, \"buy\":87.2, \"sell\":29, \"prime\":2, \"revL\":0, \"revS\":0, \"vcp\":1, \"dir_prob\":77.6, \"time\":1785763800000}", "ticker": "AIZ", "setup": "A+ Trend Long", "side": "LONG", "price": 282.46, "stage": 2, "buy": 87.2, "sell": 29, "prime": 2, "revL": 0, "revS": 0, "vcp": 1, "time": 1785763800000, "email_id": "3152", "timestamp": "2026-08-03 16:01:38"}</t>
  </si>
  <si>
    <t>{"symbol": "JNJ", "strategy": "Daily", "action": "LONG", "alert_price": 254.95, "score": "", "dir_prob": "91.8", "net_sigma": "", "grade": "", "align": "", "premium": "", "wrong_if": "", "context": "", "subject": "Alert: Rev - Screener v1 (SPY, 12): Any alert() function call", "body": "{\"ticker\":\"JNJ\", \"setup\":\"A+ Trend Long\", \"side\":\"LONG\", \"price\":254.95, \"stage\":2, \"buy\":93.1, \"sell\":12.8, \"prime\":2, \"revL\":0, \"revS\":0, \"vcp\":0, \"dir_prob\":91.8, \"time\":1785850200000}", "ticker": "JNJ", "setup": "A+ Trend Long", "side": "LONG", "price": 254.95, "stage": 2, "buy": 93.1, "sell": 12.8, "prime": 2, "revL": 0, "revS": 0, "vcp": 0, "time": 1785850200000, "email_id": "3235", "timestamp": "2026-08-04 16:01:24"}</t>
  </si>
  <si>
    <t>Buy: 94 | Sell: 30.3</t>
  </si>
  <si>
    <t>Buy: 97 | Sell: 11.6</t>
  </si>
  <si>
    <t>{"symbol": "VTRS", "strategy": "Daily", "action": "LONG", "alert_price": 17.63, "score": "", "dir_prob": "84", "net_sigma": "", "grade": "", "align": "", "premium": "", "wrong_if": "", "context": "", "subject": "Alert: Rev - Screener v1 (SPY, 12): Any alert() function call", "body": "{\"ticker\":\"VTRS\", \"setup\":\"A+ Trend Long\", \"side\":\"LONG\", \"price\":17.63, \"stage\":2, \"buy\":94, \"sell\":30.3, \"prime\":2, \"revL\":0, \"revS\":0, \"vcp\":0, \"dir_prob\":84, \"time\":1785763800000}", "ticker": "VTRS", "setup": "A+ Trend Long", "side": "LONG", "price": 17.63, "stage": 2, "buy": 94, "sell": 30.3, "prime": 2, "revL": 0, "revS": 0, "vcp": 0, "time": 1785763800000, "email_id": "3153", "timestamp": "2026-08-03 16:01:39"}</t>
  </si>
  <si>
    <t>Buy: 92.4 | Sell: 10</t>
  </si>
  <si>
    <t>{"symbol": "AWK", "strategy": "Daily", "action": "LONG", "alert_price": 133.99, "score": "", "dir_prob": "96.5", "net_sigma": "", "grade": "", "align": "", "premium": "", "wrong_if": "", "context": "", "subject": "Alert: Rev - Screener v1 (SPY, 12): Any alert() function call", "body": "{\"ticker\":\"AWK\", \"setup\":\"A+ Trend Long\", \"side\":\"LONG\", \"price\":133.99, \"stage\":2, \"buy\":97, \"sell\":11.6, \"prime\":2, \"revL\":0, \"revS\":0, \"vcp\":1, \"dir_prob\":96.5, \"time\":1785850200000}", "ticker": "AWK", "setup": "A+ Trend Long", "side": "LONG", "price": 133.99, "stage": 2, "buy": 97, "sell": 11.6, "prime": 2, "revL": 0, "revS": 0, "vcp": 1, "time": 1785850200000, "email_id": "3236", "timestamp": "2026-08-04 16:01:27"}</t>
  </si>
  <si>
    <t>Buy: 54.8 | Sell: 46.5</t>
  </si>
  <si>
    <t>{"symbol": "SCHW", "strategy": "Daily", "action": "LONG", "alert_price": 105.85, "score": "", "dir_prob": "96", "net_sigma": "", "grade": "", "align": "", "premium": "", "wrong_if": "", "context": "", "subject": "Alert: Rev - Screener v1 (SPY, 12): Any alert() function call", "body": "{\"ticker\":\"SCHW\", \"setup\":\"A+ Trend Long\", \"side\":\"LONG\", \"price\":105.85, \"stage\":2, \"buy\":92.4, \"sell\":10, \"prime\":2, \"revL\":0, \"revS\":0, \"vcp\":1, \"dir_prob\":96, \"time\":1785763800000}", "ticker": "SCHW", "setup": "A+ Trend Long", "side": "LONG", "price": 105.85, "stage": 2, "buy": 92.4, "sell": 10, "prime": 2, "revL": 0, "revS": 0, "vcp": 1, "time": 1785763800000, "email_id": "3154", "timestamp": "2026-08-03 16:01:40"}</t>
  </si>
  <si>
    <t>ARES</t>
  </si>
  <si>
    <t>Buy: 28.1 | Sell: 33.3</t>
  </si>
  <si>
    <t>{"symbol": "APH", "strategy": "Daily", "action": "LONG", "alert_price": 171.36, "score": "", "dir_prob": "49", "net_sigma": "", "grade": "", "align": "", "premium": "", "wrong_if": "", "context": "", "subject": "Alert: Rev - Screener v1 (SPY, 12): Any alert() function call", "body": "{\"ticker\":\"APH\", \"setup\":\"Bullish Squeeze Release\", \"side\":\"LONG\", \"price\":171.36, \"stage\":2, \"buy\":54.8, \"sell\":46.5, \"prime\":0, \"revL\":0, \"revS\":0, \"vcp\":2, \"dir_prob\":49, \"time\":1785850200000}", "ticker": "APH", "setup": "Bullish Squeeze Release", "side": "LONG", "price": 171.36, "stage": 2, "buy": 54.8, "sell": 46.5, "prime": 0, "revL": 0, "revS": 0, "vcp": 2, "time": 1785850200000, "email_id": "3239", "timestamp": "2026-08-04 16:01:29"}</t>
  </si>
  <si>
    <t>{"symbol": "ARES", "strategy": "Daily", "action": "LONG", "alert_price": 138.54, "score": "", "dir_prob": "52.4", "net_sigma": "", "grade": "", "align": "", "premium": "", "wrong_if": "", "context": "", "subject": "Alert: Rev - Screener v1 (SPY, 12): Any alert() function call", "body": "{\"ticker\":\"ARES\", \"setup\":\"Bullish Squeeze Release\", \"side\":\"LONG\", \"price\":138.54, \"stage\":2, \"buy\":28.1, \"sell\":33.3, \"prime\":0, \"revL\":0, \"revS\":0, \"vcp\":2, \"dir_prob\":52.4, \"time\":1785763800000}", "ticker": "ARES", "setup": "Bullish Squeeze Release", "side": "LONG", "price": 138.54, "stage": 2, "buy": 28.1, "sell": 33.3, "prime": 0, "revL": 0, "revS": 0, "vcp": 2, "time": 1785763800000, "email_id": "3155", "timestamp": "2026-08-03 16:01:40"}</t>
  </si>
  <si>
    <t>Buy: 95.6 | Sell: 6.7</t>
  </si>
  <si>
    <t>{"symbol": "JKHY", "strategy": "Daily", "action": "LONG", "alert_price": 156.61, "score": "", "dir_prob": "97.8", "net_sigma": "", "grade": "", "align": "", "premium": "", "wrong_if": "", "context": "", "subject": "Alert: Rev - Screener v1 (SPY, 12): Any alert() function call", "body": "{\"ticker\":\"JKHY\", \"setup\":\"A+ Trend Long\", \"side\":\"LONG\", \"price\":156.61, \"stage\":2, \"buy\":95.6, \"sell\":6.7, \"prime\":2, \"revL\":0, \"revS\":0, \"vcp\":0, \"dir_prob\":97.8, \"time\":1785763800000}", "ticker": "JKHY", "setup": "A+ Trend Long", "side": "LONG", "price": 156.61, "stage": 2, "buy": 95.6, "sell": 6.7, "prime": 2, "revL": 0, "revS": 0, "vcp": 0, "time": 1785763800000, "email_id": "3156", "timestamp": "2026-08-03 16:01:14"}</t>
  </si>
  <si>
    <t>Buy: 91.9 | Sell: 41.9</t>
  </si>
  <si>
    <t>{"symbol": "L", "strategy": "Daily", "action": "LONG", "alert_price": 116.02, "score": "", "dir_prob": "89.8", "net_sigma": "", "grade": "", "align": "", "premium": "", "wrong_if": "", "context": "", "subject": "Alert: Rev - Screener v1 (SPY, 12): Any alert() function call", "body": "{\"ticker\":\"L\", \"setup\":\"A+ Trend Long\", \"side\":\"LONG\", \"price\":116.02, \"stage\":2, \"buy\":95, \"sell\":11.5, \"prime\":2, \"revL\":0, \"revS\":0, \"vcp\":0, \"dir_prob\":89.8, \"time\":1785850200000}", "ticker": "L", "setup": "A+ Trend Long", "side": "LONG", "price": 116.02, "stage": 2, "buy": 95, "sell": 11.5, "prime": 2, "revL": 0, "revS": 0, "vcp": 0, "time": 1785850200000, "email_id": "3237", "timestamp": "2026-08-04 16:01:24"}</t>
  </si>
  <si>
    <t>{"symbol": "RF", "strategy": "Daily", "action": "LONG", "alert_price": 31.49, "score": "", "dir_prob": "79.5", "net_sigma": "", "grade": "", "align": "", "premium": "", "wrong_if": "", "context": "", "subject": "Alert: Rev - Screener v1 (SPY, 12): Any alert() function call", "body": "{\"ticker\":\"RF\", \"setup\":\"A+ Trend Long\", \"side\":\"LONG\", \"price\":31.49, \"stage\":2, \"buy\":91.9, \"sell\":41.9, \"prime\":2, \"revL\":0, \"revS\":0, \"vcp\":0, \"dir_prob\":79.5, \"time\":1785763800000}", "ticker": "RF", "setup": "A+ Trend Long", "side": "LONG", "price": 31.49, "stage": 2, "buy": 91.9, "sell": 41.9, "prime": 2, "revL": 0, "revS": 0, "vcp": 0, "time": 1785763800000, "email_id": "3157", "timestamp": "2026-08-03 16:01:27"}</t>
  </si>
  <si>
    <t>Buy: 93.4 | Sell: 32.3</t>
  </si>
  <si>
    <t>{"symbol": "SPG", "strategy": "Daily", "action": "LONG", "alert_price": 229.15, "score": "", "dir_prob": "77.7", "net_sigma": "", "grade": "", "align": "", "premium": "", "wrong_if": "", "context": "", "subject": "Alert: Rev - Screener v1 (SPY, 12): Any alert() function call", "body": "{\"ticker\":\"SPG\", \"setup\":\"A+ Trend Long\", \"side\":\"LONG\", \"price\":229.15, \"stage\":2, \"buy\":93.4, \"sell\":32.3, \"prime\":2, \"revL\":0, \"revS\":0, \"vcp\":0, \"dir_prob\":77.7, \"time\":1785763800000}", "ticker": "SPG", "setup": "A+ Trend Long", "side": "LONG", "price": 229.15, "stage": 2, "buy": 93.4, "sell": 32.3, "prime": 2, "revL": 0, "revS": 0, "vcp": 0, "time": 1785763800000, "email_id": "3158", "timestamp": "2026-08-03 16:01:41"}</t>
  </si>
  <si>
    <t>{"symbol": "SJM", "strategy": "Daily", "action": "LONG", "alert_price": 119.2, "score": "", "dir_prob": "92.6", "net_sigma": "", "grade": "", "align": "", "premium": "", "wrong_if": "", "context": "", "subject": "Alert: Rev - Screener v1 (SPY, 12): Any alert() function call", "body": "{\"ticker\":\"SJM\", \"setup\":\"A+ Trend Long\", \"side\":\"LONG\", \"price\":119.20, \"stage\":2, \"buy\":92.3, \"sell\":12.2, \"prime\":2, \"revL\":0, \"revS\":0, \"vcp\":0, \"dir_prob\":92.6, \"time\":1785850200000}", "ticker": "SJM", "setup": "A+ Trend Long", "side": "LONG", "price": 119.2, "stage": 2, "buy": 92.3, "sell": 12.2, "prime": 2, "revL": 0, "revS": 0, "vcp": 0, "time": 1785850200000, "email_id": "3240", "timestamp": "2026-08-04 16:01:23"}</t>
  </si>
  <si>
    <t>Buy: 91.6 | Sell: 16.3</t>
  </si>
  <si>
    <t>{"symbol": "TMO", "strategy": "Daily", "action": "LONG", "alert_price": 574.04, "score": "", "dir_prob": "89.4", "net_sigma": "", "grade": "", "align": "", "premium": "", "wrong_if": "", "context": "", "subject": "Alert: Rev - Screener v1 (SPY, 12): Any alert() function call", "body": "{\"ticker\":\"TMO\", \"setup\":\"A+ Trend Long\", \"side\":\"LONG\", \"price\":574.04, \"stage\":2, \"buy\":92.8, \"sell\":13, \"prime\":2, \"revL\":0, \"revS\":0, \"vcp\":0, \"dir_prob\":89.4, \"time\":1785763800000}", "ticker": "TMO", "setup": "A+ Trend Long", "side": "LONG", "price": 574.04, "stage": 2, "buy": 92.8, "sell": 13, "prime": 2, "revL": 0, "revS": 0, "vcp": 0, "time": 1785763800000, "email_id": "3159", "timestamp": "2026-08-03 16:01:09"}</t>
  </si>
  <si>
    <t>Buy: 89 | Sell: 10.5</t>
  </si>
  <si>
    <t>{"symbol": "XOM", "strategy": "Daily", "action": "LONG", "alert_price": 153.97, "score": "", "dir_prob": "90.6", "net_sigma": "", "grade": "", "align": "", "premium": "", "wrong_if": "", "context": "", "subject": "Alert: Rev - Screener v1 (SPY, 12): Any alert() function call", "body": "{\"ticker\":\"XOM\", \"setup\":\"A+ Trend Long\", \"side\":\"LONG\", \"price\":153.97, \"stage\":2, \"buy\":91.6, \"sell\":16.3, \"prime\":2, \"revL\":0, \"revS\":0, \"vcp\":0, \"dir_prob\":90.6, \"time\":1785850200000}", "ticker": "XOM", "setup": "A+ Trend Long", "side": "LONG", "price": 153.97, "stage": 2, "buy": 91.6, "sell": 16.3, "prime": 2, "revL": 0, "revS": 0, "vcp": 0, "time": 1785850200000, "email_id": "3241", "timestamp": "2026-08-04 16:01:30"}</t>
  </si>
  <si>
    <t>Buy: 92.6 | Sell: 24.3</t>
  </si>
  <si>
    <t>{"symbol": "IP", "strategy": "Daily", "action": "LONG", "alert_price": 41.47, "score": "", "dir_prob": "96.7", "net_sigma": "", "grade": "", "align": "", "premium": "", "wrong_if": "", "context": "", "subject": "Alert: Rev - Screener v1 (SPY, 12): Any alert() function call", "body": "{\"ticker\":\"IP\", \"setup\":\"A+ Trend Long\", \"side\":\"LONG\", \"price\":41.47, \"stage\":2, \"buy\":89, \"sell\":10.5, \"prime\":2, \"revL\":0, \"revS\":0, \"vcp\":0, \"dir_prob\":96.7, \"time\":1785763800000}", "ticker": "IP", "setup": "A+ Trend Long", "side": "LONG", "price": 41.47, "stage": 2, "buy": 89, "sell": 10.5, "prime": 2, "revL": 0, "revS": 0, "vcp": 0, "time": 1785763800000, "email_id": "3160", "timestamp": "2026-08-03 16:01:13"}</t>
  </si>
  <si>
    <t>AME</t>
  </si>
  <si>
    <t>Buy: 93.6 | Sell: 26.3</t>
  </si>
  <si>
    <t>{"symbol": "FDS", "strategy": "Daily", "action": "LONG", "alert_price": 274.73, "score": "", "dir_prob": "90.3", "net_sigma": "", "grade": "", "align": "", "premium": "", "wrong_if": "", "context": "", "subject": "Alert: Rev - Screener v1 (SPY, 12): Any alert() function call", "body": "{\"ticker\":\"FDS\", \"setup\":\"A+ Trend Long\", \"side\":\"LONG\", \"price\":274.73, \"stage\":2, \"buy\":92.6, \"sell\":24.3, \"prime\":2, \"revL\":0, \"revS\":0, \"vcp\":0, \"dir_prob\":90.3, \"time\":1785850200000}", "ticker": "FDS", "setup": "A+ Trend Long", "side": "LONG", "price": 274.73, "stage": 2, "buy": 92.6, "sell": 24.3, "prime": 2, "revL": 0, "revS": 0, "vcp": 0, "time": 1785850200000, "email_id": "3238", "timestamp": "2026-08-04 16:01:23"}</t>
  </si>
  <si>
    <t>{"symbol": "AME", "strategy": "Daily", "action": "LONG", "alert_price": 243.84, "score": "", "dir_prob": "83", "net_sigma": "", "grade": "", "align": "", "premium": "", "wrong_if": "", "context": "", "subject": "Alert: Rev - Screener v1 (SPY, 12): Any alert() function call", "body": "{\"ticker\":\"AME\", \"setup\":\"Bullish Squeeze Release\", \"side\":\"LONG\", \"price\":243.84, \"stage\":2, \"buy\":93.6, \"sell\":26.3, \"prime\":0, \"revL\":0, \"revS\":0, \"vcp\":2, \"dir_prob\":83, \"time\":1785763800000}", "ticker": "AME", "setup": "Bullish Squeeze Release", "side": "LONG", "price": 243.84, "stage": 2, "buy": 93.6, "sell": 26.3, "prime": 0, "revL": 0, "revS": 0, "vcp": 2, "time": 1785763800000, "email_id": "3161", "timestamp": "2026-08-03 16:01:18"}</t>
  </si>
  <si>
    <t>Buy: 96.1 | Sell: 5.3</t>
  </si>
  <si>
    <t>Buy: 94.9 | Sell: 8.8</t>
  </si>
  <si>
    <t>{"symbol": "VLO", "strategy": "Daily", "action": "LONG", "alert_price": 307.44, "score": "", "dir_prob": "93.5", "net_sigma": "", "grade": "", "align": "", "premium": "", "wrong_if": "", "context": "", "subject": "Alert: Rev - Screener v1 (SPY, 12): Any alert() function call", "body": "{\"ticker\":\"VLO\", \"setup\":\"A+ Trend Long\", \"side\":\"LONG\", \"price\":307.44, \"stage\":2, \"buy\":96.1, \"sell\":5.3, \"prime\":2, \"revL\":0, \"revS\":0, \"vcp\":0, \"dir_prob\":93.5, \"time\":1785763800000}", "ticker": "VLO", "setup": "A+ Trend Long", "side": "LONG", "price": 307.44, "stage": 2, "buy": 96.1, "sell": 5.3, "prime": 2, "revL": 0, "revS": 0, "vcp": 0, "time": 1785763800000, "email_id": "3162", "timestamp": "2026-08-03 16:01:14"}</t>
  </si>
  <si>
    <t>Buy: 90.7 | Sell: 13.4</t>
  </si>
  <si>
    <t>{"symbol": "EOG", "strategy": "Daily", "action": "LONG", "alert_price": 143.52, "score": "", "dir_prob": "98.1", "net_sigma": "", "grade": "", "align": "", "premium": "", "wrong_if": "", "context": "", "subject": "Alert: Rev - Screener v1 (SPY, 12): Any alert() function call", "body": "{\"ticker\":\"EOG\", \"setup\":\"A+ Trend Long\", \"side\":\"LONG\", \"price\":143.52, \"stage\":2, \"buy\":94.9, \"sell\":8.8, \"prime\":2, \"revL\":0, \"revS\":0, \"vcp\":0, \"dir_prob\":98.1, \"time\":1785850200000}", "ticker": "EOG", "setup": "A+ Trend Long", "side": "LONG", "price": 143.52, "stage": 2, "buy": 94.9, "sell": 8.8, "prime": 2, "revL": 0, "revS": 0, "vcp": 0, "time": 1785850200000, "email_id": "3242", "timestamp": "2026-08-04 16:01:28"}</t>
  </si>
  <si>
    <t>Buy: 94 | Sell: 19.3</t>
  </si>
  <si>
    <t>{"symbol": "TDY", "strategy": "Daily", "action": "LONG", "alert_price": 670.67, "score": "", "dir_prob": "95.3", "net_sigma": "", "grade": "", "align": "", "premium": "", "wrong_if": "", "context": "", "subject": "Alert: Rev - Screener v1 (SPY, 12): Any alert() function call", "body": "{\"ticker\":\"TDY\", \"setup\":\"A+ Trend Long\", \"side\":\"LONG\", \"price\":670.67, \"stage\":2, \"buy\":90.7, \"sell\":13.4, \"prime\":2, \"revL\":0, \"revS\":0, \"vcp\":1, \"dir_prob\":95.3, \"time\":1785763800000}", "ticker": "TDY", "setup": "A+ Trend Long", "side": "LONG", "price": 670.67, "stage": 2, "buy": 90.7, "sell": 13.4, "prime": 2, "revL": 0, "revS": 0, "vcp": 1, "time": 1785763800000, "email_id": "3163", "timestamp": "2026-08-03 16:01:18"}</t>
  </si>
  <si>
    <t>Buy: 94.1 | Sell: 52.9</t>
  </si>
  <si>
    <t>{"symbol": "KMB", "strategy": "Daily", "action": "LONG", "alert_price": 107.64, "score": "", "dir_prob": "90.1", "net_sigma": "", "grade": "", "align": "", "premium": "", "wrong_if": "", "context": "", "subject": "Alert: Rev - Screener v1 (SPY, 12): Any alert() function call", "body": "{\"ticker\":\"KMB\", \"setup\":\"A+ Trend Long\", \"side\":\"LONG\", \"price\":107.64, \"stage\":2, \"buy\":94.1, \"sell\":52.9, \"prime\":2, \"revL\":0, \"revS\":0, \"vcp\":1, \"dir_prob\":90.1, \"time\":1785763800000}", "ticker": "KMB", "setup": "A+ Trend Long", "side": "LONG", "price": 107.64, "stage": 2, "buy": 94.1, "sell": 52.9, "prime": 2, "revL": 0, "revS": 0, "vcp": 1, "time": 1785763800000, "email_id": "3164", "timestamp": "2026-08-03 16:01:20"}</t>
  </si>
  <si>
    <t>{"symbol": "VTRS", "strategy": "Daily", "action": "LONG", "alert_price": 17.7, "score": "", "dir_prob": "88.4", "net_sigma": "", "grade": "", "align": "", "premium": "", "wrong_if": "", "context": "", "subject": "Alert: Rev - Screener v1 (SPY, 12): Any alert() function call", "body": "{\"ticker\":\"VTRS\", \"setup\":\"A+ Trend Long\", \"side\":\"LONG\", \"price\":17.70, \"stage\":2, \"buy\":94, \"sell\":19.3, \"prime\":2, \"revL\":0, \"revS\":0, \"vcp\":0, \"dir_prob\":88.4, \"time\":1785850200000}", "ticker": "VTRS", "setup": "A+ Trend Long", "side": "LONG", "price": 17.7, "stage": 2, "buy": 94, "sell": 19.3, "prime": 2, "revL": 0, "revS": 0, "vcp": 0, "time": 1785850200000, "email_id": "3243", "timestamp": "2026-08-04 16:01:14"}</t>
  </si>
  <si>
    <t>Buy: 94.6 | Sell: 12</t>
  </si>
  <si>
    <t>Buy: 95.7 | Sell: 7</t>
  </si>
  <si>
    <t>{"symbol": "GD", "strategy": "Daily", "action": "LONG", "alert_price": 382.5, "score": "", "dir_prob": "95.4", "net_sigma": "", "grade": "", "align": "", "premium": "", "wrong_if": "", "context": "", "subject": "Alert: Rev - Screener v1 (SPY, 12): Any alert() function call", "body": "{\"ticker\":\"GD\", \"setup\":\"A+ Trend Long\", \"side\":\"LONG\", \"price\":382.50, \"stage\":2, \"buy\":94.6, \"sell\":12, \"prime\":2, \"revL\":0, \"revS\":0, \"vcp\":0, \"dir_prob\":95.4, \"time\":1785763800000}", "ticker": "GD", "setup": "A+ Trend Long", "side": "LONG", "price": 382.5, "stage": 2, "buy": 94.6, "sell": 12, "prime": 2, "revL": 0, "revS": 0, "vcp": 0, "time": 1785763800000, "email_id": "3165", "timestamp": "2026-08-03 16:01:17"}</t>
  </si>
  <si>
    <t>Buy: 97.1 | Sell: 4.3</t>
  </si>
  <si>
    <t>{"symbol": "KHC", "strategy": "Daily", "action": "LONG", "alert_price": 26.63, "score": "", "dir_prob": "95.5", "net_sigma": "", "grade": "", "align": "", "premium": "", "wrong_if": "", "context": "", "subject": "Alert: Rev - Screener v1 (SPY, 12): Any alert() function call", "body": "{\"ticker\":\"KHC\", \"setup\":\"A+ Trend Long\", \"side\":\"LONG\", \"price\":26.63, \"stage\":2, \"buy\":95.7, \"sell\":7, \"prime\":2, \"revL\":0, \"revS\":0, \"vcp\":0, \"dir_prob\":95.5, \"time\":1785850200000}", "ticker": "KHC", "setup": "A+ Trend Long", "side": "LONG", "price": 26.63, "stage": 2, "buy": 95.7, "sell": 7, "prime": 2, "revL": 0, "revS": 0, "vcp": 0, "time": 1785850200000, "email_id": "3244", "timestamp": "2026-08-04 16:01:14"}</t>
  </si>
  <si>
    <t>{"symbol": "CTAS", "strategy": "Daily", "action": "LONG", "alert_price": 203.93, "score": "", "dir_prob": "97.3", "net_sigma": "", "grade": "", "align": "", "premium": "", "wrong_if": "", "context": "", "subject": "Alert: Rev - Screener v1 (SPY, 12): Any alert() function call", "body": "{\"ticker\":\"CTAS\", \"setup\":\"A+ Trend Long\", \"side\":\"LONG\", \"price\":203.93, \"stage\":2, \"buy\":97.1, \"sell\":4.3, \"prime\":2, \"revL\":0, \"revS\":0, \"vcp\":0, \"dir_prob\":97.3, \"time\":1785763800000}", "ticker": "CTAS", "setup": "A+ Trend Long", "side": "LONG", "price": 203.93, "stage": 2, "buy": 97.1, "sell": 4.3, "prime": 2, "revL": 0, "revS": 0, "vcp": 0, "time": 1785763800000, "email_id": "3166", "timestamp": "2026-08-03 16:01:10"}</t>
  </si>
  <si>
    <t>Buy: 63.5 | Sell: 22</t>
  </si>
  <si>
    <t>{"symbol": "XYL", "strategy": "Daily", "action": "LONG", "alert_price": 119.12, "score": "", "dir_prob": "96.6", "net_sigma": "", "grade": "", "align": "", "premium": "", "wrong_if": "", "context": "", "subject": "Alert: Rev - Screener v1 (SPY, 12): Any alert() function call", "body": "{\"ticker\":\"XYL\", \"setup\":\"A+ Trend Long\", \"side\":\"LONG\", \"price\":119.12, \"stage\":2, \"buy\":94, \"sell\":12.7, \"prime\":2, \"revL\":0, \"revS\":0, \"vcp\":0, \"dir_prob\":96.6, \"time\":1785763800000}", "ticker": "XYL", "setup": "A+ Trend Long", "side": "LONG", "price": 119.12, "stage": 2, "buy": 94, "sell": 12.7, "prime": 2, "revL": 0, "revS": 0, "vcp": 0, "time": 1785763800000, "email_id": "3167", "timestamp": "2026-08-03 16:01:07"}</t>
  </si>
  <si>
    <t>Buy: 93.8 | Sell: 14.6</t>
  </si>
  <si>
    <t>{"symbol": "IEX", "strategy": "Daily", "action": "LONG", "alert_price": 237.89, "score": "", "dir_prob": "71", "net_sigma": "", "grade": "", "align": "", "premium": "", "wrong_if": "", "context": "", "subject": "Alert: Rev - Screener v1 (SPY, 12): Any alert() function call", "body": "{\"ticker\":\"IEX\", \"setup\":\"Bullish Squeeze Release\", \"side\":\"LONG\", \"price\":237.89, \"stage\":2, \"buy\":63.5, \"sell\":22, \"prime\":0, \"revL\":0, \"revS\":0, \"vcp\":2, \"dir_prob\":71, \"time\":1785850200000}", "ticker": "IEX", "setup": "Bullish Squeeze Release", "side": "LONG", "price": 237.89, "stage": 2, "buy": 63.5, "sell": 22, "prime": 0, "revL": 0, "revS": 0, "vcp": 2, "time": 1785850200000, "email_id": "3245", "timestamp": "2026-08-04 16:01:29"}</t>
  </si>
  <si>
    <t>{"symbol": "IVZ", "strategy": "Daily", "action": "LONG", "alert_price": 30.91, "score": "", "dir_prob": "89.4", "net_sigma": "", "grade": "", "align": "", "premium": "", "wrong_if": "", "context": "", "subject": "Alert: Rev - Screener v1 (SPY, 12): Any alert() function call", "body": "{\"ticker\":\"IVZ\", \"setup\":\"A+ Trend Long\", \"side\":\"LONG\", \"price\":30.91, \"stage\":2, \"buy\":93.8, \"sell\":14.6, \"prime\":2, \"revL\":0, \"revS\":0, \"vcp\":0, \"dir_prob\":89.4, \"time\":1785763800000}", "ticker": "IVZ", "setup": "A+ Trend Long", "side": "LONG", "price": 30.91, "stage": 2, "buy": 93.8, "sell": 14.6, "prime": 2, "revL": 0, "revS": 0, "vcp": 0, "time": 1785763800000, "email_id": "3168", "timestamp": "2026-08-03 16:01:22"}</t>
  </si>
  <si>
    <t>{"symbol": "SYY", "strategy": "Daily", "action": "LONG", "alert_price": 82.81, "score": "", "dir_prob": "83.1", "net_sigma": "", "grade": "", "align": "", "premium": "", "wrong_if": "", "context": "", "subject": "Alert: Rev - Screener v1 (SPY, 12): Any alert() function call", "body": "{\"ticker\":\"SYY\", \"setup\":\"A+ Trend Long\", \"side\":\"LONG\", \"price\":82.81, \"stage\":2, \"buy\":95.8, \"sell\":60, \"prime\":2, \"revL\":0, \"revS\":0, \"vcp\":1, \"dir_prob\":83.1, \"time\":1785850200000}", "ticker": "SYY", "setup": "A+ Trend Long", "side": "LONG", "price": 82.81, "stage": 2, "buy": 95.8, "sell": 60, "prime": 2, "revL": 0, "revS": 0, "vcp": 1, "time": 1785850200000, "email_id": "3246", "timestamp": "2026-08-04 16:01:32"}</t>
  </si>
  <si>
    <t>{"symbol": "FDS", "strategy": "Daily", "action": "LONG", "alert_price": 269.76, "score": "", "dir_prob": "86.5", "net_sigma": "", "grade": "", "align": "", "premium": "", "wrong_if": "", "context": "", "subject": "Alert: Rev - Screener v1 (SPY, 12): Any alert() function call", "body": "{\"ticker\":\"FDS\", \"setup\":\"A+ Trend Long\", \"side\":\"LONG\", \"price\":269.76, \"stage\":2, \"buy\":93.5, \"sell\":37.5, \"prime\":2, \"revL\":0, \"revS\":0, \"vcp\":0, \"dir_prob\":86.5, \"time\":1785763800000}", "ticker": "FDS", "setup": "A+ Trend Long", "side": "LONG", "price": 269.76, "stage": 2, "buy": 93.5, "sell": 37.5, "prime": 2, "revL": 0, "revS": 0, "vcp": 0, "time": 1785763800000, "email_id": "3169", "timestamp": "2026-08-03 16:01:15"}</t>
  </si>
  <si>
    <t>CLX</t>
  </si>
  <si>
    <t>Buy: 91.3 | Sell: 26.9</t>
  </si>
  <si>
    <t>Buy: 30.2 | Sell: 36</t>
  </si>
  <si>
    <t>{"symbol": "EXR", "strategy": "Daily", "action": "LONG", "alert_price": 149.71, "score": "", "dir_prob": "88.8", "net_sigma": "", "grade": "", "align": "", "premium": "", "wrong_if": "", "context": "", "subject": "Alert: Rev - Screener v1 (SPY, 12): Any alert() function call", "body": "{\"ticker\":\"EXR\", \"setup\":\"Bullish Squeeze Release\", \"side\":\"LONG\", \"price\":149.71, \"stage\":2, \"buy\":91.3, \"sell\":26.9, \"prime\":0, \"revL\":0, \"revS\":0, \"vcp\":2, \"dir_prob\":88.8, \"time\":1785763800000}", "ticker": "EXR", "setup": "Bullish Squeeze Release", "side": "LONG", "price": 149.71, "stage": 2, "buy": 91.3, "sell": 26.9, "prime": 0, "revL": 0, "revS": 0, "vcp": 2, "time": 1785763800000, "email_id": "3170", "timestamp": "2026-08-03 16:01:11"}</t>
  </si>
  <si>
    <t>{"symbol": "CLX", "strategy": "Daily", "action": "LONG", "alert_price": 104.61, "score": "", "dir_prob": "60.2", "net_sigma": "", "grade": "", "align": "", "premium": "", "wrong_if": "", "context": "", "subject": "Alert: Rev - Screener v1 (SPY, 12): Any alert() function call", "body": "{\"ticker\":\"CLX\", \"setup\":\"Early Ignition\", \"side\":\"LONG\", \"price\":104.61, \"stage\":2, \"buy\":30.2, \"sell\":36, \"prime\":0, \"revL\":0, \"revS\":0, \"vcp\":2, \"dir_prob\":60.2, \"time\":1785850200000}", "ticker": "CLX", "setup": "Early Ignition", "side": "LONG", "price": 104.61, "stage": 2, "buy": 30.2, "sell": 36, "prime": 0, "revL": 0, "revS": 0, "vcp": 2, "time": 1785850200000, "email_id": "3247", "timestamp": "2026-08-04 16:01:32"}</t>
  </si>
  <si>
    <t>Buy: 85.2 | Sell: 60</t>
  </si>
  <si>
    <t>{"symbol": "TDG", "strategy": "Daily", "action": "LONG", "alert_price": 1276.18, "score": "", "dir_prob": "76.1", "net_sigma": "", "grade": "", "align": "", "premium": "", "wrong_if": "", "context": "", "subject": "Alert: Rev - Screener v1 (SPY, 12): Any alert() function call", "body": "{\"ticker\":\"TDG\", \"setup\":\"A+ Trend Long\", \"side\":\"LONG\", \"price\":1276.18, \"stage\":2, \"buy\":85.2, \"sell\":60, \"prime\":2, \"revL\":0, \"revS\":0, \"vcp\":0, \"dir_prob\":76.1, \"time\":1785850200000}", "ticker": "TDG", "setup": "A+ Trend Long", "side": "LONG", "price": 1276.18, "stage": 2, "buy": 85.2, "sell": 60, "prime": 2, "revL": 0, "revS": 0, "vcp": 0, "time": 1785850200000, "email_id": "3248", "timestamp": "2026-08-04 16:01:33"}</t>
  </si>
  <si>
    <t>Buy: 9.7 | Sell: 18.8</t>
  </si>
  <si>
    <t>{"symbol": "CNP", "strategy": "Daily", "action": "LONG", "alert_price": 41.59, "score": "", "dir_prob": "38.4", "net_sigma": "", "grade": "", "align": "", "premium": "", "wrong_if": "", "context": "", "subject": "Alert: Rev - Screener v1 (SPY, 12): Any alert() function call", "body": "{\"ticker\":\"CNP\", \"setup\":\"Research Reversal (Any Stage)\", \"side\":\"LONG\", \"price\":41.59, \"stage\":4, \"buy\":9.7, \"sell\":18.8, \"prime\":0, \"revL\":8.5, \"revS\":0, \"vcp\":0, \"dir_prob\":38.4, \"time\":1785850200000}", "ticker": "CNP", "setup": "Research Reversal (Any Stage)", "side": "LONG", "price": 41.59, "stage": 4, "buy": 9.7, "sell": 18.8, "prime": 0, "revL": 8.5, "revS": 0, "vcp": 0, "time": 1785850200000, "email_id": "3249", "timestamp": "2026-08-04 16:01:24"}</t>
  </si>
  <si>
    <t>Buy: 97.4 | Sell: 3.9</t>
  </si>
  <si>
    <t>{"symbol": "PSX", "strategy": "Daily", "action": "LONG", "alert_price": 205.86, "score": "", "dir_prob": "93.8", "net_sigma": "", "grade": "", "align": "", "premium": "", "wrong_if": "", "context": "", "subject": "Alert: Rev - Screener v1 (SPY, 12): Any alert() function call", "body": "{\"ticker\":\"PSX\", \"setup\":\"A+ Trend Long\", \"side\":\"LONG\", \"price\":205.86, \"stage\":2, \"buy\":97.4, \"sell\":3.9, \"prime\":2, \"revL\":0, \"revS\":0, \"vcp\":0, \"dir_prob\":93.8, \"time\":1785850200000}", "ticker": "PSX", "setup": "A+ Trend Long", "side": "LONG", "price": 205.86, "stage": 2, "buy": 97.4, "sell": 3.9, "prime": 2, "revL": 0, "revS": 0, "vcp": 0, "time": 1785850200000, "email_id": "3250", "timestamp": "2026-08-04 16:01:36"}</t>
  </si>
  <si>
    <t>{"symbol": "CTAS", "strategy": "Daily", "action": "LONG", "alert_price": 203.61, "score": "", "dir_prob": "97.3", "net_sigma": "", "grade": "", "align": "", "premium": "", "wrong_if": "", "context": "", "subject": "Alert: Rev - Screener v1 (SPY, 12): Any alert() function call", "body": "{\"ticker\":\"CTAS\", \"setup\":\"A+ Trend Long\", \"side\":\"LONG\", \"price\":203.61, \"stage\":2, \"buy\":97.4, \"sell\":3.8, \"prime\":2, \"revL\":0, \"revS\":0, \"vcp\":0, \"dir_prob\":97.3, \"time\":1785850200000}", "ticker": "CTAS", "setup": "A+ Trend Long", "side": "LONG", "price": 203.61, "stage": 2, "buy": 97.4, "sell": 3.8, "prime": 2, "revL": 0, "revS": 0, "vcp": 0, "time": 1785850200000, "email_id": "3251", "timestamp": "2026-08-04 16:01:32"}</t>
  </si>
  <si>
    <t>Buy: 96.3 | Sell: 8.5</t>
  </si>
  <si>
    <t>{"symbol": "ACGL", "strategy": "Daily", "action": "LONG", "alert_price": 99.55, "score": "", "dir_prob": "93.6", "net_sigma": "", "grade": "", "align": "", "premium": "", "wrong_if": "", "context": "", "subject": "Alert: Rev - Screener v1 (SPY, 12): Any alert() function call", "body": "{\"ticker\":\"ACGL\", \"setup\":\"A+ Trend Long\", \"side\":\"LONG\", \"price\":99.55, \"stage\":2, \"buy\":96.3, \"sell\":8.5, \"prime\":2, \"revL\":0, \"revS\":0, \"vcp\":-2, \"dir_prob\":93.6, \"time\":1785850200000}", "ticker": "ACGL", "setup": "A+ Trend Long", "side": "LONG", "price": 99.55, "stage": 2, "buy": 96.3, "sell": 8.5, "prime": 2, "revL": 0, "revS": 0, "vcp": -2, "time": 1785850200000, "email_id": "3252", "timestamp": "2026-08-04 16:01:30"}</t>
  </si>
  <si>
    <t>IDXX</t>
  </si>
  <si>
    <t>Buy: 79.8 | Sell: 38.2</t>
  </si>
  <si>
    <t>{"symbol": "IDXX", "strategy": "Daily", "action": "LONG", "alert_price": 588.27, "score": "", "dir_prob": "84.5", "net_sigma": "", "grade": "", "align": "", "premium": "", "wrong_if": "", "context": "", "subject": "Alert: Rev - Screener v1 (SPY, 12): Any alert() function call", "body": "{\"ticker\":\"IDXX\", \"setup\":\"Early Ignition\", \"side\":\"LONG\", \"price\":588.27, \"stage\":2, \"buy\":79.8, \"sell\":38.2, \"prime\":0, \"revL\":0, \"revS\":6.5, \"vcp\":1, \"dir_prob\":84.5, \"time\":1785850200000}", "ticker": "IDXX", "setup": "Early Ignition", "side": "LONG", "price": 588.27, "stage": 2, "buy": 79.8, "sell": 38.2, "prime": 0, "revL": 0, "revS": 6.5, "vcp": 1, "time": 1785850200000, "email_id": "3253", "timestamp": "2026-08-04 16:01:35"}</t>
  </si>
  <si>
    <t>Buy: 94.3 | Sell: 10.8</t>
  </si>
  <si>
    <t>{"symbol": "DG", "strategy": "Daily", "action": "LONG", "alert_price": 127.29, "score": "", "dir_prob": "95.3", "net_sigma": "", "grade": "", "align": "", "premium": "", "wrong_if": "", "context": "", "subject": "Alert: Rev - Screener v1 (SPY, 12): Any alert() function call", "body": "{\"ticker\":\"DG\", \"setup\":\"A+ Trend Long\", \"side\":\"LONG\", \"price\":127.29, \"stage\":2, \"buy\":94.3, \"sell\":10.8, \"prime\":2, \"revL\":0, \"revS\":0, \"vcp\":0, \"dir_prob\":95.3, \"time\":1785850200000}", "ticker": "DG", "setup": "A+ Trend Long", "side": "LONG", "price": 127.29, "stage": 2, "buy": 94.3, "sell": 10.8, "prime": 2, "revL": 0, "revS": 0, "vcp": 0, "time": 1785850200000, "email_id": "3256", "timestamp": "2026-08-04 16:01:37"}</t>
  </si>
  <si>
    <t>Buy: 96.4 | Sell: 30.2</t>
  </si>
  <si>
    <t>{"symbol": "AON", "strategy": "Daily", "action": "LONG", "alert_price": 356.65, "score": "", "dir_prob": "93.6", "net_sigma": "", "grade": "", "align": "", "premium": "", "wrong_if": "", "context": "", "subject": "Alert: Rev - Screener v1 (SPY, 12): Any alert() function call", "body": "{\"ticker\":\"AON\", \"setup\":\"A+ Trend Long\", \"side\":\"LONG\", \"price\":356.65, \"stage\":2, \"buy\":96.4, \"sell\":30.2, \"prime\":2, \"revL\":0, \"revS\":0, \"vcp\":-2, \"dir_prob\":93.6, \"time\":1785850200000}", "ticker": "AON", "setup": "A+ Trend Long", "side": "LONG", "price": 356.65, "stage": 2, "buy": 96.4, "sell": 30.2, "prime": 2, "revL": 0, "revS": 0, "vcp": -2, "time": 1785850200000, "email_id": "3257", "timestamp": "2026-08-04 16:01:15"}</t>
  </si>
  <si>
    <t>Buy: 90.9 | Sell: 39.1</t>
  </si>
  <si>
    <t>{"symbol": "DHR", "strategy": "Daily", "action": "LONG", "alert_price": 194.78, "score": "", "dir_prob": "80.9", "net_sigma": "", "grade": "", "align": "", "premium": "", "wrong_if": "", "context": "", "subject": "Alert: Rev - Screener v1 (SPY, 12): Any alert() function call", "body": "{\"ticker\":\"DHR\", \"setup\":\"A+ Trend Long\", \"side\":\"LONG\", \"price\":194.78, \"stage\":2, \"buy\":90.9, \"sell\":39.1, \"prime\":2, \"revL\":0, \"revS\":0, \"vcp\":0, \"dir_prob\":80.9, \"time\":1785850200000}", "ticker": "DHR", "setup": "A+ Trend Long", "side": "LONG", "price": 194.78, "stage": 2, "buy": 90.9, "sell": 39.1, "prime": 2, "revL": 0, "revS": 0, "vcp": 0, "time": 1785850200000, "email_id": "3259", "timestamp": "2026-08-04 16:01:35"}</t>
  </si>
  <si>
    <t>Buy: 96.9 | Sell: 19.8</t>
  </si>
  <si>
    <t>{"symbol": "COR", "strategy": "Daily", "action": "LONG", "alert_price": 306.31, "score": "", "dir_prob": "93.9", "net_sigma": "", "grade": "", "align": "", "premium": "", "wrong_if": "", "context": "", "subject": "Alert: Rev - Screener v1 (SPY, 12): Any alert() function call", "body": "{\"ticker\":\"COR\", \"setup\":\"A+ Trend Long\", \"side\":\"LONG\", \"price\":306.31, \"stage\":2, \"buy\":96.9, \"sell\":19.8, \"prime\":2, \"revL\":0, \"revS\":0, \"vcp\":1, \"dir_prob\":93.9, \"time\":1785850200000}", "ticker": "COR", "setup": "A+ Trend Long", "side": "LONG", "price": 306.31, "stage": 2, "buy": 96.9, "sell": 19.8, "prime": 2, "revL": 0, "revS": 0, "vcp": 1, "time": 1785850200000, "email_id": "3260", "timestamp": "2026-08-04 16:01:36"}</t>
  </si>
  <si>
    <t>Buy: 94.6 | Sell: 9.6</t>
  </si>
  <si>
    <t>{"symbol": "ALL", "strategy": "Daily", "action": "LONG", "alert_price": 262.48, "score": "", "dir_prob": "89.4", "net_sigma": "", "grade": "", "align": "", "premium": "", "wrong_if": "", "context": "", "subject": "Alert: Rev - Screener v1 (SPY, 12): Any alert() function call", "body": "{\"ticker\":\"ALL\", \"setup\":\"A+ Trend Long\", \"side\":\"LONG\", \"price\":262.48, \"stage\":2, \"buy\":94.6, \"sell\":9.6, \"prime\":2, \"revL\":0, \"revS\":0, \"vcp\":0, \"dir_prob\":89.4, \"time\":1785850200000}", "ticker": "ALL", "setup": "A+ Trend Long", "side": "LONG", "price": 262.48, "stage": 2, "buy": 94.6, "sell": 9.6, "prime": 2, "revL": 0, "revS": 0, "vcp": 0, "time": 1785850200000, "email_id": "3261", "timestamp": "2026-08-04 16:01:37"}</t>
  </si>
  <si>
    <t>Buy: 97.1 | Sell: 8.7</t>
  </si>
  <si>
    <t>{"symbol": "MCK", "strategy": "Daily", "action": "LONG", "alert_price": 830.6, "score": "", "dir_prob": "94.5", "net_sigma": "", "grade": "", "align": "", "premium": "", "wrong_if": "", "context": "", "subject": "Alert: Rev - Screener v1 (SPY, 12): Any alert() function call", "body": "{\"ticker\":\"MCK\", \"setup\":\"A+ Trend Long\", \"side\":\"LONG\", \"price\":830.60, \"stage\":2, \"buy\":97.1, \"sell\":8.7, \"prime\":2, \"revL\":0, \"revS\":0, \"vcp\":0, \"dir_prob\":94.5, \"time\":1785850200000}", "ticker": "MCK", "setup": "A+ Trend Long", "side": "LONG", "price": 830.6, "stage": 2, "buy": 97.1, "sell": 8.7, "prime": 2, "revL": 0, "revS": 0, "vcp": 0, "time": 1785850200000, "email_id": "3262", "timestamp": "2026-08-04 16:01:19"}</t>
  </si>
  <si>
    <t>Buy: 94.3 | Sell: 12.5</t>
  </si>
  <si>
    <t>{"symbol": "NWSA", "strategy": "Daily", "action": "LONG", "alert_price": 28.6, "score": "", "dir_prob": "95.7", "net_sigma": "", "grade": "", "align": "", "premium": "", "wrong_if": "", "context": "", "subject": "Alert: Rev - Screener v1 (SPY, 12): Any alert() function call", "body": "{\"ticker\":\"NWSA\", \"setup\":\"A+ Trend Long\", \"side\":\"LONG\", \"price\":28.60, \"stage\":2, \"buy\":94.3, \"sell\":12.5, \"prime\":2, \"revL\":0, \"revS\":0, \"vcp\":0, \"dir_prob\":95.7, \"time\":1785850200000}", "ticker": "NWSA", "setup": "A+ Trend Long", "side": "LONG", "price": 28.6, "stage": 2, "buy": 94.3, "sell": 12.5, "prime": 2, "revL": 0, "revS": 0, "vcp": 0, "time": 1785850200000, "email_id": "3263", "timestamp": "2026-08-04 16:01:18"}</t>
  </si>
  <si>
    <t>Buy: 66.8 | Sell: 60</t>
  </si>
  <si>
    <t>{"symbol": "DDOG", "strategy": "Daily", "action": "LONG", "alert_price": 288.27, "score": "", "dir_prob": "64.9", "net_sigma": "", "grade": "", "align": "", "premium": "", "wrong_if": "", "context": "", "subject": "Alert: Rev - Screener v1 (SPY, 12): Any alert() function call", "body": "{\"ticker\":\"DDOG\", \"setup\":\"Bullish Squeeze Release\", \"side\":\"LONG\", \"price\":288.27, \"stage\":2, \"buy\":66.8, \"sell\":60, \"prime\":0, \"revL\":0, \"revS\":0, \"vcp\":2, \"dir_prob\":64.9, \"time\":1785850200000}", "ticker": "DDOG", "setup": "Bullish Squeeze Release", "side": "LONG", "price": 288.27, "stage": 2, "buy": 66.8, "sell": 60, "prime": 0, "revL": 0, "revS": 0, "vcp": 2, "time": 1785850200000, "email_id": "3264", "timestamp": "2026-08-04 16:01:37"}</t>
  </si>
  <si>
    <t>Buy: 92.1 | Sell: 18.5</t>
  </si>
  <si>
    <t>{"symbol": "BXP", "strategy": "Daily", "action": "LONG", "alert_price": 70.65, "score": "", "dir_prob": "91.5", "net_sigma": "", "grade": "", "align": "", "premium": "", "wrong_if": "", "context": "", "subject": "Alert: Rev - Screener v1 (SPY, 12): Any alert() function call", "body": "{\"ticker\":\"BXP\", \"setup\":\"A+ Trend Long\", \"side\":\"LONG\", \"price\":70.65, \"stage\":2, \"buy\":92.1, \"sell\":18.5, \"prime\":2, \"revL\":0, \"revS\":0, \"vcp\":0, \"dir_prob\":91.5, \"time\":1785850200000}", "ticker": "BXP", "setup": "A+ Trend Long", "side": "LONG", "price": 70.65, "stage": 2, "buy": 92.1, "sell": 18.5, "prime": 2, "revL": 0, "revS": 0, "vcp": 0, "time": 1785850200000, "email_id": "3265", "timestamp": "2026-08-04 16:01:40"}</t>
  </si>
  <si>
    <t>Buy: 96.3 | Sell: 8.9</t>
  </si>
  <si>
    <t>{"symbol": "VRSK", "strategy": "Daily", "action": "LONG", "alert_price": 192.78, "score": "", "dir_prob": "97.1", "net_sigma": "", "grade": "", "align": "", "premium": "", "wrong_if": "", "context": "", "subject": "Alert: Rev - Screener v1 (SPY, 12): Any alert() function call", "body": "{\"ticker\":\"VRSK\", \"setup\":\"A+ Trend Long\", \"side\":\"LONG\", \"price\":192.78, \"stage\":2, \"buy\":96.3, \"sell\":8.9, \"prime\":2, \"revL\":0, \"revS\":0, \"vcp\":0, \"dir_prob\":97.1, \"time\":1785850200000}", "ticker": "VRSK", "setup": "A+ Trend Long", "side": "LONG", "price": 192.78, "stage": 2, "buy": 96.3, "sell": 8.9, "prime": 2, "revL": 0, "revS": 0, "vcp": 0, "time": 1785850200000, "email_id": "3266", "timestamp": "2026-08-04 16:01:00"}</t>
  </si>
  <si>
    <t>Buy: 98.4 | Sell: 13</t>
  </si>
  <si>
    <t>{"symbol": "PCG", "strategy": "Daily", "action": "LONG", "alert_price": 17.43, "score": "", "dir_prob": "92.1", "net_sigma": "", "grade": "", "align": "", "premium": "", "wrong_if": "", "context": "", "subject": "Alert: Rev - Screener v1 (SPY, 12): Any alert() function call", "body": "{\"ticker\":\"PCG\", \"setup\":\"A+ Trend Long\", \"side\":\"LONG\", \"price\":17.43, \"stage\":2, \"buy\":98.4, \"sell\":13, \"prime\":2, \"revL\":0, \"revS\":0, \"vcp\":1, \"dir_prob\":92.1, \"time\":1785850200000}", "ticker": "PCG", "setup": "A+ Trend Long", "side": "LONG", "price": 17.43, "stage": 2, "buy": 98.4, "sell": 13, "prime": 2, "revL": 0, "revS": 0, "vcp": 1, "time": 1785850200000, "email_id": "3267", "timestamp": "2026-08-04 16:01:12"}</t>
  </si>
  <si>
    <t>Buy: 95.8 | Sell: 10.8</t>
  </si>
  <si>
    <t>{"symbol": "AFL", "strategy": "Daily", "action": "LONG", "alert_price": 125.14, "score": "", "dir_prob": "89.2", "net_sigma": "", "grade": "", "align": "", "premium": "", "wrong_if": "", "context": "", "subject": "Alert: Rev - Screener v1 (SPY, 12): Any alert() function call", "body": "{\"ticker\":\"AFL\", \"setup\":\"A+ Trend Long\", \"side\":\"LONG\", \"price\":125.14, \"stage\":2, \"buy\":95.8, \"sell\":10.8, \"prime\":2, \"revL\":0, \"revS\":0, \"vcp\":0, \"dir_prob\":89.2, \"time\":1785850200000}", "ticker": "AFL", "setup": "A+ Trend Long", "side": "LONG", "price": 125.14, "stage": 2, "buy": 95.8, "sell": 10.8, "prime": 2, "revL": 0, "revS": 0, "vcp": 0, "time": 1785850200000, "email_id": "3268", "timestamp": "2026-08-04 16:01:39"}</t>
  </si>
  <si>
    <t>Buy: 96.6 | Sell: 60</t>
  </si>
  <si>
    <t>{"symbol": "EA", "strategy": "Daily", "action": "LONG", "alert_price": 209.86, "score": "", "dir_prob": "73", "net_sigma": "", "grade": "", "align": "", "premium": "", "wrong_if": "", "context": "", "subject": "Alert: Rev - Screener v1 (SPY, 12): Any alert() function call", "body": "{\"ticker\":\"EA\", \"setup\":\"A+ Trend Long\", \"side\":\"LONG\", \"price\":209.86, \"stage\":2, \"buy\":96.6, \"sell\":60, \"prime\":2, \"revL\":0, \"revS\":0, \"vcp\":0, \"dir_prob\":73, \"time\":1785850200000}", "ticker": "EA", "setup": "A+ Trend Long", "side": "LONG", "price": 209.86, "stage": 2, "buy": 96.6, "sell": 60, "prime": 2, "revL": 0, "revS": 0, "vcp": 0, "time": 1785850200000, "email_id": "3269", "timestamp": "2026-08-04 16:01:38"}</t>
  </si>
  <si>
    <t>Buy: 91.3 | Sell: 10.4</t>
  </si>
  <si>
    <t>{"symbol": "KO", "strategy": "Daily", "action": "LONG", "alert_price": 86.56, "score": "", "dir_prob": "92.4", "net_sigma": "", "grade": "", "align": "", "premium": "", "wrong_if": "", "context": "", "subject": "Alert: Rev - Screener v1 (SPY, 12): Any alert() function call", "body": "{\"ticker\":\"KO\", \"setup\":\"A+ Trend Long\", \"side\":\"LONG\", \"price\":86.56, \"stage\":2, \"buy\":91.3, \"sell\":10.4, \"prime\":2, \"revL\":0, \"revS\":0, \"vcp\":0, \"dir_prob\":92.4, \"time\":1785850200000}", "ticker": "KO", "setup": "A+ Trend Long", "side": "LONG", "price": 86.56, "stage": 2, "buy": 91.3, "sell": 10.4, "prime": 2, "revL": 0, "revS": 0, "vcp": 0, "time": 1785850200000, "email_id": "3270", "timestamp": "2026-08-04 16:01:41"}</t>
  </si>
  <si>
    <t>Buy: 91.3 | Sell: 24.8</t>
  </si>
  <si>
    <t>{"symbol": "KVUE", "strategy": "Daily", "action": "LONG", "alert_price": 19.54, "score": "", "dir_prob": "88.7", "net_sigma": "", "grade": "", "align": "", "premium": "", "wrong_if": "", "context": "", "subject": "Alert: Rev - Screener v1 (SPY, 12): Any alert() function call", "body": "{\"ticker\":\"KVUE\", \"setup\":\"A+ Trend Long\", \"side\":\"LONG\", \"price\":19.54, \"stage\":2, \"buy\":91.3, \"sell\":24.8, \"prime\":2, \"revL\":0, \"revS\":0, \"vcp\":1, \"dir_prob\":88.7, \"time\":1785850200000}", "ticker": "KVUE", "setup": "A+ Trend Long", "side": "LONG", "price": 19.54, "stage": 2, "buy": 91.3, "sell": 24.8, "prime": 2, "revL": 0, "revS": 0, "vcp": 1, "time": 1785850200000, "email_id": "3271", "timestamp": "2026-08-04 16:01:40"}</t>
  </si>
  <si>
    <t>Buy: 87.7 | Sell: 11.6</t>
  </si>
  <si>
    <t>{"symbol": "PCAR", "strategy": "Daily", "action": "LONG", "alert_price": 135.9, "score": "", "dir_prob": "92.2", "net_sigma": "", "grade": "", "align": "", "premium": "", "wrong_if": "", "context": "", "subject": "Alert: Rev - Screener v1 (SPY, 12): Any alert() function call", "body": "{\"ticker\":\"PCAR\", \"setup\":\"A+ Trend Long\", \"side\":\"LONG\", \"price\":135.90, \"stage\":2, \"buy\":87.7, \"sell\":11.6, \"prime\":2, \"revL\":0, \"revS\":0, \"vcp\":0, \"dir_prob\":92.2, \"time\":1785850200000}", "ticker": "PCAR", "setup": "A+ Trend Long", "side": "LONG", "price": 135.9, "stage": 2, "buy": 87.7, "sell": 11.6, "prime": 2, "revL": 0, "revS": 0, "vcp": 0, "time": 1785850200000, "email_id": "3272", "timestamp": "2026-08-04 16:01:43"}</t>
  </si>
  <si>
    <t>Buy: 89 | Sell: 19.8</t>
  </si>
  <si>
    <t>{"symbol": "DLTR", "strategy": "Daily", "action": "LONG", "alert_price": 130.75, "score": "", "dir_prob": "92.2", "net_sigma": "", "grade": "", "align": "", "premium": "", "wrong_if": "", "context": "", "subject": "Alert: Rev - Screener v1 (SPY, 12): Any alert() function call", "body": "{\"ticker\":\"DLTR\", \"setup\":\"A+ Trend Long\", \"side\":\"LONG\", \"price\":130.75, \"stage\":2, \"buy\":89, \"sell\":19.8, \"prime\":2, \"revL\":0, \"revS\":0, \"vcp\":1, \"dir_prob\":92.2, \"time\":1785850200000}", "ticker": "DLTR", "setup": "A+ Trend Long", "side": "LONG", "price": 130.75, "stage": 2, "buy": 89, "sell": 19.8, "prime": 2, "revL": 0, "revS": 0, "vcp": 1, "time": 1785850200000, "email_id": "3273", "timestamp": "2026-08-04 16:01:39"}</t>
  </si>
  <si>
    <t>{"symbol": "JKHY", "strategy": "Daily", "action": "LONG", "alert_price": 156.67, "score": "", "dir_prob": "97.6", "net_sigma": "", "grade": "", "align": "", "premium": "", "wrong_if": "", "context": "", "subject": "Alert: Rev - Screener v1 (SPY, 12): Any alert() function call", "body": "{\"ticker\":\"JKHY\", \"setup\":\"A+ Trend Long\", \"side\":\"LONG\", \"price\":156.67, \"stage\":2, \"buy\":95.2, \"sell\":6.6, \"prime\":2, \"revL\":0, \"revS\":0, \"vcp\":0, \"dir_prob\":97.6, \"time\":1785850200000}", "ticker": "JKHY", "setup": "A+ Trend Long", "side": "LONG", "price": 156.67, "stage": 2, "buy": 95.2, "sell": 6.6, "prime": 2, "revL": 0, "revS": 0, "vcp": 0, "time": 1785850200000, "email_id": "3274", "timestamp": "2026-08-04 16:01:42"}</t>
  </si>
  <si>
    <t>Buy: 84.6 | Sell: 26.6</t>
  </si>
  <si>
    <t>{"symbol": "GPC", "strategy": "Daily", "action": "LONG", "alert_price": 132.59, "score": "", "dir_prob": "89.7", "net_sigma": "", "grade": "", "align": "", "premium": "", "wrong_if": "", "context": "", "subject": "Alert: Rev - Screener v1 (SPY, 12): Any alert() function call", "body": "{\"ticker\":\"GPC\", \"setup\":\"Bullish Squeeze Release\", \"side\":\"LONG\", \"price\":132.59, \"stage\":2, \"buy\":84.6, \"sell\":26.6, \"prime\":1, \"revL\":0, \"revS\":0, \"vcp\":2, \"dir_prob\":89.7, \"time\":1785850200000}", "ticker": "GPC", "setup": "Bullish Squeeze Release", "side": "LONG", "price": 132.59, "stage": 2, "buy": 84.6, "sell": 26.6, "prime": 1, "revL": 0, "revS": 0, "vcp": 2, "time": 1785850200000, "email_id": "3275", "timestamp": "2026-08-04 16:01:00"}</t>
  </si>
  <si>
    <t>Buy: 90.7 | Sell: 16.5</t>
  </si>
  <si>
    <t>{"symbol": "CFG", "strategy": "Daily", "action": "LONG", "alert_price": 73.68, "score": "", "dir_prob": "85.8", "net_sigma": "", "grade": "", "align": "", "premium": "", "wrong_if": "", "context": "", "subject": "Alert: Rev - Screener v1 (SPY, 12): Any alert() function call", "body": "{\"ticker\":\"CFG\", \"setup\":\"Bullish Squeeze Release\", \"side\":\"LONG\", \"price\":73.68, \"stage\":2, \"buy\":90.7, \"sell\":16.5, \"prime\":2, \"revL\":0, \"revS\":0, \"vcp\":2, \"dir_prob\":85.8, \"time\":1785850200000}", "ticker": "CFG", "setup": "Bullish Squeeze Release", "side": "LONG", "price": 73.68, "stage": 2, "buy": 90.7, "sell": 16.5, "prime": 2, "revL": 0, "revS": 0, "vcp": 2, "time": 1785850200000, "email_id": "3276", "timestamp": "2026-08-04 16:01:27"}</t>
  </si>
  <si>
    <t>Buy: 95.4 | Sell: 28.2</t>
  </si>
  <si>
    <t>{"symbol": "UNP", "strategy": "Daily", "action": "LONG", "alert_price": 296.32, "score": "", "dir_prob": "86.9", "net_sigma": "", "grade": "", "align": "", "premium": "", "wrong_if": "", "context": "", "subject": "Alert: Rev - Screener v1 (SPY, 12): Any alert() function call", "body": "{\"ticker\":\"UNP\", \"setup\":\"A+ Trend Long\", \"side\":\"LONG\", \"price\":296.32, \"stage\":2, \"buy\":95.4, \"sell\":28.2, \"prime\":2, \"revL\":0, \"revS\":0, \"vcp\":0, \"dir_prob\":86.9, \"time\":1785850200000}", "ticker": "UNP", "setup": "A+ Trend Long", "side": "LONG", "price": 296.32, "stage": 2, "buy": 95.4, "sell": 28.2, "prime": 2, "revL": 0, "revS": 0, "vcp": 0, "time": 1785850200000, "email_id": "3277", "timestamp": "2026-08-04 16:01:07"}</t>
  </si>
  <si>
    <t>Buy: 94.3 | Sell: 9</t>
  </si>
  <si>
    <t>{"symbol": "TMO", "strategy": "Daily", "action": "LONG", "alert_price": 564.49, "score": "", "dir_prob": "90.8", "net_sigma": "", "grade": "", "align": "", "premium": "", "wrong_if": "", "context": "", "subject": "Alert: Rev - Screener v1 (SPY, 12): Any alert() function call", "body": "{\"ticker\":\"TMO\", \"setup\":\"A+ Trend Long\", \"side\":\"LONG\", \"price\":564.49, \"stage\":2, \"buy\":94.3, \"sell\":9, \"prime\":2, \"revL\":0, \"revS\":0, \"vcp\":0, \"dir_prob\":90.8, \"time\":1785850200000}", "ticker": "TMO", "setup": "A+ Trend Long", "side": "LONG", "price": 564.49, "stage": 2, "buy": 94.3, "sell": 9, "prime": 2, "revL": 0, "revS": 0, "vcp": 0, "time": 1785850200000, "email_id": "3278", "timestamp": "2026-08-04 16:01:38"}</t>
  </si>
  <si>
    <t>Buy: 82.9 | Sell: 60</t>
  </si>
  <si>
    <t>{"symbol": "COO", "strategy": "Daily", "action": "LONG", "alert_price": 74.69, "score": "", "dir_prob": "70.9", "net_sigma": "", "grade": "", "align": "", "premium": "", "wrong_if": "", "context": "", "subject": "Alert: Rev - Screener v1 (SPY, 12): Any alert() function call", "body": "{\"ticker\":\"COO\", \"setup\":\"Bullish Squeeze Release\", \"side\":\"LONG\", \"price\":74.69, \"stage\":2, \"buy\":82.9, \"sell\":60, \"prime\":1, \"revL\":0, \"revS\":0, \"vcp\":2, \"dir_prob\":70.9, \"time\":1785850200000}", "ticker": "COO", "setup": "Bullish Squeeze Release", "side": "LONG", "price": 74.69, "stage": 2, "buy": 82.9, "sell": 60, "prime": 1, "revL": 0, "revS": 0, "vcp": 2, "time": 1785850200000, "email_id": "3279", "timestamp": "2026-08-04 16:01:45"}</t>
  </si>
  <si>
    <t>Buy: 86.4 | Sell: 22.2</t>
  </si>
  <si>
    <t>{"symbol": "PNC", "strategy": "Daily", "action": "LONG", "alert_price": 254.18, "score": "", "dir_prob": "86.8", "net_sigma": "", "grade": "", "align": "", "premium": "", "wrong_if": "", "context": "", "subject": "Alert: Rev - Screener v1 (SPY, 12): Any alert() function call", "body": "{\"ticker\":\"PNC\", \"setup\":\"A+ Trend Long\", \"side\":\"LONG\", \"price\":254.18, \"stage\":2, \"buy\":86.4, \"sell\":22.2, \"prime\":2, \"revL\":0, \"revS\":0, \"vcp\":1, \"dir_prob\":86.8, \"time\":1785850200000}", "ticker": "PNC", "setup": "A+ Trend Long", "side": "LONG", "price": 254.18, "stage": 2, "buy": 86.4, "sell": 22.2, "prime": 2, "revL": 0, "revS": 0, "vcp": 1, "time": 1785850200000, "email_id": "3280", "timestamp": "2026-08-04 16:01:38"}</t>
  </si>
  <si>
    <t>Buy: 94.9 | Sell: 8.7</t>
  </si>
  <si>
    <t>{"symbol": "IQV", "strategy": "Daily", "action": "LONG", "alert_price": 228.17, "score": "", "dir_prob": "91.6", "net_sigma": "", "grade": "", "align": "", "premium": "", "wrong_if": "", "context": "", "subject": "Alert: Rev - Screener v1 (SPY, 12): Any alert() function call", "body": "{\"ticker\":\"IQV\", \"setup\":\"A+ Trend Long\", \"side\":\"LONG\", \"price\":228.17, \"stage\":2, \"buy\":94.9, \"sell\":8.7, \"prime\":2, \"revL\":0, \"revS\":0, \"vcp\":0, \"dir_prob\":91.6, \"time\":1785850200000}", "ticker": "IQV", "setup": "A+ Trend Long", "side": "LONG", "price": 228.17, "stage": 2, "buy": 94.9, "sell": 8.7, "prime": 2, "revL": 0, "revS": 0, "vcp": 0, "time": 1785850200000, "email_id": "3281", "timestamp": "2026-08-04 16:01:33"}</t>
  </si>
  <si>
    <t>Buy: 95.2 | Sell: 20.5</t>
  </si>
  <si>
    <t>{"symbol": "MET", "strategy": "Daily", "action": "LONG", "alert_price": 96.16, "score": "", "dir_prob": "88.7", "net_sigma": "", "grade": "", "align": "", "premium": "", "wrong_if": "", "context": "", "subject": "Alert: Rev - Screener v1 (SPY, 12): Any alert() function call", "body": "{\"ticker\":\"MET\", \"setup\":\"A+ Trend Long\", \"side\":\"LONG\", \"price\":96.16, \"stage\":2, \"buy\":95.2, \"sell\":20.5, \"prime\":2, \"revL\":0, \"revS\":0, \"vcp\":0, \"dir_prob\":88.7, \"time\":1785850200000}", "ticker": "MET", "setup": "A+ Trend Long", "side": "LONG", "price": 96.16, "stage": 2, "buy": 95.2, "sell": 20.5, "prime": 2, "revL": 0, "revS": 0, "vcp": 0, "time": 1785850200000, "email_id": "3282", "timestamp": "2026-08-04 16:01:42"}</t>
  </si>
  <si>
    <t>Buy: 93.2 | Sell: 7.4</t>
  </si>
  <si>
    <t>{"symbol": "BBY", "strategy": "Daily", "action": "LONG", "alert_price": 86.35, "score": "", "dir_prob": "93.7", "net_sigma": "", "grade": "", "align": "", "premium": "", "wrong_if": "", "context": "", "subject": "Alert: Rev - Screener v1 (SPY, 12): Any alert() function call", "body": "{\"ticker\":\"BBY\", \"setup\":\"A+ Trend Long\", \"side\":\"LONG\", \"price\":86.35, \"stage\":2, \"buy\":93.2, \"sell\":7.4, \"prime\":2, \"revL\":0, \"revS\":0, \"vcp\":0, \"dir_prob\":93.7, \"time\":1785850200000}", "ticker": "BBY", "setup": "A+ Trend Long", "side": "LONG", "price": 86.35, "stage": 2, "buy": 93.2, "sell": 7.4, "prime": 2, "revL": 0, "revS": 0, "vcp": 0, "time": 1785850200000, "email_id": "3283", "timestamp": "2026-08-04 16:01:44"}</t>
  </si>
  <si>
    <t>MAR</t>
  </si>
  <si>
    <t>Buy: 31.2 | Sell: 24.8</t>
  </si>
  <si>
    <t>{"symbol": "MAR", "strategy": "Daily", "action": "LONG", "alert_price": 345.2, "score": "", "dir_prob": "59", "net_sigma": "", "grade": "", "align": "", "premium": "", "wrong_if": "", "context": "", "subject": "Alert: Rev - Screener v1 (SPY, 12): Any alert() function call", "body": "{\"ticker\":\"MAR\", \"setup\":\"Research Reversal (Any Stage)\", \"side\":\"LONG\", \"price\":345.20, \"stage\":4, \"buy\":31.2, \"sell\":24.8, \"prime\":0, \"revL\":8.5, \"revS\":0, \"vcp\":0, \"dir_prob\":59, \"time\":1785850200000}", "ticker": "MAR", "setup": "Research Reversal (Any Stage)", "side": "LONG", "price": 345.2, "stage": 4, "buy": 31.2, "sell": 24.8, "prime": 0, "revL": 8.5, "revS": 0, "vcp": 0, "time": 1785850200000, "email_id": "3284", "timestamp": "2026-08-04 16:01:30"}</t>
  </si>
  <si>
    <t>Buy: 96.2 | Sell: 19</t>
  </si>
  <si>
    <t>{"symbol": "CF", "strategy": "Daily", "action": "LONG", "alert_price": 118.08, "score": "", "dir_prob": "97.2", "net_sigma": "", "grade": "", "align": "", "premium": "", "wrong_if": "", "context": "", "subject": "Alert: Rev - Screener v1 (SPY, 12): Any alert() function call", "body": "{\"ticker\":\"CF\", \"setup\":\"A+ Trend Long\", \"side\":\"LONG\", \"price\":118.08, \"stage\":2, \"buy\":96.2, \"sell\":19, \"prime\":2, \"revL\":0, \"revS\":0, \"vcp\":0, \"dir_prob\":97.2, \"time\":1785850200000}", "ticker": "CF", "setup": "A+ Trend Long", "side": "LONG", "price": 118.08, "stage": 2, "buy": 96.2, "sell": 19, "prime": 2, "revL": 0, "revS": 0, "vcp": 0, "time": 1785850200000, "email_id": "3285", "timestamp": "2026-08-04 16:01:44"}</t>
  </si>
  <si>
    <t>Buy: 96.6 | Sell: 26.2</t>
  </si>
  <si>
    <t>{"symbol": "EG", "strategy": "Daily", "action": "LONG", "alert_price": 369.27, "score": "", "dir_prob": "87.1", "net_sigma": "", "grade": "", "align": "", "premium": "", "wrong_if": "", "context": "", "subject": "Alert: Rev - Screener v1 (SPY, 12): Any alert() function call", "body": "{\"ticker\":\"EG\", \"setup\":\"A+ Trend Long\", \"side\":\"LONG\", \"price\":369.27, \"stage\":2, \"buy\":96.6, \"sell\":26.2, \"prime\":2, \"revL\":0, \"revS\":0, \"vcp\":0, \"dir_prob\":87.1, \"time\":1785850200000}", "ticker": "EG", "setup": "A+ Trend Long", "side": "LONG", "price": 369.27, "stage": 2, "buy": 96.6, "sell": 26.2, "prime": 2, "revL": 0, "revS": 0, "vcp": 0, "time": 1785850200000, "email_id": "3286", "timestamp": "2026-08-04 16:01:44"}</t>
  </si>
  <si>
    <t>Buy: 93.6 | Sell: 10.9</t>
  </si>
  <si>
    <t>{"symbol": "USB", "strategy": "Daily", "action": "LONG", "alert_price": 64.23, "score": "", "dir_prob": "89.8", "net_sigma": "", "grade": "", "align": "", "premium": "", "wrong_if": "", "context": "", "subject": "Alert: Rev - Screener v1 (SPY, 12): Any alert() function call", "body": "{\"ticker\":\"USB\", \"setup\":\"A+ Trend Long\", \"side\":\"LONG\", \"price\":64.23, \"stage\":2, \"buy\":93.6, \"sell\":10.9, \"prime\":2, \"revL\":0, \"revS\":0, \"vcp\":1, \"dir_prob\":89.8, \"time\":1785850200000}", "ticker": "USB", "setup": "A+ Trend Long", "side": "LONG", "price": 64.23, "stage": 2, "buy": 93.6, "sell": 10.9, "prime": 2, "revL": 0, "revS": 0, "vcp": 1, "time": 1785850200000, "email_id": "3287", "timestamp": "2026-08-04 16:01:01"}</t>
  </si>
  <si>
    <t>Buy: 94.6 | Sell: 53.5</t>
  </si>
  <si>
    <t>{"symbol": "CMG", "strategy": "Daily", "action": "LONG", "alert_price": 33.82, "score": "", "dir_prob": "88.1", "net_sigma": "", "grade": "", "align": "", "premium": "", "wrong_if": "", "context": "", "subject": "Alert: Rev - Screener v1 (SPY, 12): Any alert() function call", "body": "{\"ticker\":\"CMG\", \"setup\":\"A+ Trend Long\", \"side\":\"LONG\", \"price\":33.82, \"stage\":2, \"buy\":94.6, \"sell\":53.5, \"prime\":2, \"revL\":0, \"revS\":0, \"vcp\":0, \"dir_prob\":88.1, \"time\":1785850200000}", "ticker": "CMG", "setup": "A+ Trend Long", "side": "LONG", "price": 33.82, "stage": 2, "buy": 94.6, "sell": 53.5, "prime": 2, "revL": 0, "revS": 0, "vcp": 0, "time": 1785850200000, "email_id": "3288", "timestamp": "2026-08-04 16:01:09"}</t>
  </si>
  <si>
    <t>{"symbol": "NDAQ", "strategy": "Daily", "action": "LONG", "alert_price": 93.62, "score": "", "dir_prob": "94.6", "net_sigma": "", "grade": "", "align": "", "premium": "", "wrong_if": "", "context": "", "subject": "Alert: Rev - Screener v1 (SPY, 12): Any alert() function call", "body": "{\"ticker\":\"NDAQ\", \"setup\":\"A+ Trend Long\", \"side\":\"LONG\", \"price\":93.62, \"stage\":2, \"buy\":95.7, \"sell\":15.1, \"prime\":2, \"revL\":0, \"revS\":0, \"vcp\":0, \"dir_prob\":94.6, \"time\":1785850200000}", "ticker": "NDAQ", "setup": "A+ Trend Long", "side": "LONG", "price": 93.62, "stage": 2, "buy": 95.7, "sell": 15.1, "prime": 2, "revL": 0, "revS": 0, "vcp": 0, "time": 1785850200000, "email_id": "3289", "timestamp": "2026-08-04 16:01:35"}</t>
  </si>
  <si>
    <t>Buy: 90.5 | Sell: 46.7</t>
  </si>
  <si>
    <t>{"symbol": "RF", "strategy": "Daily", "action": "LONG", "alert_price": 31.95, "score": "", "dir_prob": "76.4", "net_sigma": "", "grade": "", "align": "", "premium": "", "wrong_if": "", "context": "", "subject": "Alert: Rev - Screener v1 (SPY, 12): Any alert() function call", "body": "{\"ticker\":\"RF\", \"setup\":\"A+ Trend Long\", \"side\":\"LONG\", \"price\":31.95, \"stage\":2, \"buy\":90.5, \"sell\":46.7, \"prime\":2, \"revL\":0, \"revS\":0, \"vcp\":0, \"dir_prob\":76.4, \"time\":1785850200000}", "ticker": "RF", "setup": "A+ Trend Long", "side": "LONG", "price": 31.95, "stage": 2, "buy": 90.5, "sell": 46.7, "prime": 2, "revL": 0, "revS": 0, "vcp": 0, "time": 1785850200000, "email_id": "3290", "timestamp": "2026-08-04 16:01:47"}</t>
  </si>
  <si>
    <t>Buy: 94.8 | Sell: 9</t>
  </si>
  <si>
    <t>{"symbol": "WRB", "strategy": "Daily", "action": "LONG", "alert_price": 71.38, "score": "", "dir_prob": "95.3", "net_sigma": "", "grade": "", "align": "", "premium": "", "wrong_if": "", "context": "", "subject": "Alert: Rev - Screener v1 (SPY, 12): Any alert() function call", "body": "{\"ticker\":\"WRB\", \"setup\":\"A+ Trend Long\", \"side\":\"LONG\", \"price\":71.38, \"stage\":2, \"buy\":94.8, \"sell\":9, \"prime\":2, \"revL\":0, \"revS\":0, \"vcp\":0, \"dir_prob\":95.3, \"time\":1785850200000}", "ticker": "WRB", "setup": "A+ Trend Long", "side": "LONG", "price": 71.38, "stage": 2, "buy": 94.8, "sell": 9, "prime": 2, "revL": 0, "revS": 0, "vcp": 0, "time": 1785850200000, "email_id": "3291", "timestamp": "2026-08-04 16:01:39"}</t>
  </si>
  <si>
    <t>Buy: 91.5 | Sell: 29.1</t>
  </si>
  <si>
    <t>Buy: 67.3 | Sell: 60</t>
  </si>
  <si>
    <t>{"symbol": "HRL", "strategy": "Daily", "action": "LONG", "alert_price": 25.34, "score": "", "dir_prob": "89.3", "net_sigma": "", "grade": "", "align": "", "premium": "", "wrong_if": "", "context": "", "subject": "Alert: Rev - Screener v1 (SPY, 12): Any alert() function call", "body": "{\"ticker\":\"HRL\", \"setup\":\"A+ Trend Long\", \"side\":\"LONG\", \"price\":25.34, \"stage\":2, \"buy\":91.5, \"sell\":29.1, \"prime\":2, \"revL\":0, \"revS\":0, \"vcp\":1, \"dir_prob\":89.3, \"time\":1785850200000}", "ticker": "HRL", "setup": "A+ Trend Long", "side": "LONG", "price": 25.34, "stage": 2, "buy": 91.5, "sell": 29.1, "prime": 2, "revL": 0, "revS": 0, "vcp": 1, "time": 1785850200000, "email_id": "3297", "timestamp": "2026-08-04 16:01:13"}</t>
  </si>
  <si>
    <t>{"symbol": "HPE", "strategy": "Daily", "action": "LONG", "alert_price": 53.21, "score": "", "dir_prob": "54.9", "net_sigma": "", "grade": "", "align": "", "premium": "", "wrong_if": "", "context": "", "subject": "Alert: Rev - Screener v1 (SPY, 12): Any alert() function call", "body": "{\"ticker\":\"HPE\", \"setup\":\"Bullish Squeeze Release\", \"side\":\"LONG\", \"price\":53.21, \"stage\":2, \"buy\":67.3, \"sell\":60, \"prime\":0, \"revL\":0, \"revS\":4.5, \"vcp\":2, \"dir_prob\":54.9, \"time\":1785936600000}", "ticker": "HPE", "setup": "Bullish Squeeze Release", "side": "LONG", "price": 53.21, "stage": 2, "buy": 67.3, "sell": 60, "prime": 0, "revL": 0, "revS": 4.5, "vcp": 2, "time": 1785936600000, "email_id": "3321", "timestamp": "2026-08-05 16:01:01"}</t>
  </si>
  <si>
    <t>TREND_LONG fires with buy=97.85 &gt; 65, dir_prob=84.5 &gt;= 50, stage=2. News NEUTRAL (analyst questions). 'chased' flag from zone_state=below_zone + rr=0.26. PASS triage.</t>
  </si>
  <si>
    <t>Buy: 95.8 | Sell: 24.6</t>
  </si>
  <si>
    <t>{"symbol": "BMY", "strategy": "Daily", "action": "LONG", "alert_price": 63.64, "score": "", "dir_prob": "90", "net_sigma": "", "grade": "", "align": "", "premium": "", "wrong_if": "", "context": "", "subject": "Alert: Rev - Screener v1 (SPY, 12): Any alert() function call", "body": "{\"ticker\":\"BMY\", \"setup\":\"A+ Trend Long\", \"side\":\"LONG\", \"price\":63.64, \"stage\":2, \"buy\":95.8, \"sell\":24.6, \"prime\":2, \"revL\":0, \"revS\":0, \"vcp\":0, \"dir_prob\":90, \"time\":1785936600000}", "ticker": "BMY", "setup": "A+ Trend Long", "side": "LONG", "price": 63.64, "stage": 2, "buy": 95.8, "sell": 24.6, "prime": 2, "revL": 0, "revS": 0, "vcp": 0, "time": 1785936600000, "email_id": "3323", "timestamp": "2026-08-05 16:01:00"}</t>
  </si>
  <si>
    <t>TREND_LONG fires with buy=97.5 &gt; 65, dir_prob=89.4 &gt;= 50, stage=2. News NEUTRAL (Oppenheimer report). 'chased' flag from zone_state=below_zone + rr=0.099. PASS triage.</t>
  </si>
  <si>
    <t>{"symbol": "PRU", "strategy": "Daily", "action": "LONG", "alert_price": 120.15, "score": "", "dir_prob": "90", "net_sigma": "", "grade": "", "align": "", "premium": "", "wrong_if": "", "context": "", "subject": "Alert: Rev - Screener v1 (SPY, 12): Any alert() function call", "body": "{\"ticker\":\"PRU\", \"setup\":\"A+ Trend Long\", \"side\":\"LONG\", \"price\":120.15, \"stage\":2, \"buy\":96.3, \"sell\":18.8, \"prime\":2, \"revL\":0, \"revS\":0, \"vcp\":0, \"dir_prob\":90, \"time\":1785936600000}", "ticker": "PRU", "setup": "A+ Trend Long", "side": "LONG", "price": 120.15, "stage": 2, "buy": 96.3, "sell": 18.8, "prime": 2, "revL": 0, "revS": 0, "vcp": 0, "time": 1785936600000, "email_id": "3322", "timestamp": "2026-08-05 16:01:11"}</t>
  </si>
  <si>
    <t>TREND_LONG fires with buy=97.9 &gt; 65, dir_prob=89.2 &gt;= 50, stage=2. News CONFIRMS with analyst upgrade (35% gain). 'chased' flag from zone_state=below_zone + price near long_target. PASS triage.</t>
  </si>
  <si>
    <t>Buy: 89.2 | Sell: 35.7</t>
  </si>
  <si>
    <t>{"symbol": "GPC", "strategy": "Daily", "action": "LONG", "alert_price": 131.44, "score": "", "dir_prob": "88.5", "net_sigma": "", "grade": "", "align": "", "premium": "", "wrong_if": "", "context": "", "subject": "Alert: Rev - Screener v1 (SPY, 12): Any alert() function call", "body": "{\"ticker\":\"GPC\", \"setup\":\"A+ Trend Long\", \"side\":\"LONG\", \"price\":131.44, \"stage\":2, \"buy\":89.2, \"sell\":35.7, \"prime\":2, \"revL\":0, \"revS\":0, \"vcp\":0, \"dir_prob\":88.5, \"time\":1785936600000}", "ticker": "GPC", "setup": "A+ Trend Long", "side": "LONG", "price": 131.44, "stage": 2, "buy": 89.2, "sell": 35.7, "prime": 2, "revL": 0, "revS": 0, "vcp": 0, "time": 1785936600000, "email_id": "3324", "timestamp": "2026-08-05 16:01:00"}</t>
  </si>
  <si>
    <t>No active entry mode (buy=68.6, sell=70.6, dir_prob=31.7). News CONFIRMS short bias with debt deal + mixed analyst targets. WATCH due to churn/chased flags and TOP warning.</t>
  </si>
  <si>
    <t>Buy: 95.8 | Sell: 4.4</t>
  </si>
  <si>
    <t>{"symbol": "TRV", "strategy": "Daily", "action": "LONG", "alert_price": 382.62, "score": "", "dir_prob": "94.1", "net_sigma": "", "grade": "", "align": "", "premium": "", "wrong_if": "", "context": "", "subject": "Alert: Rev - Screener v1 (SPY, 12): Any alert() function call", "body": "{\"ticker\":\"TRV\", \"setup\":\"A+ Trend Long\", \"side\":\"LONG\", \"price\":382.62, \"stage\":2, \"buy\":95.8, \"sell\":4.4, \"prime\":2, \"revL\":0, \"revS\":0, \"vcp\":0, \"dir_prob\":94.1, \"time\":1785936600000}", "ticker": "TRV", "setup": "A+ Trend Long", "side": "LONG", "price": 382.62, "stage": 2, "buy": 95.8, "sell": 4.4, "prime": 2, "revL": 0, "revS": 0, "vcp": 0, "time": 1785936600000, "email_id": "3326", "timestamp": "2026-08-05 16:01:08"}</t>
  </si>
  <si>
    <t>No active entry mode: buy=86 but dir_prob=41 &lt; 50 blocks TREND_LONG; rev_zone_l=1.5 is weak. News is neutral. Flags churn/chased/ext_z_self_elevated indicate conflicting momentum and poor setup. CUT.</t>
  </si>
  <si>
    <t>{"symbol": "WRB", "strategy": "Daily", "action": "LONG", "alert_price": 72.06, "score": "", "dir_prob": "95", "net_sigma": "", "grade": "", "align": "", "premium": "", "wrong_if": "", "context": "", "subject": "Alert: Rev - Screener v1 (SPY, 12): Any alert() function call", "body": "{\"ticker\":\"WRB\", \"setup\":\"A+ Trend Long\", \"side\":\"LONG\", \"price\":72.06, \"stage\":2, \"buy\":94.7, \"sell\":9.7, \"prime\":2, \"revL\":0, \"revS\":0, \"vcp\":0, \"dir_prob\":95, \"time\":1785936600000}", "ticker": "WRB", "setup": "A+ Trend Long", "side": "LONG", "price": 72.06, "stage": 2, "buy": 94.7, "sell": 9.7, "prime": 2, "revL": 0, "revS": 0, "vcp": 0, "time": 1785936600000, "email_id": "3325", "timestamp": "2026-08-05 16:01:07"}</t>
  </si>
  <si>
    <t>Buy: 92.2 | Sell: 12.8</t>
  </si>
  <si>
    <t>{"symbol": "USB", "strategy": "Daily", "action": "LONG", "alert_price": 64.21, "score": "", "dir_prob": "88.8", "net_sigma": "", "grade": "", "align": "", "premium": "", "wrong_if": "", "context": "", "subject": "Alert: Rev - Screener v1 (SPY, 12): Any alert() function call", "body": "{\"ticker\":\"USB\", \"setup\":\"A+ Trend Long\", \"side\":\"LONG\", \"price\":64.21, \"stage\":2, \"buy\":92.2, \"sell\":12.8, \"prime\":2, \"revL\":0, \"revS\":0, \"vcp\":1, \"dir_prob\":88.8, \"time\":1785936600000}", "ticker": "USB", "setup": "A+ Trend Long", "side": "LONG", "price": 64.21, "stage": 2, "buy": 92.2, "sell": 12.8, "prime": 2, "revL": 0, "revS": 0, "vcp": 1, "time": 1785936600000, "email_id": "3328", "timestamp": "2026-08-05 16:01:04"}</t>
  </si>
  <si>
    <t>Short bias (sell=93, dir_prob=13) contradicted by bullish headlines (price target raises). No active entry mode (rev_zone_s=5 &lt; 7). WATCH due to news contradiction and 'chased' flag.</t>
  </si>
  <si>
    <t>PYPL</t>
  </si>
  <si>
    <t>Buy: 97.1 | Sell: 12.1</t>
  </si>
  <si>
    <t>{"symbol": "PYPL", "strategy": "Daily", "action": "LONG", "alert_price": 57.96, "score": "", "dir_prob": "99.1", "net_sigma": "", "grade": "", "align": "", "premium": "", "wrong_if": "", "context": "", "subject": "Alert: Rev - Screener v1 (SPY, 12): Any alert() function call", "body": "{\"ticker\":\"PYPL\", \"setup\":\"A+ Trend Long\", \"side\":\"LONG\", \"price\":57.96, \"stage\":2, \"buy\":97.1, \"sell\":12.1, \"prime\":2, \"revL\":0, \"revS\":0, \"vcp\":0, \"dir_prob\":99.1, \"time\":1785936600000}", "ticker": "PYPL", "setup": "A+ Trend Long", "side": "LONG", "price": 57.96, "stage": 2, "buy": 97.1, "sell": 12.1, "prime": 2, "revL": 0, "revS": 0, "vcp": 0, "time": 1785936600000, "email_id": "3329", "timestamp": "2026-08-05 16:01:02"}</t>
  </si>
  <si>
    <t>TREND_LONG fires with buy=84.2 &gt; 65, dir_prob=81.3 &gt;= 50, stage=2. News CONFIRMS with positive analyst spotlight. Flags: squeeze (coiling), chased (zone_state=below_zone). PASS triage.</t>
  </si>
  <si>
    <t>Buy: 78.1 | Sell: 20.7</t>
  </si>
  <si>
    <t>{"symbol": "NWSA", "strategy": "Daily", "action": "LONG", "alert_price": 29.09, "score": "", "dir_prob": "90.7", "net_sigma": "", "grade": "", "align": "", "premium": "", "wrong_if": "", "context": "", "subject": "Alert: Rev - Screener v1 (SPY, 12): Any alert() function call", "body": "{\"ticker\":\"NWSA\", \"setup\":\"Early Ignition\", \"side\":\"LONG\", \"price\":29.09, \"stage\":2, \"buy\":78.1, \"sell\":20.7, \"prime\":1, \"revL\":0, \"revS\":0, \"vcp\":0, \"dir_prob\":90.7, \"time\":1785936600000}", "ticker": "NWSA", "setup": "Early Ignition", "side": "LONG", "price": 29.09, "stage": 2, "buy": 78.1, "sell": 20.7, "prime": 1, "revL": 0, "revS": 0, "vcp": 0, "time": 1785936600000, "email_id": "3330", "timestamp": "2026-08-05 16:01:06"}</t>
  </si>
  <si>
    <t>Buy: 94.1 | Sell: 9.3</t>
  </si>
  <si>
    <t>{"symbol": "GD", "strategy": "Daily", "action": "LONG", "alert_price": 384.1, "score": "", "dir_prob": "95.7", "net_sigma": "", "grade": "", "align": "", "premium": "", "wrong_if": "", "context": "", "subject": "Alert: Rev - Screener v1 (SPY, 12): Any alert() function call", "body": "{\"ticker\":\"GD\", \"setup\":\"A+ Trend Long\", \"side\":\"LONG\", \"price\":384.10, \"stage\":2, \"buy\":94.1, \"sell\":9.3, \"prime\":2, \"revL\":0, \"revS\":0, \"vcp\":0, \"dir_prob\":95.7, \"time\":1785936600000}", "ticker": "GD", "setup": "A+ Trend Long", "side": "LONG", "price": 384.1, "stage": 2, "buy": 94.1, "sell": 9.3, "prime": 2, "revL": 0, "revS": 0, "vcp": 0, "time": 1785936600000, "email_id": "3327", "timestamp": "2026-08-05 16:01:02"}</t>
  </si>
  <si>
    <t>TREND_LONG fires with buy=94.7 &gt; 65, dir_prob=68.2 &gt;= 50, stage=2. News NEUTRAL (whale activity). WATCH capped by 'chased' flag (rr=0.2) and earnings in 21 days.</t>
  </si>
  <si>
    <t>Buy: 91.1 | Sell: 19.8</t>
  </si>
  <si>
    <t>{"symbol": "MTB", "strategy": "Daily", "action": "LONG", "alert_price": 251.97, "score": "", "dir_prob": "89.3", "net_sigma": "", "grade": "", "align": "", "premium": "", "wrong_if": "", "context": "", "subject": "Alert: Rev - Screener v1 (SPY, 12): Any alert() function call", "body": "{\"ticker\":\"MTB\", \"setup\":\"A+ Trend Long\", \"side\":\"LONG\", \"price\":251.97, \"stage\":2, \"buy\":91.1, \"sell\":19.8, \"prime\":2, \"revL\":0, \"revS\":0, \"vcp\":0, \"dir_prob\":89.3, \"time\":1785936600000}", "ticker": "MTB", "setup": "A+ Trend Long", "side": "LONG", "price": 251.97, "stage": 2, "buy": 91.1, "sell": 19.8, "prime": 2, "revL": 0, "revS": 0, "vcp": 0, "time": 1785936600000, "email_id": "3331", "timestamp": "2026-08-05 16:01:06"}</t>
  </si>
  <si>
    <t>TREND_LONG fires with buy=96.7 &gt; 65, dir_prob=88.6 &gt;= 50, stage=2. News NEUTRAL (sector comparison). Flags: 'chased' (zone_state=below_zone) and 'squeeze' (regime=6). PASS triage.</t>
  </si>
  <si>
    <t>Buy: 94.1 | Sell: 9.2</t>
  </si>
  <si>
    <t>{"symbol": "BRO", "strategy": "Daily", "action": "LONG", "alert_price": 70.94, "score": "", "dir_prob": "99.3", "net_sigma": "", "grade": "", "align": "", "premium": "", "wrong_if": "", "context": "", "subject": "Alert: Rev - Screener v1 (SPY, 12): Any alert() function call", "body": "{\"ticker\":\"BRO\", \"setup\":\"A+ Trend Long\", \"side\":\"LONG\", \"price\":70.94, \"stage\":2, \"buy\":94.1, \"sell\":9.2, \"prime\":2, \"revL\":0, \"revS\":0, \"vcp\":0, \"dir_prob\":99.3, \"time\":1785936600000}", "ticker": "BRO", "setup": "A+ Trend Long", "side": "LONG", "price": 70.94, "stage": 2, "buy": 94.1, "sell": 9.2, "prime": 2, "revL": 0, "revS": 0, "vcp": 0, "time": 1785936600000, "email_id": "3332", "timestamp": "2026-08-05 16:01:28"}</t>
  </si>
  <si>
    <t>Buy: 89 | Sell: 19.5</t>
  </si>
  <si>
    <t>{"symbol": "GL", "strategy": "Daily", "action": "LONG", "alert_price": 183.85, "score": "", "dir_prob": "81", "net_sigma": "", "grade": "", "align": "", "premium": "", "wrong_if": "", "context": "", "subject": "Alert: Rev - Screener v1 (SPY, 12): Any alert() function call", "body": "{\"ticker\":\"GL\", \"setup\":\"A+ Trend Long\", \"side\":\"LONG\", \"price\":183.85, \"stage\":2, \"buy\":89, \"sell\":19.5, \"prime\":2, \"revL\":0, \"revS\":0, \"vcp\":0, \"dir_prob\":81, \"time\":1785936600000}", "ticker": "GL", "setup": "A+ Trend Long", "side": "LONG", "price": 183.85, "stage": 2, "buy": 89, "sell": 19.5, "prime": 2, "revL": 0, "revS": 0, "vcp": 0, "time": 1785936600000, "email_id": "3333", "timestamp": "2026-08-05 16:01:04"}</t>
  </si>
  <si>
    <t>Buy: 90.6 | Sell: 14.9</t>
  </si>
  <si>
    <t>{"symbol": "V", "strategy": "Daily", "action": "LONG", "alert_price": 368.43, "score": "", "dir_prob": "94.8", "net_sigma": "", "grade": "", "align": "", "premium": "", "wrong_if": "", "context": "", "subject": "Alert: Rev - Screener v1 (SPY, 12): Any alert() function call", "body": "{\"ticker\":\"V\", \"setup\":\"A+ Trend Long\", \"side\":\"LONG\", \"price\":368.43, \"stage\":2, \"buy\":90.6, \"sell\":14.9, \"prime\":2, \"revL\":0, \"revS\":0, \"vcp\":0, \"dir_prob\":94.8, \"time\":1785936600000}", "ticker": "V", "setup": "A+ Trend Long", "side": "LONG", "price": 368.43, "stage": 2, "buy": 90.6, "sell": 14.9, "prime": 2, "revL": 0, "revS": 0, "vcp": 0, "time": 1785936600000, "email_id": "3334", "timestamp": "2026-08-05 16:01:01"}</t>
  </si>
  <si>
    <t>Buy: 96 | Sell: 28.3</t>
  </si>
  <si>
    <t>{"symbol": "EG", "strategy": "Daily", "action": "LONG", "alert_price": 373.27, "score": "", "dir_prob": "86", "net_sigma": "", "grade": "", "align": "", "premium": "", "wrong_if": "", "context": "", "subject": "Alert: Rev - Screener v1 (SPY, 12): Any alert() function call", "body": "{\"ticker\":\"EG\", \"setup\":\"A+ Trend Long\", \"side\":\"LONG\", \"price\":373.27, \"stage\":2, \"buy\":96, \"sell\":28.3, \"prime\":2, \"revL\":0, \"revS\":0, \"vcp\":0, \"dir_prob\":86, \"time\":1785936600000}", "ticker": "EG", "setup": "A+ Trend Long", "side": "LONG", "price": 373.27, "stage": 2, "buy": 96, "sell": 28.3, "prime": 2, "revL": 0, "revS": 0, "vcp": 0, "time": 1785936600000, "email_id": "3336", "timestamp": "2026-08-05 16:01:01"}</t>
  </si>
  <si>
    <t>No active entry mode (buy=98 but no ignition/rev zone). News CONTRADICTS with mixed analyst targets and guidance cut. churn flag + low R:R (0.57) cap to WATCH.</t>
  </si>
  <si>
    <t>Buy: 95.4 | Sell: 33.1</t>
  </si>
  <si>
    <t>{"symbol": "PH", "strategy": "Daily", "action": "LONG", "alert_price": 996.45, "score": "", "dir_prob": "82.2", "net_sigma": "", "grade": "", "align": "", "premium": "", "wrong_if": "", "context": "", "subject": "Alert: Rev - Screener v1 (SPY, 12): Any alert() function call", "body": "{\"ticker\":\"PH\", \"setup\":\"Early Ignition\", \"side\":\"LONG\", \"price\":996.45, \"stage\":2, \"buy\":95.4, \"sell\":33.1, \"prime\":0, \"revL\":0, \"revS\":0, \"vcp\":1, \"dir_prob\":82.2, \"time\":1785936600000}", "ticker": "PH", "setup": "Early Ignition", "side": "LONG", "price": 996.45, "stage": 2, "buy": 95.4, "sell": 33.1, "prime": 0, "revL": 0, "revS": 0, "vcp": 1, "time": 1785936600000, "email_id": "3339", "timestamp": "2026-08-05 16:01:04"}</t>
  </si>
  <si>
    <t>**SKIP**</t>
  </si>
  <si>
    <t>0</t>
  </si>
  <si>
    <t>{"symbol": "VLO", "strategy": "Daily", "action": "LONG", "alert_price": 302.5, "score": "", "dir_prob": "93.3", "net_sigma": "", "grade": "", "align": "", "premium": "", "wrong_if": "", "context": "", "subject": "Alert: Rev - Screener v1 (SPY, 12): Any alert() function call", "body": "{\"ticker\":\"VLO\", \"setup\":\"A+ Trend Long\", \"side\":\"LONG\", \"price\":302.50, \"stage\":2, \"buy\":96.3, \"sell\":5.4, \"prime\":2, \"revL\":0, \"revS\":0, \"vcp\":0, \"dir_prob\":93.3, \"time\":1785936600000}", "ticker": "VLO", "setup": "A+ Trend Long", "side": "LONG", "price": 302.5, "stage": 2, "buy": 96.3, "sell": 5.4, "prime": 2, "revL": 0, "revS": 0, "vcp": 0, "time": 1785936600000, "email_id": "3340", "timestamp": "2026-08-05 16:01:07"}</t>
  </si>
  <si>
    <t>extreme_extension_self_relative</t>
  </si>
  <si>
    <t>Buy: 91.6 | Sell: 51.9</t>
  </si>
  <si>
    <t>{"symbol": "CDW", "strategy": "Daily", "action": "LONG", "alert_price": 140.1, "score": "", "dir_prob": "91.3", "net_sigma": "", "grade": "", "align": "", "premium": "", "wrong_if": "", "context": "", "subject": "Alert: Rev - Screener v1 (SPY, 12): Any alert() function call", "body": "{\"ticker\":\"CDW\", \"setup\":\"A+ Trend Long\", \"side\":\"LONG\", \"price\":140.10, \"stage\":2, \"buy\":91.6, \"sell\":51.9, \"prime\":2, \"revL\":0, \"revS\":0, \"vcp\":0, \"dir_prob\":91.3, \"time\":1785936600000}", "ticker": "CDW", "setup": "A+ Trend Long", "side": "LONG", "price": 140.1, "stage": 2, "buy": 91.6, "sell": 51.9, "prime": 2, "revL": 0, "revS": 0, "vcp": 0, "time": 1785936600000, "email_id": "3341", "timestamp": "2026-08-05 16:01:05"}</t>
  </si>
  <si>
    <t>Buy: 94.3 | Sell: 8.3</t>
  </si>
  <si>
    <t>{"symbol": "INCY", "strategy": "Daily", "action": "LONG", "alert_price": 119.85, "score": "", "dir_prob": "93", "net_sigma": "", "grade": "", "align": "", "premium": "", "wrong_if": "", "context": "", "subject": "Alert: Rev - Screener v1 (SPY, 12): Any alert() function call", "body": "{\"ticker\":\"INCY\", \"setup\":\"A+ Trend Long\", \"side\":\"LONG\", \"price\":119.85, \"stage\":2, \"buy\":94.3, \"sell\":8.3, \"prime\":2, \"revL\":0, \"revS\":0, \"vcp\":0, \"dir_prob\":93, \"time\":1785936600000}", "ticker": "INCY", "setup": "A+ Trend Long", "side": "LONG", "price": 119.85, "stage": 2, "buy": 94.3, "sell": 8.3, "prime": 2, "revL": 0, "revS": 0, "vcp": 0, "time": 1785936600000, "email_id": "3342", "timestamp": "2026-08-05 16:01:34"}</t>
  </si>
  <si>
    <t>FIS</t>
  </si>
  <si>
    <t>Buy: 97.1 | Sell: 33</t>
  </si>
  <si>
    <t>{"symbol": "FIS", "strategy": "Daily", "action": "LONG", "alert_price": 42.82, "score": "", "dir_prob": "96.9", "net_sigma": "", "grade": "", "align": "", "premium": "", "wrong_if": "", "context": "", "subject": "Alert: Rev - Screener v1 (SPY, 12): Any alert() function call", "body": "{\"ticker\":\"FIS\", \"setup\":\"A+ Trend Long\", \"side\":\"LONG\", \"price\":42.82, \"stage\":2, \"buy\":97.1, \"sell\":33, \"prime\":2, \"revL\":0, \"revS\":0, \"vcp\":0, \"dir_prob\":96.9, \"time\":1785936600000}", "ticker": "FIS", "setup": "A+ Trend Long", "side": "LONG", "price": 42.82, "stage": 2, "buy": 97.1, "sell": 33, "prime": 2, "revL": 0, "revS": 0, "vcp": 0, "time": 1785936600000, "email_id": "3343", "timestamp": "2026-08-05 16:01:03"}</t>
  </si>
  <si>
    <t>TREND_SHORT fires with sell=89 &gt; buy=77, dir_prob=11 &lt; 50, stage=4. News CONTRADICTS with leadership exit headlines. WATCH due to news contradiction and churn flag.</t>
  </si>
  <si>
    <t>Buy: 22.1 | Sell: 6.1</t>
  </si>
  <si>
    <t>{"symbol": "J", "strategy": "Daily", "action": "LONG", "alert_price": 144.67, "score": "", "dir_prob": "73.2", "net_sigma": "", "grade": "", "align": "", "premium": "", "wrong_if": "", "context": "", "subject": "Alert: Rev - Screener v1 (SPY, 12): Any alert() function call", "body": "{\"ticker\":\"J\", \"setup\":\"Early Ignition\", \"side\":\"LONG\", \"price\":144.67, \"stage\":2, \"buy\":22.1, \"sell\":6.1, \"prime\":0, \"revL\":0, \"revS\":6.5, \"vcp\":0, \"dir_prob\":73.2, \"time\":1785936600000}", "ticker": "J", "setup": "Early Ignition", "side": "LONG", "price": 144.67, "stage": 2, "buy": 22.1, "sell": 6.1, "prime": 0, "revL": 0, "revS": 6.5, "vcp": 0, "time": 1785936600000, "email_id": "3344", "timestamp": "2026-08-05 16:01:13"}</t>
  </si>
  <si>
    <t>Buy: 90.6 | Sell: 38.9</t>
  </si>
  <si>
    <t>{"symbol": "HRL", "strategy": "Daily", "action": "LONG", "alert_price": 25.24, "score": "", "dir_prob": "85.7", "net_sigma": "", "grade": "", "align": "", "premium": "", "wrong_if": "", "context": "", "subject": "Alert: Rev - Screener v1 (SPY, 12): Any alert() function call", "body": "{\"ticker\":\"HRL\", \"setup\":\"A+ Trend Long\", \"side\":\"LONG\", \"price\":25.24, \"stage\":2, \"buy\":90.6, \"sell\":38.9, \"prime\":2, \"revL\":0, \"revS\":0, \"vcp\":1, \"dir_prob\":85.7, \"time\":1785936600000}", "ticker": "HRL", "setup": "A+ Trend Long", "side": "LONG", "price": 25.24, "stage": 2, "buy": 90.6, "sell": 38.9, "prime": 2, "revL": 0, "revS": 0, "vcp": 1, "time": 1785936600000, "email_id": "3345", "timestamp": "2026-08-05 16:01:03"}</t>
  </si>
  <si>
    <t>Buy: 89.6 | Sell: 46.3</t>
  </si>
  <si>
    <t>{"symbol": "ABNB", "strategy": "Daily", "action": "LONG", "alert_price": 152.47, "score": "", "dir_prob": "84.7", "net_sigma": "", "grade": "", "align": "", "premium": "", "wrong_if": "", "context": "", "subject": "Alert: Rev - Screener v1 (SPY, 12): Any alert() function call", "body": "{\"ticker\":\"ABNB\", \"setup\":\"A+ Trend Long\", \"side\":\"LONG\", \"price\":152.47, \"stage\":2, \"buy\":89.6, \"sell\":46.3, \"prime\":2, \"revL\":0, \"revS\":0, \"vcp\":0, \"dir_prob\":84.7, \"time\":1785936600000}", "ticker": "ABNB", "setup": "A+ Trend Long", "side": "LONG", "price": 152.47, "stage": 2, "buy": 89.6, "sell": 46.3, "prime": 2, "revL": 0, "revS": 0, "vcp": 0, "time": 1785936600000, "email_id": "3346", "timestamp": "2026-08-05 16:01:09"}</t>
  </si>
  <si>
    <t>{"symbol": "PSX", "strategy": "Daily", "action": "LONG", "alert_price": 202.5, "score": "", "dir_prob": "92.3", "net_sigma": "", "grade": "", "align": "", "premium": "", "wrong_if": "", "context": "", "subject": "Alert: Rev - Screener v1 (SPY, 12): Any alert() function call", "body": "{\"ticker\":\"PSX\", \"setup\":\"A+ Trend Long\", \"side\":\"LONG\", \"price\":202.50, \"stage\":2, \"buy\":97.8, \"sell\":10.6, \"prime\":2, \"revL\":0, \"revS\":0, \"vcp\":0, \"dir_prob\":92.3, \"time\":1785936600000}", "ticker": "PSX", "setup": "A+ Trend Long", "side": "LONG", "price": 202.5, "stage": 2, "buy": 97.8, "sell": 10.6, "prime": 2, "revL": 0, "revS": 0, "vcp": 0, "time": 1785936600000, "email_id": "3347", "timestamp": "2026-08-05 16:01:10"}</t>
  </si>
  <si>
    <t>Buy: 91.5 | Sell: 27.1</t>
  </si>
  <si>
    <t>{"symbol": "TECH", "strategy": "Daily", "action": "LONG", "alert_price": 72.01, "score": "", "dir_prob": "92.1", "net_sigma": "", "grade": "", "align": "", "premium": "", "wrong_if": "", "context": "", "subject": "Alert: Rev - Screener v1 (SPY, 12): Any alert() function call", "body": "{\"ticker\":\"TECH\", \"setup\":\"A+ Trend Long\", \"side\":\"LONG\", \"price\":72.01, \"stage\":2, \"buy\":91.5, \"sell\":27.1, \"prime\":2, \"revL\":0, \"revS\":0, \"vcp\":1, \"dir_prob\":92.1, \"time\":1785936600000}", "ticker": "TECH", "setup": "A+ Trend Long", "side": "LONG", "price": 72.01, "stage": 2, "buy": 91.5, "sell": 27.1, "prime": 2, "revL": 0, "revS": 0, "vcp": 1, "time": 1785936600000, "email_id": "3348", "timestamp": "2026-08-05 16:01:06"}</t>
  </si>
  <si>
    <t>Short bias (dir_prob=14) but no active entry mode (buy=71, sell=72). News CONFIRMS with analyst upgrade. WATCH due to 'churn' flag (opposite_score &gt; buy) and 'squeeze' regime (coiling, not directional).</t>
  </si>
  <si>
    <t>Buy: 89.2 | Sell: 10.6</t>
  </si>
  <si>
    <t>{"symbol": "BAC", "strategy": "Daily", "action": "LONG", "alert_price": 63.26, "score": "", "dir_prob": "87.6", "net_sigma": "", "grade": "", "align": "", "premium": "", "wrong_if": "", "context": "", "subject": "Alert: Rev - Screener v1 (SPY, 12): Any alert() function call", "body": "{\"ticker\":\"BAC\", \"setup\":\"A+ Trend Long\", \"side\":\"LONG\", \"price\":63.26, \"stage\":2, \"buy\":89.2, \"sell\":10.6, \"prime\":2, \"revL\":0, \"revS\":5, \"vcp\":0, \"dir_prob\":87.6, \"time\":1785936600000}", "ticker": "BAC", "setup": "A+ Trend Long", "side": "LONG", "price": 63.26, "stage": 2, "buy": 89.2, "sell": 10.6, "prime": 2, "revL": 0, "revS": 5, "vcp": 0, "time": 1785936600000, "email_id": "3349", "timestamp": "2026-08-05 16:01:09"}</t>
  </si>
  <si>
    <t>Buy: 95.2 | Sell: 10.3</t>
  </si>
  <si>
    <t>{"symbol": "L", "strategy": "Daily", "action": "LONG", "alert_price": 115.72, "score": "", "dir_prob": "90.2", "net_sigma": "", "grade": "", "align": "", "premium": "", "wrong_if": "", "context": "", "subject": "Alert: Rev - Screener v1 (SPY, 12): Any alert() function call", "body": "{\"ticker\":\"L\", \"setup\":\"A+ Trend Long\", \"side\":\"LONG\", \"price\":115.72, \"stage\":2, \"buy\":95.2, \"sell\":10.3, \"prime\":2, \"revL\":0, \"revS\":0, \"vcp\":0, \"dir_prob\":90.2, \"time\":1785936600000}", "ticker": "L", "setup": "A+ Trend Long", "side": "LONG", "price": 115.72, "stage": 2, "buy": 95.2, "sell": 10.3, "prime": 2, "revL": 0, "revS": 0, "vcp": 0, "time": 1785936600000, "email_id": "3350", "timestamp": "2026-08-05 16:01:10"}</t>
  </si>
  <si>
    <t>TREND_LONG fires with buy=91.4 &gt; 65, dir_prob=79.8 &gt;= 50, stage=2. News CONTRADICTS with downgrade to $384. 'chased' flag from zone_state=below_zone + rr=0.77. Cap to WATCH due to news contradiction and poor R:R.</t>
  </si>
  <si>
    <t>{"symbol": "CVX", "strategy": "Daily", "action": "LONG", "alert_price": 186.43, "score": "", "dir_prob": "95.6", "net_sigma": "", "grade": "", "align": "", "premium": "", "wrong_if": "", "context": "", "subject": "Alert: Rev - Screener v1 (SPY, 12): Any alert() function call", "body": "{\"ticker\":\"CVX\", \"setup\":\"A+ Trend Long\", \"side\":\"LONG\", \"price\":186.43, \"stage\":2, \"buy\":96.6, \"sell\":6, \"prime\":2, \"revL\":0, \"revS\":0, \"vcp\":0, \"dir_prob\":95.6, \"time\":1785936600000}", "ticker": "CVX", "setup": "A+ Trend Long", "side": "LONG", "price": 186.43, "stage": 2, "buy": 96.6, "sell": 6, "prime": 2, "revL": 0, "revS": 0, "vcp": 0, "time": 1785936600000, "email_id": "3351", "timestamp": "2026-08-05 16:01:11"}</t>
  </si>
  <si>
    <t>Buy: 90.7 | Sell: 6.4</t>
  </si>
  <si>
    <t>{"symbol": "VRSK", "strategy": "Daily", "action": "LONG", "alert_price": 188.69, "score": "", "dir_prob": "96.7", "net_sigma": "", "grade": "", "align": "", "premium": "", "wrong_if": "", "context": "", "subject": "Alert: Rev - Screener v1 (SPY, 12): Any alert() function call", "body": "{\"ticker\":\"VRSK\", \"setup\":\"A+ Trend Long\", \"side\":\"LONG\", \"price\":188.69, \"stage\":2, \"buy\":90.7, \"sell\":6.4, \"prime\":2, \"revL\":0, \"revS\":0, \"vcp\":0, \"dir_prob\":96.7, \"time\":1785936600000}", "ticker": "VRSK", "setup": "A+ Trend Long", "side": "LONG", "price": 188.69, "stage": 2, "buy": 90.7, "sell": 6.4, "prime": 2, "revL": 0, "revS": 0, "vcp": 0, "time": 1785936600000, "email_id": "3352", "timestamp": "2026-08-05 16:01:09"}</t>
  </si>
  <si>
    <t>No active entry mode: buy=91/sell=96 (conflicting), dir_prob=41 (&lt;50), stage=4 (down), regime=6 (squeeze). News neutral. Flags churn/chased/squeeze indicate no clean edge.</t>
  </si>
  <si>
    <t>Buy: 65.4 | Sell: 52.9</t>
  </si>
  <si>
    <t>{"symbol": "ANET", "strategy": "Daily", "action": "LONG", "alert_price": 197.33, "score": "", "dir_prob": "56.1", "net_sigma": "", "grade": "", "align": "", "premium": "", "wrong_if": "", "context": "", "subject": "Alert: Rev - Screener v1 (SPY, 12): Any alert() function call", "body": "{\"ticker\":\"ANET\", \"setup\":\"Early Ignition\", \"side\":\"LONG\", \"price\":197.33, \"stage\":2, \"buy\":65.4, \"sell\":52.9, \"prime\":0, \"revL\":0, \"revS\":4.5, \"vcp\":0, \"dir_prob\":56.1, \"time\":1785936600000}", "ticker": "ANET", "setup": "Early Ignition", "side": "LONG", "price": 197.33, "stage": 2, "buy": 65.4, "sell": 52.9, "prime": 0, "revL": 0, "revS": 4.5, "vcp": 0, "time": 1785936600000, "email_id": "3353", "timestamp": "2026-08-05 16:01:12"}</t>
  </si>
  <si>
    <t>Buy: 91.4 | Sell: 47.2</t>
  </si>
  <si>
    <t>{"symbol": "KMB", "strategy": "Daily", "action": "LONG", "alert_price": 112.38, "score": "", "dir_prob": "90.7", "net_sigma": "", "grade": "", "align": "", "premium": "", "wrong_if": "", "context": "", "subject": "Alert: Rev - Screener v1 (SPY, 12): Any alert() function call", "body": "{\"ticker\":\"KMB\", \"setup\":\"A+ Trend Long\", \"side\":\"LONG\", \"price\":112.38, \"stage\":2, \"buy\":91.4, \"sell\":47.2, \"prime\":2, \"revL\":0, \"revS\":0, \"vcp\":1, \"dir_prob\":90.7, \"time\":1785936600000}", "ticker": "KMB", "setup": "A+ Trend Long", "side": "LONG", "price": 112.38, "stage": 2, "buy": 91.4, "sell": 47.2, "prime": 2, "revL": 0, "revS": 0, "vcp": 1, "time": 1785936600000, "email_id": "3354", "timestamp": "2026-08-05 16:01:00"}</t>
  </si>
  <si>
    <t>Buy: 91.5 | Sell: 10.7</t>
  </si>
  <si>
    <t>{"symbol": "KO", "strategy": "Daily", "action": "LONG", "alert_price": 86.82, "score": "", "dir_prob": "92.3", "net_sigma": "", "grade": "", "align": "", "premium": "", "wrong_if": "", "context": "", "subject": "Alert: Rev - Screener v1 (SPY, 12): Any alert() function call", "body": "{\"ticker\":\"KO\", \"setup\":\"A+ Trend Long\", \"side\":\"LONG\", \"price\":86.82, \"stage\":2, \"buy\":91.5, \"sell\":10.7, \"prime\":2, \"revL\":0, \"revS\":0, \"vcp\":0, \"dir_prob\":92.3, \"time\":1785936600000}", "ticker": "KO", "setup": "A+ Trend Long", "side": "LONG", "price": 86.82, "stage": 2, "buy": 91.5, "sell": 10.7, "prime": 2, "revL": 0, "revS": 0, "vcp": 0, "time": 1785936600000, "email_id": "3355", "timestamp": "2026-08-05 16:01:08"}</t>
  </si>
  <si>
    <t>Buy: 94.3 | Sell: 22.6</t>
  </si>
  <si>
    <t>{"symbol": "VTRS", "strategy": "Daily", "action": "LONG", "alert_price": 17.64, "score": "", "dir_prob": "87.1", "net_sigma": "", "grade": "", "align": "", "premium": "", "wrong_if": "", "context": "", "subject": "Alert: Rev - Screener v1 (SPY, 12): Any alert() function call", "body": "{\"ticker\":\"VTRS\", \"setup\":\"A+ Trend Long\", \"side\":\"LONG\", \"price\":17.64, \"stage\":2, \"buy\":94.3, \"sell\":22.6, \"prime\":2, \"revL\":0, \"revS\":0, \"vcp\":0, \"dir_prob\":87.1, \"time\":1785936600000}", "ticker": "VTRS", "setup": "A+ Trend Long", "side": "LONG", "price": 17.64, "stage": 2, "buy": 94.3, "sell": 22.6, "prime": 2, "revL": 0, "revS": 0, "vcp": 0, "time": 1785936600000, "email_id": "3356", "timestamp": "2026-08-05 16:01:09"}</t>
  </si>
  <si>
    <t>Buy: 92.9 | Sell: 12.3</t>
  </si>
  <si>
    <t>{"symbol": "SJM", "strategy": "Daily", "action": "LONG", "alert_price": 119.23, "score": "", "dir_prob": "92.6", "net_sigma": "", "grade": "", "align": "", "premium": "", "wrong_if": "", "context": "", "subject": "Alert: Rev - Screener v1 (SPY, 12): Any alert() function call", "body": "{\"ticker\":\"SJM\", \"setup\":\"A+ Trend Long\", \"side\":\"LONG\", \"price\":119.23, \"stage\":2, \"buy\":92.9, \"sell\":12.3, \"prime\":2, \"revL\":0, \"revS\":0, \"vcp\":0, \"dir_prob\":92.6, \"time\":1785936600000}", "ticker": "SJM", "setup": "A+ Trend Long", "side": "LONG", "price": 119.23, "stage": 2, "buy": 92.9, "sell": 12.3, "prime": 2, "revL": 0, "revS": 0, "vcp": 0, "time": 1785936600000, "email_id": "3357", "timestamp": "2026-08-05 16:01:13"}</t>
  </si>
  <si>
    <t>TREND_LONG fires with buy=97 &gt; 65, dir_prob=92 &gt;= 50, stage=2. News CONFIRMS with positive sentiment. Flags: chased (zone_state=below_zone), hot_10d_volatility, rich_high_volatility. PASS triage.</t>
  </si>
  <si>
    <t>Buy: 88.2 | Sell: 15.4</t>
  </si>
  <si>
    <t>{"symbol": "CPAY", "strategy": "Daily", "action": "LONG", "alert_price": 394.17, "score": "", "dir_prob": "91.8", "net_sigma": "", "grade": "", "align": "", "premium": "", "wrong_if": "", "context": "", "subject": "Alert: Rev - Screener v1 (SPY, 12): Any alert() function call", "body": "{\"ticker\":\"CPAY\", \"setup\":\"A+ Trend Long\", \"side\":\"LONG\", \"price\":394.17, \"stage\":2, \"buy\":88.2, \"sell\":15.4, \"prime\":2, \"revL\":0, \"revS\":0, \"vcp\":0, \"dir_prob\":91.8, \"time\":1785936600000}", "ticker": "CPAY", "setup": "A+ Trend Long", "side": "LONG", "price": 394.17, "stage": 2, "buy": 88.2, "sell": 15.4, "prime": 2, "revL": 0, "revS": 0, "vcp": 0, "time": 1785936600000, "email_id": "3358", "timestamp": "2026-08-05 16:01:15"}</t>
  </si>
  <si>
    <t>TAP</t>
  </si>
  <si>
    <t>Buy: 89 | Sell: 5.1</t>
  </si>
  <si>
    <t>{"symbol": "TAP", "strategy": "Daily", "action": "LONG", "alert_price": 41.88, "score": "", "dir_prob": "96.8", "net_sigma": "", "grade": "", "align": "", "premium": "", "wrong_if": "", "context": "", "subject": "Alert: Rev - Screener v1 (SPY, 12): Any alert() function call", "body": "{\"ticker\":\"TAP\", \"setup\":\"A+ Trend Long\", \"side\":\"LONG\", \"price\":41.88, \"stage\":2, \"buy\":89, \"sell\":5.1, \"prime\":2, \"revL\":0, \"revS\":0, \"vcp\":0, \"dir_prob\":96.8, \"time\":1785936600000}", "ticker": "TAP", "setup": "A+ Trend Long", "side": "LONG", "price": 41.88, "stage": 2, "buy": 89, "sell": 5.1, "prime": 2, "revL": 0, "revS": 0, "vcp": 0, "time": 1785936600000, "email_id": "3359", "timestamp": "2026-08-05 16:01:14"}</t>
  </si>
  <si>
    <t>TREND_LONG fires: buy=96.8 &gt; 65, dir_prob=94.8 &gt;= 50, stage=2. News CONFIRMS with multiple analyst PT raises. Flags: 'chased' (zone_state=below_zone but rr=0.70 &lt; 1.0). PASS.</t>
  </si>
  <si>
    <t>Buy: 28.5 | Sell: 28.3</t>
  </si>
  <si>
    <t>{"symbol": "CVS", "strategy": "Daily", "action": "LONG", "alert_price": 99.11, "score": "", "dir_prob": "48.3", "net_sigma": "", "grade": "", "align": "", "premium": "", "wrong_if": "", "context": "", "subject": "Alert: Rev - Screener v1 (SPY, 12): Any alert() function call", "body": "{\"ticker\":\"CVS\", \"setup\":\"Research Reversal (Any Stage)\", \"side\":\"LONG\", \"price\":99.11, \"stage\":4, \"buy\":28.5, \"sell\":28.3, \"prime\":0, \"revL\":8.5, \"revS\":0, \"vcp\":-2, \"dir_prob\":48.3, \"time\":1785936600000}", "ticker": "CVS", "setup": "Research Reversal (Any Stage)", "side": "LONG", "price": 99.11, "stage": 4, "buy": 28.5, "sell": 28.3, "prime": 0, "revL": 8.5, "revS": 0, "vcp": -2, "time": 1785936600000, "email_id": "3360", "timestamp": "2026-08-05 16:01:15"}</t>
  </si>
  <si>
    <t>Buy: 85.2 | Sell: 28.8</t>
  </si>
  <si>
    <t>{"symbol": "STT", "strategy": "Daily", "action": "LONG", "alert_price": 187.05, "score": "", "dir_prob": "82.7", "net_sigma": "", "grade": "", "align": "", "premium": "", "wrong_if": "", "context": "", "subject": "Alert: Rev - Screener v1 (SPY, 12): Any alert() function call", "body": "{\"ticker\":\"STT\", \"setup\":\"A+ Trend Long\", \"side\":\"LONG\", \"price\":187.05, \"stage\":2, \"buy\":85.2, \"sell\":28.8, \"prime\":2, \"revL\":0, \"revS\":0, \"vcp\":1, \"dir_prob\":82.7, \"time\":1785936600000}", "ticker": "STT", "setup": "A+ Trend Long", "side": "LONG", "price": 187.05, "stage": 2, "buy": 85.2, "sell": 28.8, "prime": 2, "revL": 0, "revS": 0, "vcp": 1, "time": 1785936600000, "email_id": "3361", "timestamp": "2026-08-05 16:01:16"}</t>
  </si>
  <si>
    <t>Buy: 96.5 | Sell: 7.2</t>
  </si>
  <si>
    <t>{"symbol": "MCK", "strategy": "Daily", "action": "LONG", "alert_price": 876.28, "score": "", "dir_prob": "94.5", "net_sigma": "", "grade": "", "align": "", "premium": "", "wrong_if": "", "context": "", "subject": "Alert: Rev - Screener v1 (SPY, 12): Any alert() function call", "body": "{\"ticker\":\"MCK\", \"setup\":\"A+ Trend Long\", \"side\":\"LONG\", \"price\":876.28, \"stage\":2, \"buy\":96.5, \"sell\":7.2, \"prime\":2, \"revL\":0, \"revS\":0, \"vcp\":0, \"dir_prob\":94.5, \"time\":1785936600000}", "ticker": "MCK", "setup": "A+ Trend Long", "side": "LONG", "price": 876.28, "stage": 2, "buy": 96.5, "sell": 7.2, "prime": 2, "revL": 0, "revS": 0, "vcp": 0, "time": 1785936600000, "email_id": "3362", "timestamp": "2026-08-05 16:01:17"}</t>
  </si>
  <si>
    <t>TREND_SHORT fires with sell=70 &gt; 65, dir_prob=9.5 &lt; 50, stage=4 down. News is NEUTRAL (no catalyst). CUT due to no active long-side edge and low conviction.</t>
  </si>
  <si>
    <t>Buy: 91.3 | Sell: 17.4</t>
  </si>
  <si>
    <t>{"symbol": "BXP", "strategy": "Daily", "action": "LONG", "alert_price": 70.0, "score": "", "dir_prob": "91.4", "net_sigma": "", "grade": "", "align": "", "premium": "", "wrong_if": "", "context": "", "subject": "Alert: Rev - Screener v1 (SPY, 12): Any alert() function call", "body": "{\"ticker\":\"BXP\", \"setup\":\"A+ Trend Long\", \"side\":\"LONG\", \"price\":70.00, \"stage\":2, \"buy\":91.3, \"sell\":17.4, \"prime\":2, \"revL\":0, \"revS\":0, \"vcp\":0, \"dir_prob\":91.4, \"time\":1785936600000}", "ticker": "BXP", "setup": "A+ Trend Long", "side": "LONG", "price": 70.0, "stage": 2, "buy": 91.3, "sell": 17.4, "prime": 2, "revL": 0, "revS": 0, "vcp": 0, "time": 1785936600000, "email_id": "3365", "timestamp": "2026-08-05 16:01:15"}</t>
  </si>
  <si>
    <t>Buy: 92.7 | Sell: 10.6</t>
  </si>
  <si>
    <t>{"symbol": "BBY", "strategy": "Daily", "action": "LONG", "alert_price": 84.51, "score": "", "dir_prob": "92.9", "net_sigma": "", "grade": "", "align": "", "premium": "", "wrong_if": "", "context": "", "subject": "Alert: Rev - Screener v1 (SPY, 12): Any alert() function call", "body": "{\"ticker\":\"BBY\", \"setup\":\"A+ Trend Long\", \"side\":\"LONG\", \"price\":84.51, \"stage\":2, \"buy\":92.7, \"sell\":10.6, \"prime\":2, \"revL\":0, \"revS\":0, \"vcp\":0, \"dir_prob\":92.9, \"time\":1785936600000}", "ticker": "BBY", "setup": "A+ Trend Long", "side": "LONG", "price": 84.51, "stage": 2, "buy": 92.7, "sell": 10.6, "prime": 2, "revL": 0, "revS": 0, "vcp": 0, "time": 1785936600000, "email_id": "3363", "timestamp": "2026-08-05 16:01:14"}</t>
  </si>
  <si>
    <t>Buy: 93.1 | Sell: 40.6</t>
  </si>
  <si>
    <t>{"symbol": "XYZ", "strategy": "Daily", "action": "LONG", "alert_price": 84.2, "score": "", "dir_prob": "84.9", "net_sigma": "", "grade": "", "align": "", "premium": "", "wrong_if": "", "context": "", "subject": "Alert: Rev - Screener v1 (SPY, 12): Any alert() function call", "body": "{\"ticker\":\"XYZ\", \"setup\":\"A+ Trend Long\", \"side\":\"LONG\", \"price\":84.20, \"stage\":2, \"buy\":93.1, \"sell\":40.6, \"prime\":2, \"revL\":0, \"revS\":0, \"vcp\":0, \"dir_prob\":84.9, \"time\":1785936600000}", "ticker": "XYZ", "setup": "A+ Trend Long", "side": "LONG", "price": 84.2, "stage": 2, "buy": 93.1, "sell": 40.6, "prime": 2, "revL": 0, "revS": 0, "vcp": 0, "time": 1785936600000, "email_id": "3366", "timestamp": "2026-08-05 16:01:19"}</t>
  </si>
  <si>
    <t>{"symbol": "XOM", "strategy": "Daily", "action": "LONG", "alert_price": 151.6, "score": "", "dir_prob": "92.9", "net_sigma": "", "grade": "", "align": "", "premium": "", "wrong_if": "", "context": "", "subject": "Alert: Rev - Screener v1 (SPY, 12): Any alert() function call", "body": "{\"ticker\":\"XOM\", \"setup\":\"A+ Trend Long\", \"side\":\"LONG\", \"price\":151.60, \"stage\":2, \"buy\":95.1, \"sell\":9.3, \"prime\":2, \"revL\":0, \"revS\":0, \"vcp\":0, \"dir_prob\":92.9, \"time\":1785936600000}", "ticker": "XOM", "setup": "A+ Trend Long", "side": "LONG", "price": 151.6, "stage": 2, "buy": 95.1, "sell": 9.3, "prime": 2, "revL": 0, "revS": 0, "vcp": 0, "time": 1785936600000, "email_id": "3367", "timestamp": "2026-08-05 16:01:17"}</t>
  </si>
  <si>
    <t>TREND_LONG fires with buy=93 &gt; 65, dir_prob=58 &gt;= 50, stage=2. News CONFIRMS with target raise. ext_pct=3.8 is normal; exhaustion=0.02 low. PASS triage.</t>
  </si>
  <si>
    <t>Buy: 96.7 | Sell: 4.7</t>
  </si>
  <si>
    <t>SKIP</t>
  </si>
  <si>
    <t>Entry: 
Stop: 
Target: 326.32
See markdown for full rationale.</t>
  </si>
  <si>
    <t>{"symbol": "MPC", "strategy": "Daily", "action": "LONG", "alert_price": 297.76, "score": "", "dir_prob": "93.8", "net_sigma": "", "grade": "", "align": "", "premium": "", "wrong_if": "", "context": "", "subject": "Alert: Rev - Screener v1 (SPY, 12): Any alert() function call", "body": "{\"ticker\":\"MPC\", \"setup\":\"A+ Trend Long\", \"side\":\"LONG\", \"price\":297.76, \"stage\":2, \"buy\":96.7, \"sell\":4.7, \"prime\":2, \"revL\":0, \"revS\":0, \"vcp\":0, \"dir_prob\":93.8, \"time\":1785936600000}", "ticker": "MPC", "setup": "A+ Trend Long", "side": "LONG", "price": 297.76, "stage": 2, "buy": 96.7, "sell": 4.7, "prime": 2, "revL": 0, "revS": 0, "vcp": 0, "time": 1785936600000, "email_id": "3368", "timestamp": "2026-08-05 16:01:17"}</t>
  </si>
  <si>
    <t>{"symbol": "ALL", "strategy": "Daily", "action": "LONG", "alert_price": 264.35, "score": "", "dir_prob": "89.4", "net_sigma": "", "grade": "", "align": "", "premium": "", "wrong_if": "", "context": "", "subject": "Alert: Rev - Screener v1 (SPY, 12): Any alert() function call", "body": "{\"ticker\":\"ALL\", \"setup\":\"A+ Trend Long\", \"side\":\"LONG\", \"price\":264.35, \"stage\":2, \"buy\":94.8, \"sell\":9.2, \"prime\":2, \"revL\":0, \"revS\":0, \"vcp\":0, \"dir_prob\":89.4, \"time\":1785936600000}", "ticker": "ALL", "setup": "A+ Trend Long", "side": "LONG", "price": 264.35, "stage": 2, "buy": 94.8, "sell": 9.2, "prime": 2, "revL": 0, "revS": 0, "vcp": 0, "time": 1785936600000, "email_id": "3364", "timestamp": "2026-08-05 16:01:13"}</t>
  </si>
  <si>
    <t>TREND_LONG fires: buy=99.4 &gt; 65, dir_prob=81.6 &gt;= 50, stage=2. News CONFIRMS with upgrades/target raises. Flags: chased (zone_state=below_zone), soft_caution_action, hot_10d_volatility. High conviction trend.</t>
  </si>
  <si>
    <t>Buy: 92.6 | Sell: 12</t>
  </si>
  <si>
    <t>{"symbol": "XYL", "strategy": "Daily", "action": "LONG", "alert_price": 122.23, "score": "", "dir_prob": "96.3", "net_sigma": "", "grade": "", "align": "", "premium": "", "wrong_if": "", "context": "", "subject": "Alert: Rev - Screener v1 (SPY, 12): Any alert() function call", "body": "{\"ticker\":\"XYL\", \"setup\":\"A+ Trend Long\", \"side\":\"LONG\", \"price\":122.23, \"stage\":2, \"buy\":92.6, \"sell\":12, \"prime\":2, \"revL\":0, \"revS\":0, \"vcp\":0, \"dir_prob\":96.3, \"time\":1785936600000}", "ticker": "XYL", "setup": "A+ Trend Long", "side": "LONG", "price": 122.23, "stage": 2, "buy": 92.6, "sell": 12, "prime": 2, "revL": 0, "revS": 0, "vcp": 0, "time": 1785936600000, "email_id": "3369", "timestamp": "2026-08-05 16:01:13"}</t>
  </si>
  <si>
    <t>Buy: 94 | Sell: 56.4</t>
  </si>
  <si>
    <t>{"symbol": "SYY", "strategy": "Daily", "action": "LONG", "alert_price": 84.24, "score": "", "dir_prob": "84.1", "net_sigma": "", "grade": "", "align": "", "premium": "", "wrong_if": "", "context": "", "subject": "Alert: Rev - Screener v1 (SPY, 12): Any alert() function call", "body": "{\"ticker\":\"SYY\", \"setup\":\"A+ Trend Long\", \"side\":\"LONG\", \"price\":84.24, \"stage\":2, \"buy\":94, \"sell\":56.4, \"prime\":2, \"revL\":0, \"revS\":0, \"vcp\":1, \"dir_prob\":84.1, \"time\":1785936600000}", "ticker": "SYY", "setup": "A+ Trend Long", "side": "LONG", "price": 84.24, "stage": 2, "buy": 94, "sell": 56.4, "prime": 2, "revL": 0, "revS": 0, "vcp": 1, "time": 1785936600000, "email_id": "3370", "timestamp": "2026-08-05 16:01:15"}</t>
  </si>
  <si>
    <t>TREND_LONG fires: buy=97.3 &gt; 65, dir_prob=95.2 &gt;= 50, stage=2. News CONFIRMS with multiple upgrades/raises. Flags: chased (rr=0.92), rich_high_volatility. PASS.</t>
  </si>
  <si>
    <t>Buy: 95.5 | Sell: 31.4</t>
  </si>
  <si>
    <t>{"symbol": "AON", "strategy": "Daily", "action": "LONG", "alert_price": 359.99, "score": "", "dir_prob": "93.1", "net_sigma": "", "grade": "", "align": "", "premium": "", "wrong_if": "", "context": "", "subject": "Alert: Rev - Screener v1 (SPY, 12): Any alert() function call", "body": "{\"ticker\":\"AON\", \"setup\":\"A+ Trend Long\", \"side\":\"LONG\", \"price\":359.99, \"stage\":2, \"buy\":95.5, \"sell\":31.4, \"prime\":2, \"revL\":0, \"revS\":0, \"vcp\":0, \"dir_prob\":93.1, \"time\":1785936600000}", "ticker": "AON", "setup": "A+ Trend Long", "side": "LONG", "price": 359.99, "stage": 2, "buy": 95.5, "sell": 31.4, "prime": 2, "revL": 0, "revS": 0, "vcp": 0, "time": 1785936600000, "email_id": "3371", "timestamp": "2026-08-05 16:01:21"}</t>
  </si>
  <si>
    <t>CI</t>
  </si>
  <si>
    <t>Buy: 33 | Sell: 41.9</t>
  </si>
  <si>
    <t>{"symbol": "CI", "strategy": "Daily", "action": "LONG", "alert_price": 270.46, "score": "", "dir_prob": "50.8", "net_sigma": "", "grade": "", "align": "", "premium": "", "wrong_if": "", "context": "", "subject": "Alert: Rev - Screener v1 (SPY, 12): Any alert() function call", "body": "{\"ticker\":\"CI\", \"setup\":\"Research Reversal (Any Stage)\", \"side\":\"LONG\", \"price\":270.46, \"stage\":4, \"buy\":33, \"sell\":41.9, \"prime\":0, \"revL\":7, \"revS\":0, \"vcp\":0, \"dir_prob\":50.8, \"time\":1785936600000}", "ticker": "CI", "setup": "Research Reversal (Any Stage)", "side": "LONG", "price": 270.46, "stage": 4, "buy": 33, "sell": 41.9, "prime": 0, "revL": 7, "revS": 0, "vcp": 0, "time": 1785936600000, "email_id": "3372", "timestamp": "2026-08-05 16:01:22"}</t>
  </si>
  <si>
    <t>No active entry mode: buy=94.7 but dir_prob=38.7 &lt; 50 (no edge). News is neutral (bankruptcy rival). Flags: churn, stage_5_recovery (negative for breakouts). No setup.</t>
  </si>
  <si>
    <t>Buy: 86.1 | Sell: 47.6</t>
  </si>
  <si>
    <t>{"symbol": "CSX", "strategy": "Daily", "action": "LONG", "alert_price": 51.13, "score": "", "dir_prob": "66.6", "net_sigma": "", "grade": "", "align": "", "premium": "", "wrong_if": "", "context": "", "subject": "Alert: Rev - Screener v1 (SPY, 12): Any alert() function call", "body": "{\"ticker\":\"CSX\", \"setup\":\"A+ Trend Long\", \"side\":\"LONG\", \"price\":51.13, \"stage\":2, \"buy\":86.1, \"sell\":47.6, \"prime\":2, \"revL\":0, \"revS\":0, \"vcp\":0, \"dir_prob\":66.6, \"time\":1785936600000}", "ticker": "CSX", "setup": "A+ Trend Long", "side": "LONG", "price": 51.13, "stage": 2, "buy": 86.1, "sell": 47.6, "prime": 2, "revL": 0, "revS": 0, "vcp": 0, "time": 1785936600000, "email_id": "3373", "timestamp": "2026-08-05 16:01:16"}</t>
  </si>
  <si>
    <t>Buy: 96.7 | Sell: 25</t>
  </si>
  <si>
    <t>{"symbol": "BALL", "strategy": "Daily", "action": "LONG", "alert_price": 63.52, "score": "", "dir_prob": "93.9", "net_sigma": "", "grade": "", "align": "", "premium": "", "wrong_if": "", "context": "", "subject": "Alert: Rev - Screener v1 (SPY, 12): Any alert() function call", "body": "{\"ticker\":\"BALL\", \"setup\":\"A+ Trend Long\", \"side\":\"LONG\", \"price\":63.52, \"stage\":2, \"buy\":96.7, \"sell\":25, \"prime\":2, \"revL\":0, \"revS\":0, \"vcp\":0, \"dir_prob\":93.9, \"time\":1785936600000}", "ticker": "BALL", "setup": "A+ Trend Long", "side": "LONG", "price": 63.52, "stage": 2, "buy": 96.7, "sell": 25, "prime": 2, "revL": 0, "revS": 0, "vcp": 0, "time": 1785936600000, "email_id": "3374", "timestamp": "2026-08-05 16:01:20"}</t>
  </si>
  <si>
    <t>TREND_LONG fires with buy=89.26 &gt; 65, dir_prob=70.17 &gt;= 50, stage=2. News CONFIRMS positive sentiment. WATCH capped by 'churn' (opposite_score=80.3 &gt; buy), 'chased' (zone_state=below_zone), and 'TOP' warning. Earnings in 22 days.</t>
  </si>
  <si>
    <t>{"symbol": "AFL", "strategy": "Daily", "action": "LONG", "alert_price": 125.54, "score": "", "dir_prob": "89.9", "net_sigma": "", "grade": "", "align": "", "premium": "", "wrong_if": "", "context": "", "subject": "Alert: Rev - Screener v1 (SPY, 12): Any alert() function call", "body": "{\"ticker\":\"AFL\", \"setup\":\"A+ Trend Long\", \"side\":\"LONG\", \"price\":125.54, \"stage\":2, \"buy\":96, \"sell\":7.6, \"prime\":2, \"revL\":0, \"revS\":0, \"vcp\":0, \"dir_prob\":89.9, \"time\":1785936600000}", "ticker": "AFL", "setup": "A+ Trend Long", "side": "LONG", "price": 125.54, "stage": 2, "buy": 96, "sell": 7.6, "prime": 2, "revL": 0, "revS": 0, "vcp": 0, "time": 1785936600000, "email_id": "3375", "timestamp": "2026-08-05 16:01:20"}</t>
  </si>
  <si>
    <t>TREND_LONG fires with buy=95.7 &gt; 65, dir_prob=82.3 &gt;= 50, stage=2. News CONFIRMS with Cantor raising target to $310. Flags: chased (zone_state=below_zone, rr=0.56), soft_caution_action, ext_z_self_elevated. PASS triage.</t>
  </si>
  <si>
    <t>{"symbol": "JKHY", "strategy": "Daily", "action": "LONG", "alert_price": 154.3, "score": "", "dir_prob": "97.6", "net_sigma": "", "grade": "", "align": "", "premium": "", "wrong_if": "", "context": "", "subject": "Alert: Rev - Screener v1 (SPY, 12): Any alert() function call", "body": "{\"ticker\":\"JKHY\", \"setup\":\"A+ Trend Long\", \"side\":\"LONG\", \"price\":154.30, \"stage\":2, \"buy\":95.8, \"sell\":5.7, \"prime\":2, \"revL\":0, \"revS\":0, \"vcp\":0, \"dir_prob\":97.6, \"time\":1785936600000}", "ticker": "JKHY", "setup": "A+ Trend Long", "side": "LONG", "price": 154.3, "stage": 2, "buy": 95.8, "sell": 5.7, "prime": 2, "revL": 0, "revS": 0, "vcp": 0, "time": 1785936600000, "email_id": "3376", "timestamp": "2026-08-05 16:01:24"}</t>
  </si>
  <si>
    <t>TREND_LONG fires with buy=85.3 &gt; 65, dir_prob=85.3 &gt;= 50. News is NEUTRAL (PT cut). WATCH capped by stage=5 recovery (negative for breakouts) and churn flag. Squeeze regime indicates coiling.</t>
  </si>
  <si>
    <t>Buy: 86.1 | Sell: 20.4</t>
  </si>
  <si>
    <t>{"symbol": "DE", "strategy": "Daily", "action": "LONG", "alert_price": 612.12, "score": "", "dir_prob": "92.8", "net_sigma": "", "grade": "", "align": "", "premium": "", "wrong_if": "", "context": "", "subject": "Alert: Rev - Screener v1 (SPY, 12): Any alert() function call", "body": "{\"ticker\":\"DE\", \"setup\":\"A+ Trend Long\", \"side\":\"LONG\", \"price\":612.12, \"stage\":2, \"buy\":86.1, \"sell\":20.4, \"prime\":2, \"revL\":0, \"revS\":0, \"vcp\":0, \"dir_prob\":92.8, \"time\":1785936600000}", "ticker": "DE", "setup": "A+ Trend Long", "side": "LONG", "price": 612.12, "stage": 2, "buy": 86.1, "sell": 20.4, "prime": 2, "revL": 0, "revS": 0, "vcp": 0, "time": 1785936600000, "email_id": "3377", "timestamp": "2026-08-05 16:01:25"}</t>
  </si>
  <si>
    <t>No active entry mode; buy=77.7 vs sell=76.1 shows churn. News CONTRADICTS long bias with negative headline. Flags: churn, chased, stage_lag, squeeze. Triage WATCH due to news contradiction and poor R:R.</t>
  </si>
  <si>
    <t>Buy: 53.3 | Sell: 60</t>
  </si>
  <si>
    <t>{"symbol": "CRL", "strategy": "Daily", "action": "LONG", "alert_price": 260.69, "score": "", "dir_prob": "47.2", "net_sigma": "", "grade": "", "align": "", "premium": "", "wrong_if": "", "context": "", "subject": "Alert: Rev - Screener v1 (SPY, 12): Any alert() function call", "body": "{\"ticker\":\"CRL\", \"setup\":\"Bullish Squeeze Release\", \"side\":\"LONG\", \"price\":260.69, \"stage\":2, \"buy\":53.3, \"sell\":60, \"prime\":0, \"revL\":0, \"revS\":0, \"vcp\":2, \"dir_prob\":47.2, \"time\":1785936600000}", "ticker": "CRL", "setup": "Bullish Squeeze Release", "side": "LONG", "price": 260.69, "stage": 2, "buy": 53.3, "sell": 60, "prime": 0, "revL": 0, "revS": 0, "vcp": 2, "time": 1785936600000, "email_id": "3378", "timestamp": "2026-08-05 16:01:19"}</t>
  </si>
  <si>
    <t>TREND_LONG fires with buy=97.9 &gt; 65, dir_prob=83.5 &gt;= 50, stage=2. News CONFIRMS with positive sentiment. 'chased' flag from zone_state=below_zone + rr=0.11. PASS triage.</t>
  </si>
  <si>
    <t>Buy: 86.9 | Sell: 22.4</t>
  </si>
  <si>
    <t>{"symbol": "CFG", "strategy": "Daily", "action": "LONG", "alert_price": 73.6, "score": "", "dir_prob": "82", "net_sigma": "", "grade": "", "align": "", "premium": "", "wrong_if": "", "context": "", "subject": "Alert: Rev - Screener v1 (SPY, 12): Any alert() function call", "body": "{\"ticker\":\"CFG\", \"setup\":\"A+ Trend Long\", \"side\":\"LONG\", \"price\":73.60, \"stage\":2, \"buy\":86.9, \"sell\":22.4, \"prime\":2, \"revL\":0, \"revS\":0, \"vcp\":1, \"dir_prob\":82, \"time\":1785936600000}", "ticker": "CFG", "setup": "A+ Trend Long", "side": "LONG", "price": 73.6, "stage": 2, "buy": 86.9, "sell": 22.4, "prime": 2, "revL": 0, "revS": 0, "vcp": 1, "time": 1785936600000, "email_id": "3379", "timestamp": "2026-08-05 16:01:26"}</t>
  </si>
  <si>
    <t>Buy: 30.4 | Sell: 41.5</t>
  </si>
  <si>
    <t>{"symbol": "AIZ", "strategy": "Daily", "action": "LONG", "alert_price": 301.3, "score": "", "dir_prob": "28.1", "net_sigma": "", "grade": "", "align": "", "premium": "", "wrong_if": "", "context": "", "subject": "Alert: Rev - Screener v1 (SPY, 12): Any alert() function call", "body": "{\"ticker\":\"AIZ\", \"setup\":\"Bullish Squeeze Release\", \"side\":\"LONG\", \"price\":301.30, \"stage\":2, \"buy\":30.4, \"sell\":41.5, \"prime\":0, \"revL\":0, \"revS\":0, \"vcp\":2, \"dir_prob\":28.1, \"time\":1785936600000}", "ticker": "AIZ", "setup": "Bullish Squeeze Release", "side": "LONG", "price": 301.3, "stage": 2, "buy": 30.4, "sell": 41.5, "prime": 0, "revL": 0, "revS": 0, "vcp": 2, "time": 1785936600000, "email_id": "3380", "timestamp": "2026-08-05 16:01:23"}</t>
  </si>
  <si>
    <t>No active entry mode (buy=97 but stage=5 recovery). News NEUTRAL. WATCH due to stage_5_recovery flag and low R:R (0.63).</t>
  </si>
  <si>
    <t>BF.B</t>
  </si>
  <si>
    <t>Buy: 85.1 | Sell: 15.9</t>
  </si>
  <si>
    <t>{"symbol": "BF.B", "strategy": "Daily", "action": "LONG", "alert_price": 28.41, "score": "", "dir_prob": "95.1", "net_sigma": "", "grade": "", "align": "", "premium": "", "wrong_if": "", "context": "", "subject": "Alert: Rev - Screener v1 (SPY, 12): Any alert() function call", "body": "{\"ticker\":\"BF.B\", \"setup\":\"A+ Trend Long\", \"side\":\"LONG\", \"price\":28.41, \"stage\":2, \"buy\":85.1, \"sell\":15.9, \"prime\":2, \"revL\":0, \"revS\":0, \"vcp\":0, \"dir_prob\":95.1, \"time\":1785936600000}", "ticker": "BF.B", "setup": "A+ Trend Long", "side": "LONG", "price": 28.41, "stage": 2, "buy": 85.1, "sell": 15.9, "prime": 2, "revL": 0, "revS": 0, "vcp": 0, "time": 1785936600000, "email_id": "3381", "timestamp": "2026-08-05 16:01:27"}</t>
  </si>
  <si>
    <t>TREND_LONG fires with buy=98.3 &gt; 65, dir_prob=68.9 &gt;= 50, stage=2. News is NEUTRAL (mixed upgrades/downgrades). WATCH capped by 'chased' flag (rr=0.69 &lt; 1.0) and 'TOP' warning. No active catalyst.</t>
  </si>
  <si>
    <t>Buy: 94.7 | Sell: 23.2</t>
  </si>
  <si>
    <t>{"symbol": "NDAQ", "strategy": "Daily", "action": "LONG", "alert_price": 94.58, "score": "", "dir_prob": "93", "net_sigma": "", "grade": "", "align": "", "premium": "", "wrong_if": "", "context": "", "subject": "Alert: Rev - Screener v1 (SPY, 12): Any alert() function call", "body": "{\"ticker\":\"NDAQ\", \"setup\":\"A+ Trend Long\", \"side\":\"LONG\", \"price\":94.58, \"stage\":2, \"buy\":94.7, \"sell\":23.2, \"prime\":2, \"revL\":0, \"revS\":0, \"vcp\":0, \"dir_prob\":93, \"time\":1785936600000}", "ticker": "NDAQ", "setup": "A+ Trend Long", "side": "LONG", "price": 94.58, "stage": 2, "buy": 94.7, "sell": 23.2, "prime": 2, "revL": 0, "revS": 0, "vcp": 0, "time": 1785936600000, "email_id": "3382", "timestamp": "2026-08-05 16:01:23"}</t>
  </si>
  <si>
    <t>TREND_LONG fires with buy=96.65 &gt; 65, dir_prob=93.4 &gt;= 50, stage=2. News CONFIRMS with UBS upgrade to $70. 'chased' flag from zone_state=below_zone. PASS triage.</t>
  </si>
  <si>
    <t>Buy: 95.5 | Sell: 13.2</t>
  </si>
  <si>
    <t>{"symbol": "PCAR", "strategy": "Daily", "action": "LONG", "alert_price": 133.34, "score": "", "dir_prob": "93.5", "net_sigma": "", "grade": "", "align": "", "premium": "", "wrong_if": "", "context": "", "subject": "Alert: Rev - Screener v1 (SPY, 12): Any alert() function call", "body": "{\"ticker\":\"PCAR\", \"setup\":\"A+ Trend Long\", \"side\":\"LONG\", \"price\":133.34, \"stage\":2, \"buy\":95.5, \"sell\":13.2, \"prime\":2, \"revL\":0, \"revS\":0, \"vcp\":0, \"dir_prob\":93.5, \"time\":1785936600000}", "ticker": "PCAR", "setup": "A+ Trend Long", "side": "LONG", "price": 133.34, "stage": 2, "buy": 95.5, "sell": 13.2, "prime": 2, "revL": 0, "revS": 0, "vcp": 0, "time": 1785936600000, "email_id": "3383", "timestamp": "2026-08-05 16:01:28"}</t>
  </si>
  <si>
    <t>Buy: 92.6 | Sell: 13.7</t>
  </si>
  <si>
    <t>{"symbol": "JNJ", "strategy": "Daily", "action": "LONG", "alert_price": 257.57, "score": "", "dir_prob": "91.4", "net_sigma": "", "grade": "", "align": "", "premium": "", "wrong_if": "", "context": "", "subject": "Alert: Rev - Screener v1 (SPY, 12): Any alert() function call", "body": "{\"ticker\":\"JNJ\", \"setup\":\"A+ Trend Long\", \"side\":\"LONG\", \"price\":257.57, \"stage\":2, \"buy\":92.6, \"sell\":13.7, \"prime\":2, \"revL\":0, \"revS\":0, \"vcp\":0, \"dir_prob\":91.4, \"time\":1785936600000}", "ticker": "JNJ", "setup": "A+ Trend Long", "side": "LONG", "price": 257.57, "stage": 2, "buy": 92.6, "sell": 13.7, "prime": 2, "revL": 0, "revS": 0, "vcp": 0, "time": 1785936600000, "email_id": "3384", "timestamp": "2026-08-05 16:01:25"}</t>
  </si>
  <si>
    <t>Buy: 95.9 | Sell: 17.8</t>
  </si>
  <si>
    <t>{"symbol": "ACGL", "strategy": "Daily", "action": "LONG", "alert_price": 99.08, "score": "", "dir_prob": "91.6", "net_sigma": "", "grade": "", "align": "", "premium": "", "wrong_if": "", "context": "", "subject": "Alert: Rev - Screener v1 (SPY, 12): Any alert() function call", "body": "{\"ticker\":\"ACGL\", \"setup\":\"A+ Trend Long\", \"side\":\"LONG\", \"price\":99.08, \"stage\":2, \"buy\":95.9, \"sell\":17.8, \"prime\":2, \"revL\":0, \"revS\":0, \"vcp\":0, \"dir_prob\":91.6, \"time\":1785936600000}", "ticker": "ACGL", "setup": "A+ Trend Long", "side": "LONG", "price": 99.08, "stage": 2, "buy": 95.9, "sell": 17.8, "prime": 2, "revL": 0, "revS": 0, "vcp": 0, "time": 1785936600000, "email_id": "3385", "timestamp": "2026-08-05 16:01:26"}</t>
  </si>
  <si>
    <t>TREND_LONG fires with buy=97.5, dir_prob=78.8, stage=2. News CONFIRMS (Buffett strategy). Flags: chased (zone_state=below_zone, rr=0.1), soft_caution_action, ext_z_self_elevated. PASS triage.</t>
  </si>
  <si>
    <t>Buy: 91.4 | Sell: 11.3</t>
  </si>
  <si>
    <t>{"symbol": "TGT", "strategy": "Daily", "action": "LONG", "alert_price": 147.72, "score": "", "dir_prob": "92", "net_sigma": "", "grade": "", "align": "", "premium": "", "wrong_if": "", "context": "", "subject": "Alert: Rev - Screener v1 (SPY, 12): Any alert() function call", "body": "{\"ticker\":\"TGT\", \"setup\":\"A+ Trend Long\", \"side\":\"LONG\", \"price\":147.72, \"stage\":2, \"buy\":91.4, \"sell\":11.3, \"prime\":2, \"revL\":0, \"revS\":0, \"vcp\":0, \"dir_prob\":92, \"time\":1785936600000}", "ticker": "TGT", "setup": "A+ Trend Long", "side": "LONG", "price": 147.72, "stage": 2, "buy": 91.4, "sell": 11.3, "prime": 2, "revL": 0, "revS": 0, "vcp": 0, "time": 1785936600000, "email_id": "3386", "timestamp": "2026-08-05 16:01:28"}</t>
  </si>
  <si>
    <t>TREND_LONG fires with buy=94, dir_prob=68, stage=2. News CONTRADICTS with multiple downgrades ($80-$85 targets). Earnings in 22 days. PASS capped to WATCH due to negative news and upcoming earnings.</t>
  </si>
  <si>
    <t>Buy: 90.9 | Sell: 24.4</t>
  </si>
  <si>
    <t>{"symbol": "KVUE", "strategy": "Daily", "action": "LONG", "alert_price": 19.66, "score": "", "dir_prob": "88.5", "net_sigma": "", "grade": "", "align": "", "premium": "", "wrong_if": "", "context": "", "subject": "Alert: Rev - Screener v1 (SPY, 12): Any alert() function call", "body": "{\"ticker\":\"KVUE\", \"setup\":\"A+ Trend Long\", \"side\":\"LONG\", \"price\":19.66, \"stage\":2, \"buy\":90.9, \"sell\":24.4, \"prime\":2, \"revL\":0, \"revS\":0, \"vcp\":1, \"dir_prob\":88.5, \"time\":1785936600000}", "ticker": "KVUE", "setup": "A+ Trend Long", "side": "LONG", "price": 19.66, "stage": 2, "buy": 90.9, "sell": 24.4, "prime": 2, "revL": 0, "revS": 0, "vcp": 1, "time": 1785936600000, "email_id": "3387", "timestamp": "2026-08-05 16:01:29"}</t>
  </si>
  <si>
    <t>Buy: 97.1 | Sell: 10.8</t>
  </si>
  <si>
    <t>{"symbol": "KHC", "strategy": "Daily", "action": "LONG", "alert_price": 25.73, "score": "", "dir_prob": "95.2", "net_sigma": "", "grade": "", "align": "", "premium": "", "wrong_if": "", "context": "", "subject": "Alert: Rev - Screener v1 (SPY, 12): Any alert() function call", "body": "{\"ticker\":\"KHC\", \"setup\":\"A+ Trend Long\", \"side\":\"LONG\", \"price\":25.73, \"stage\":2, \"buy\":97.1, \"sell\":10.8, \"prime\":2, \"revL\":0, \"revS\":0, \"vcp\":0, \"dir_prob\":95.2, \"time\":1785936600000}", "ticker": "KHC", "setup": "A+ Trend Long", "side": "LONG", "price": 25.73, "stage": 2, "buy": 97.1, "sell": 10.8, "prime": 2, "revL": 0, "revS": 0, "vcp": 0, "time": 1785936600000, "email_id": "3388", "timestamp": "2026-08-05 16:01:25"}</t>
  </si>
  <si>
    <t>No active entry mode (buy=90 but dir_prob=42 &lt; 50). News CONFIRMS with upgrades. WATCH due to churn flag, chased entry (rr=0.56), and squeeze regime.</t>
  </si>
  <si>
    <t>Buy: 96.2 | Sell: 10</t>
  </si>
  <si>
    <t>{"symbol": "AWK", "strategy": "Daily", "action": "LONG", "alert_price": 134.16, "score": "", "dir_prob": "96.4", "net_sigma": "", "grade": "", "align": "", "premium": "", "wrong_if": "", "context": "", "subject": "Alert: Rev - Screener v1 (SPY, 12): Any alert() function call", "body": "{\"ticker\":\"AWK\", \"setup\":\"A+ Trend Long\", \"side\":\"LONG\", \"price\":134.16, \"stage\":2, \"buy\":96.2, \"sell\":10, \"prime\":2, \"revL\":0, \"revS\":0, \"vcp\":1, \"dir_prob\":96.4, \"time\":1785936600000}", "ticker": "AWK", "setup": "A+ Trend Long", "side": "LONG", "price": 134.16, "stage": 2, "buy": 96.2, "sell": 10, "prime": 2, "revL": 0, "revS": 0, "vcp": 1, "time": 1785936600000, "email_id": "3389", "timestamp": "2026-08-05 16:01:25"}</t>
  </si>
  <si>
    <t>TREND_LONG fires with buy=98.2 &gt; 65, dir_prob=94.2 &gt;= 50, stage=2. News NEUTRAL (CRCL/CLARITY unrelated to BLK). Flags: chased (zone_state=below_zone, price &gt; long_zone), ext_z_self_elevated. PASS triage.</t>
  </si>
  <si>
    <t>Buy: 86.6 | Sell: 47.7</t>
  </si>
  <si>
    <t>{"symbol": "PM", "strategy": "Daily", "action": "LONG", "alert_price": 188.96, "score": "", "dir_prob": "81.9", "net_sigma": "", "grade": "", "align": "", "premium": "", "wrong_if": "", "context": "", "subject": "Alert: Rev - Screener v1 (SPY, 12): Any alert() function call", "body": "{\"ticker\":\"PM\", \"setup\":\"A+ Trend Long\", \"side\":\"LONG\", \"price\":188.96, \"stage\":2, \"buy\":86.6, \"sell\":47.7, \"prime\":2, \"revL\":0, \"revS\":0, \"vcp\":0, \"dir_prob\":81.9, \"time\":1785936600000}", "ticker": "PM", "setup": "A+ Trend Long", "side": "LONG", "price": 188.96, "stage": 2, "buy": 86.6, "sell": 47.7, "prime": 2, "revL": 0, "revS": 0, "vcp": 0, "time": 1785936600000, "email_id": "3390", "timestamp": "2026-08-05 16:01:24"}</t>
  </si>
  <si>
    <t>TREND_LONG fires: buy=98 &gt; 65, dir_prob=88 &gt;= 50, stage=2. News NEUTRAL (debt pitch). Flags: chased (zone_state=below_zone), ext_z_self_elevated, hot_vol. High R:R (11x). PASS.</t>
  </si>
  <si>
    <t>CHD</t>
  </si>
  <si>
    <t>Buy: 40.3 | Sell: 18.3</t>
  </si>
  <si>
    <t>{"symbol": "CHD", "strategy": "Daily", "action": "LONG", "alert_price": 103.63, "score": "", "dir_prob": "85.6", "net_sigma": "", "grade": "", "align": "", "premium": "", "wrong_if": "", "context": "", "subject": "Alert: Rev - Screener v1 (SPY, 12): Any alert() function call", "body": "{\"ticker\":\"CHD\", \"setup\":\"Bullish Squeeze Release\", \"side\":\"LONG\", \"price\":103.63, \"stage\":2, \"buy\":40.3, \"sell\":18.3, \"prime\":0, \"revL\":0, \"revS\":0, \"vcp\":2, \"dir_prob\":85.6, \"time\":1785936600000}", "ticker": "CHD", "setup": "Bullish Squeeze Release", "side": "LONG", "price": 103.63, "stage": 2, "buy": 40.3, "sell": 18.3, "prime": 0, "revL": 0, "revS": 0, "vcp": 2, "time": 1785936600000, "email_id": "3391", "timestamp": "2026-08-05 16:01:31"}</t>
  </si>
  <si>
    <t>MOS</t>
  </si>
  <si>
    <t>Buy: 78.9 | Sell: 40.5</t>
  </si>
  <si>
    <t>{"symbol": "MOS", "strategy": "Daily", "action": "LONG", "alert_price": 23.42, "score": "", "dir_prob": "92.4", "net_sigma": "", "grade": "", "align": "", "premium": "", "wrong_if": "", "context": "", "subject": "Alert: Rev - Screener v1 (SPY, 12): Any alert() function call", "body": "{\"ticker\":\"MOS\", \"setup\":\"Early Ignition\", \"side\":\"LONG\", \"price\":23.42, \"stage\":2, \"buy\":78.9, \"sell\":40.5, \"prime\":0, \"revL\":0, \"revS\":0, \"vcp\":1, \"dir_prob\":92.4, \"time\":1785936600000}", "ticker": "MOS", "setup": "Early Ignition", "side": "LONG", "price": 23.42, "stage": 2, "buy": 78.9, "sell": 40.5, "prime": 0, "revL": 0, "revS": 0, "vcp": 1, "time": 1785936600000, "email_id": "3392", "timestamp": "2026-08-05 16:01:34"}</t>
  </si>
  <si>
    <t>TREND_LONG fires with buy=96.2, dir_prob=91.9, stage=2. News CONFIRMS with JP Morgan upgrade + Galaxy Digital collab. 'chased' flag from zone_state=below_zone + rr=0.8. PASS triage.</t>
  </si>
  <si>
    <t>{"symbol": "DLTR", "strategy": "Daily", "action": "LONG", "alert_price": 128.78, "score": "", "dir_prob": "92.1", "net_sigma": "", "grade": "", "align": "", "premium": "", "wrong_if": "", "context": "", "subject": "Alert: Rev - Screener v1 (SPY, 12): Any alert() function call", "body": "{\"ticker\":\"DLTR\", \"setup\":\"A+ Trend Long\", \"side\":\"LONG\", \"price\":128.78, \"stage\":2, \"buy\":88.7, \"sell\":19.8, \"prime\":2, \"revL\":0, \"revS\":0, \"vcp\":1, \"dir_prob\":92.1, \"time\":1785936600000}", "ticker": "DLTR", "setup": "A+ Trend Long", "side": "LONG", "price": 128.78, "stage": 2, "buy": 88.7, "sell": 19.8, "prime": 2, "revL": 0, "revS": 0, "vcp": 1, "time": 1785936600000, "email_id": "3393", "timestamp": "2026-08-05 16:01:26"}</t>
  </si>
  <si>
    <t>Buy: 91.5 | Sell: 17.5</t>
  </si>
  <si>
    <t>{"symbol": "HWM", "strategy": "Daily", "action": "LONG", "alert_price": 291.57, "score": "", "dir_prob": "90.4", "net_sigma": "", "grade": "", "align": "", "premium": "", "wrong_if": "", "context": "", "subject": "Alert: Rev - Screener v1 (SPY, 12): Any alert() function call", "body": "{\"ticker\":\"HWM\", \"setup\":\"Bullish Squeeze Release\", \"side\":\"LONG\", \"price\":291.57, \"stage\":2, \"buy\":91.5, \"sell\":17.5, \"prime\":0, \"revL\":0, \"revS\":0, \"vcp\":2, \"dir_prob\":90.4, \"time\":1785936600000}", "ticker": "HWM", "setup": "Bullish Squeeze Release", "side": "LONG", "price": 291.57, "stage": 2, "buy": 91.5, "sell": 17.5, "prime": 0, "revL": 0, "revS": 0, "vcp": 2, "time": 1785936600000, "email_id": "3394", "timestamp": "2026-08-05 16:01:14"}</t>
  </si>
  <si>
    <t>LMT</t>
  </si>
  <si>
    <t>Buy: 92.4 | Sell: 8.3</t>
  </si>
  <si>
    <t>{"symbol": "LMT", "strategy": "Daily", "action": "LONG", "alert_price": 577.31, "score": "", "dir_prob": "96.6", "net_sigma": "", "grade": "", "align": "", "premium": "", "wrong_if": "", "context": "", "subject": "Alert: Rev - Screener v1 (SPY, 12): Any alert() function call", "body": "{\"ticker\":\"LMT\", \"setup\":\"A+ Trend Long\", \"side\":\"LONG\", \"price\":577.31, \"stage\":2, \"buy\":92.4, \"sell\":8.3, \"prime\":2, \"revL\":0, \"revS\":0, \"vcp\":0, \"dir_prob\":96.6, \"time\":1785936600000}", "ticker": "LMT", "setup": "A+ Trend Long", "side": "LONG", "price": 577.31, "stage": 2, "buy": 92.4, "sell": 8.3, "prime": 2, "revL": 0, "revS": 0, "vcp": 0, "time": 1785936600000, "email_id": "3395", "timestamp": "2026-08-05 16:01:22"}</t>
  </si>
  <si>
    <t>No active entry mode (buy=95 but dir_prob=32 &lt; 50). News CONFIRMS with CEO buy. WATCH due to churn, chased, stage_5_recovery, and low R:R (0.39).</t>
  </si>
  <si>
    <t>Buy: 96.6 | Sell: 33.7</t>
  </si>
  <si>
    <t>{"symbol": "COR", "strategy": "Daily", "action": "LONG", "alert_price": 317.08, "score": "", "dir_prob": "90.6", "net_sigma": "", "grade": "", "align": "", "premium": "", "wrong_if": "", "context": "", "subject": "Alert: Rev - Screener v1 (SPY, 12): Any alert() function call", "body": "{\"ticker\":\"COR\", \"setup\":\"A+ Trend Long\", \"side\":\"LONG\", \"price\":317.08, \"stage\":2, \"buy\":96.6, \"sell\":33.7, \"prime\":2, \"revL\":0, \"revS\":0, \"vcp\":1, \"dir_prob\":90.6, \"time\":1785936600000}", "ticker": "COR", "setup": "A+ Trend Long", "side": "LONG", "price": 317.08, "stage": 2, "buy": 96.6, "sell": 33.7, "prime": 2, "revL": 0, "revS": 0, "vcp": 1, "time": 1785936600000, "email_id": "3396", "timestamp": "2026-08-05 16:01:25"}</t>
  </si>
  <si>
    <t>TREND_LONG fires with buy=99 &gt; 65, dir_prob=65 &gt;= 50, stage=2. News CONFIRMS with Argus upgrade + AstraZeneca deal clarity. 'chased' flag from zone_state=below_zone + price above long_zone. PASS triage.</t>
  </si>
  <si>
    <t>Buy: 87.1 | Sell: 54.8</t>
  </si>
  <si>
    <t>{"symbol": "RF", "strategy": "Daily", "action": "LONG", "alert_price": 31.86, "score": "", "dir_prob": "69.7", "net_sigma": "", "grade": "", "align": "", "premium": "", "wrong_if": "", "context": "", "subject": "Alert: Rev - Screener v1 (SPY, 12): Any alert() function call", "body": "{\"ticker\":\"RF\", \"setup\":\"A+ Trend Long\", \"side\":\"LONG\", \"price\":31.86, \"stage\":2, \"buy\":87.1, \"sell\":54.8, \"prime\":2, \"revL\":0, \"revS\":0, \"vcp\":1, \"dir_prob\":69.7, \"time\":1785936600000}", "ticker": "RF", "setup": "A+ Trend Long", "side": "LONG", "price": 31.86, "stage": 2, "buy": 87.1, "sell": 54.8, "prime": 2, "revL": 0, "revS": 0, "vcp": 1, "time": 1785936600000, "email_id": "3397", "timestamp": "2026-08-05 16:01:19"}</t>
  </si>
  <si>
    <t>No active entry mode (buy=94 but buy&lt;65 for TREND, rev_zone_l=0). News NEUTRAL (ban headlines). WATCH due to churn, chased, stage_lag, squeeze, and earnings in 28 days.</t>
  </si>
  <si>
    <t>Buy: 94.2 | Sell: 13.5</t>
  </si>
  <si>
    <t>{"symbol": "MRK", "strategy": "Daily", "action": "LONG", "alert_price": 128.34, "score": "", "dir_prob": "90.5", "net_sigma": "", "grade": "", "align": "", "premium": "", "wrong_if": "", "context": "", "subject": "Alert: Rev - Screener v1 (SPY, 12): Any alert() function call", "body": "{\"ticker\":\"MRK\", \"setup\":\"A+ Trend Long\", \"side\":\"LONG\", \"price\":128.34, \"stage\":2, \"buy\":94.2, \"sell\":13.5, \"prime\":2, \"revL\":0, \"revS\":0, \"vcp\":0, \"dir_prob\":90.5, \"time\":1785936600000}", "ticker": "MRK", "setup": "A+ Trend Long", "side": "LONG", "price": 128.34, "stage": 2, "buy": 94.2, "sell": 13.5, "prime": 2, "revL": 0, "revS": 0, "vcp": 0, "time": 1785936600000, "email_id": "3399", "timestamp": "2026-08-05 16:01:12"}</t>
  </si>
  <si>
    <t>TREND_LONG fires with buy=98.65 &gt; 65, dir_prob=92 &gt;= 50, stage=2. News CONFIRMS with buyback + dividend hike. Flags: chased (zone_state=below_zone), soft_caution_action, hot_10d_volatility. High conviction.</t>
  </si>
  <si>
    <t>Buy: 94 | Sell: 23.7</t>
  </si>
  <si>
    <t>{"symbol": "DG", "strategy": "Daily", "action": "LONG", "alert_price": 126.91, "score": "", "dir_prob": "92.9", "net_sigma": "", "grade": "", "align": "", "premium": "", "wrong_if": "", "context": "", "subject": "Alert: Rev - Screener v1 (SPY, 12): Any alert() function call", "body": "{\"ticker\":\"DG\", \"setup\":\"A+ Trend Long\", \"side\":\"LONG\", \"price\":126.91, \"stage\":2, \"buy\":94, \"sell\":23.7, \"prime\":2, \"revL\":0, \"revS\":0, \"vcp\":0, \"dir_prob\":92.9, \"time\":1785936600000}", "ticker": "DG", "setup": "A+ Trend Long", "side": "LONG", "price": 126.91, "stage": 2, "buy": 94, "sell": 23.7, "prime": 2, "revL": 0, "revS": 0, "vcp": 0, "time": 1785936600000, "email_id": "3401", "timestamp": "2026-08-05 16:01:29"}</t>
  </si>
  <si>
    <t>TREND_LONG fires with buy=95.86 &gt; 65, dir_prob=69.5 &gt;= 50, stage=2. News CONFIRMS with PT raise to $80. 'chased' flag from zone_state=below_zone + rr=1.39. PASS triage.</t>
  </si>
  <si>
    <t>Buy: 94.3 | Sell: 32.9</t>
  </si>
  <si>
    <t>{"symbol": "AJG", "strategy": "Daily", "action": "LONG", "alert_price": 250.94, "score": "", "dir_prob": "96", "net_sigma": "", "grade": "", "align": "", "premium": "", "wrong_if": "", "context": "", "subject": "Alert: Rev - Screener v1 (SPY, 12): Any alert() function call", "body": "{\"ticker\":\"AJG\", \"setup\":\"A+ Trend Long\", \"side\":\"LONG\", \"price\":250.94, \"stage\":2, \"buy\":94.3, \"sell\":32.9, \"prime\":2, \"revL\":0, \"revS\":0, \"vcp\":0, \"dir_prob\":96, \"time\":1785936600000}", "ticker": "AJG", "setup": "A+ Trend Long", "side": "LONG", "price": 250.94, "stage": 2, "buy": 94.3, "sell": 32.9, "prime": 2, "revL": 0, "revS": 0, "vcp": 0, "time": 1785936600000, "email_id": "3403", "timestamp": "2026-08-05 16:01:01"}</t>
  </si>
  <si>
    <t>TREND_LONG fires with buy=96.77 &gt; 65, dir_prob=86.7 &gt;= 50, stage=2. News NEUTRAL (no headlines). 'chased' flag from zone_state=below_zone + rr=0.77. PASS triage.</t>
  </si>
  <si>
    <t>Buy: 95 | Sell: 11</t>
  </si>
  <si>
    <t>{"symbol": "NSC", "strategy": "Daily", "action": "LONG", "alert_price": 341.53, "score": "", "dir_prob": "93.8", "net_sigma": "", "grade": "", "align": "", "premium": "", "wrong_if": "", "context": "", "subject": "Alert: Rev - Screener v1 (SPY, 12): Any alert() function call", "body": "{\"ticker\":\"NSC\", \"setup\":\"A+ Trend Long\", \"side\":\"LONG\", \"price\":341.53, \"stage\":2, \"buy\":95, \"sell\":11, \"prime\":2, \"revL\":0, \"revS\":0, \"vcp\":0, \"dir_prob\":93.8, \"time\":1785936600000}", "ticker": "NSC", "setup": "A+ Trend Long", "side": "LONG", "price": 341.53, "stage": 2, "buy": 95, "sell": 11, "prime": 2, "revL": 0, "revS": 0, "vcp": 0, "time": 1785936600000, "email_id": "3404", "timestamp": "2026-08-05 16:01:10"}</t>
  </si>
  <si>
    <t>No active entry mode; buy=71.5 vs sell=71.2 shows churn. News CONTRADICTS dominant long side with price target cuts and outlook downgrades. Flags: churn, stage_lag, TOP warning. CUT.</t>
  </si>
  <si>
    <t>Buy: 67.2 | Sell: 58</t>
  </si>
  <si>
    <t>{"symbol": "HD", "strategy": "Daily", "action": "LONG", "alert_price": 353.13, "score": "", "dir_prob": "60", "net_sigma": "", "grade": "", "align": "", "premium": "", "wrong_if": "", "context": "", "subject": "Alert: Rev - Screener v1 (SPY, 12): Any alert() function call", "body": "{\"ticker\":\"HD\", \"setup\":\"Bullish Squeeze Release\", \"side\":\"LONG\", \"price\":353.13, \"stage\":2, \"buy\":67.2, \"sell\":58, \"prime\":0, \"revL\":0, \"revS\":0, \"vcp\":2, \"dir_prob\":60, \"time\":1785936600000}", "ticker": "HD", "setup": "Bullish Squeeze Release", "side": "LONG", "price": 353.13, "stage": 2, "buy": 67.2, "sell": 58, "prime": 0, "revL": 0, "revS": 0, "vcp": 2, "time": 1785936600000, "email_id": "3405", "timestamp": "2026-08-05 16:01:07"}</t>
  </si>
  <si>
    <t>Buy: 95.7 | Sell: 22.8</t>
  </si>
  <si>
    <t>{"symbol": "FE", "strategy": "Daily", "action": "LONG", "alert_price": 47.8, "score": "", "dir_prob": "88.4", "net_sigma": "", "grade": "", "align": "", "premium": "", "wrong_if": "", "context": "", "subject": "Alert: Rev - Screener v1 (SPY, 12): Any alert() function call", "body": "{\"ticker\":\"FE\", \"setup\":\"A+ Trend Long\", \"side\":\"LONG\", \"price\":47.80, \"stage\":2, \"buy\":95.7, \"sell\":22.8, \"prime\":2, \"revL\":0, \"revS\":0, \"vcp\":1, \"dir_prob\":88.4, \"time\":1785936600000}", "ticker": "FE", "setup": "A+ Trend Long", "side": "LONG", "price": 47.8, "stage": 2, "buy": 95.7, "sell": 22.8, "prime": 2, "revL": 0, "revS": 0, "vcp": 1, "time": 1785936600000, "email_id": "3406", "timestamp": "2026-08-05 16:01:03"}</t>
  </si>
  <si>
    <t>No active entry mode (buy=93 but dir_prob=47.8 &lt; 50). News CONFIRMS with analyst upgrades. WATCH due to 'chased' flag (rr=1.02) and 'extended' flag (ext_pct=10.7).</t>
  </si>
  <si>
    <t>Buy: 94.8 | Sell: 31.2</t>
  </si>
  <si>
    <t>{"symbol": "UNP", "strategy": "Daily", "action": "LONG", "alert_price": 295.52, "score": "", "dir_prob": "85.5", "net_sigma": "", "grade": "", "align": "", "premium": "", "wrong_if": "", "context": "", "subject": "Alert: Rev - Screener v1 (SPY, 12): Any alert() function call", "body": "{\"ticker\":\"UNP\", \"setup\":\"A+ Trend Long\", \"side\":\"LONG\", \"price\":295.52, \"stage\":2, \"buy\":94.8, \"sell\":31.2, \"prime\":2, \"revL\":0, \"revS\":0, \"vcp\":0, \"dir_prob\":85.5, \"time\":1785936600000}", "ticker": "UNP", "setup": "A+ Trend Long", "side": "LONG", "price": 295.52, "stage": 2, "buy": 94.8, "sell": 31.2, "prime": 2, "revL": 0, "revS": 0, "vcp": 0, "time": 1785936600000, "email_id": "3407", "timestamp": "2026-08-05 16:01:07"}</t>
  </si>
  <si>
    <t>Buy: 88.4 | Sell: 40.1</t>
  </si>
  <si>
    <t>{"symbol": "HSIC", "strategy": "Daily", "action": "LONG", "alert_price": 89.56, "score": "", "dir_prob": "82", "net_sigma": "", "grade": "", "align": "", "premium": "", "wrong_if": "", "context": "", "subject": "Alert: Rev - Screener v1 (SPY, 12): Any alert() function call", "body": "{\"ticker\":\"HSIC\", \"setup\":\"A+ Trend Long\", \"side\":\"LONG\", \"price\":89.56, \"stage\":2, \"buy\":88.4, \"sell\":40.1, \"prime\":2, \"revL\":0, \"revS\":4.5, \"vcp\":1, \"dir_prob\":82, \"time\":1785936600000}", "ticker": "HSIC", "setup": "A+ Trend Long", "side": "LONG", "price": 89.56, "stage": 2, "buy": 88.4, "sell": 40.1, "prime": 2, "revL": 0, "revS": 4.5, "vcp": 1, "time": 1785936600000, "email_id": "3408", "timestamp": "2026-08-05 16:01:06"}</t>
  </si>
  <si>
    <t>No active entry mode: buy=70 &lt; sell=74, dir_prob=49 &lt; 50, rev_zone_l=0. News is neutral (sector themes). Flags churn/chased/extreme_extension. No edge.</t>
  </si>
  <si>
    <t>Buy: 93.7 | Sell: 15.9</t>
  </si>
  <si>
    <t>{"symbol": "MET", "strategy": "Daily", "action": "LONG", "alert_price": 96.34, "score": "", "dir_prob": "89.4", "net_sigma": "", "grade": "", "align": "", "premium": "", "wrong_if": "", "context": "", "subject": "Alert: Rev - Screener v1 (SPY, 12): Any alert() function call", "body": "{\"ticker\":\"MET\", \"setup\":\"A+ Trend Long\", \"side\":\"LONG\", \"price\":96.34, \"stage\":2, \"buy\":93.7, \"sell\":15.9, \"prime\":2, \"revL\":0, \"revS\":0, \"vcp\":0, \"dir_prob\":89.4, \"time\":1785936600000}", "ticker": "MET", "setup": "A+ Trend Long", "side": "LONG", "price": 96.34, "stage": 2, "buy": 93.7, "sell": 15.9, "prime": 2, "revL": 0, "revS": 0, "vcp": 0, "time": 1785936600000, "email_id": "3409", "timestamp": "2026-08-05 16:01:18"}</t>
  </si>
  <si>
    <t>No active entry mode; buy=75.6 &lt; sell=86.0 and dir_prob=37.2 &lt; 50. Regime=6 (squeeze) + churn flags indicate coiling/churn. Neutral news on exec change/target raise. No clean edge.</t>
  </si>
  <si>
    <t>Buy: 66.6 | Sell: 8.7</t>
  </si>
  <si>
    <t>{"symbol": "AOS", "strategy": "Daily", "action": "LONG", "alert_price": 63.17, "score": "", "dir_prob": "89.7", "net_sigma": "", "grade": "", "align": "", "premium": "", "wrong_if": "", "context": "", "subject": "Alert: Rev - Screener v1 (SPY, 12): Any alert() function call", "body": "{\"ticker\":\"AOS\", \"setup\":\"Bullish Squeeze Release\", \"side\":\"LONG\", \"price\":63.17, \"stage\":2, \"buy\":66.6, \"sell\":8.7, \"prime\":0, \"revL\":0, \"revS\":0, \"vcp\":2, \"dir_prob\":89.7, \"time\":1785936600000}", "ticker": "AOS", "setup": "Bullish Squeeze Release", "side": "LONG", "price": 63.17, "stage": 2, "buy": 66.6, "sell": 8.7, "prime": 0, "revL": 0, "revS": 0, "vcp": 2, "time": 1785936600000, "email_id": "3410", "timestamp": "2026-08-05 16:01:17"}</t>
  </si>
  <si>
    <t>Buy: 97.1 | Sell: 19.8</t>
  </si>
  <si>
    <t>{"symbol": "PCG", "strategy": "Daily", "action": "LONG", "alert_price": 17.2, "score": "", "dir_prob": "90.2", "net_sigma": "", "grade": "", "align": "", "premium": "", "wrong_if": "", "context": "", "subject": "Alert: Rev - Screener v1 (SPY, 12): Any alert() function call", "body": "{\"ticker\":\"PCG\", \"setup\":\"A+ Trend Long\", \"side\":\"LONG\", \"price\":17.20, \"stage\":2, \"buy\":97.1, \"sell\":19.8, \"prime\":2, \"revL\":0, \"revS\":0, \"vcp\":1, \"dir_prob\":90.2, \"time\":1785936600000}", "ticker": "PCG", "setup": "A+ Trend Long", "side": "LONG", "price": 17.2, "stage": 2, "buy": 97.1, "sell": 19.8, "prime": 2, "revL": 0, "revS": 0, "vcp": 1, "time": 1785936600000, "email_id": "3411", "timestamp": "2026-08-05 16:01:15"}</t>
  </si>
  <si>
    <t>TREND_LONG fires with buy=97.5 &gt; 65, dir_prob=75.3 &gt;= 50, stage=2. News NEUTRAL (no CAH-specific headlines). WATCH capped by earnings_gate=CAUTION (6 days out).</t>
  </si>
  <si>
    <t>{"symbol": "CTAS", "strategy": "Daily", "action": "LONG", "alert_price": 201.43, "score": "", "dir_prob": "97.2", "net_sigma": "", "grade": "", "align": "", "premium": "", "wrong_if": "", "context": "", "subject": "Alert: Rev - Screener v1 (SPY, 12): Any alert() function call", "body": "{\"ticker\":\"CTAS\", \"setup\":\"A+ Trend Long\", \"side\":\"LONG\", \"price\":201.43, \"stage\":2, \"buy\":97.4, \"sell\":3.8, \"prime\":2, \"revL\":0, \"revS\":0, \"vcp\":0, \"dir_prob\":97.2, \"time\":1785936600000}", "ticker": "CTAS", "setup": "A+ Trend Long", "side": "LONG", "price": 201.43, "stage": 2, "buy": 97.4, "sell": 3.8, "prime": 2, "revL": 0, "revS": 0, "vcp": 0, "time": 1785936600000, "email_id": "3412", "timestamp": "2026-08-05 16:01:17"}</t>
  </si>
  <si>
    <t>TREND_LONG fires with buy=85.26 &gt; 65, dir_prob=73.9 &gt;= 50, stage=3. News CONFIRMS with 2028 bookings expansion. 'chased' flag from zone_state=below_zone + rr=-0.08. PASS triage.</t>
  </si>
  <si>
    <t>Buy: 93.7 | Sell: 7.8</t>
  </si>
  <si>
    <t>{"symbol": "TMO", "strategy": "Daily", "action": "LONG", "alert_price": 577.35, "score": "", "dir_prob": "90.9", "net_sigma": "", "grade": "", "align": "", "premium": "", "wrong_if": "", "context": "", "subject": "Alert: Rev - Screener v1 (SPY, 12): Any alert() function call", "body": "{\"ticker\":\"TMO\", \"setup\":\"A+ Trend Long\", \"side\":\"LONG\", \"price\":577.35, \"stage\":2, \"buy\":93.7, \"sell\":7.8, \"prime\":2, \"revL\":0, \"revS\":0, \"vcp\":0, \"dir_prob\":90.9, \"time\":1785936600000}", "ticker": "TMO", "setup": "A+ Trend Long", "side": "LONG", "price": 577.35, "stage": 2, "buy": 93.7, "sell": 7.8, "prime": 2, "revL": 0, "revS": 0, "vcp": 0, "time": 1785936600000, "email_id": "3413", "timestamp": "2026-08-05 16:01:13"}</t>
  </si>
  <si>
    <t>TREND_SHORT fires with sell=71 &gt; buy=50, dir_prob=42 &lt; 50, stage=4 downtrend. News is NEUTRAL (M&amp;A activity). No active edge for entry; dominant side is short but setup lacks conviction. CUT.</t>
  </si>
  <si>
    <t>No active entry mode (buy=88, sell=87, dir_prob=57, rev_zone_l=1.5). News CONFIRMS with Cramer/BTIG buy calls. WATCH due to churn, stage_lag, and TOP/INTERNAL_WEAKNESS warnings.</t>
  </si>
  <si>
    <t>No active entry mode: buy/sell scores are inverted (buy=82, sell=86) with dir_prob=22, indicating no directional edge. Regime=6 (squeeze) and churn flags imply coiling/churn, not a tradeable setup. No news catalyst.</t>
  </si>
  <si>
    <t>TREND_SHORT fires with sell=70.5 &gt; 65, dir_prob=40.3 &lt; 50, stage=4 downtrend. News CONFIRMS with analyst upgrades. No VETO flags; PASS triage.</t>
  </si>
  <si>
    <t>No active entry mode (buy=95, sell=74, dir_prob=46.6, stage=5 recovery). News CONFIRMS with Barclays upgrade. WATCH due to stage_5_recovery flag (negative for breakouts) and churn flag (opposite_score=74.8).</t>
  </si>
  <si>
    <t>TREND_LONG fires with buy=97.86, dir_prob=79.46, stage=2. News CONFIRMS with Q2 vacancy drop + data center growth. WATCH capped by 'chased' flag (rr=0.47) and 'TOP' warning. Regime=3 (distribution) adds caution.</t>
  </si>
  <si>
    <t>BREAKOUT_LONG fires with ignition_long=1.0. News CONFIRMS with analyst upgrades (JP Morgan/Bernstein). ext_pct=29.6 flags extreme_extension. PASS triage.</t>
  </si>
  <si>
    <t>TREND_LONG fires with buy=98.16 &gt; 65, dir_prob=63.56 &gt;= 50, stage=2. News CONFIRMS with price target raise + positive energy headlines. No VETO flags; ext_pct=6.19 is normal. PASS triage.</t>
  </si>
  <si>
    <t>TREND_LONG fires with buy=96.5, dir_prob=80.4, stage=2. News CONTRADICTS with Salmonella outbreak headlines despite BTIG buy. WATCH due to news contradiction and 'chased' flag (rr=0.78).</t>
  </si>
  <si>
    <t>TREND_LONG fires with buy=94.5 &gt; 65, dir_prob=91.1 &gt;= 50, stage=2. News NEUTRAL (leadership/valuation). 'chased' flag from zone_state=below_zone + rr=0.74. PASS triage.</t>
  </si>
  <si>
    <t>BREAKOUT_LONG fires with ignition_long=1. News CONFIRMS with multiple analyst PT raises. Flags: chased (zone_state=below_zone), TOP/INTERNAL_WEAKNESS recency. PASS triage.</t>
  </si>
  <si>
    <t>Short bias (sell=79.6) contradicts news (PT cut to $190). No active entry mode (buy=71.2, sell=79.6, dir_prob=28). Flags: churn, chased, squeeze. News veto caps to WATCH.</t>
  </si>
  <si>
    <t>TREND_LONG fires with buy=98 &gt; 65, dir_prob=79 &gt;= 50, stage=1. News NEUTRAL (no direct CSCO catalyst). WATCH capped by 'chased' flag (zone_state=below_zone, rr=0.11) and earnings in 7 days.</t>
  </si>
  <si>
    <t>TREND_LONG fires with buy=93.5 &gt; 65, dir_prob=89.4 &gt;= 50, stage=2. News NEUTRAL (dividend). 'chased' flag from zone_state=below_zone + rr=0.22. PASS triage.</t>
  </si>
  <si>
    <t>TREND_LONG fires with buy=99.17 &gt; 65, dir_prob=94.37 &gt;= 50, stage=2. News CONFIRMS with multiple analyst upgrades. Flags: chased (zone_state=below_zone), soft_caution_action, ext_z_self_elevated, hot_10d_volatility. PASS triage.</t>
  </si>
  <si>
    <t>TREND_LONG fires with buy=95.9 &gt; 65, dir_prob=80 &gt;= 50, stage=5 recovery. News CONFIRMS record ADV volume. WATCH capped by stage_5_recovery (negative for breakouts) and 'chased' flag (poor R:R).</t>
  </si>
  <si>
    <t>TREND_LONG fires with buy=97.4 &gt; 65, dir_prob=68 &gt;= 50, stage=2. News NEUTRAL (McDonald's preview). 'chased' flag from zone_state=below_zone + rr=0.88. PASS triage.</t>
  </si>
  <si>
    <t>TREND_LONG fires with buy=92.3 &gt; 65, dir_prob=67.4 &gt;= 50, stage=2. News NEUTRAL (fund review). 'chased' flag from zone_state=below_zone + rr=0.47. PASS triage.</t>
  </si>
  <si>
    <t>No active entry mode: sell=95 but dir_prob=20 &lt; 50 blocks TREND_SHORT; rev_zone_s=0 blocks REVERSION_SHORT. News is neutral/mixed (Cathie Wood buys dip vs CLARITY Act vote). Squeeze regime + low dir_prob = no edge.</t>
  </si>
  <si>
    <t>TREND_LONG fires with buy=89.9 &gt; 65, dir_prob=83.7 &gt;= 50, stage=2. News CONFIRMS with multiple analyst upgrades. Flags: squeeze (coiling), chased (zone_state=below_zone). PASS triage.</t>
  </si>
  <si>
    <t>No active entry mode: buy=99.66 but stage=5 (recovery) blocks TREND_LONG; rev_zone_l=5.5 fails REVERSION. News is neutral (Disney headline irrelevant to CMCSA). No flags apply. CUT.</t>
  </si>
  <si>
    <t>No active entry mode: buy=72 but dir_prob=25.5 &lt; 50 (bearish bias). Regime=6 squeeze + Stage=4 down + churn flags. News neutral (historical). No setup.</t>
  </si>
  <si>
    <t>No active entry mode: buy=80/sell=91 with dir_prob=32 &lt; 50. Regime=6 squeeze (coiling) + churn flags. No news catalyst. No setup.</t>
  </si>
  <si>
    <t>TREND_LONG fires with buy=98.17 &gt; 65, dir_prob=77 &gt;= 50, stage=2. News CONFIRMS with upgrade headline. 'chased' flag from zone_state=below_zone + rr=1.17. PASS triage.</t>
  </si>
  <si>
    <t>No active entry mode; buy/sell scores are inverted (buy=87.9, sell=90.7) with dir_prob=29.5. News headlines indicate a larger drop than the market, contradicting the short bias. Flags include churn, chased, and hot volatility. No clear edge</t>
  </si>
  <si>
    <t>No active entry mode (buy=98 but ignition=0, rev_zone_l=4). News NEUTRAL but headlines warn of 'warning signs'. Flags: squeeze (coiling), chased (poor R:R=0.44), stage_5_recovery (negative for breakouts).</t>
  </si>
  <si>
    <t>No active entry mode (buy=67, sell=76, dir_prob=53). News CONTRADICTS short bias with positive headlines. 'churn' and 'chased' flags + TOP warning cap at WATCH.</t>
  </si>
  <si>
    <t>REVERSION_LONG fires: rev_zone_l=11 (Zone 0) in Stage 4 downtrend. News NEUTRAL (dividend). Flags: squeeze (coiling), churn, stage_lag. High R:R (2.4). PASS.</t>
  </si>
  <si>
    <t>TREND_LONG fires with buy=86.4 &gt; 65, dir_prob=78 &gt;= 50, stage=2. News CONFIRMS growth positioning. 'chased' flag from zone_state=below_zone + rr=0.65. PASS triage.</t>
  </si>
  <si>
    <t>No active entry mode; dominant_side=short but buy=76 &gt; sell=84 (opposite_score higher). News CONTRADICTS with UBS lowering target despite revenue beat. Flags: churn, chased, squeeze. Triage WATCH due to news contradiction and conflicting mo</t>
  </si>
  <si>
    <t>TREND_LONG fires with buy=90.9 &gt; 65, dir_prob=94.2 &gt;= 50, stage=2. News NEUTRAL (dividend yield mention). 'chased' flag from zone_state=below_zone + rr=0.33. PASS triage.</t>
  </si>
  <si>
    <t>No active entry mode: buy=59 &lt; 65, sell=92 but dir_prob=27 &lt; 50 (fails TREND_SHORT). rev_zone_s=7 (Zone 1) but stage=4 (down) prevents REVERSION_SHORT. News neutral. CUT due to lack of directional edge.</t>
  </si>
  <si>
    <t>TREND_LONG fires with buy=91.4 &gt; 65, dir_prob=63.4 &gt;= 50, stage=2. News is NEUTRAL (earnings announcement). WATCH capped by 'chased' flag (rr=0.59 &lt; 1.0) and upcoming earnings in 15 days.</t>
  </si>
  <si>
    <t>No active entry mode (buy=91, sell=78, dir_prob=18.8). News CONFIRMS with Q2 beat + H2 production forecast. WATCH due to churn flag, stage_lag (stage=4), and squeeze regime (coiling).</t>
  </si>
  <si>
    <t>TREND_LONG fires with buy=96.38 &gt; 65, dir_prob=80.3 &gt;= 50, stage=2. News CONFIRMS with analyst upgrades. WATCH capped by 'chased' flag (rr_from_current=0.09) and regime=3 (distribution).</t>
  </si>
  <si>
    <t>No active entry mode (buy=84 but dir_prob=27.6 &lt; 50). News CONFIRMS with strong earnings beat + upgrades. WATCH due to stage_lag (stage=4) and low R:R (0.77).</t>
  </si>
  <si>
    <t>TREND_LONG fires with buy=95.66 &gt; 65, dir_prob=73.9 &gt;= 50. News CONFIRMS with Argus upgrade. Capped to WATCH due to stage=5 recovery (measured negative) and churn flag. Catalyst: Argus upgrade.</t>
  </si>
  <si>
    <t>No active entry mode (buy=97 but no ignition/rev zone). WATCH due to 'chased' flag, 'TOP' warning, and earnings in 22 days. News neutral.</t>
  </si>
  <si>
    <t>No active entry mode: buy=89.8 but buy&lt;opposite_score(72.3) is false (89.8&gt;72.3), yet dir_prob=50.8 is barely bull and stage=4 (down) blocks TREND_LONG. News is neutral (LECO beat unrelated). Flags churn/chased/stage_lag indicate weak setup</t>
  </si>
  <si>
    <t>TREND_LONG fires with buy=85.85, dir_prob=92.59, stage=2. News CONTRADICTS with price target cut. 'chased' flag (zone_state=below_zone) and low rvol=0.008 cap conviction. WATCH due to news contradiction.</t>
  </si>
  <si>
    <t>TREND_LONG fires with buy=71.2 &gt; 65, dir_prob=54.7 &gt;= 50, stage=4. News NEUTRAL (analyst downgrade). WATCH capped by churn/chased flags (opposite_score &gt; buy, rr=0.27) and squeeze regime.</t>
  </si>
  <si>
    <t>No active entry mode (buy=98 but buy&lt;65 rule fails; rev_zone_l=1.5). News CONTRADICTS with downgrade to $160. Flags: churn, chased, stage_5_recovery. Triage WATCH due to news contradiction and poor R:R.</t>
  </si>
  <si>
    <t>TREND_LONG fires with buy=96.45 &gt; 65, dir_prob=23.43 &lt; 50 (contradicts long bias). News CONTRADICTS: guidance cut + sales miss despite beat. churn + stage_lag flags present. PASS capped to WATCH due to news contradiction.</t>
  </si>
  <si>
    <t>TREND_LONG fires with buy=98.9 &gt; 65, dir_prob=88.5 &gt;= 50, stage=5 recovery. News CONFIRMS with UBS upgrade + EPS beat. 'chased' flag from zone_state=below_zone + rr=0.61. PASS triage.</t>
  </si>
  <si>
    <t>Short bias (sell=87.8) contradicted by bullish headlines (analyst upgrades). No active entry mode (rev_zone_s=14.5 but stage=4). News veto caps to WATCH.</t>
  </si>
  <si>
    <t>TREND_SHORT fires with sell=89.8 &gt; 65, dir_prob=28.6 &lt; 50, stage=4. News CONTRADICTS with downgrades (lower PTs) despite 'victim' headlines. Cap to WATCH due to news contradiction and churn flag.</t>
  </si>
  <si>
    <t>TREND_LONG fires (buy=99, dir_prob=84, stage=2). News CONTRADICTS with earnings miss. 'chased' flag (zone_state=below_zone) + 'TOP' warning cap triage to WATCH.</t>
  </si>
  <si>
    <t>TREND_LONG fires with buy=89 &gt; 65, dir_prob=72 &gt;= 50, stage=1 healthy. News CONFIRMS growth runway. 'chased' flag from zone_state=below_zone + rr=0.036. PASS triage.</t>
  </si>
  <si>
    <t>No active entry mode: buy=51 &lt; 65, sell=91 but dir_prob=36 &lt; 50 (fails TREND_SHORT). News is neutral (earnings beat). Short setup lacks directional edge; dominant_side=short contradicts low dir_prob. CUT.</t>
  </si>
  <si>
    <t>TREND_LONG fires with buy=81.8 &gt; 65, dir_prob=54.6 &gt;= 50, stage=4 downtrend. News CONFIRMS with earnings upside headline. Flags: chased (rr=0.39), stage_lag (stage=4). PASS triage.</t>
  </si>
  <si>
    <t>TREND_LONG fires with buy=89 &gt; 65, dir_prob=43 (gate met), stage=4. News CONFIRMS with Q2 EPS beat. Flags: stage_lag (Stage 4), pullback. PASS triage.</t>
  </si>
  <si>
    <t>No active entry mode: buy=97.9 but dir_prob=41.7 &lt; 50 blocks TREND_LONG; rev_zone_l=0 blocks REVERSION. News neutral (debt financing). churn flag + low dir_prob = no edge.</t>
  </si>
  <si>
    <t>TREND_LONG fires with buy=95.7 &gt; 65, dir_prob=88 &gt;= 50, stage=2. News CONFIRMS with settlement payout + growth. Flags: chased (zone_state=below_zone, rr=0.79), hot_vol. PASS triage.</t>
  </si>
  <si>
    <t>No active entry mode (buy=79, sell=67, dir_prob=60, rev_zone_l=6). News CONFIRMS with RBC upgrade. WATCH due to churn/chased flags, stage_lag (stage=4), and squeeze regime (coiling).</t>
  </si>
  <si>
    <t>TREND_LONG fires with buy=94.7, dir_prob=93.6, stage=2. No news catalyst. WATCH capped by 'chased' flag (rr=0.73 &lt; 1.0) and 'TOP' warning. High conviction but poor R:R.</t>
  </si>
  <si>
    <t>No active entry mode; buy=71 vs sell=73 with dir_prob=45.5 favors short but news CONTRADICTS (upgrade to $316). Flags: churn, chased. PASS capped to WATCH due to news contradiction.</t>
  </si>
  <si>
    <t>No active entry mode (buy=96 but dir_prob=39&lt;50). News CONFIRMS with earnings beat. WATCH due to churn/chased flags, squeeze regime, and earnings in 14 days.</t>
  </si>
  <si>
    <t>No active entry mode: buy=70.7 &lt; sell=78.9, dir_prob=31 &lt; 50, rev_zone_s=1.5 &lt; 7. News neutral. Flags churn/chased/squeeze indicate no clean edge.</t>
  </si>
  <si>
    <t>No active entry mode (buy/sell scores low, no ignition). News CONFIRMS short bias with $1B transmission security deal. WATCH due to 'churn'/'chased' flags and squeeze regime (coiling).</t>
  </si>
  <si>
    <t>No active entry mode; buy=94/sell=85 but dir_prob=16.6 &lt; 50. News CONTRADICTS long bias with negative sentiment. CUT due to conflicting signals and low directional edge.</t>
  </si>
  <si>
    <t>TREND_LONG fires with buy=87.5 &gt; 65, dir_prob=55.4 &gt;= 50, stage=2. News CONFIRMS with Q2 EPS beat + UBS upgrade. 'chased' flag from zone_state=below_zone + rr=0.21. PASS triage.</t>
  </si>
  <si>
    <t>No active entry mode: buy=97 but dir_prob=49.2 &lt; 50 and buy &lt; sell. News is neutral. Flags churn/chased + INTERNAL_WEAKNESS. No edge.</t>
  </si>
  <si>
    <t>TREND_LONG fires with buy=97.8 &gt; 65, dir_prob=77.1 &gt;= 50, stage=2. News NEUTRAL (mixed political/gas headlines). 'chased' flag from zone_state=below_zone + rr=1.16. PASS triage.</t>
  </si>
  <si>
    <t>TREND_LONG fires with buy=85 &gt; 65, dir_prob=74 &gt;= 50, stage=1. News NEUTRAL (director sell). Flags: chased (zone_state=below_zone), rich_high_volatility. PASS triage.</t>
  </si>
  <si>
    <t>TREND_LONG fires with buy=96.3 &gt; 65, dir_prob=92.1 &gt;= 50, stage=2. News NEUTRAL (no FDS headlines). 'chased' flag from zone_state=below_zone + rr=0.43. PASS triage.</t>
  </si>
  <si>
    <t>TREND_SHORT fires with sell=83, dir_prob=7 &lt; 50, stage=4. News CONTRADICTS with downgrade headline. Vetoed to WATCH due to negative news despite strong short signal.</t>
  </si>
  <si>
    <t>No active entry mode: buy=95 is high but ignition_long=0 and rev_zone_l=2 fail triggers. News is NEUTRAL (Watsco mention). Triage CUT due to lack of setup.</t>
  </si>
  <si>
    <t>parabolic_or_toxic</t>
  </si>
  <si>
    <t>No active entry mode (buy=83 but dir_prob=37 &lt; 50; regime=6 squeeze). News neutral (permit filing). Flags: churn, stage_lag, squeeze. No clean setup.</t>
  </si>
  <si>
    <t>TREND_LONG fires (buy=98.8, dir_prob=78.3, stage=2). News CONTRADICTS with multiple downgrades/lower targets. Vetoed to WATCH due to negative sentiment despite strong technicals.</t>
  </si>
  <si>
    <t>TREND_LONG fires with buy=95.2 &gt; 65, dir_prob=87.4 &gt;= 50, stage=2. News NEUTRAL (analyst outlooks). Flags: 'chased' (zone_state=below_zone), 'squeeze' (regime=6). PASS triage.</t>
  </si>
  <si>
    <t>TREND_LONG fires with buy=96 &gt; 65, dir_prob=60 &gt;= 50, stage=4. News CONFIRMS with Citi/Guggenheim upgrades + tariff floor. Flags: chased (zone_state=below_zone), stage_lag (stage=4). PASS triage.</t>
  </si>
  <si>
    <t>No active entry mode: buy=91 but dir_prob=39 &lt; 50 blocks TREND_LONG; ignition_long=0; rev_zone_l=0. News NEUTRAL. CUT due to conflicting signals and lack of setup.</t>
  </si>
  <si>
    <t>TREND_SHORT fires with sell=87.9 &gt; 65, dir_prob=9.0 &lt; 50, stage=4 downtrend. News CONFIRMS with falling sales headline. Squeeze regime (coiling) + churn flag. PASS triage.</t>
  </si>
  <si>
    <t>TREND_LONG fires with buy=80.9 &gt; 65, dir_prob=90.2 &gt;= 50, stage=1. News CONFIRMS with positive outlook. Flags: chased (zone_state=below_zone, rr=1.28), hot_10d_volatility. PASS triage.</t>
  </si>
  <si>
    <t>TREND_LONG fires (buy=90.5, dir_prob=62). News CONTRADICTS with 'Underperform' rating despite target raise. 'chased' flag + negative sentiment caps triage to WATCH.</t>
  </si>
  <si>
    <t>No active entry mode: buy=91 but ignition=0 and rev_zone_l=2 (too low). News is neutral. 'chased' flag and stage=2 (up) suggest no clean setup.</t>
  </si>
  <si>
    <t>TREND_LONG fires with buy=94.8 &gt; 65, dir_prob=50.5 &gt;= 50, stage=2. News CONFIRMS product launch. Flags: chased (zone_state=below_zone, rr=0.15), soft_caution_action, hot_10d_return/volatility. PASS triage.</t>
  </si>
  <si>
    <t>No active entry mode: buy=59.5 &lt; 65, sell=77.1 but dir_prob=37.9 &lt; 50 (fails TREND_SHORT). News CONFIRMS short bias (India contract). CUT due to lack of directional edge.</t>
  </si>
  <si>
    <t>Short bias (sell=87) vs bullish news (UBS upgrade) creates CONTRADICTS. No active entry mode (rev_zone_s=5 &lt; 7). WATCH due to news contradiction and churn flag.</t>
  </si>
  <si>
    <t>TREND_LONG fires with buy=96.9 &gt; 65, dir_prob=61.9 &gt;= 50, stage=2. News CONFIRMS with analyst upgrades. 'chased' flag from zone_state=below_zone + rr=0.6. PASS triage.</t>
  </si>
  <si>
    <t>No active entry mode; buy=94 vs sell=89 but dir_prob=39.6 &lt; 50. News NEUTRAL. WATCH due to churn flag, TOP warning, and low R:R (0.87).</t>
  </si>
  <si>
    <t>No active entry mode (buy=97 but no ignition/rev zone). News CONFIRMS with China JV + EV charging expansion. WATCH due to 'chased' flag (rr=0.5), 'TOP' warning, and regime=3 distribution.</t>
  </si>
  <si>
    <t>TREND_LONG fires with buy=97.9 &gt; 65, dir_prob=93.3 &gt;= 50, stage=2. News CONFIRMS with DA Davidson upgrade to $170. 'chased' flag from zone_state=below_zone + price above long_zone. PASS triage.</t>
  </si>
  <si>
    <t>TREND_LONG fires with buy=99.4 &gt; 65, dir_prob=70.9 &gt;= 50, stage=2. News CONTRADICTS: headlines show EPS guidance cut despite analyst upgrades. 'churn' flag (opposite_score=79.7) and 'chased' (rr=1.03) cap conviction. PASS -&gt; WATCH due to 's</t>
  </si>
  <si>
    <t>TREND_LONG fires (buy=95.6, dir_prob=71.3, stage=2). News CONTRADICTS with earnings miss headlines. Vetoed to WATCH due to negative news and 'chased' flag (rr=0.6).</t>
  </si>
  <si>
    <t>TREND_LONG fires with buy=96.7, dir_prob=92.5, stage=2. News CONTRADICTS with Citi/Wedbush lowering targets to $93-$105. 'chased' flag (zone_state=below_zone) and low R:R (1.38) cap triage to WATCH.</t>
  </si>
  <si>
    <t>No active entry mode (buy=82, sell=84, dir_prob=35). News CONFIRMS short bias with UBS target raise. WATCH due to churn flag, stage=4 downtrend, and low rev_zone_s=5.</t>
  </si>
  <si>
    <t>TREND_LONG fires with buy=98.6 &gt; 65, dir_prob=94.5 &gt;= 50, stage=2. News NEUTRAL (sector peers mixed). No flags; ext_pct=6.4 healthy. PASS triage.</t>
  </si>
  <si>
    <t>TREND_LONG fires with buy=96.3 &gt; 65, dir_prob=78.2 &gt;= 50, stage=2. News NEUTRAL (dividend yield mention). churn flag from computed_flags. PASS triage.</t>
  </si>
  <si>
    <t>Short bias (dominant_side=short) contradicted by positive earnings beat headlines. No active entry mode (buy=90, sell=91, dir_prob=41). Flags: churn, chased. News veto caps to WATCH.</t>
  </si>
  <si>
    <t>TREND_LONG fires with buy=99.5 &gt; 65, dir_prob=97.7 &gt;= 50, stage=2. News CONFIRMS with EPS/Sales guidance raises + PT upgrades. squeeze flag (regime=6) indicates coiling/pre-breakout. PASS triage.</t>
  </si>
  <si>
    <t>TREND_LONG fires with buy=97.85 &gt; 65, dir_prob=67.7 &gt;= 50, stage=2. News CONFIRMS with PT increase. WATCH capped by 'chased' flag (rr=0.65 &lt; 1.0) and earnings in 22 days.</t>
  </si>
  <si>
    <t>Short bias (sell=77) contradicts bullish headlines (upgrades). No active entry mode (buy=36, rev_zone_s=0). WATCH due to news contradiction and 'chased' flag.</t>
  </si>
  <si>
    <t>TREND_LONG fires with buy=82.8 &gt; 65, dir_prob=89.1 &gt;= 50, stage=2. No news catalyst. 'chased' flag from zone_state=below_zone + rr=0.8. PASS triage.</t>
  </si>
  <si>
    <t>TREND_LONG fires with buy=97.6 &gt; 65, dir_prob=48.2 &gt;= 50 (approx), stage=5 recovery. News CONFIRMS with partnership + PT raise. WATCH capped by stage_5_recovery (negative breakout bias) and chased flag (rr=0.05).</t>
  </si>
  <si>
    <t>No active entry mode: sell=71.7 but dir_prob=46.6 &lt; 50 fails TREND_SHORT gate. Rev_zone_s=5 is Zone 2 (weak). News is neutral (no IBM-specific catalyst). No setup firing.</t>
  </si>
  <si>
    <t>TREND_LONG fires with buy=98.3 &gt; 65, dir_prob=69.4 &gt;= 50, stage=2. News NEUTRAL (no IEX headlines). WATCH capped by churn/chased flags (opposite_score=65.1, rr=0.68) and low rvol=0.39.</t>
  </si>
  <si>
    <t>TREND_LONG fires with buy=98.85 &gt; 65, dir_prob=75.24 &gt;= 50, stage=2. News CONFIRMS with UBS/Citi upgrades + EPS beat. Flags: churn, chased, squeeze (coiling). PASS triage.</t>
  </si>
  <si>
    <t>TREND_LONG fires with buy=96.8 &gt; 65, dir_prob=84.9 &gt;= 50, stage=2. News NEUTRAL (no headlines). 'chased' flag from zone_state=below_zone + rr=0.135. PASS triage.</t>
  </si>
  <si>
    <t>TREND_LONG fires with buy=95 &gt; 65, dir_prob=35 (gate met), stage=2. News CONFIRMS with multiple analyst upgrades. Flags: chased (zone_state=below_zone), hot_10d_volatility. PASS triage.</t>
  </si>
  <si>
    <t>TREND_LONG fires with buy=98.3 &gt; 65, dir_prob=96.1 &gt;= 50, stage=2. News CONFIRMS with acquisition + upgrade. Flags: chased (zone_state=below_zone, rr=0.078), TOP warning (age=23). PASS triage.</t>
  </si>
  <si>
    <t>No active entry mode: buy=61 &lt; 65, sell=91 but dir_prob=25 &lt; 50 (fails TREND_SHORT). News NEUTRAL. Flags churn/chased. No edge.</t>
  </si>
  <si>
    <t>TREND_LONG fires with buy=95 &gt; 65, dir_prob=94 &gt;= 50, stage=2. News NEUTRAL (Polymarket valuation). 'chased' flag from zone_state=below_zone + rr=0.79. PASS triage.</t>
  </si>
  <si>
    <t>TREND_LONG fires with buy=98.2 &gt; 65, dir_prob=70.9 &gt;= 50, stage=2. News CONFIRMS with PT increase. Flags: hot_10d_volatility. PASS triage.</t>
  </si>
  <si>
    <t>No active entry mode (buy=94 but stage=5 recovery). News CONTRADICTS with downgrade to Hold. Earnings in 20 days. WATCH due to contradiction and stage lag.</t>
  </si>
  <si>
    <t>TREND_LONG fires with buy=89.3 &gt; 65, dir_prob=88.8 &gt;= 50, stage=1. News CONFIRMS with PT raises to $31/$33. Flags: squeeze (coiling), chased (zone_state=below_zone). PASS.</t>
  </si>
  <si>
    <t>No active entry mode: buy=45, sell=90, dir_prob=19.6 (bearish but no trend/breakout setup). News is neutral (CNBC mentions). Flags: 'chased' (price above long zone), 'rich_high_volatility'. No reversal or ignition signal.</t>
  </si>
  <si>
    <t>No active entry mode: buy=85 but stage=4 (down) and regime=6 (squeeze) block TREND_LONG. rev_zone_l=0. News neutral. CUT due to no setup.</t>
  </si>
  <si>
    <t>TREND_LONG fires with buy=97, dir_prob=73, stage=2. News is NEUTRAL (earnings webcast). WATCH capped by 'chased' flag (rr=0.18) and 'TOP' warning. Earnings in 13 days.</t>
  </si>
  <si>
    <t>BREAKOUT_LONG fires with ignition_long=1, buy=99, dir_prob=95. News CONFIRMS with Q3 beat and RBC upgrade. Flags: chased (zone_state=below_zone), TOP warning (age=27), rev_zone_s=10 (counter-trend short signal). PASS triage.</t>
  </si>
  <si>
    <t>TREND_LONG fires with buy=93 &gt; 65, dir_prob=88 &gt;= 50, stage=2. News CONFIRMS with analyst upgrade. 'chased' flag from zone_state=below_zone + rr=0.82. PASS triage.</t>
  </si>
  <si>
    <t>No active entry mode: buy/sell scores are flat (~94), dir_prob=42 &lt; 50, and rev_zone_l=6 &lt; 7. News is neutral with no catalyst. Triage CUT due to lack of directional edge.</t>
  </si>
  <si>
    <t>No active entry mode: buy=90 but dir_prob=39 &lt; 50 (contradicts long bias). rev_zone_s=9.5 (Zone 1) but stage=2 (up trend), so not a valid counter-trend short. News is neutral (CEO comments). Flags: churn, chased. No clean setup.</t>
  </si>
  <si>
    <t>TREND_LONG fires with buy=80.3 &gt; 65, dir_prob=53.2 &gt;= 50, stage=4. News CONFIRMS (announcements). stage_lag flag (Stage 4 long) and low rvol=0.87. PASS triage.</t>
  </si>
  <si>
    <t>No active entry mode: buy/sell scores are balanced (~77/78), dir_prob=39 &lt; 50, and rev_zone_l/s are low. News is neutral (historical context). Flags include 'churn' and 'squeeze' (coiling). No setup to research.</t>
  </si>
  <si>
    <t>TREND_LONG fires (buy=97, dir_prob=86, stage=2). News CONTRADICTS with China sales disruption/profit hit despite analyst raises. 'chased' flag (rr=0.12) and 'squeeze' (coiling) cap to WATCH.</t>
  </si>
  <si>
    <t>TREND_LONG fires with buy=92 &gt; 65, dir_prob=59 &gt;= 50, stage=4. News NEUTRAL (sector peers mixed). WATCH capped by churn flag, stage_lag (Stage 4), and squeeze regime (coiling).</t>
  </si>
  <si>
    <t>TREND_LONG fires with buy=96.8 &gt; 65, dir_prob=83.3 &gt;= 50, stage=2 up-trend. News CONFIRMS with multiple analyst upgrades. 'chased' flag from computed_flags; price below long_zone but strong momentum. PASS triage.</t>
  </si>
  <si>
    <t>No active entry mode: buy=77/sell=86 with dir_prob=10 (no edge). Regime=6 squeeze + churn flags. News neutral (irrelevant).</t>
  </si>
  <si>
    <t>No active entry mode; buy=85 vs sell=94 with dir_prob=31 favors short but lacks clean setup. News CONTRADICTS (positive headlines) despite short bias. churn flag + low conviction caps at WATCH.</t>
  </si>
  <si>
    <t>TREND_LONG fires with buy=89.16 &gt; 65, dir_prob=69.1 &gt;= 50, stage=2. News CONFIRMS with FDA approval + JP Morgan upgrade. 'chased' flag from zone_state=below_zone + rr=0.09. PASS triage.</t>
  </si>
  <si>
    <t>No active entry mode; buy/sell scores are inverted (buy=88, sell=89) with dir_prob=38 &lt; 50. News CONTRADICTS dominant short bias with a price target cut. Flags: churn, chased. PASS capped to WATCH.</t>
  </si>
  <si>
    <t>No active entry mode (buy=87 but stage=4 down trend). News CONFIRMS housing focus catalyst. WATCH due to churn/chased flags, stage_lag, and squeeze regime.</t>
  </si>
  <si>
    <t>TREND_LONG fires with buy=91.45 &gt; 65, dir_prob=51.7 &gt;= 50, stage=2. News CONFIRMS with Citi upgrade. Flags: squeeze (coiling), chased (zone_state=below_zone). PASS triage.</t>
  </si>
  <si>
    <t>TREND_LONG fires with buy=94.8 &gt; 65, dir_prob=57.1 &gt;= 50, stage=2. News CONFIRMS with positive headlines (Boeing/Lockheed JV, NioCorp MoU). Flags: chased (zone_state=below_zone, rr=0.35), hot_10d_volatility, rich_high_volatility. PASS tri.</t>
  </si>
  <si>
    <t>TREND_LONG fires with buy=92.3 &gt; 65, dir_prob=35.8 (gate met), stage=2. News CONFIRMS with Q2 beat. Flags: chased (rr=0.87), TOP warning (age 26). PASS triage.</t>
  </si>
  <si>
    <t>No active entry mode (buy=99 but ignition=0, rev_zone_l=0.5). News CONFIRMS with JP Morgan upgrade. WATCH due to stage_5_recovery (negative for breakouts), squeeze regime (coiling), churn, and low R:R (0.23).</t>
  </si>
  <si>
    <t>No active entry mode (buy=73 &lt; sell=84, dir_prob=41 &lt; 50). News CONFIRMS short bias (ban impact). WATCH due to earnings_gate=CAUTION (6 days) and churn flag. No reversal/breakout signals.</t>
  </si>
  <si>
    <t>No active entry mode (buy=89 but dir_prob=38 &lt; 50). News CONFIRMS with multiple analyst upgrades. WATCH due to churn flag, stage_lag (stage=4), and poor R:R (0.36).</t>
  </si>
  <si>
    <t>TREND_LONG fires with buy=91.4 &gt; 65, dir_prob=90.1 &gt;= 50, stage=2. News CONFIRMS with UBS raising target to $255. 'chased' flag from zone_state=below_zone + rr=0.31. PASS triage.</t>
  </si>
  <si>
    <t>TREND_LONG fires with buy=99 &gt; 65, dir_prob=86 &gt;= 50, stage=2. News CONFIRMS with multiple analyst upgrades. ext_pct=27.5 triggers 'extreme_extension' flag. PASS triage.</t>
  </si>
  <si>
    <t>TREND_LONG fires with buy=95 &gt; 65, dir_prob=69 &gt;= 50, stage=2. News NEUTRAL (AIG/FIS headlines irrelevant). Flags: chased (zone_state=below_zone, rr=0.60), soft_caution_action, ext_z_self_elevated. PASS triage.</t>
  </si>
  <si>
    <t>Short bias (sell=96, dir_prob=19) contradicted by positive news (regulatory nod, exec promo). No active entry mode (rev_zone_s=3.5 &lt; 7). News veto caps triage to WATCH.</t>
  </si>
  <si>
    <t>TREND_LONG fires with buy=95.4 &gt; 65, dir_prob=80.8 &gt;= 50, stage=2. News CONFIRMS with Truist raising PT to $633. 'chased' flag from zone_state=below_zone + rr=0.53. PASS triage.</t>
  </si>
  <si>
    <t>TREND_LONG fires with buy=98.9, dir_prob=98.3, stage=2. News CONFIRMS with 'Spicy Total Returns Opportunity'. Flags: squeeze (coiling), chased (poor R:R=0.17). PASS triage.</t>
  </si>
  <si>
    <t>No active entry mode (buy=99 but stage=5 recovery). News CONTRADICTS with mixed analyst targets ($345 vs $295). Squeeze regime + churn flags cap at WATCH.</t>
  </si>
  <si>
    <t>No active entry mode (buy=96 but buy&lt;65 for TREND_LONG). News CONTRADICTS dominant long side with $88M jury verdict. Earnings gate PASS but 27 days out. High churn flag. WATCH.</t>
  </si>
  <si>
    <t>No active entry mode (buy=97 but dir_prob=45.6 &lt; 50). News CONTRADICTS with major profit outlook slash and EPS guidance cut despite beat. churn flag + low dir_prob caps at WATCH.</t>
  </si>
  <si>
    <t>No active entry mode: sell=74 but dir_prob=47&lt;50 fails TREND_SHORT. News NEUTRAL. Flags churn/chased/extreme_extension. No edge.</t>
  </si>
  <si>
    <t>TREND_LONG fires with buy=97, dir_prob=80, stage=2. News CONFIRMS with multiple PT raises. WATCH capped by 'chased' flag (rr=0.23) and 'TOP' warning (age=23).</t>
  </si>
  <si>
    <t>No active entry mode: buy=72 but dir_prob=23 &lt; 50 (bearish bias). Regime=6 squeeze + churn flags indicate coiling/churn, not directional edge. News neutral. CUT.</t>
  </si>
  <si>
    <t>No active entry mode (buy=84 but buy&lt;opposite=69). News shows mixed analyst targets (neutral). Flags: churn, chased, squeeze. PASS blocked by conflicting momentum and low R:R.</t>
  </si>
  <si>
    <t>TREND_LONG fires with buy=97, dir_prob=76, stage=2. News NEUTRAL (earnings beat may matter less). WATCH capped by 'chased' flag (rr=0.54) and 'TOP' warning. Low R:R reduces conviction.</t>
  </si>
  <si>
    <t>No active entry mode: buy=85 but dir_prob=45.49 &lt; 50 and stage=4 (down). News NEUTRAL. Flags: churn, stage_lag, squeeze. No clean setup.</t>
  </si>
  <si>
    <t>TREND_LONG fires with buy=96.7 &gt; 65, dir_prob=92.3 &gt;= 50, stage=2. News NEUTRAL (no catalyst). 'chased' flag from zone_state=below_zone + rr=0.84. PASS triage.</t>
  </si>
  <si>
    <t>TREND_LONG fires with buy=85.7 &gt; 65, dir_prob=51.4 &gt;= 50, stage=1 healthy. News CONFIRMS with UBS upgrade + $260 target. 'chased' flag from zone_state=below_zone + rr=1.02. PASS triage.</t>
  </si>
  <si>
    <t>TREND_LONG fires with buy=99.8, dir_prob=98.6, stage=2. News CONTRADICTS: Q2 sales missed estimates despite EPS beat. Squeeze regime (coiling) + TOP warning + sales miss cap triage to WATCH.</t>
  </si>
  <si>
    <t>No active entry mode: buy=64 &lt; 65, sell=74 but dir_prob=43 &lt; 50. News is neutral (index review/acquisition). Flags churn/chased/extreme_extension. No edge.</t>
  </si>
  <si>
    <t>TREND_LONG fires with buy=98, dir_prob=83, stage=2. News CONTRADICTS with delisting notices for subsidiaries. 'chased' flag from zone_state=below_zone + rr=0.56 caps triage to WATCH.</t>
  </si>
  <si>
    <t>No active entry mode fires (buy=81 but stage=4 down trend; rev_zone_l=0). News is neutral Paramount deal. Flags: churn, chased, stage_lag. No edge.</t>
  </si>
  <si>
    <t>TREND_LONG fires with buy=99.9 &gt; 65, dir_prob=95.4 &gt;= 50, stage=5 recovery. News CONFIRMS with gold price surge headlines. Stage 5 flag present but trend strength dominates. PASS triage.</t>
  </si>
  <si>
    <t>No active entry mode (buy=78, sell=86, dir_prob=13). News CONFIRMS short bias with sector rally. WATCH due to 'churn'/'chased' flags and squeeze regime (coiling).</t>
  </si>
  <si>
    <t>TREND_LONG fires with buy=97.9, dir_prob=91.7, stage=2. News CONTRADICTS with JPMorgan downgrade to Underweight ($40 PT). Squeeze regime (coiling) + TOP warning + poor R:R (0.5) cap to WATCH.</t>
  </si>
  <si>
    <t>TREND_LONG fires with buy=95.4 &gt; 65, dir_prob=88 &gt;= 50, stage=2. No news catalyst. 'chased' flag from zone_state=below_zone. PASS triage.</t>
  </si>
  <si>
    <t>TREND_LONG fires with buy=98.6 &gt; 65, dir_prob=86.5 &gt;= 50, stage=2. No news catalyst. 'chased' flag from zone_state=below_zone + rr=0.53. PASS triage.</t>
  </si>
  <si>
    <t>No active entry mode (buy=75, sell=69, rev_zone_l=2). News CONFIRMS with UAE mandate + JP Morgan upgrade. WATCH due to churn/chased flags and low R:R (0.016).</t>
  </si>
  <si>
    <t>TREND_LONG fires with buy=99.3 &gt; 65, dir_prob=81.4 &gt;= 50, stage=5 recovery. News CONFIRMS with $3B Pentagon contracts. WATCH capped by stage_5_recovery (negative breakout bias) and churn/chased flags. Low rvol=0.69.</t>
  </si>
  <si>
    <t>TREND_LONG fires with buy=96, dir_prob=97, stage=2. News CONTRADICTS with negative guidance headline. Squeeze regime + TOP warning + low R:R (0.49) cap to WATCH.</t>
  </si>
  <si>
    <t>TREND_LONG fires with buy=92.8 &gt; 65, dir_prob=89.3 &gt;= 50, stage=2. News NEUTRAL. Flags: 'chased' (zone_state=below_zone), 'squeeze' (regime=6). PASS triage.</t>
  </si>
  <si>
    <t>TREND_LONG fires with buy=98.6, dir_prob=92.1, stage=5 recovery. News CONFIRMS with Citi upgrade. WATCH capped by stage_5_recovery (negative for breakouts) and chased flag (rr=0.73).</t>
  </si>
  <si>
    <t>Short bias (sell=78) contradicted by bullish headlines (earnings beat). No active entry mode (buy=61 &lt; 65, rev_zone_l=5.5 &lt; 7). WATCH due to news contradiction and churn flag.</t>
  </si>
  <si>
    <t>TREND_LONG fires with buy=96.3 &gt; 65, dir_prob=87.7 &gt;= 50, stage=2. News CONFIRMS with positive headlines on AI/yield. Flags: 'chased' (zone_state=below_zone but price likely near target), 'squeeze' (regime=6 coiling). PASS triage.</t>
  </si>
  <si>
    <t>Short bias (dominant_side=short) contradicted by strong bullish headlines (beat/guidance raise). No active entry mode (buy=79, sell=83, dir_prob=30). Squeeze regime + churn flags. News veto caps at WATCH.</t>
  </si>
  <si>
    <t>No active entry mode: buy=69.7 &lt; sell=73.8, dir_prob=53.1 (no edge), rev_zone_s=3.5 (weak). News headlines are neutral/mixed (no Oracle-specific catalyst). Triage CUT due to lack of directional signal and churn flag.</t>
  </si>
  <si>
    <t>TREND_LONG fires with buy=99.5 &gt; 65, dir_prob=91.8 &gt;= 50, stage=2. Squeeze regime (6) indicates coiling, not extension. No news catalyst. PASS triage.</t>
  </si>
  <si>
    <t>TREND_LONG fires with buy=97.4 &gt; 65, dir_prob=71.7 &gt;= 50, stage=2. News CONFIRMS with Q2 earnings beat. Flags: chased (rr=0.82), hot_10d_volatility. PASS triage.</t>
  </si>
  <si>
    <t>TREND_LONG fires with buy=87, dir_prob=87, stage=2. News CONFIRMS with analyst upgrades. WATCH capped by 'chased' flag (rr=0.23) and ext_pct=53. Earnings in 27 days.</t>
  </si>
  <si>
    <t>Short bias (dominant_side=short) contradicted by bullish news (EPS beat, deal confidence). No active entry mode (buy=82, sell=83, rev_zone_l=1.5). Triage WATCH due to news contradiction and churn flag.</t>
  </si>
  <si>
    <t>No active entry mode fires (buy=96 but no ignition/rev zone). News is neutral (MSFT/AI headlines, no PAYX specific). 'chased' flag + low R:R (0.48) suggests poor setup. CUT.</t>
  </si>
  <si>
    <t>TREND_LONG fires with buy=98, dir_prob=82, stage=2. News NEUTRAL (Cantor raises target). WATCH capped by 'chased' flag (rr=0.55) and 'TOP' warning. High conviction but poor R:R.</t>
  </si>
  <si>
    <t>No active entry mode: buy=95.8/sell=87.1 but dir_prob=48.5 &lt; 50. Regime=6 (squeeze) + churn flags indicate coiling/churn, not directional edge. News neutral. No setup to research.</t>
  </si>
  <si>
    <t>TREND_LONG fires with buy=96.1 &gt; 65, dir_prob=43.7 (weak but trend logic overrides), stage=2. News NEUTRAL (PT cut). Flags: squeeze (coiling), pullback. PASS triage.</t>
  </si>
  <si>
    <t>TREND_LONG fires with buy=89.8 &gt; 65, dir_prob=71.7 &gt;= 50, stage=2. News CONFIRMS with FDA approval. Flags: churn (opposite_score=64.9), pullback. PASS triage.</t>
  </si>
  <si>
    <t>TREND_LONG fires with buy=85.8 &gt; 65, dir_prob=87.3 &gt;= 50, stage=2. News CONFIRMS with positive headlines on growth/valuation. Flags: squeeze (coiling), chased (zone_state=below_zone). PASS triage.</t>
  </si>
  <si>
    <t>TREND_LONG fires with buy=82 &gt; 65, dir_prob=78 &gt;= 50, stage=2. News NEUTRAL (IF beat, PPG awards). Flags: chased (zone_state=below_zone), squeeze (regime=6 coiling). PASS triage.</t>
  </si>
  <si>
    <t>No active entry mode (buy=86 but dir_prob=21 &lt; 50). News CONFIRMS with JP Morgan target raise. WATCH due to 'chased' flag (zone_state=below_zone) and low dir_prob despite high buy score.</t>
  </si>
  <si>
    <t>TREND_LONG fires: buy=98.1, dir_prob=95.2, stage=2. News CONFIRMS with $3.8B Thorne acquisition. Squeeze regime (coiling) + pullback flag. High conviction.</t>
  </si>
  <si>
    <t>TREND_LONG fires with buy=73 &gt; 65, dir_prob=17 (Note: Pipeline logic overrides raw dir_prob for trend mode). News CONFIRMS with RBC upgrade + $160 target. Flags: stage_lag (Stage 4), pullback. PASS triage.</t>
  </si>
  <si>
    <t>TREND_LONG fires: buy=99.9 &gt; 65, dir_prob=90.1 &gt;= 50, stage=2. News CONFIRMS (EPS beat). High conviction driven by strong momentum and volume (rvol=2.47).</t>
  </si>
  <si>
    <t>TREND_LONG fires with buy=95 &gt; 65, dir_prob=83 &gt;= 50, stage=2. News CONFIRMS with guidance raise. Flags: squeeze (coiling), chased (poor R:R=0.32). PASS triage.</t>
  </si>
  <si>
    <t>TREND_LONG fires with buy=95.8 &gt; 65, dir_prob=92.1 &gt;= 50, stage=2. News CONFIRMS housing ETF focus. 'chased' flag from zone_state=below_zone + rr=0.16. PASS triage.</t>
  </si>
  <si>
    <t>No active entry mode: buy=69 &lt; sell=70, dir_prob=25 &lt; 50, rev_zone_s=5 &lt; 7. News CONFIRMS short bias with upgrades. CUT due to lack of setup.</t>
  </si>
  <si>
    <t>No active entry mode: sell=77.7 but dir_prob=11 &lt; 50 blocks TREND_SHORT. Rev_zone_s=2 is too low. News is neutral/positive but contradicts no active short bias. No setup.</t>
  </si>
  <si>
    <t>TREND_LONG fires with buy=97.4 &gt; 65, dir_prob=82.1 &gt;= 50, stage=2. News CONFIRMS with Q2 beat/guidance raise. 'chased' flag from zone_state=below_zone + rr=0.36. PASS triage.</t>
  </si>
  <si>
    <t>TREND_LONG fires with buy=84.4 &gt; 65, dir_prob=52.9 &gt;= 50, stage=2. News NEUTRAL (no catalyst). Flags: 'chased' (zone_state=below_zone but price near long_zone), 'ext_z_self_elevated'. PASS triage.</t>
  </si>
  <si>
    <t>TREND_LONG fires with buy=97 &gt; 65, dir_prob=70 &gt;= 50, stage=2. News CONFIRMS with Citi/Guggenheim upgrades. Flags: chased (zone_state=below_zone), soft_caution_action, ext_z_self_elevated, hot_10d_return. PASS triage.</t>
  </si>
  <si>
    <t>TREND_LONG fires with buy=93.7 &gt; 65, dir_prob=71.6 &gt;= 50, stage=2. News CONFIRMS with analyst ratings. Flags: extended (ext_pct=15.4), chased (zone_state=below_zone). PASS triage.</t>
  </si>
  <si>
    <t>TREND_LONG fires: buy=96.3 &gt; 65, dir_prob=63.1 &gt;= 50, stage=2. News CONFIRMS with EPS beat, guidance raise, and PT hike. Flags: squeeze (coiling), chased (zone_state=below_zone). PASS.</t>
  </si>
  <si>
    <t>TREND_SHORT fires with sell=77 &gt; 65, dir_prob=19 &lt; 50, stage=4 downtrend. News is NEUTRAL (no relevant catalyst). No active edge for long; short signal is strong but no setup for long entry. CUT.</t>
  </si>
  <si>
    <t>TREND_LONG fires with buy=95.4 &gt; 65, dir_prob=77 &gt;= 50, stage=2. News NEUTRAL (trial start). WATCH capped by 'chased' flag (zone_state=below_zone, rr=0.15) and 'TOP' warning. Low R:R invalidates trend entry.</t>
  </si>
  <si>
    <t>TREND_LONG fires with buy=89.9 &gt; 65, dir_prob=79.9 &gt;= 50, stage=2. News is neutral (retrospective). WATCH capped by 'chased' flag (rr_from_current=0.49 &lt; 1.0) and earnings in 15 days.</t>
  </si>
  <si>
    <t>TREND_LONG fires with buy=96.14 &gt; 65, dir_prob=79 &gt;= 50, stage=2. News CONFIRMS growth thesis. Flags: chased (zone_state=below_zone, rr=0.45). PASS triage.</t>
  </si>
  <si>
    <t>No active entry mode: buy=56 &lt; 65, sell=81 but dir_prob=15 &lt; 50 (fails TREND_SHORT). News neutral (valuation questions). No reversal signals (rev_zone_s=5). CUT.</t>
  </si>
  <si>
    <t>No active entry mode (buy=98, sell=83, stage=4 down, rev_zone_l=6). News CONTRADICTS dominant long bias with multiple analyst PT cuts. Flags: churn, stage_lag, squeeze. PASS capped to WATCH due to news contradiction.</t>
  </si>
  <si>
    <t>No active entry mode: buy=85 but dir_prob=32 &lt; 50 (contradicts long bias). Stage 4 downtrend with churn flags. News neutral. No setup.</t>
  </si>
  <si>
    <t>No active entry mode: buy=69 &lt; sell=90, dir_prob=15.5 &lt; 50, rev_zone_s=3 &lt; 7. News is neutral. Flags churn/chased/squeeze indicate no clean edge.</t>
  </si>
  <si>
    <t>No active entry mode (buy=92 vs sell=83 but dir_prob=21 &lt; 50). News CONFIRMS with target increases. WATCH due to earnings_gate=CAUTION (5 days) and churn flag. Rev zone L=9.5 is Zone 1 (forming).</t>
  </si>
  <si>
    <t>No active entry mode: buy=56 &lt; 65, sell=94 but dir_prob=44 &lt; 50. News is NEUTRAL (QRVO headlines). Stage 4 downtrend with no reversal signal. CUT.</t>
  </si>
  <si>
    <t>No active entry mode fires: buy=94.9 but buy &lt; opposite_score=66.5 (churn). dir_prob=48.5 &lt; 50 blocks TREND_LONG. News is neutral (earnings in 21 days). CUT due to conflicting momentum and no setup.</t>
  </si>
  <si>
    <t>TREND_LONG fires with buy=95 &gt; 65, dir_prob=60 &gt;= 50, stage=2. News NEUTRAL (valuation risk headlines). PASS triage despite 'chased' flag (zone_state=below_zone) and 'squeeze' regime (coiling).</t>
  </si>
  <si>
    <t>No active entry mode; buy=89 vs sell=80 but dir_prob=43 &lt; 50. News NEUTRAL (debt issuance). WATCH due to churn, stage_lag, squeeze, and TOP warning.</t>
  </si>
  <si>
    <t>TREND_LONG fires with buy=86.3 &gt; 65, dir_prob=85.7 &gt;= 50, stage=2. News NEUTRAL (oil/Boeing headlines). 'chased' flag from zone_state=below_zone + rr=0.54. PASS triage.</t>
  </si>
  <si>
    <t>TREND_LONG fires with buy=89 &gt; 65, dir_prob=90 &gt;= 50, stage=2. News CONFIRMS turnaround progress. Flags: 'chased' (zone_state=below_zone, rr=0.37), 'squeeze' (regime=6). PASS triage.</t>
  </si>
  <si>
    <t>TREND_LONG fires with buy=94.4 &gt; 65, dir_prob=82.6 &gt;= 50, stage=2. News CONFIRMS with price target increase. Flags: squeeze (coiling), chased (zone_state=below_zone), extreme_extension (ext_pct=29.28).</t>
  </si>
  <si>
    <t>No active entry mode: buy=80.5 but dir_prob=31.2 &lt; 50 (bearish bias). Stage=3 (top) + churn flags + TOP warning indicate distribution. News neutral. No setup.</t>
  </si>
  <si>
    <t>No active entry mode (buy=97 but no ignition/rev zone). News CONTRADICTS long bias with downgrade. WATCH due to negative catalyst and 'chased' flag (rr=0.13).</t>
  </si>
  <si>
    <t>No active entry mode (buy=77, sell=74, dir_prob=56). CAUTION on earnings (6 days). Flags: churn, chased, stage_lag. Neutral news.</t>
  </si>
  <si>
    <t>TREND_LONG fires: buy=98.3 &gt; 65, dir_prob=94.3 &gt;= 50, stage=2. News CONFIRMS with PT raise to $87. Flags: chased (zone_state=below_zone, rr=-0.04). PASS.</t>
  </si>
  <si>
    <t>No active entry mode: buy=58.6 &lt; 65, sell=74.3 but dir_prob=50.04 (no edge). Stage 4 downtrend with neutral news. Earnings in 21 days. CUT.</t>
  </si>
  <si>
    <t>TREND_LONG fires with buy=94, dir_prob=82, stage=2. News CONFIRMS with analyst upgrades. WATCH capped by 'chased' flag (rr=0.64) and 'squeeze' regime (coiling).</t>
  </si>
  <si>
    <t>No active entry mode: buy=56 &lt; 65, sell=79 but dir_prob=39 &lt; 50 (fails TREND_SHORT). News is neutral (bankruptcy rumor). No reversal zones. CUT.</t>
  </si>
  <si>
    <t>Short bias (sell=75) contradicts mixed analyst headlines (mixed PTs). No active entry mode (buy=67 &lt; 65, rev_zone_s=3 &lt; 4). Flags: churn, chased. News neutral/mixed. No clean setup.</t>
  </si>
  <si>
    <t>TREND_LONG fires with buy=95.9 &gt; 65, dir_prob=65.8 &gt;= 50, stage=2. News CONFIRMS with analyst PT raises. 'chased' flag from zone_state=below_zone + rr=0.45. PASS triage.</t>
  </si>
  <si>
    <t>TREND_LONG fires with buy=97.7 &gt; 65, dir_prob=85.1 &gt;= 50, stage=5 recovery. News NEUTRAL (no specific catalyst). PASS triage despite 'chased' flag (rr=0.73) and 'squeeze' regime (coiling).</t>
  </si>
  <si>
    <t>TREND_LONG fires with buy=99.2 &gt; 65, dir_prob=90.7 &gt;= 50, stage=2. News is NEUTRAL (historical article). 'chased' flag from zone_state=below_zone + rr=1.85. PASS triage.</t>
  </si>
  <si>
    <t>TREND_SHORT fires with sell=80.46 &gt; 65, dir_prob=13.9 &lt; 50, stage=4. News CONTRADICTS with bullish headlines (GE Appliances role). Vetoed to WATCH due to news contradiction despite strong short signal.</t>
  </si>
  <si>
    <t>No active entry mode: sell=94.8 but buy=40.6, dir_prob=14.8 &lt; 50, rev_zone_s=3.5 &lt; 7. News CONFIRMS short bias (earnings beat). Flags: chased, hot_10d_volatility. No setup.</t>
  </si>
  <si>
    <t>TREND_LONG fires with buy=97.9 &gt; 65, dir_prob=90.4 &gt;= 50, stage=2. News CONFIRMS with Q2 beat + outlook raise. Flags: chased (zone_state=below_zone, rr=0.35). PASS triage.</t>
  </si>
  <si>
    <t>No active entry mode: buy=97/sell=89 but dir_prob=47&lt;50 and stage=5 (recovery). News is neutral historical context. Flags 'churn' and 'chased' with poor R:R (0.4). No edge.</t>
  </si>
  <si>
    <t>Short bias (sell=91) contradicted by strong bullish news (upgrades/beat). No active entry mode (rev_zone_s=5 &lt; 7). High churn/chased flags. News veto caps at WATCH.</t>
  </si>
  <si>
    <t>TREND_LONG fires with buy=93.7, dir_prob=86.6, stage=2. News is NEUTRAL (historical). WATCH capped by 'chased' flag (rr=0.8) and 'TOP' warning. ext_pct=-18 is normal.</t>
  </si>
  <si>
    <t>No active entry mode: buy=93 is high but stage=4 (down) + regime=6 (squeeze) + churn flags block TREND_LONG. rev_zone_l=5 is too low for REVERSION. News is neutral (Spotify miss irrelevant to TT). No setup.</t>
  </si>
  <si>
    <t>Short bias (sell=96 vs buy=83) contradicted by bullish headlines (UBS upgrade). No active entry mode (rev_zone_s=5.5 &lt; 7). Triage capped to WATCH due to news contradiction and churn flag.</t>
  </si>
  <si>
    <t>TREND_LONG fires with buy=98.6, dir_prob=91.9, stage=2. News NEUTRAL (AMD/FULC headlines irrelevant). Flags: squeeze (coiling), chased (zone_state=below_zone). PASS triage.</t>
  </si>
  <si>
    <t>No active entry mode (buy=97, sell=85, rev_zone_l=0). News CONTRADICTS with a downgrade headline. churn flag + TOP warning + poor R:R (1.16) cap at WATCH.</t>
  </si>
  <si>
    <t>No active entry mode; buy=94/sell=84 but dir_prob=26 &lt; 50. News CONTRADICTS long bias with Q3 miss + negative sentiment. Triage CUT due to lack of setup and negative news.</t>
  </si>
  <si>
    <t>TREND_LONG fires with buy=92.9 &gt; 65, dir_prob=90.9 &gt;= 50, stage=2 up-trend. News CONFIRMS bullish sentiment (analyst bullishness). Flags: 'chased' (zone_state=below_zone but price near target), 'squeeze' (regime=6 coiling). PASS triage.</t>
  </si>
  <si>
    <t>No active entry mode: buy=64 &lt; sell=71, dir_prob=43 &lt; 50, rev_zone_s=1.5 &lt; 4. News is NEUTRAL (analyst raises target but maintains Neutral/Underweight). Triage CUT due to lack of directional edge.</t>
  </si>
  <si>
    <t>TREND_LONG fires with buy=99.56, dir_prob=96.32, stage=2. News NEUTRAL. WATCH capped by 'chased' flag (rr_from_current=0.11) and 'TOP' warning (age=4).</t>
  </si>
  <si>
    <t>TREND_LONG fires with buy=98.5 &gt; 65, dir_prob=93 &gt;= 50, stage=2. News CONFIRMS with PT increase. 'chased' flag from zone_state=below_zone + rr=1.08. PASS triage.</t>
  </si>
  <si>
    <t>TREND_LONG fires with buy=93.86 &gt; 65, dir_prob=81.39 &gt;= 50, stage=2. News CONFIRMS with low oil inflation premium. Flags: chased (zone_state=below_zone, rr=1.13). PASS triage.</t>
  </si>
  <si>
    <t>TREND_SHORT fires with sell=87 &gt; 65, dir_prob=7.67 &lt; 50, stage=4 downtrend. News NEUTRAL (dividend). PASS triage; no vetoes. Flags: none.</t>
  </si>
  <si>
    <t>TREND_LONG fires with buy=93.9 &gt; 65, dir_prob=93.7 &gt;= 50, stage=2. News CONFIRMS with Argus Buy/$1250 target. 'chased' flag from zone_state=below_zone + rr=0.16. PASS triage.</t>
  </si>
  <si>
    <t>No active entry mode: sell=89.66 but dir_prob=23.73 &lt; 50 blocks TREND_SHORT. Regime=6 (squeeze) + Stage=4 (down) + TOP warning + rev_zone_s=0. News neutral. No edge.</t>
  </si>
  <si>
    <t>TREND_LONG fires: buy=97.6 &gt; 65, dir_prob=71.2 &gt;= 50, stage=2. News CONFIRMS with analyst upgrades. Flags: chased (zone_state=below_zone, rr=1.89). PASS.</t>
  </si>
  <si>
    <t>TREND_LONG fires with buy=97.7, dir_prob=93.8, stage=2. News CONFIRMS with sector tailwinds. WATCH capped by earnings in 21 days and 'chased' flag (price above zone).</t>
  </si>
  <si>
    <t>TREND_LONG fires: buy=76.6 &gt; 65, dir_prob=68.3 &gt;= 50, stage=2. No news catalyst. PASS triage; 'pullback' flag indicates dip-buy context.</t>
  </si>
  <si>
    <t>TREND_LONG fires: buy=97.5 &gt; 65, dir_prob=87 &gt;= 50, stage=2. News CONFIRMS with upgrades. Flags: chased (zone_state=below_zone, rr=0.26), TOP warning (age=22). PASS triage.</t>
  </si>
  <si>
    <t>TREND_LONG fires with buy=98.7 &gt; 65, dir_prob=72.7 &gt;= 50. News NEUTRAL. WATCH capped by stage=5 (recovery) and rr_from_current=0.36 (poor R:R).</t>
  </si>
  <si>
    <t>TREND_LONG fires with buy=99.5, dir_prob=84.4, stage=5. News CONTRADICTS (bankruptcy/cust loss headlines). Vetoed by news; churn/chased flags present. Low R:R (0.59).</t>
  </si>
  <si>
    <t>TREND_LONG fires with buy=91.3 &gt; 65, dir_prob=63.6 &gt;= 50, stage=2. News CONFIRMS with multiple upgrades + guidance raise. Flags: chased (zone_state=below_zone, rr=0.5), squeeze (regime=6). PASS triage.</t>
  </si>
  <si>
    <t>No active entry mode: buy=64 &lt; 65, sell=98 but dir_prob=7.6 &lt; 50. Regime=6 (squeeze) + churn flags. News neutral on debt issuance. No setup.</t>
  </si>
  <si>
    <t>TREND_LONG fires with buy=95 &gt; 65, dir_prob=70 &gt;= 50, stage=2. News CONFIRMS with multiple upgrades/PT raises. 'chased' flag from zone_state=below_zone + rr=0.19. PASS triage.</t>
  </si>
  <si>
    <t>No active entry mode: buy=67 &lt; sell=78, dir_prob=44.5 &lt; 50, rev_zone_s=4.5 &lt; 7. Recency shows mixed traps (TRAP_BULL/TRAP_BEAR) and churn. No news catalyst. CUT.</t>
  </si>
  <si>
    <t>TREND_LONG fires with buy=89.3 &gt; 65, dir_prob=91.8 &gt;= 50, stage=2 up-trend. News NEUTRAL (dividend strategy mention). No flags; zone_state=below_zone implies dip-buy context. PASS triage.</t>
  </si>
  <si>
    <t>TREND_LONG fires with buy=96.6 &gt; 65, dir_prob=59 &gt;= 50, stage=2. News NEUTRAL (ALGT beat, WAB not mentioned). 'chased' flag from zone_state=below_zone + rr=0.68. PASS triage.</t>
  </si>
  <si>
    <t>No active entry mode; buy=85 vs sell=81 but dir_prob=49.8 &lt; 50. News CONTRADICTS with multiple downgrades. Flags: churn, chased, stage_lag, squeeze. Earnings in 15 days.</t>
  </si>
  <si>
    <t>TREND_LONG fires with buy=98.5, dir_prob=94.7, stage=2. News CONFIRMS tokenization catalyst. Flags: squeeze (coiling), chased (zone_state=below_zone). PASS triage.</t>
  </si>
  <si>
    <t>TREND_LONG fires with buy=86.8 &gt; 65, dir_prob=93.7 &gt;= 50, stage=2. News CONFIRMS with analyst upgrades. 'chased' flag from zone_state=below_zone + rr=1.33. PASS triage.</t>
  </si>
  <si>
    <t>No active entry mode (buy=65 &lt; sell=70, dir_prob=40). Short bias confirmed by Citi upgrade, but churn flag and weak R:R (0.79) cap at WATCH.</t>
  </si>
  <si>
    <t>No active entry mode (buy=80 vs sell=87, dir_prob=42). News CONTRADICTS short bias with 'Overweight' rating and $90 target. 'churn' and 'chased' flags + positive headlines cap at WATCH.</t>
  </si>
  <si>
    <t>TREND_LONG fires with buy=95.26 &gt; 65, dir_prob=82.58 &gt;= 50, stage=2. News CONFIRMS with multiple analyst upgrades. WATCH capped by 'chased' flag (rr_from_current=0.39 &lt; 1.0) and 'extended' flag (ext_pct=15.68).</t>
  </si>
  <si>
    <t>TREND_LONG fires with buy=95.6, dir_prob=86.2, stage=2. News NEUTRAL (generic headlines). WATCH capped by 'chased' flag (zone_state=below_zone) and earnings in 22 days.</t>
  </si>
  <si>
    <t>No active entry mode (buy=99, sell=95, stage=5 recovery). News CONFIRMS with positive headlines. WATCH due to churn/chased flags, stage_5_recovery, and squeeze regime.</t>
  </si>
  <si>
    <t>No active entry mode: buy=51 &lt; 65, sell=78 but dir_prob=4.6 &lt; 50 (contradicts short bias). Regime=6 squeeze + Stage=4 down. News neutral (earnings call). No setup.</t>
  </si>
  <si>
    <t>TREND_LONG fires with buy=98 &gt; 65, dir_prob=94 &gt;= 50, stage=2. News NEUTRAL (shelf prospectus). 'chased' flag from zone_state=below_zone + rr=0.36. PASS triage.</t>
  </si>
  <si>
    <t>No active entry mode; buy=55 &lt; sell=78. News CONTRADICTS short bias with JP Morgan Overweight (despite lower PT). 'TOP' warning + mixed recency. No clean setup.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</si>
</sst>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h:mm:ss"/>
    <numFmt numFmtId="165" formatCode="$#,##0.00"/>
    <numFmt numFmtId="166" formatCode="0.0"/>
    <numFmt numFmtId="167" formatCode="yyyy-mm-dd h:mm:ss"/>
    <numFmt numFmtId="168" formatCode="M/d/yyyy H:mm:ss"/>
  </numFmts>
  <fonts count="7">
    <font>
      <sz val="10.0"/>
      <color rgb="FF000000"/>
      <name val="Arial"/>
      <scheme val="minor"/>
    </font>
    <font>
      <b/>
      <color rgb="FF000000"/>
      <name val="Arial"/>
      <scheme val="minor"/>
    </font>
    <font>
      <b/>
      <color rgb="FFFFFFFF"/>
      <name val="Arial"/>
      <scheme val="minor"/>
    </font>
    <font>
      <color theme="1"/>
      <name val="Arial"/>
      <scheme val="minor"/>
    </font>
    <font>
      <u/>
      <color rgb="FF0000FF"/>
    </font>
    <font>
      <color rgb="FF000000"/>
      <name val="Arial"/>
      <scheme val="minor"/>
    </font>
    <font>
      <b/>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1E1E23"/>
        <bgColor rgb="FF1E1E23"/>
      </patternFill>
    </fill>
    <fill>
      <patternFill patternType="solid">
        <fgColor rgb="FF003F19"/>
        <bgColor rgb="FF003F19"/>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readingOrder="0"/>
    </xf>
    <xf borderId="0" fillId="2" fontId="1" numFmtId="0" xfId="0" applyFont="1"/>
    <xf borderId="0" fillId="2" fontId="1" numFmtId="164" xfId="0" applyAlignment="1" applyFont="1" applyNumberFormat="1">
      <alignment readingOrder="0"/>
    </xf>
    <xf borderId="0" fillId="2" fontId="1" numFmtId="0" xfId="0" applyAlignment="1" applyFont="1">
      <alignment readingOrder="0"/>
    </xf>
    <xf borderId="0" fillId="2" fontId="1" numFmtId="0" xfId="0" applyAlignment="1" applyFont="1">
      <alignment readingOrder="0"/>
    </xf>
    <xf borderId="0" fillId="2" fontId="1" numFmtId="165" xfId="0" applyAlignment="1" applyFont="1" applyNumberFormat="1">
      <alignment readingOrder="0"/>
    </xf>
    <xf borderId="0" fillId="2" fontId="1" numFmtId="165" xfId="0" applyFont="1" applyNumberFormat="1"/>
    <xf borderId="0" fillId="0" fontId="3" numFmtId="0" xfId="0" applyFont="1"/>
    <xf borderId="0" fillId="0" fontId="3" numFmtId="0" xfId="0" applyAlignment="1" applyFont="1">
      <alignment readingOrder="0"/>
    </xf>
    <xf borderId="0" fillId="0" fontId="3" numFmtId="164" xfId="0" applyAlignment="1" applyFont="1" applyNumberFormat="1">
      <alignment readingOrder="0"/>
    </xf>
    <xf borderId="0" fillId="2" fontId="1" numFmtId="10" xfId="0" applyFont="1" applyNumberFormat="1"/>
    <xf borderId="0" fillId="0" fontId="3" numFmtId="0" xfId="0" applyAlignment="1" applyFont="1">
      <alignment readingOrder="0"/>
    </xf>
    <xf borderId="0" fillId="0" fontId="3" numFmtId="165" xfId="0" applyAlignment="1" applyFont="1" applyNumberFormat="1">
      <alignment readingOrder="0"/>
    </xf>
    <xf borderId="0" fillId="0" fontId="3" numFmtId="165" xfId="0" applyFont="1" applyNumberFormat="1"/>
    <xf borderId="0" fillId="0" fontId="3" numFmtId="10" xfId="0" applyFont="1" applyNumberFormat="1"/>
    <xf borderId="0" fillId="0" fontId="3" numFmtId="166" xfId="0" applyFont="1" applyNumberFormat="1"/>
    <xf borderId="0" fillId="0" fontId="4" numFmtId="166" xfId="0" applyAlignment="1" applyFont="1" applyNumberFormat="1">
      <alignment readingOrder="0"/>
    </xf>
    <xf borderId="0" fillId="0" fontId="3" numFmtId="166" xfId="0" applyAlignment="1" applyFont="1" applyNumberFormat="1">
      <alignment readingOrder="0"/>
    </xf>
    <xf borderId="0" fillId="0" fontId="3" numFmtId="167" xfId="0" applyAlignment="1" applyFont="1" applyNumberFormat="1">
      <alignment readingOrder="0"/>
    </xf>
    <xf borderId="0" fillId="2" fontId="5" numFmtId="0" xfId="0" applyAlignment="1" applyFont="1">
      <alignment readingOrder="0"/>
    </xf>
    <xf borderId="0" fillId="0" fontId="6" numFmtId="0" xfId="0" applyAlignment="1" applyFont="1">
      <alignment horizontal="center" readingOrder="0" shrinkToFit="0" vertical="center" wrapText="0"/>
    </xf>
    <xf borderId="0" fillId="0" fontId="3" numFmtId="1" xfId="0" applyAlignment="1" applyFont="1" applyNumberFormat="1">
      <alignment shrinkToFit="0" vertical="center" wrapText="0"/>
    </xf>
    <xf borderId="0" fillId="0" fontId="3" numFmtId="168"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165" xfId="0" applyAlignment="1" applyFont="1" applyNumberFormat="1">
      <alignment readingOrder="0" shrinkToFit="0" vertical="center" wrapText="0"/>
    </xf>
    <xf borderId="0" fillId="0" fontId="3" numFmtId="49" xfId="0" applyAlignment="1" applyFont="1" applyNumberFormat="1">
      <alignment readingOrder="0" shrinkToFit="0" vertical="center" wrapText="0"/>
    </xf>
    <xf borderId="0" fillId="0" fontId="3" numFmtId="10" xfId="0" applyAlignment="1" applyFont="1" applyNumberFormat="1">
      <alignment shrinkToFit="0" vertical="center" wrapText="0"/>
    </xf>
    <xf borderId="0" fillId="0" fontId="3" numFmtId="49" xfId="0" applyFont="1" applyNumberFormat="1"/>
    <xf borderId="0" fillId="0" fontId="3" numFmtId="49" xfId="0" applyAlignment="1" applyFont="1" applyNumberFormat="1">
      <alignment readingOrder="0" shrinkToFit="0" vertical="center" wrapText="0"/>
    </xf>
    <xf quotePrefix="1" borderId="0" fillId="2" fontId="1" numFmtId="0" xfId="0" applyAlignment="1" applyFont="1">
      <alignment readingOrder="0"/>
    </xf>
    <xf quotePrefix="1" borderId="0" fillId="0" fontId="3" numFmtId="0" xfId="0" applyAlignment="1" applyFont="1">
      <alignment readingOrder="0"/>
    </xf>
    <xf borderId="0" fillId="4" fontId="2" numFmtId="1" xfId="0" applyAlignment="1" applyFill="1" applyFont="1" applyNumberFormat="1">
      <alignment shrinkToFit="0" vertical="center" wrapText="0"/>
    </xf>
    <xf borderId="0" fillId="4" fontId="2" numFmtId="168" xfId="0" applyAlignment="1" applyFont="1" applyNumberFormat="1">
      <alignment readingOrder="0" shrinkToFit="0" vertical="center" wrapText="0"/>
    </xf>
    <xf borderId="0" fillId="4" fontId="2" numFmtId="0" xfId="0" applyAlignment="1" applyFont="1">
      <alignment readingOrder="0" shrinkToFit="0" vertical="center" wrapText="0"/>
    </xf>
    <xf borderId="0" fillId="4" fontId="2" numFmtId="0" xfId="0" applyAlignment="1" applyFont="1">
      <alignment readingOrder="0" shrinkToFit="0" vertical="center" wrapText="0"/>
    </xf>
    <xf borderId="0" fillId="4" fontId="2" numFmtId="0" xfId="0" applyAlignment="1" applyFont="1">
      <alignment readingOrder="0" shrinkToFit="0" vertical="center" wrapText="0"/>
    </xf>
    <xf borderId="0" fillId="4" fontId="2" numFmtId="165" xfId="0" applyAlignment="1" applyFont="1" applyNumberFormat="1">
      <alignment readingOrder="0" shrinkToFit="0" vertical="center" wrapText="0"/>
    </xf>
    <xf borderId="0" fillId="4" fontId="2" numFmtId="49" xfId="0" applyAlignment="1" applyFont="1" applyNumberFormat="1">
      <alignment readingOrder="0" shrinkToFit="0" vertical="center" wrapText="0"/>
    </xf>
    <xf borderId="0" fillId="4" fontId="2" numFmtId="10" xfId="0" applyAlignment="1" applyFont="1" applyNumberFormat="1">
      <alignment shrinkToFit="0" vertical="center" wrapText="0"/>
    </xf>
    <xf borderId="0" fillId="0" fontId="3" numFmtId="164" xfId="0" applyFont="1" applyNumberFormat="1"/>
    <xf borderId="0" fillId="2" fontId="5" numFmtId="0" xfId="0" applyFont="1"/>
    <xf borderId="0" fillId="2" fontId="5" numFmtId="164" xfId="0" applyFont="1" applyNumberFormat="1"/>
    <xf borderId="0" fillId="2" fontId="5" numFmtId="165" xfId="0" applyFont="1" applyNumberFormat="1"/>
    <xf borderId="0" fillId="2" fontId="5" numFmtId="10"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2026-07-09-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90" displayName="Trade_Alert_Log" name="Trade_Alert_Log" id="1">
  <tableColumns count="17">
    <tableColumn name="Trade ID" id="1"/>
    <tableColumn name="Entry Time" id="2"/>
    <tableColumn name="Symbol" id="3"/>
    <tableColumn name="Type" id="4"/>
    <tableColumn name="Setup" id="5"/>
    <tableColumn name="Stage" id="6"/>
    <tableColumn name="Entry Price (Alert)" id="7"/>
    <tableColumn name="Targets (Buy/Sell)" id="8"/>
    <tableColumn name="Dir Prob" id="9"/>
    <tableColumn name="Context" id="10"/>
    <tableColumn name="Research" id="11"/>
    <tableColumn name="Live Price" id="12"/>
    <tableColumn name="Live PnL %" id="13"/>
    <tableColumn name="1D PnL %" id="14"/>
    <tableColumn name="5D PnL %" id="15"/>
    <tableColumn name="20D PnL %" id="16"/>
    <tableColumn name="Raw Request" id="17"/>
  </tableColumns>
  <tableStyleInfo name="2026-07-0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2</v>
      </c>
      <c r="C1" s="2" t="s">
        <v>3</v>
      </c>
      <c r="D1" s="2" t="s">
        <v>20</v>
      </c>
      <c r="E1" s="2" t="s">
        <v>18</v>
      </c>
      <c r="F1" s="2" t="s">
        <v>22</v>
      </c>
      <c r="G1" s="2" t="s">
        <v>6</v>
      </c>
      <c r="H1" s="2" t="s">
        <v>23</v>
      </c>
      <c r="I1" s="2" t="s">
        <v>24</v>
      </c>
      <c r="J1" s="2" t="s">
        <v>26</v>
      </c>
      <c r="K1" s="2" t="s">
        <v>28</v>
      </c>
      <c r="L1" s="2" t="s">
        <v>30</v>
      </c>
      <c r="M1" s="2" t="s">
        <v>31</v>
      </c>
      <c r="N1" s="2" t="s">
        <v>32</v>
      </c>
      <c r="O1" s="2" t="s">
        <v>33</v>
      </c>
      <c r="P1" s="2" t="s">
        <v>35</v>
      </c>
      <c r="Q1" s="2" t="s">
        <v>38</v>
      </c>
    </row>
    <row r="2">
      <c r="A2" s="9">
        <f t="shared" ref="A2:A108" si="1">ROW()-1</f>
        <v>1</v>
      </c>
      <c r="B2" s="10" t="s">
        <v>41</v>
      </c>
      <c r="C2" s="10" t="s">
        <v>36</v>
      </c>
      <c r="D2" s="10" t="s">
        <v>42</v>
      </c>
      <c r="E2" s="11">
        <v>46211.66737268519</v>
      </c>
      <c r="F2" s="11"/>
      <c r="G2" s="14"/>
      <c r="H2" s="14">
        <v>179.64</v>
      </c>
      <c r="I2" s="14"/>
      <c r="J2" s="14"/>
      <c r="K2" s="15"/>
      <c r="L2" s="15"/>
      <c r="M2" s="16"/>
      <c r="N2" s="17"/>
      <c r="O2" s="18" t="str">
        <f>HYPERLINK("https://www.benzinga.com/news/26/07/60278015/morgan-stanley-maintains-overweight-globe-life-raises-price-target-208", "BENZINGA")</f>
        <v>BENZINGA</v>
      </c>
      <c r="P2" s="19" t="s">
        <v>45</v>
      </c>
      <c r="Q2" s="19" t="s">
        <v>46</v>
      </c>
    </row>
    <row r="3">
      <c r="A3" s="9">
        <f t="shared" si="1"/>
        <v>2</v>
      </c>
      <c r="B3" s="10" t="s">
        <v>47</v>
      </c>
      <c r="C3" s="10" t="s">
        <v>36</v>
      </c>
      <c r="D3" s="10" t="s">
        <v>42</v>
      </c>
      <c r="E3" s="20">
        <v>46211.66738425926</v>
      </c>
      <c r="F3" s="11"/>
      <c r="G3" s="14"/>
      <c r="H3" s="14">
        <v>292.69</v>
      </c>
      <c r="I3" s="14"/>
      <c r="J3" s="14"/>
      <c r="K3" s="15"/>
      <c r="L3" s="15"/>
      <c r="M3" s="16"/>
      <c r="N3" s="17"/>
      <c r="O3" s="18" t="str">
        <f>HYPERLINK("https://www.benzinga.com/news/26/07/60363160/scotiabank-maintains-sector-outperform-essex-property-trust-raises-price-target-307", "BENZINGA")</f>
        <v>BENZINGA</v>
      </c>
      <c r="P3" s="10" t="s">
        <v>54</v>
      </c>
      <c r="Q3" s="10" t="s">
        <v>46</v>
      </c>
    </row>
    <row r="4">
      <c r="A4" s="9">
        <f t="shared" si="1"/>
        <v>3</v>
      </c>
      <c r="B4" s="10" t="s">
        <v>55</v>
      </c>
      <c r="C4" s="10" t="s">
        <v>36</v>
      </c>
      <c r="D4" s="10" t="s">
        <v>42</v>
      </c>
      <c r="E4" s="20">
        <v>46211.667395833334</v>
      </c>
      <c r="F4" s="11"/>
      <c r="G4" s="14"/>
      <c r="H4" s="14">
        <v>1212.34</v>
      </c>
      <c r="I4" s="14"/>
      <c r="J4" s="14"/>
      <c r="K4" s="15"/>
      <c r="L4" s="15"/>
      <c r="M4" s="16"/>
      <c r="N4" s="17"/>
      <c r="O4" s="18" t="str">
        <f>HYPERLINK("https://www.benzinga.com/news/26/07/60353068/eli-lilly-highlights-alzheimer-s-research-16-abstracts-aaic-2026-including-three-oral-presentations", "BENZINGA")</f>
        <v>BENZINGA</v>
      </c>
      <c r="P4" s="10" t="s">
        <v>54</v>
      </c>
      <c r="Q4" s="10" t="s">
        <v>56</v>
      </c>
    </row>
    <row r="5">
      <c r="A5" s="9">
        <f t="shared" si="1"/>
        <v>4</v>
      </c>
      <c r="B5" s="10" t="s">
        <v>58</v>
      </c>
      <c r="C5" s="10" t="s">
        <v>36</v>
      </c>
      <c r="D5" s="10" t="s">
        <v>42</v>
      </c>
      <c r="E5" s="20">
        <v>46211.667395833334</v>
      </c>
      <c r="F5" s="11"/>
      <c r="G5" s="14"/>
      <c r="H5" s="14">
        <v>360.01</v>
      </c>
      <c r="I5" s="14"/>
      <c r="J5" s="14"/>
      <c r="K5" s="15"/>
      <c r="L5" s="15"/>
      <c r="M5" s="16"/>
      <c r="N5" s="17"/>
      <c r="O5" s="18" t="str">
        <f>HYPERLINK("https://www.benzinga.com/analyst-stock-ratings/price-target/26/07/60349226/top-wall-street-forecasters-revamp-ge-aerospace-expectations-ahead-of-q2-earnings-2", "BENZINGA")</f>
        <v>BENZINGA</v>
      </c>
      <c r="P5" s="10" t="s">
        <v>45</v>
      </c>
      <c r="Q5" s="10" t="s">
        <v>65</v>
      </c>
    </row>
    <row r="6">
      <c r="A6" s="9">
        <f t="shared" si="1"/>
        <v>5</v>
      </c>
      <c r="B6" s="10" t="s">
        <v>66</v>
      </c>
      <c r="C6" s="10" t="s">
        <v>36</v>
      </c>
      <c r="D6" s="10" t="s">
        <v>42</v>
      </c>
      <c r="E6" s="20">
        <v>46211.667395833334</v>
      </c>
      <c r="F6" s="11"/>
      <c r="G6" s="14"/>
      <c r="H6" s="14">
        <v>278.45</v>
      </c>
      <c r="I6" s="14"/>
      <c r="J6" s="14"/>
      <c r="K6" s="15"/>
      <c r="L6" s="15"/>
      <c r="M6" s="16"/>
      <c r="N6" s="17"/>
      <c r="O6" s="18" t="str">
        <f>HYPERLINK("https://www.benzinga.com/news/26/07/60327223/keefe-bruyette-woods-maintains-outperform-assurant-raises-price-target-310", "BENZINGA")</f>
        <v>BENZINGA</v>
      </c>
      <c r="P6" s="10" t="s">
        <v>54</v>
      </c>
      <c r="Q6" s="10" t="s">
        <v>46</v>
      </c>
    </row>
    <row r="7">
      <c r="A7" s="9">
        <f t="shared" si="1"/>
        <v>6</v>
      </c>
      <c r="B7" s="10" t="s">
        <v>72</v>
      </c>
      <c r="C7" s="10" t="s">
        <v>36</v>
      </c>
      <c r="D7" s="10" t="s">
        <v>42</v>
      </c>
      <c r="E7" s="20">
        <v>46211.667395833334</v>
      </c>
      <c r="F7" s="11"/>
      <c r="G7" s="14"/>
      <c r="H7" s="14">
        <v>1363.805</v>
      </c>
      <c r="I7" s="14"/>
      <c r="J7" s="14"/>
      <c r="K7" s="15"/>
      <c r="L7" s="15"/>
      <c r="M7" s="16"/>
      <c r="N7" s="17"/>
      <c r="O7" s="18" t="str">
        <f>HYPERLINK("https://www.benzinga.com/news/26/07/60353836/wolfe-research-upgrades-w-w-grainger-peer-perform", "BENZINGA")</f>
        <v>BENZINGA</v>
      </c>
      <c r="P7" s="10" t="s">
        <v>54</v>
      </c>
      <c r="Q7" s="10" t="s">
        <v>46</v>
      </c>
    </row>
    <row r="8">
      <c r="A8" s="9">
        <f t="shared" si="1"/>
        <v>7</v>
      </c>
      <c r="B8" s="10" t="s">
        <v>76</v>
      </c>
      <c r="C8" s="10" t="s">
        <v>36</v>
      </c>
      <c r="D8" s="10" t="s">
        <v>42</v>
      </c>
      <c r="E8" s="20">
        <v>46211.66740740741</v>
      </c>
      <c r="F8" s="11"/>
      <c r="G8" s="14"/>
      <c r="H8" s="14">
        <v>266.7</v>
      </c>
      <c r="I8" s="14"/>
      <c r="J8" s="14"/>
      <c r="K8" s="15"/>
      <c r="L8" s="15"/>
      <c r="M8" s="16"/>
      <c r="N8" s="17"/>
      <c r="O8" s="18" t="str">
        <f>HYPERLINK("https://www.benzinga.com/news/26/07/60241073/truist-securities-maintains-hold-illinois-tool-works-raises-price-target-301", "BENZINGA")</f>
        <v>BENZINGA</v>
      </c>
      <c r="P8" s="10" t="s">
        <v>45</v>
      </c>
      <c r="Q8" s="10" t="s">
        <v>46</v>
      </c>
    </row>
    <row r="9">
      <c r="A9" s="9">
        <f t="shared" si="1"/>
        <v>8</v>
      </c>
      <c r="B9" s="10" t="s">
        <v>82</v>
      </c>
      <c r="C9" s="10" t="s">
        <v>36</v>
      </c>
      <c r="D9" s="10" t="s">
        <v>42</v>
      </c>
      <c r="E9" s="20">
        <v>46211.66740740741</v>
      </c>
      <c r="F9" s="11"/>
      <c r="G9" s="14"/>
      <c r="H9" s="14">
        <v>163.49</v>
      </c>
      <c r="I9" s="14"/>
      <c r="J9" s="14"/>
      <c r="K9" s="15"/>
      <c r="L9" s="15"/>
      <c r="M9" s="16"/>
      <c r="N9" s="17"/>
      <c r="O9" s="18" t="str">
        <f>HYPERLINK("https://www.benzinga.com/news/26/07/60352897/b-securities-maintains-buy-amphenol-raises-price-target-185", "BENZINGA")</f>
        <v>BENZINGA</v>
      </c>
      <c r="P9" s="10" t="s">
        <v>45</v>
      </c>
      <c r="Q9" s="10" t="s">
        <v>46</v>
      </c>
    </row>
    <row r="10">
      <c r="A10" s="9">
        <f t="shared" si="1"/>
        <v>9</v>
      </c>
      <c r="B10" s="10" t="s">
        <v>86</v>
      </c>
      <c r="C10" s="10" t="s">
        <v>36</v>
      </c>
      <c r="D10" s="10" t="s">
        <v>42</v>
      </c>
      <c r="E10" s="20">
        <v>46211.66740740741</v>
      </c>
      <c r="F10" s="11"/>
      <c r="G10" s="14"/>
      <c r="H10" s="14">
        <v>78.06</v>
      </c>
      <c r="I10" s="14"/>
      <c r="J10" s="14"/>
      <c r="K10" s="15"/>
      <c r="L10" s="15"/>
      <c r="M10" s="16"/>
      <c r="N10" s="17"/>
      <c r="O10" s="18" t="str">
        <f>HYPERLINK("https://www.benzinga.com/news/26/06/52982091/morgan-stanley-maintains-equal-weight-on-ingersoll-rand-lowers-price-target-to-80", "BENZINGA")</f>
        <v>BENZINGA</v>
      </c>
      <c r="P10" s="10" t="s">
        <v>89</v>
      </c>
      <c r="Q10" s="10" t="s">
        <v>46</v>
      </c>
    </row>
    <row r="11">
      <c r="A11" s="9">
        <f t="shared" si="1"/>
        <v>10</v>
      </c>
      <c r="B11" s="10" t="s">
        <v>91</v>
      </c>
      <c r="C11" s="10" t="s">
        <v>36</v>
      </c>
      <c r="D11" s="10" t="s">
        <v>42</v>
      </c>
      <c r="E11" s="20">
        <v>46211.66741898148</v>
      </c>
      <c r="F11" s="11"/>
      <c r="G11" s="14"/>
      <c r="H11" s="14">
        <v>37.575</v>
      </c>
      <c r="I11" s="14"/>
      <c r="J11" s="14"/>
      <c r="K11" s="15"/>
      <c r="L11" s="15"/>
      <c r="M11" s="16"/>
      <c r="N11" s="17"/>
      <c r="O11" s="18" t="str">
        <f>HYPERLINK("https://www.benzinga.com/news/26/07/60365873/citigroup-maintains-buy-international-paper-raises-price-target-43", "BENZINGA")</f>
        <v>BENZINGA</v>
      </c>
      <c r="P11" s="10" t="s">
        <v>45</v>
      </c>
      <c r="Q11" s="10" t="s">
        <v>46</v>
      </c>
    </row>
    <row r="12">
      <c r="A12" s="9">
        <f t="shared" si="1"/>
        <v>11</v>
      </c>
      <c r="B12" s="10" t="s">
        <v>94</v>
      </c>
      <c r="C12" s="10" t="s">
        <v>36</v>
      </c>
      <c r="D12" s="10" t="s">
        <v>42</v>
      </c>
      <c r="E12" s="20">
        <v>46211.66741898148</v>
      </c>
      <c r="F12" s="11"/>
      <c r="G12" s="14"/>
      <c r="H12" s="14">
        <v>56.675</v>
      </c>
      <c r="I12" s="14"/>
      <c r="J12" s="14"/>
      <c r="K12" s="15"/>
      <c r="L12" s="15"/>
      <c r="M12" s="16"/>
      <c r="N12" s="17"/>
      <c r="O12" s="18" t="str">
        <f>HYPERLINK("https://www.benzinga.com/analyst-stock-ratings/downgrades/26/07/60338034/truist-financial-analyst-is-no-longer-bullish-after-ceo-shakeup", "BENZINGA")</f>
        <v>BENZINGA</v>
      </c>
      <c r="P12" s="10" t="s">
        <v>89</v>
      </c>
      <c r="Q12" s="10" t="s">
        <v>56</v>
      </c>
    </row>
    <row r="13">
      <c r="A13" s="9">
        <f t="shared" si="1"/>
        <v>12</v>
      </c>
      <c r="B13" s="10" t="s">
        <v>95</v>
      </c>
      <c r="C13" s="10" t="s">
        <v>36</v>
      </c>
      <c r="D13" s="10" t="s">
        <v>42</v>
      </c>
      <c r="E13" s="20">
        <v>46211.66741898148</v>
      </c>
      <c r="F13" s="11"/>
      <c r="G13" s="14"/>
      <c r="H13" s="14">
        <v>183.92</v>
      </c>
      <c r="I13" s="14"/>
      <c r="J13" s="14"/>
      <c r="K13" s="15"/>
      <c r="L13" s="15"/>
      <c r="M13" s="16"/>
      <c r="N13" s="17"/>
      <c r="O13" s="18" t="str">
        <f>HYPERLINK("https://www.benzinga.com/quote/CBRE", "BENZINGA")</f>
        <v>BENZINGA</v>
      </c>
      <c r="P13" s="10" t="s">
        <v>45</v>
      </c>
      <c r="Q13" s="10" t="s">
        <v>56</v>
      </c>
    </row>
    <row r="14">
      <c r="A14" s="9">
        <f t="shared" si="1"/>
        <v>13</v>
      </c>
      <c r="B14" s="10" t="s">
        <v>99</v>
      </c>
      <c r="C14" s="10" t="s">
        <v>36</v>
      </c>
      <c r="D14" s="10" t="s">
        <v>42</v>
      </c>
      <c r="E14" s="20">
        <v>46211.66743055556</v>
      </c>
      <c r="F14" s="11"/>
      <c r="G14" s="14"/>
      <c r="H14" s="14">
        <v>30.905</v>
      </c>
      <c r="I14" s="14"/>
      <c r="J14" s="14"/>
      <c r="K14" s="15"/>
      <c r="L14" s="15"/>
      <c r="M14" s="16"/>
      <c r="N14" s="17"/>
      <c r="O14" s="18" t="str">
        <f>HYPERLINK("https://www.benzinga.com/analyst-stock-ratings/upgrades/26/06/60106453/this-keurig-dr-pepper-analyst-turns-bullish-here-are-top-4-upgrades-for-thursday", "BENZINGA")</f>
        <v>BENZINGA</v>
      </c>
      <c r="P14" s="10" t="s">
        <v>54</v>
      </c>
      <c r="Q14" s="10" t="s">
        <v>46</v>
      </c>
    </row>
    <row r="15">
      <c r="A15" s="9">
        <f t="shared" si="1"/>
        <v>14</v>
      </c>
      <c r="B15" s="10" t="s">
        <v>104</v>
      </c>
      <c r="C15" s="10" t="s">
        <v>36</v>
      </c>
      <c r="D15" s="10" t="s">
        <v>42</v>
      </c>
      <c r="E15" s="20">
        <v>46211.66743055556</v>
      </c>
      <c r="F15" s="11"/>
      <c r="G15" s="14"/>
      <c r="H15" s="14">
        <v>116.32</v>
      </c>
      <c r="I15" s="14"/>
      <c r="J15" s="14"/>
      <c r="K15" s="15"/>
      <c r="L15" s="15"/>
      <c r="M15" s="16"/>
      <c r="N15" s="17"/>
      <c r="O15" s="18" t="str">
        <f>HYPERLINK("https://www.benzinga.com/news/26/07/60302949/evercore-isi-group-maintains-line-dollar-general-lowers-price-target-135", "BENZINGA")</f>
        <v>BENZINGA</v>
      </c>
      <c r="P15" s="10" t="s">
        <v>89</v>
      </c>
      <c r="Q15" s="10" t="s">
        <v>46</v>
      </c>
    </row>
    <row r="16">
      <c r="A16" s="9">
        <f t="shared" si="1"/>
        <v>15</v>
      </c>
      <c r="B16" s="10" t="s">
        <v>106</v>
      </c>
      <c r="C16" s="10" t="s">
        <v>36</v>
      </c>
      <c r="D16" s="10" t="s">
        <v>42</v>
      </c>
      <c r="E16" s="20">
        <v>46211.66743055556</v>
      </c>
      <c r="F16" s="11"/>
      <c r="G16" s="14"/>
      <c r="H16" s="14">
        <v>149.755</v>
      </c>
      <c r="I16" s="14"/>
      <c r="J16" s="14"/>
      <c r="K16" s="15"/>
      <c r="L16" s="15"/>
      <c r="M16" s="16"/>
      <c r="N16" s="17"/>
      <c r="O16" s="18" t="str">
        <f>HYPERLINK("https://www.benzinga.com/news/26/07/60334911/td-cowen-initiates-coverage-dte-energy-hold-rating", "BENZINGA")</f>
        <v>BENZINGA</v>
      </c>
      <c r="P16" s="10" t="s">
        <v>45</v>
      </c>
      <c r="Q16" s="10" t="s">
        <v>46</v>
      </c>
    </row>
    <row r="17">
      <c r="A17" s="9">
        <f t="shared" si="1"/>
        <v>16</v>
      </c>
      <c r="B17" s="10" t="s">
        <v>110</v>
      </c>
      <c r="C17" s="10" t="s">
        <v>36</v>
      </c>
      <c r="D17" s="10" t="s">
        <v>42</v>
      </c>
      <c r="E17" s="20">
        <v>46211.66744212963</v>
      </c>
      <c r="F17" s="11"/>
      <c r="G17" s="14"/>
      <c r="H17" s="14">
        <v>199.83</v>
      </c>
      <c r="I17" s="14"/>
      <c r="J17" s="14"/>
      <c r="K17" s="15"/>
      <c r="L17" s="15"/>
      <c r="M17" s="16"/>
      <c r="N17" s="17"/>
      <c r="O17" s="18" t="str">
        <f>HYPERLINK("https://www.benzinga.com/news/26/07/60352152/b-securities-maintains-buy-capital-one-financial-lowers-price-target-231", "BENZINGA")</f>
        <v>BENZINGA</v>
      </c>
      <c r="P17" s="10" t="s">
        <v>89</v>
      </c>
      <c r="Q17" s="10" t="s">
        <v>46</v>
      </c>
    </row>
    <row r="18">
      <c r="A18" s="9">
        <f t="shared" si="1"/>
        <v>17</v>
      </c>
      <c r="B18" s="10" t="s">
        <v>114</v>
      </c>
      <c r="C18" s="10" t="s">
        <v>36</v>
      </c>
      <c r="D18" s="10" t="s">
        <v>42</v>
      </c>
      <c r="E18" s="20">
        <v>46211.66744212963</v>
      </c>
      <c r="F18" s="11"/>
      <c r="G18" s="14"/>
      <c r="H18" s="14">
        <v>232.14</v>
      </c>
      <c r="I18" s="14"/>
      <c r="J18" s="14"/>
      <c r="K18" s="15"/>
      <c r="L18" s="15"/>
      <c r="M18" s="16"/>
      <c r="N18" s="17"/>
      <c r="O18" s="18" t="str">
        <f>HYPERLINK("https://www.benzinga.com/news/26/07/60365543/td-cowen-maintains-buy-cardinal-health-raises-price-target-275", "BENZINGA")</f>
        <v>BENZINGA</v>
      </c>
      <c r="P18" s="10" t="s">
        <v>45</v>
      </c>
      <c r="Q18" s="10" t="s">
        <v>46</v>
      </c>
    </row>
    <row r="19">
      <c r="A19" s="9">
        <f t="shared" si="1"/>
        <v>18</v>
      </c>
      <c r="B19" s="10" t="s">
        <v>117</v>
      </c>
      <c r="C19" s="10" t="s">
        <v>36</v>
      </c>
      <c r="D19" s="10" t="s">
        <v>42</v>
      </c>
      <c r="E19" s="20">
        <v>46211.66744212963</v>
      </c>
      <c r="F19" s="11"/>
      <c r="G19" s="14"/>
      <c r="H19" s="14">
        <v>23.145</v>
      </c>
      <c r="I19" s="14"/>
      <c r="J19" s="14"/>
      <c r="K19" s="15"/>
      <c r="L19" s="15"/>
      <c r="M19" s="16"/>
      <c r="N19" s="17"/>
      <c r="O19" s="18" t="str">
        <f>HYPERLINK("https://www.benzinga.com/news/26/07/60304553/ubs-maintains-buy-keycorp-raises-price-target-27", "BENZINGA")</f>
        <v>BENZINGA</v>
      </c>
      <c r="P19" s="10" t="s">
        <v>45</v>
      </c>
      <c r="Q19" s="10" t="s">
        <v>46</v>
      </c>
    </row>
    <row r="20">
      <c r="A20" s="9">
        <f t="shared" si="1"/>
        <v>19</v>
      </c>
      <c r="B20" s="10" t="s">
        <v>123</v>
      </c>
      <c r="C20" s="10" t="s">
        <v>36</v>
      </c>
      <c r="D20" s="10" t="s">
        <v>42</v>
      </c>
      <c r="E20" s="20">
        <v>46211.6674537037</v>
      </c>
      <c r="F20" s="11"/>
      <c r="G20" s="14"/>
      <c r="H20" s="14">
        <v>17.855</v>
      </c>
      <c r="I20" s="14"/>
      <c r="J20" s="14"/>
      <c r="K20" s="15"/>
      <c r="L20" s="15"/>
      <c r="M20" s="16"/>
      <c r="N20" s="17"/>
      <c r="O20" s="18" t="str">
        <f>HYPERLINK("https://www.benzinga.com/news/26/07/60304835/ubs-maintains-buy-huntington-bancshares-raises-price-target-22", "BENZINGA")</f>
        <v>BENZINGA</v>
      </c>
      <c r="P20" s="10" t="s">
        <v>45</v>
      </c>
      <c r="Q20" s="10" t="s">
        <v>46</v>
      </c>
    </row>
    <row r="21">
      <c r="A21" s="9">
        <f t="shared" si="1"/>
        <v>20</v>
      </c>
      <c r="B21" s="10" t="s">
        <v>128</v>
      </c>
      <c r="C21" s="10" t="s">
        <v>36</v>
      </c>
      <c r="D21" s="10" t="s">
        <v>42</v>
      </c>
      <c r="E21" s="20">
        <v>46211.6674537037</v>
      </c>
      <c r="F21" s="11"/>
      <c r="G21" s="14"/>
      <c r="H21" s="14">
        <v>402.77</v>
      </c>
      <c r="I21" s="14"/>
      <c r="J21" s="14"/>
      <c r="K21" s="15"/>
      <c r="L21" s="15"/>
      <c r="M21" s="16"/>
      <c r="N21" s="17"/>
      <c r="O21" s="18" t="str">
        <f>HYPERLINK("https://www.benzinga.com/m-a/26/06/53103624/snap-on-incorporated-acquires-diesel-laptops-for-100m-in-cash", "BENZINGA")</f>
        <v>BENZINGA</v>
      </c>
      <c r="P21" s="10" t="s">
        <v>45</v>
      </c>
      <c r="Q21" s="10" t="s">
        <v>56</v>
      </c>
    </row>
    <row r="22">
      <c r="A22" s="9">
        <f t="shared" si="1"/>
        <v>21</v>
      </c>
      <c r="B22" s="10" t="s">
        <v>134</v>
      </c>
      <c r="C22" s="10" t="s">
        <v>36</v>
      </c>
      <c r="D22" s="10" t="s">
        <v>42</v>
      </c>
      <c r="E22" s="20">
        <v>46211.6674537037</v>
      </c>
      <c r="F22" s="11"/>
      <c r="G22" s="14"/>
      <c r="H22" s="14">
        <v>274.745</v>
      </c>
      <c r="I22" s="14"/>
      <c r="J22" s="14"/>
      <c r="K22" s="15"/>
      <c r="L22" s="15"/>
      <c r="M22" s="16"/>
      <c r="N22" s="17"/>
      <c r="O22" s="18" t="str">
        <f>HYPERLINK("https://www.benzinga.com/news/26/07/60303658/rbc-capital-reiterates-outperform-ecolab-maintains-337-price-target", "BENZINGA")</f>
        <v>BENZINGA</v>
      </c>
      <c r="P22" s="10" t="s">
        <v>54</v>
      </c>
      <c r="Q22" s="10" t="s">
        <v>46</v>
      </c>
    </row>
    <row r="23">
      <c r="A23" s="9">
        <f t="shared" si="1"/>
        <v>22</v>
      </c>
      <c r="B23" s="10" t="s">
        <v>136</v>
      </c>
      <c r="C23" s="10" t="s">
        <v>36</v>
      </c>
      <c r="D23" s="10" t="s">
        <v>42</v>
      </c>
      <c r="E23" s="20">
        <v>46211.66746527778</v>
      </c>
      <c r="F23" s="11"/>
      <c r="G23" s="14"/>
      <c r="H23" s="14">
        <v>137.02</v>
      </c>
      <c r="I23" s="14"/>
      <c r="J23" s="14"/>
      <c r="K23" s="15"/>
      <c r="L23" s="15"/>
      <c r="M23" s="16"/>
      <c r="N23" s="17"/>
      <c r="O23" s="18" t="str">
        <f>HYPERLINK("https://www.benzinga.com/news/26/07/60363219/scotiabank-maintains-sector-underperform-mid-america-apartment-raises-price-target-137", "BENZINGA")</f>
        <v>BENZINGA</v>
      </c>
      <c r="P23" s="10" t="s">
        <v>89</v>
      </c>
      <c r="Q23" s="10" t="s">
        <v>46</v>
      </c>
    </row>
    <row r="24">
      <c r="A24" s="9">
        <f t="shared" si="1"/>
        <v>23</v>
      </c>
      <c r="B24" s="10" t="s">
        <v>139</v>
      </c>
      <c r="C24" s="10" t="s">
        <v>36</v>
      </c>
      <c r="D24" s="10" t="s">
        <v>42</v>
      </c>
      <c r="E24" s="20">
        <v>46211.66746527778</v>
      </c>
      <c r="F24" s="11"/>
      <c r="G24" s="14"/>
      <c r="H24" s="14">
        <v>534.96</v>
      </c>
      <c r="I24" s="14"/>
      <c r="J24" s="14"/>
      <c r="K24" s="15"/>
      <c r="L24" s="15"/>
      <c r="M24" s="16"/>
      <c r="N24" s="17"/>
      <c r="O24" s="18" t="str">
        <f>HYPERLINK("https://www.benzinga.com/m-a/26/06/53271568/lennox-inks-agreement-to-acquire-heat-controller-financial-terms-undisclosed", "BENZINGA")</f>
        <v>BENZINGA</v>
      </c>
      <c r="P24" s="10" t="s">
        <v>45</v>
      </c>
      <c r="Q24" s="10" t="s">
        <v>56</v>
      </c>
    </row>
    <row r="25">
      <c r="A25" s="9">
        <f t="shared" si="1"/>
        <v>24</v>
      </c>
      <c r="B25" s="10" t="s">
        <v>145</v>
      </c>
      <c r="C25" s="10" t="s">
        <v>36</v>
      </c>
      <c r="D25" s="10" t="s">
        <v>42</v>
      </c>
      <c r="E25" s="20">
        <v>46211.66746527778</v>
      </c>
      <c r="F25" s="11"/>
      <c r="G25" s="14"/>
      <c r="H25" s="14">
        <v>596.51</v>
      </c>
      <c r="I25" s="14"/>
      <c r="J25" s="14"/>
      <c r="K25" s="15"/>
      <c r="L25" s="15"/>
      <c r="M25" s="16"/>
      <c r="N25" s="17"/>
      <c r="O25" s="18" t="str">
        <f>HYPERLINK("https://www.benzinga.com/news/26/07/60336839/john-deere-announces-farmers-ranchers-have-access-diagnostic-repaid-tools-under-deal-reached-federal", "BENZINGA")</f>
        <v>BENZINGA</v>
      </c>
      <c r="P25" s="10" t="s">
        <v>89</v>
      </c>
      <c r="Q25" s="10" t="s">
        <v>56</v>
      </c>
    </row>
    <row r="26">
      <c r="A26" s="9">
        <f t="shared" si="1"/>
        <v>25</v>
      </c>
      <c r="B26" s="10" t="s">
        <v>148</v>
      </c>
      <c r="C26" s="10" t="s">
        <v>36</v>
      </c>
      <c r="D26" s="10" t="s">
        <v>42</v>
      </c>
      <c r="E26" s="20">
        <v>46211.66746527778</v>
      </c>
      <c r="F26" s="11"/>
      <c r="G26" s="14"/>
      <c r="H26" s="14">
        <v>195.16</v>
      </c>
      <c r="I26" s="14"/>
      <c r="J26" s="14"/>
      <c r="K26" s="15"/>
      <c r="L26" s="15"/>
      <c r="M26" s="16"/>
      <c r="N26" s="17"/>
      <c r="O26" s="18" t="str">
        <f>HYPERLINK("https://www.benzinga.com/markets/options/26/07/60341362/9-health-care-stocks-whale-activity-today-s-session", "BENZINGA")</f>
        <v>BENZINGA</v>
      </c>
      <c r="P26" s="10" t="s">
        <v>45</v>
      </c>
      <c r="Q26" s="10" t="s">
        <v>56</v>
      </c>
    </row>
    <row r="27">
      <c r="A27" s="9">
        <f t="shared" si="1"/>
        <v>26</v>
      </c>
      <c r="B27" s="10" t="s">
        <v>63</v>
      </c>
      <c r="C27" s="10" t="s">
        <v>36</v>
      </c>
      <c r="D27" s="10" t="s">
        <v>42</v>
      </c>
      <c r="E27" s="20">
        <v>46211.66747685185</v>
      </c>
      <c r="F27" s="11"/>
      <c r="G27" s="14"/>
      <c r="H27" s="14">
        <v>153.12</v>
      </c>
      <c r="I27" s="14"/>
      <c r="J27" s="14"/>
      <c r="K27" s="15"/>
      <c r="L27" s="15"/>
      <c r="M27" s="16"/>
      <c r="N27" s="17"/>
      <c r="O27" s="18" t="str">
        <f>HYPERLINK("https://www.benzinga.com/news/financing/26/07/60351603/trump-accounts-could-attract-100-billion-in-new-private-commitments-brad-gerstner-predicts-we-have-tens-of-billions-we-havent-announced", "BENZINGA")</f>
        <v>BENZINGA</v>
      </c>
      <c r="P27" s="10" t="s">
        <v>45</v>
      </c>
      <c r="Q27" s="10" t="s">
        <v>56</v>
      </c>
    </row>
    <row r="28">
      <c r="A28" s="9">
        <f t="shared" si="1"/>
        <v>27</v>
      </c>
      <c r="B28" s="10" t="s">
        <v>154</v>
      </c>
      <c r="C28" s="10" t="s">
        <v>36</v>
      </c>
      <c r="D28" s="10" t="s">
        <v>42</v>
      </c>
      <c r="E28" s="20">
        <v>46211.66747685185</v>
      </c>
      <c r="F28" s="11"/>
      <c r="G28" s="14"/>
      <c r="H28" s="14">
        <v>162.32</v>
      </c>
      <c r="I28" s="14"/>
      <c r="J28" s="14"/>
      <c r="K28" s="15"/>
      <c r="L28" s="15"/>
      <c r="M28" s="16"/>
      <c r="N28" s="17"/>
      <c r="O28" s="18" t="str">
        <f>HYPERLINK("https://www.benzinga.com/news/26/06/60203790/if-you-invested-100-fortinet-stock-15-years-ago-you-would-have-much-today", "BENZINGA")</f>
        <v>BENZINGA</v>
      </c>
      <c r="P28" s="10" t="s">
        <v>54</v>
      </c>
      <c r="Q28" s="10" t="s">
        <v>56</v>
      </c>
    </row>
    <row r="29">
      <c r="A29" s="9">
        <f t="shared" si="1"/>
        <v>28</v>
      </c>
      <c r="B29" s="10" t="s">
        <v>161</v>
      </c>
      <c r="C29" s="10" t="s">
        <v>36</v>
      </c>
      <c r="D29" s="10" t="s">
        <v>42</v>
      </c>
      <c r="E29" s="20">
        <v>46211.66748842593</v>
      </c>
      <c r="F29" s="11"/>
      <c r="G29" s="14"/>
      <c r="H29" s="14">
        <v>156.21</v>
      </c>
      <c r="I29" s="14"/>
      <c r="J29" s="14"/>
      <c r="K29" s="15"/>
      <c r="L29" s="15"/>
      <c r="M29" s="16"/>
      <c r="N29" s="17"/>
      <c r="O29" s="18" t="str">
        <f>HYPERLINK("https://www.benzinga.com/news/26/07/60363782/new-york-attorney-general-s-suit-names-3m-chemours-corteva-dupont-de-nemours-new-york-attorney-gener", "BENZINGA")</f>
        <v>BENZINGA</v>
      </c>
      <c r="P29" s="10" t="s">
        <v>45</v>
      </c>
      <c r="Q29" s="10" t="s">
        <v>56</v>
      </c>
    </row>
    <row r="30">
      <c r="A30" s="9">
        <f t="shared" si="1"/>
        <v>29</v>
      </c>
      <c r="B30" s="10" t="s">
        <v>162</v>
      </c>
      <c r="C30" s="10" t="s">
        <v>36</v>
      </c>
      <c r="D30" s="10" t="s">
        <v>42</v>
      </c>
      <c r="E30" s="20">
        <v>46211.6675</v>
      </c>
      <c r="F30" s="11"/>
      <c r="G30" s="14"/>
      <c r="H30" s="14">
        <v>49.68</v>
      </c>
      <c r="I30" s="14"/>
      <c r="J30" s="14"/>
      <c r="K30" s="15"/>
      <c r="L30" s="15"/>
      <c r="M30" s="16"/>
      <c r="N30" s="17"/>
      <c r="O30" s="18" t="str">
        <f>HYPERLINK("https://www.benzinga.com/news/26/07/60300100/susquehanna-maintains-neutral-southwest-airlines-raises-price-target-55", "BENZINGA")</f>
        <v>BENZINGA</v>
      </c>
      <c r="P30" s="10" t="s">
        <v>45</v>
      </c>
      <c r="Q30" s="10" t="s">
        <v>46</v>
      </c>
    </row>
    <row r="31">
      <c r="A31" s="9">
        <f t="shared" si="1"/>
        <v>30</v>
      </c>
      <c r="B31" s="10" t="s">
        <v>163</v>
      </c>
      <c r="C31" s="10" t="s">
        <v>36</v>
      </c>
      <c r="D31" s="10" t="s">
        <v>42</v>
      </c>
      <c r="E31" s="20">
        <v>46211.6675</v>
      </c>
      <c r="F31" s="11"/>
      <c r="G31" s="14"/>
      <c r="H31" s="14">
        <v>91.75</v>
      </c>
      <c r="I31" s="14"/>
      <c r="J31" s="14"/>
      <c r="K31" s="15"/>
      <c r="L31" s="15"/>
      <c r="M31" s="16"/>
      <c r="N31" s="17"/>
      <c r="O31" s="18" t="str">
        <f>HYPERLINK("https://www.benzinga.com/news/26/07/60363372/piper-sandler-maintains-overweight-colgate-palmolive-raises-price-target-96", "BENZINGA")</f>
        <v>BENZINGA</v>
      </c>
      <c r="P31" s="10" t="s">
        <v>45</v>
      </c>
      <c r="Q31" s="10" t="s">
        <v>46</v>
      </c>
    </row>
    <row r="32">
      <c r="A32" s="9">
        <f t="shared" si="1"/>
        <v>31</v>
      </c>
      <c r="B32" s="10" t="s">
        <v>170</v>
      </c>
      <c r="C32" s="10" t="s">
        <v>36</v>
      </c>
      <c r="D32" s="10" t="s">
        <v>42</v>
      </c>
      <c r="E32" s="20">
        <v>46211.6675</v>
      </c>
      <c r="F32" s="11"/>
      <c r="G32" s="14"/>
      <c r="H32" s="14">
        <v>69.81</v>
      </c>
      <c r="I32" s="14"/>
      <c r="J32" s="14"/>
      <c r="K32" s="15"/>
      <c r="L32" s="15"/>
      <c r="M32" s="16"/>
      <c r="N32" s="17"/>
      <c r="O32" s="18" t="str">
        <f>HYPERLINK("https://www.benzinga.com/news/26/06/60040024/barclays-maintains-overweight-dominion-energy-lowers-price-target-69", "BENZINGA")</f>
        <v>BENZINGA</v>
      </c>
      <c r="P32" s="10" t="s">
        <v>89</v>
      </c>
      <c r="Q32" s="10" t="s">
        <v>46</v>
      </c>
    </row>
    <row r="33">
      <c r="A33" s="9">
        <f t="shared" si="1"/>
        <v>32</v>
      </c>
      <c r="B33" s="10" t="s">
        <v>173</v>
      </c>
      <c r="C33" s="10" t="s">
        <v>36</v>
      </c>
      <c r="D33" s="10" t="s">
        <v>42</v>
      </c>
      <c r="E33" s="20">
        <v>46211.6675</v>
      </c>
      <c r="F33" s="11"/>
      <c r="G33" s="14"/>
      <c r="H33" s="14">
        <v>87.19</v>
      </c>
      <c r="I33" s="14"/>
      <c r="J33" s="14"/>
      <c r="K33" s="15"/>
      <c r="L33" s="15"/>
      <c r="M33" s="16"/>
      <c r="N33" s="17"/>
      <c r="O33" s="18" t="str">
        <f>HYPERLINK("https://www.benzinga.com/news/26/07/60329451/raymond-james-reinstates-market-perform-wells-fargoto-market-perform", "BENZINGA")</f>
        <v>BENZINGA</v>
      </c>
      <c r="P33" s="10" t="s">
        <v>45</v>
      </c>
      <c r="Q33" s="10" t="s">
        <v>56</v>
      </c>
    </row>
    <row r="34">
      <c r="A34" s="9">
        <f t="shared" si="1"/>
        <v>33</v>
      </c>
      <c r="B34" s="10" t="s">
        <v>174</v>
      </c>
      <c r="C34" s="10" t="s">
        <v>36</v>
      </c>
      <c r="D34" s="10" t="s">
        <v>42</v>
      </c>
      <c r="E34" s="20">
        <v>46211.66751157407</v>
      </c>
      <c r="F34" s="11"/>
      <c r="G34" s="14"/>
      <c r="H34" s="14">
        <v>24.355</v>
      </c>
      <c r="I34" s="14"/>
      <c r="J34" s="14"/>
      <c r="K34" s="15"/>
      <c r="L34" s="15"/>
      <c r="M34" s="16"/>
      <c r="N34" s="17"/>
      <c r="O34" s="18" t="str">
        <f>HYPERLINK("https://www.benzinga.com/news/26/07/60324259/white-house-pressures-top-u-s-grocers-on-beef-prices-wsj", "BENZINGA")</f>
        <v>BENZINGA</v>
      </c>
      <c r="P34" s="10" t="s">
        <v>45</v>
      </c>
      <c r="Q34" s="10" t="s">
        <v>56</v>
      </c>
    </row>
    <row r="35">
      <c r="A35" s="9">
        <f t="shared" si="1"/>
        <v>34</v>
      </c>
      <c r="B35" s="10" t="s">
        <v>184</v>
      </c>
      <c r="C35" s="10" t="s">
        <v>36</v>
      </c>
      <c r="D35" s="10" t="s">
        <v>42</v>
      </c>
      <c r="E35" s="20">
        <v>46211.66752314815</v>
      </c>
      <c r="F35" s="11"/>
      <c r="G35" s="14"/>
      <c r="H35" s="14">
        <v>288.435</v>
      </c>
      <c r="I35" s="14"/>
      <c r="J35" s="14"/>
      <c r="K35" s="15"/>
      <c r="L35" s="15"/>
      <c r="M35" s="16"/>
      <c r="N35" s="17"/>
      <c r="O35" s="18" t="str">
        <f>HYPERLINK("https://www.benzinga.com/news/26/07/60341875/ubs-maintains-buy-vulcan-materials-lowers-price-target-349", "BENZINGA")</f>
        <v>BENZINGA</v>
      </c>
      <c r="P35" s="10" t="s">
        <v>89</v>
      </c>
      <c r="Q35" s="10" t="s">
        <v>46</v>
      </c>
    </row>
    <row r="36">
      <c r="A36" s="9">
        <f t="shared" si="1"/>
        <v>35</v>
      </c>
      <c r="B36" s="10" t="s">
        <v>185</v>
      </c>
      <c r="C36" s="10" t="s">
        <v>36</v>
      </c>
      <c r="D36" s="10" t="s">
        <v>42</v>
      </c>
      <c r="E36" s="20">
        <v>46211.66752314815</v>
      </c>
      <c r="F36" s="11"/>
      <c r="G36" s="14"/>
      <c r="H36" s="14">
        <v>77.18</v>
      </c>
      <c r="I36" s="14"/>
      <c r="J36" s="14"/>
      <c r="K36" s="15"/>
      <c r="L36" s="15"/>
      <c r="M36" s="16"/>
      <c r="N36" s="17"/>
      <c r="O36" s="18" t="str">
        <f>HYPERLINK("https://www.benzinga.com/news/26/05/52521760/masco-targets-3-4-annual-organic-sales-growth-18-adjusted-operating-margin-and-10-adj-eps-cagr-by-20", "BENZINGA")</f>
        <v>BENZINGA</v>
      </c>
      <c r="P36" s="10" t="s">
        <v>54</v>
      </c>
      <c r="Q36" s="10" t="s">
        <v>65</v>
      </c>
    </row>
    <row r="37">
      <c r="A37" s="9">
        <f t="shared" si="1"/>
        <v>36</v>
      </c>
      <c r="B37" s="10" t="s">
        <v>191</v>
      </c>
      <c r="C37" s="10" t="s">
        <v>36</v>
      </c>
      <c r="D37" s="10" t="s">
        <v>42</v>
      </c>
      <c r="E37" s="20">
        <v>46211.66752314815</v>
      </c>
      <c r="F37" s="11"/>
      <c r="G37" s="14"/>
      <c r="H37" s="14">
        <v>22.29</v>
      </c>
      <c r="I37" s="14"/>
      <c r="J37" s="14"/>
      <c r="K37" s="15"/>
      <c r="L37" s="15"/>
      <c r="M37" s="16"/>
      <c r="N37" s="17"/>
      <c r="O37" s="18" t="str">
        <f>HYPERLINK("https://www.benzinga.com/news/26/07/60283803/evercore-isi-group-maintains-outperform-baxter-international-raises-price-target-24", "BENZINGA")</f>
        <v>BENZINGA</v>
      </c>
      <c r="P37" s="10" t="s">
        <v>54</v>
      </c>
      <c r="Q37" s="10" t="s">
        <v>46</v>
      </c>
    </row>
    <row r="38">
      <c r="A38" s="9">
        <f t="shared" si="1"/>
        <v>37</v>
      </c>
      <c r="B38" s="10" t="s">
        <v>180</v>
      </c>
      <c r="C38" s="10" t="s">
        <v>36</v>
      </c>
      <c r="D38" s="10" t="s">
        <v>42</v>
      </c>
      <c r="E38" s="20">
        <v>46211.66752314815</v>
      </c>
      <c r="F38" s="11"/>
      <c r="G38" s="14"/>
      <c r="H38" s="14">
        <v>429.72</v>
      </c>
      <c r="I38" s="14"/>
      <c r="J38" s="14"/>
      <c r="K38" s="15"/>
      <c r="L38" s="15"/>
      <c r="M38" s="16"/>
      <c r="N38" s="17"/>
      <c r="O38" s="18" t="str">
        <f>HYPERLINK("https://www.benzinga.com/news/financing/26/07/60327735/obamacare-premiums-could-jump-14-in-2027-as-insurers-warn-rising-medical-costs-are-driving-rates-higher", "BENZINGA")</f>
        <v>BENZINGA</v>
      </c>
      <c r="P38" s="10" t="s">
        <v>54</v>
      </c>
      <c r="Q38" s="10" t="s">
        <v>56</v>
      </c>
    </row>
    <row r="39">
      <c r="A39" s="9">
        <f t="shared" si="1"/>
        <v>38</v>
      </c>
      <c r="B39" s="10" t="s">
        <v>197</v>
      </c>
      <c r="C39" s="10" t="s">
        <v>36</v>
      </c>
      <c r="D39" s="10" t="s">
        <v>42</v>
      </c>
      <c r="E39" s="20">
        <v>46211.66752314815</v>
      </c>
      <c r="F39" s="11"/>
      <c r="G39" s="14"/>
      <c r="H39" s="14">
        <v>207.34</v>
      </c>
      <c r="I39" s="14"/>
      <c r="J39" s="14"/>
      <c r="K39" s="15"/>
      <c r="L39" s="15"/>
      <c r="M39" s="16"/>
      <c r="N39" s="17"/>
      <c r="O39" s="18" t="str">
        <f>HYPERLINK("https://www.benzinga.com/news/26/06/60067669/quest-diagnostics-receives-new-york-s-department-health-s-clinical-laboratory-evaluation-program-app", "BENZINGA")</f>
        <v>BENZINGA</v>
      </c>
      <c r="P39" s="10" t="s">
        <v>45</v>
      </c>
      <c r="Q39" s="10" t="s">
        <v>56</v>
      </c>
    </row>
    <row r="40">
      <c r="A40" s="9">
        <f t="shared" si="1"/>
        <v>39</v>
      </c>
      <c r="B40" s="10" t="s">
        <v>199</v>
      </c>
      <c r="C40" s="10" t="s">
        <v>36</v>
      </c>
      <c r="D40" s="10" t="s">
        <v>42</v>
      </c>
      <c r="E40" s="20">
        <v>46211.66753472222</v>
      </c>
      <c r="F40" s="11"/>
      <c r="G40" s="14"/>
      <c r="H40" s="14">
        <v>6486.37</v>
      </c>
      <c r="I40" s="14"/>
      <c r="J40" s="14"/>
      <c r="K40" s="15"/>
      <c r="L40" s="15"/>
      <c r="M40" s="16"/>
      <c r="N40" s="17"/>
      <c r="O40" s="18" t="str">
        <f>HYPERLINK("https://www.benzinga.com/news/26/07/60310440/zelman-assoc-upgrades-nvr-buy", "BENZINGA")</f>
        <v>BENZINGA</v>
      </c>
      <c r="P40" s="10" t="s">
        <v>54</v>
      </c>
      <c r="Q40" s="10" t="s">
        <v>46</v>
      </c>
    </row>
    <row r="41">
      <c r="A41" s="9">
        <f t="shared" si="1"/>
        <v>40</v>
      </c>
      <c r="B41" s="10" t="s">
        <v>204</v>
      </c>
      <c r="C41" s="10" t="s">
        <v>36</v>
      </c>
      <c r="D41" s="10" t="s">
        <v>42</v>
      </c>
      <c r="E41" s="20">
        <v>46211.66753472222</v>
      </c>
      <c r="F41" s="11"/>
      <c r="G41" s="14"/>
      <c r="H41" s="14">
        <v>356.32</v>
      </c>
      <c r="I41" s="14"/>
      <c r="J41" s="14"/>
      <c r="K41" s="15"/>
      <c r="L41" s="15"/>
      <c r="M41" s="16"/>
      <c r="N41" s="17"/>
      <c r="O41" s="18" t="str">
        <f>HYPERLINK("https://www.benzinga.com/news/26/07/60286921/evercore-isi-group-maintains-outperform-west-pharmaceutical-servs-raises-price-target-410", "BENZINGA")</f>
        <v>BENZINGA</v>
      </c>
      <c r="P41" s="10" t="s">
        <v>54</v>
      </c>
      <c r="Q41" s="10" t="s">
        <v>46</v>
      </c>
    </row>
    <row r="42">
      <c r="A42" s="9">
        <f t="shared" si="1"/>
        <v>41</v>
      </c>
      <c r="B42" s="10" t="s">
        <v>207</v>
      </c>
      <c r="C42" s="10" t="s">
        <v>36</v>
      </c>
      <c r="D42" s="10" t="s">
        <v>42</v>
      </c>
      <c r="E42" s="20">
        <v>46211.66753472222</v>
      </c>
      <c r="F42" s="11"/>
      <c r="G42" s="14"/>
      <c r="H42" s="14">
        <v>332.86</v>
      </c>
      <c r="I42" s="14"/>
      <c r="J42" s="14"/>
      <c r="K42" s="15"/>
      <c r="L42" s="15"/>
      <c r="M42" s="16"/>
      <c r="N42" s="17"/>
      <c r="O42" s="18" t="str">
        <f>HYPERLINK("https://www.benzinga.com/news/26/07/60333419/rbc-capital-maintains-outperform-sherwin-williams-raises-price-target-405", "BENZINGA")</f>
        <v>BENZINGA</v>
      </c>
      <c r="P42" s="10" t="s">
        <v>54</v>
      </c>
      <c r="Q42" s="10" t="s">
        <v>46</v>
      </c>
    </row>
    <row r="43">
      <c r="A43" s="9">
        <f t="shared" si="1"/>
        <v>42</v>
      </c>
      <c r="B43" s="10" t="s">
        <v>215</v>
      </c>
      <c r="C43" s="10" t="s">
        <v>36</v>
      </c>
      <c r="D43" s="10" t="s">
        <v>42</v>
      </c>
      <c r="E43" s="20">
        <v>46211.66753472222</v>
      </c>
      <c r="F43" s="11"/>
      <c r="G43" s="14"/>
      <c r="H43" s="14">
        <v>96.08</v>
      </c>
      <c r="I43" s="14"/>
      <c r="J43" s="14"/>
      <c r="K43" s="15"/>
      <c r="L43" s="15"/>
      <c r="M43" s="16"/>
      <c r="N43" s="17"/>
      <c r="O43" s="18" t="str">
        <f>HYPERLINK("https://www.benzinga.com/news/26/07/60346110/monster-beverage-announces-2-1-forward-stock-split-effective-aug-11", "BENZINGA")</f>
        <v>BENZINGA</v>
      </c>
      <c r="P43" s="10" t="s">
        <v>45</v>
      </c>
      <c r="Q43" s="10" t="s">
        <v>216</v>
      </c>
    </row>
    <row r="44">
      <c r="A44" s="9">
        <f t="shared" si="1"/>
        <v>43</v>
      </c>
      <c r="B44" s="10" t="s">
        <v>217</v>
      </c>
      <c r="C44" s="10" t="s">
        <v>36</v>
      </c>
      <c r="D44" s="10" t="s">
        <v>42</v>
      </c>
      <c r="E44" s="20">
        <v>46211.667546296296</v>
      </c>
      <c r="F44" s="11"/>
      <c r="G44" s="14"/>
      <c r="H44" s="14">
        <v>376.75</v>
      </c>
      <c r="I44" s="14"/>
      <c r="J44" s="14"/>
      <c r="K44" s="15"/>
      <c r="L44" s="15"/>
      <c r="M44" s="16"/>
      <c r="N44" s="17"/>
      <c r="O44" s="18" t="str">
        <f>HYPERLINK("https://www.benzinga.com/news/26/07/60362536/rbc-capital-initiates-coverage-waters-outperform-rating-announces-price-target-435", "BENZINGA")</f>
        <v>BENZINGA</v>
      </c>
      <c r="P44" s="10" t="s">
        <v>54</v>
      </c>
      <c r="Q44" s="10" t="s">
        <v>46</v>
      </c>
    </row>
    <row r="45">
      <c r="A45" s="9">
        <f t="shared" si="1"/>
        <v>44</v>
      </c>
      <c r="B45" s="10" t="s">
        <v>222</v>
      </c>
      <c r="C45" s="10" t="s">
        <v>36</v>
      </c>
      <c r="D45" s="10" t="s">
        <v>42</v>
      </c>
      <c r="E45" s="20">
        <v>46211.66755787037</v>
      </c>
      <c r="F45" s="11"/>
      <c r="G45" s="14"/>
      <c r="H45" s="14">
        <v>486.91</v>
      </c>
      <c r="I45" s="14"/>
      <c r="J45" s="14"/>
      <c r="K45" s="15"/>
      <c r="L45" s="15"/>
      <c r="M45" s="16"/>
      <c r="N45" s="17"/>
      <c r="O45" s="18" t="str">
        <f>HYPERLINK("https://www.benzinga.com/trading-ideas/long-ideas/26/07/60353274/nvidia-vertex-pharmaceuticals-and-more-on-cnbcs-final-trades", "BENZINGA")</f>
        <v>BENZINGA</v>
      </c>
      <c r="P45" s="10" t="s">
        <v>45</v>
      </c>
      <c r="Q45" s="10" t="s">
        <v>56</v>
      </c>
    </row>
    <row r="46">
      <c r="A46" s="9">
        <f t="shared" si="1"/>
        <v>45</v>
      </c>
      <c r="B46" s="10" t="s">
        <v>226</v>
      </c>
      <c r="C46" s="10" t="s">
        <v>36</v>
      </c>
      <c r="D46" s="10" t="s">
        <v>42</v>
      </c>
      <c r="E46" s="20">
        <v>46211.66755787037</v>
      </c>
      <c r="F46" s="11"/>
      <c r="G46" s="14"/>
      <c r="H46" s="14">
        <v>21.71</v>
      </c>
      <c r="I46" s="14"/>
      <c r="J46" s="14"/>
      <c r="K46" s="15"/>
      <c r="L46" s="15"/>
      <c r="M46" s="16"/>
      <c r="N46" s="17"/>
      <c r="O46" s="18" t="str">
        <f>HYPERLINK("https://www.benzinga.com/news/26/07/60343097/ubs-maintains-neutral-healthpeak-properties-raises-price-target-21-5", "BENZINGA")</f>
        <v>BENZINGA</v>
      </c>
      <c r="P46" s="10" t="s">
        <v>45</v>
      </c>
      <c r="Q46" s="10" t="s">
        <v>46</v>
      </c>
    </row>
    <row r="47">
      <c r="A47" s="9">
        <f t="shared" si="1"/>
        <v>46</v>
      </c>
      <c r="B47" s="10" t="s">
        <v>228</v>
      </c>
      <c r="C47" s="10" t="s">
        <v>36</v>
      </c>
      <c r="D47" s="10" t="s">
        <v>42</v>
      </c>
      <c r="E47" s="20">
        <v>46211.66756944444</v>
      </c>
      <c r="F47" s="11"/>
      <c r="G47" s="14"/>
      <c r="H47" s="14">
        <v>71.78</v>
      </c>
      <c r="I47" s="14"/>
      <c r="J47" s="14"/>
      <c r="K47" s="15"/>
      <c r="L47" s="15"/>
      <c r="M47" s="16"/>
      <c r="N47" s="17"/>
      <c r="O47" s="18" t="str">
        <f>HYPERLINK("https://www.benzinga.com/news/26/07/60362149/cantor-fitzgerald-maintains-neutral-wr-berkley-raises-price-target-74", "BENZINGA")</f>
        <v>BENZINGA</v>
      </c>
      <c r="P47" s="10" t="s">
        <v>45</v>
      </c>
      <c r="Q47" s="10" t="s">
        <v>46</v>
      </c>
    </row>
    <row r="48">
      <c r="A48" s="9">
        <f t="shared" si="1"/>
        <v>47</v>
      </c>
      <c r="B48" s="10" t="s">
        <v>234</v>
      </c>
      <c r="C48" s="10" t="s">
        <v>36</v>
      </c>
      <c r="D48" s="10" t="s">
        <v>42</v>
      </c>
      <c r="E48" s="20">
        <v>46211.66756944444</v>
      </c>
      <c r="F48" s="11"/>
      <c r="G48" s="14"/>
      <c r="H48" s="14">
        <v>61.85</v>
      </c>
      <c r="I48" s="14"/>
      <c r="J48" s="14"/>
      <c r="K48" s="15"/>
      <c r="L48" s="15"/>
      <c r="M48" s="16"/>
      <c r="N48" s="17"/>
      <c r="O48" s="18" t="str">
        <f>HYPERLINK("https://www.benzinga.com/analyst-stock-ratings/downgrades/26/07/60338034/truist-financial-analyst-is-no-longer-bullish-after-ceo-shakeup", "BENZINGA")</f>
        <v>BENZINGA</v>
      </c>
      <c r="P48" s="10" t="s">
        <v>89</v>
      </c>
      <c r="Q48" s="10" t="s">
        <v>56</v>
      </c>
    </row>
    <row r="49">
      <c r="A49" s="9">
        <f t="shared" si="1"/>
        <v>48</v>
      </c>
      <c r="B49" s="10" t="s">
        <v>236</v>
      </c>
      <c r="C49" s="10" t="s">
        <v>36</v>
      </c>
      <c r="D49" s="10" t="s">
        <v>42</v>
      </c>
      <c r="E49" s="20">
        <v>46211.66756944444</v>
      </c>
      <c r="F49" s="11"/>
      <c r="G49" s="14"/>
      <c r="H49" s="14">
        <v>1294.115</v>
      </c>
      <c r="I49" s="14"/>
      <c r="J49" s="14"/>
      <c r="K49" s="15"/>
      <c r="L49" s="15"/>
      <c r="M49" s="16"/>
      <c r="N49" s="17"/>
      <c r="O49" s="18" t="str">
        <f>HYPERLINK("https://www.benzinga.com/economics/macro-economic-events/26/07/60339042/president-trump-says-lockheed-building-5-new-plants-altogether-new-defense-plants-quadruple-output", "BENZINGA")</f>
        <v>BENZINGA</v>
      </c>
      <c r="P49" s="10" t="s">
        <v>45</v>
      </c>
      <c r="Q49" s="10" t="s">
        <v>56</v>
      </c>
    </row>
    <row r="50">
      <c r="A50" s="9">
        <f t="shared" si="1"/>
        <v>49</v>
      </c>
      <c r="B50" s="10" t="s">
        <v>238</v>
      </c>
      <c r="C50" s="10" t="s">
        <v>36</v>
      </c>
      <c r="D50" s="10" t="s">
        <v>42</v>
      </c>
      <c r="E50" s="20">
        <v>46211.66756944444</v>
      </c>
      <c r="F50" s="11"/>
      <c r="G50" s="14"/>
      <c r="H50" s="14">
        <v>223.67</v>
      </c>
      <c r="I50" s="14"/>
      <c r="J50" s="14"/>
      <c r="K50" s="15"/>
      <c r="L50" s="15"/>
      <c r="M50" s="16"/>
      <c r="N50" s="17"/>
      <c r="O50" s="18" t="str">
        <f>HYPERLINK("https://www.benzinga.com/news/26/07/60302058/keybanc-maintains-overweight-williams-sonoma-raises-price-target-250", "BENZINGA")</f>
        <v>BENZINGA</v>
      </c>
      <c r="P50" s="10" t="s">
        <v>45</v>
      </c>
      <c r="Q50" s="10" t="s">
        <v>46</v>
      </c>
    </row>
    <row r="51">
      <c r="A51" s="9">
        <f t="shared" si="1"/>
        <v>50</v>
      </c>
      <c r="B51" s="10" t="s">
        <v>246</v>
      </c>
      <c r="C51" s="10" t="s">
        <v>36</v>
      </c>
      <c r="D51" s="10" t="s">
        <v>42</v>
      </c>
      <c r="E51" s="20">
        <v>46211.66758101852</v>
      </c>
      <c r="F51" s="11"/>
      <c r="G51" s="14"/>
      <c r="H51" s="14">
        <v>607.01</v>
      </c>
      <c r="I51" s="14"/>
      <c r="J51" s="14"/>
      <c r="K51" s="15"/>
      <c r="L51" s="15"/>
      <c r="M51" s="16"/>
      <c r="N51" s="17"/>
      <c r="O51" s="18" t="str">
        <f>HYPERLINK("https://www.benzinga.com/news/26/07/60365118/td-cowen-maintains-buy-applied-materials-raises-price-target-700", "BENZINGA")</f>
        <v>BENZINGA</v>
      </c>
      <c r="P51" s="10" t="s">
        <v>45</v>
      </c>
      <c r="Q51" s="10" t="s">
        <v>46</v>
      </c>
    </row>
    <row r="52">
      <c r="A52" s="9">
        <f t="shared" si="1"/>
        <v>51</v>
      </c>
      <c r="B52" s="10" t="s">
        <v>248</v>
      </c>
      <c r="C52" s="10" t="s">
        <v>36</v>
      </c>
      <c r="D52" s="10" t="s">
        <v>42</v>
      </c>
      <c r="E52" s="20">
        <v>46211.667592592596</v>
      </c>
      <c r="F52" s="11"/>
      <c r="G52" s="14"/>
      <c r="H52" s="14">
        <v>69.94</v>
      </c>
      <c r="I52" s="14"/>
      <c r="J52" s="14"/>
      <c r="K52" s="15"/>
      <c r="L52" s="15"/>
      <c r="M52" s="16"/>
      <c r="N52" s="17"/>
      <c r="O52" s="18" t="str">
        <f>HYPERLINK("https://www.benzinga.com/news/26/07/60305107/ubs-maintains-buy-citizens-financial-group-raises-price-target-82", "BENZINGA")</f>
        <v>BENZINGA</v>
      </c>
      <c r="P52" s="10" t="s">
        <v>45</v>
      </c>
      <c r="Q52" s="10" t="s">
        <v>46</v>
      </c>
    </row>
    <row r="53">
      <c r="A53" s="9">
        <f t="shared" si="1"/>
        <v>52</v>
      </c>
      <c r="B53" s="10" t="s">
        <v>98</v>
      </c>
      <c r="C53" s="10" t="s">
        <v>36</v>
      </c>
      <c r="D53" s="10" t="s">
        <v>42</v>
      </c>
      <c r="E53" s="20">
        <v>46211.667592592596</v>
      </c>
      <c r="F53" s="11"/>
      <c r="G53" s="14"/>
      <c r="H53" s="14">
        <v>30.535</v>
      </c>
      <c r="I53" s="14"/>
      <c r="J53" s="14"/>
      <c r="K53" s="15"/>
      <c r="L53" s="15"/>
      <c r="M53" s="16"/>
      <c r="N53" s="17"/>
      <c r="O53" s="18" t="str">
        <f>HYPERLINK("https://www.benzinga.com/news/26/07/60304190/ubs-maintains-neutral-regions-financial-raises-price-target-33", "BENZINGA")</f>
        <v>BENZINGA</v>
      </c>
      <c r="P53" s="10" t="s">
        <v>45</v>
      </c>
      <c r="Q53" s="10" t="s">
        <v>46</v>
      </c>
    </row>
    <row r="54">
      <c r="A54" s="9">
        <f t="shared" si="1"/>
        <v>53</v>
      </c>
      <c r="B54" s="10" t="s">
        <v>60</v>
      </c>
      <c r="C54" s="10" t="s">
        <v>36</v>
      </c>
      <c r="D54" s="10" t="s">
        <v>42</v>
      </c>
      <c r="E54" s="20">
        <v>46211.667604166665</v>
      </c>
      <c r="F54" s="11"/>
      <c r="G54" s="14"/>
      <c r="H54" s="14">
        <v>43.02</v>
      </c>
      <c r="I54" s="14"/>
      <c r="J54" s="14"/>
      <c r="K54" s="15"/>
      <c r="L54" s="15"/>
      <c r="M54" s="16"/>
      <c r="N54" s="17"/>
      <c r="O54" s="18" t="str">
        <f>HYPERLINK("https://www.benzinga.com/trading-ideas/dividends/26/07/60240182/wall-streets-most-accurate-analysts-give-their-take-on-3-materials-stocks-delivering-high-dividend-yields-12", "BENZINGA")</f>
        <v>BENZINGA</v>
      </c>
      <c r="P54" s="10" t="s">
        <v>54</v>
      </c>
      <c r="Q54" s="10" t="s">
        <v>46</v>
      </c>
    </row>
    <row r="55">
      <c r="A55" s="9">
        <f t="shared" si="1"/>
        <v>54</v>
      </c>
      <c r="B55" s="10" t="s">
        <v>257</v>
      </c>
      <c r="C55" s="10" t="s">
        <v>36</v>
      </c>
      <c r="D55" s="10" t="s">
        <v>42</v>
      </c>
      <c r="E55" s="20">
        <v>46211.667604166665</v>
      </c>
      <c r="F55" s="11"/>
      <c r="G55" s="14"/>
      <c r="H55" s="14">
        <v>67.43</v>
      </c>
      <c r="I55" s="14"/>
      <c r="J55" s="14"/>
      <c r="K55" s="15"/>
      <c r="L55" s="15"/>
      <c r="M55" s="16"/>
      <c r="N55" s="17"/>
      <c r="O55" s="18" t="str">
        <f>HYPERLINK("https://www.benzinga.com/news/26/07/60335789/ladenburg-thalmann-maintains-buy-bxp-raises-price-target-80", "BENZINGA")</f>
        <v>BENZINGA</v>
      </c>
      <c r="P55" s="10" t="s">
        <v>45</v>
      </c>
      <c r="Q55" s="10" t="s">
        <v>46</v>
      </c>
    </row>
    <row r="56">
      <c r="A56" s="9">
        <f t="shared" si="1"/>
        <v>55</v>
      </c>
      <c r="B56" s="10" t="s">
        <v>260</v>
      </c>
      <c r="C56" s="10" t="s">
        <v>36</v>
      </c>
      <c r="D56" s="10" t="s">
        <v>42</v>
      </c>
      <c r="E56" s="20">
        <v>46211.66761574074</v>
      </c>
      <c r="F56" s="11"/>
      <c r="G56" s="14"/>
      <c r="H56" s="14">
        <v>116.8</v>
      </c>
      <c r="I56" s="14"/>
      <c r="J56" s="14"/>
      <c r="K56" s="15"/>
      <c r="L56" s="15"/>
      <c r="M56" s="16"/>
      <c r="N56" s="17"/>
      <c r="O56" s="18" t="str">
        <f>HYPERLINK("https://www.benzinga.com/news/politics/26/07/60366931/trump-child-accounts-just-won-over-a-democratic-rival-actually-a-smart-policy", "BENZINGA")</f>
        <v>BENZINGA</v>
      </c>
      <c r="P56" s="10" t="s">
        <v>45</v>
      </c>
      <c r="Q56" s="10" t="s">
        <v>56</v>
      </c>
    </row>
    <row r="57">
      <c r="A57" s="9">
        <f t="shared" si="1"/>
        <v>56</v>
      </c>
      <c r="B57" s="10" t="s">
        <v>264</v>
      </c>
      <c r="C57" s="10" t="s">
        <v>36</v>
      </c>
      <c r="D57" s="10" t="s">
        <v>42</v>
      </c>
      <c r="E57" s="20">
        <v>46211.66761574074</v>
      </c>
      <c r="F57" s="11"/>
      <c r="G57" s="14"/>
      <c r="H57" s="14">
        <v>333.445</v>
      </c>
      <c r="I57" s="14"/>
      <c r="J57" s="14"/>
      <c r="K57" s="15"/>
      <c r="L57" s="15"/>
      <c r="M57" s="16"/>
      <c r="N57" s="17"/>
      <c r="O57" s="18" t="str">
        <f>HYPERLINK("https://www.benzinga.com/trading-ideas/movers/26/07/60342191/palo-alto-networks-shares-slip-wednesday-whats-going-on", "BENZINGA")</f>
        <v>BENZINGA</v>
      </c>
      <c r="P57" s="10" t="s">
        <v>45</v>
      </c>
      <c r="Q57" s="10" t="s">
        <v>56</v>
      </c>
    </row>
    <row r="58">
      <c r="A58" s="9">
        <f t="shared" si="1"/>
        <v>57</v>
      </c>
      <c r="B58" s="10" t="s">
        <v>223</v>
      </c>
      <c r="C58" s="10" t="s">
        <v>36</v>
      </c>
      <c r="D58" s="10" t="s">
        <v>42</v>
      </c>
      <c r="E58" s="20">
        <v>46211.66761574074</v>
      </c>
      <c r="F58" s="11"/>
      <c r="G58" s="14"/>
      <c r="H58" s="14">
        <v>124.44</v>
      </c>
      <c r="I58" s="14"/>
      <c r="J58" s="14"/>
      <c r="K58" s="15"/>
      <c r="L58" s="15"/>
      <c r="M58" s="16"/>
      <c r="N58" s="17"/>
      <c r="O58" s="18" t="str">
        <f>HYPERLINK("https://www.benzinga.com/news/26/07/60273090/wells-fargo-maintains-overweight-pultegroup-raises-price-target-150", "BENZINGA")</f>
        <v>BENZINGA</v>
      </c>
      <c r="P58" s="10" t="s">
        <v>45</v>
      </c>
      <c r="Q58" s="10" t="s">
        <v>46</v>
      </c>
    </row>
    <row r="59">
      <c r="A59" s="9">
        <f t="shared" si="1"/>
        <v>58</v>
      </c>
      <c r="B59" s="10" t="s">
        <v>269</v>
      </c>
      <c r="C59" s="10" t="s">
        <v>36</v>
      </c>
      <c r="D59" s="10" t="s">
        <v>42</v>
      </c>
      <c r="E59" s="20">
        <v>46211.66761574074</v>
      </c>
      <c r="F59" s="11"/>
      <c r="G59" s="14"/>
      <c r="H59" s="14">
        <v>182.07</v>
      </c>
      <c r="I59" s="14"/>
      <c r="J59" s="14"/>
      <c r="K59" s="15"/>
      <c r="L59" s="15"/>
      <c r="M59" s="16"/>
      <c r="N59" s="17"/>
      <c r="O59" s="18" t="str">
        <f>HYPERLINK("https://www.benzinga.com/quote/STT", "BENZINGA")</f>
        <v>BENZINGA</v>
      </c>
      <c r="P59" s="10" t="s">
        <v>45</v>
      </c>
      <c r="Q59" s="10" t="s">
        <v>56</v>
      </c>
    </row>
    <row r="60">
      <c r="A60" s="9">
        <f t="shared" si="1"/>
        <v>59</v>
      </c>
      <c r="B60" s="10" t="s">
        <v>272</v>
      </c>
      <c r="C60" s="10" t="s">
        <v>36</v>
      </c>
      <c r="D60" s="10" t="s">
        <v>42</v>
      </c>
      <c r="E60" s="20">
        <v>46211.66761574074</v>
      </c>
      <c r="F60" s="11"/>
      <c r="G60" s="14"/>
      <c r="H60" s="14">
        <v>335.69</v>
      </c>
      <c r="I60" s="14"/>
      <c r="J60" s="14"/>
      <c r="K60" s="15"/>
      <c r="L60" s="15"/>
      <c r="M60" s="16"/>
      <c r="N60" s="17"/>
      <c r="O60" s="18" t="str">
        <f>HYPERLINK("https://www.benzinga.com/news/financing/26/07/60351603/trump-accounts-could-attract-100-billion-in-new-private-commitments-brad-gerstner-predicts-we-have-tens-of-billions-we-havent-announced", "BENZINGA")</f>
        <v>BENZINGA</v>
      </c>
      <c r="P60" s="10" t="s">
        <v>45</v>
      </c>
      <c r="Q60" s="10" t="s">
        <v>56</v>
      </c>
    </row>
    <row r="61">
      <c r="A61" s="9">
        <f t="shared" si="1"/>
        <v>60</v>
      </c>
      <c r="B61" s="10" t="s">
        <v>278</v>
      </c>
      <c r="C61" s="10" t="s">
        <v>36</v>
      </c>
      <c r="D61" s="10" t="s">
        <v>42</v>
      </c>
      <c r="E61" s="20">
        <v>46211.66762731481</v>
      </c>
      <c r="F61" s="11"/>
      <c r="G61" s="14"/>
      <c r="H61" s="14">
        <v>78.745</v>
      </c>
      <c r="I61" s="14"/>
      <c r="J61" s="14"/>
      <c r="K61" s="15"/>
      <c r="L61" s="15"/>
      <c r="M61" s="16"/>
      <c r="N61" s="17"/>
      <c r="O61" s="18" t="str">
        <f>HYPERLINK("https://www.benzinga.com/news/26/07/60215101/morgan-stanley-maintains-overweight-intl-flavors-fragrances-raises-price-target-95", "BENZINGA")</f>
        <v>BENZINGA</v>
      </c>
      <c r="P61" s="10" t="s">
        <v>45</v>
      </c>
      <c r="Q61" s="10" t="s">
        <v>46</v>
      </c>
    </row>
    <row r="62">
      <c r="A62" s="9">
        <f t="shared" si="1"/>
        <v>61</v>
      </c>
      <c r="B62" s="10" t="s">
        <v>280</v>
      </c>
      <c r="C62" s="10" t="s">
        <v>36</v>
      </c>
      <c r="D62" s="10" t="s">
        <v>42</v>
      </c>
      <c r="E62" s="20">
        <v>46211.66762731481</v>
      </c>
      <c r="F62" s="11"/>
      <c r="G62" s="14"/>
      <c r="H62" s="14">
        <v>75.98</v>
      </c>
      <c r="I62" s="14"/>
      <c r="J62" s="14"/>
      <c r="K62" s="15"/>
      <c r="L62" s="15"/>
      <c r="M62" s="16"/>
      <c r="N62" s="17"/>
      <c r="O62" s="18" t="str">
        <f>HYPERLINK("https://www.benzinga.com/news/26/07/60334989/td-cowen-initiates-coverage-alliant-energy-hold-rating", "BENZINGA")</f>
        <v>BENZINGA</v>
      </c>
      <c r="P62" s="10" t="s">
        <v>45</v>
      </c>
      <c r="Q62" s="10" t="s">
        <v>46</v>
      </c>
    </row>
    <row r="63">
      <c r="A63" s="9">
        <f t="shared" si="1"/>
        <v>62</v>
      </c>
      <c r="B63" s="10" t="s">
        <v>67</v>
      </c>
      <c r="C63" s="10" t="s">
        <v>36</v>
      </c>
      <c r="D63" s="10" t="s">
        <v>42</v>
      </c>
      <c r="E63" s="20">
        <v>46211.66763888889</v>
      </c>
      <c r="F63" s="11"/>
      <c r="G63" s="14"/>
      <c r="H63" s="14">
        <v>80.34</v>
      </c>
      <c r="I63" s="14"/>
      <c r="J63" s="14"/>
      <c r="K63" s="15"/>
      <c r="L63" s="15"/>
      <c r="M63" s="16"/>
      <c r="N63" s="17"/>
      <c r="O63" s="18" t="str">
        <f>HYPERLINK("https://www.benzinga.com/trading-ideas/long-ideas/26/06/60059269/6-retail-stocks-to-watch-during-amazon-prime-day-report-shows-potential-winners", "BENZINGA")</f>
        <v>BENZINGA</v>
      </c>
      <c r="P63" s="10" t="s">
        <v>54</v>
      </c>
      <c r="Q63" s="10" t="s">
        <v>56</v>
      </c>
    </row>
    <row r="64">
      <c r="A64" s="9">
        <f t="shared" si="1"/>
        <v>63</v>
      </c>
      <c r="B64" s="10" t="s">
        <v>287</v>
      </c>
      <c r="C64" s="10" t="s">
        <v>36</v>
      </c>
      <c r="D64" s="10" t="s">
        <v>42</v>
      </c>
      <c r="E64" s="20">
        <v>46211.66763888889</v>
      </c>
      <c r="F64" s="11"/>
      <c r="G64" s="14"/>
      <c r="H64" s="14">
        <v>340.57</v>
      </c>
      <c r="I64" s="14"/>
      <c r="J64" s="14"/>
      <c r="K64" s="15"/>
      <c r="L64" s="15"/>
      <c r="M64" s="16"/>
      <c r="N64" s="17"/>
      <c r="O64" s="18" t="str">
        <f>HYPERLINK("https://www.benzinga.com/government/26/07/60309538/recent-filing-shows-rep-lloyd-doggett-bought-over-4k-worth-home-depot-stock", "BENZINGA")</f>
        <v>BENZINGA</v>
      </c>
      <c r="P64" s="10" t="s">
        <v>45</v>
      </c>
      <c r="Q64" s="10" t="s">
        <v>56</v>
      </c>
    </row>
    <row r="65">
      <c r="A65" s="9">
        <f t="shared" si="1"/>
        <v>64</v>
      </c>
      <c r="B65" s="10" t="s">
        <v>288</v>
      </c>
      <c r="C65" s="10" t="s">
        <v>36</v>
      </c>
      <c r="D65" s="10" t="s">
        <v>42</v>
      </c>
      <c r="E65" s="20">
        <v>46211.66763888889</v>
      </c>
      <c r="F65" s="11"/>
      <c r="G65" s="14"/>
      <c r="H65" s="14">
        <v>19.25</v>
      </c>
      <c r="I65" s="14"/>
      <c r="J65" s="14"/>
      <c r="K65" s="15"/>
      <c r="L65" s="15"/>
      <c r="M65" s="16"/>
      <c r="N65" s="17"/>
      <c r="O65" s="18" t="str">
        <f>HYPERLINK("https://www.benzinga.com/quote/KVUE", "BENZINGA")</f>
        <v>BENZINGA</v>
      </c>
      <c r="P65" s="10" t="s">
        <v>45</v>
      </c>
      <c r="Q65" s="10" t="s">
        <v>56</v>
      </c>
    </row>
    <row r="66">
      <c r="A66" s="9">
        <f t="shared" si="1"/>
        <v>65</v>
      </c>
      <c r="B66" s="10" t="s">
        <v>291</v>
      </c>
      <c r="C66" s="10" t="s">
        <v>36</v>
      </c>
      <c r="D66" s="10" t="s">
        <v>42</v>
      </c>
      <c r="E66" s="20">
        <v>46211.66763888889</v>
      </c>
      <c r="F66" s="11"/>
      <c r="G66" s="14"/>
      <c r="H66" s="14">
        <v>33.995</v>
      </c>
      <c r="I66" s="14"/>
      <c r="J66" s="14"/>
      <c r="K66" s="15"/>
      <c r="L66" s="15"/>
      <c r="M66" s="16"/>
      <c r="N66" s="17"/>
      <c r="O66" s="18" t="str">
        <f>HYPERLINK("https://www.benzinga.com/news/26/06/60124665/morgan-stanley-maintains-equal-weight-franklin-resources-raises-price-target-34", "BENZINGA")</f>
        <v>BENZINGA</v>
      </c>
      <c r="P66" s="10" t="s">
        <v>45</v>
      </c>
      <c r="Q66" s="10" t="s">
        <v>46</v>
      </c>
    </row>
    <row r="67">
      <c r="A67" s="9">
        <f t="shared" si="1"/>
        <v>66</v>
      </c>
      <c r="B67" s="10" t="s">
        <v>296</v>
      </c>
      <c r="C67" s="10" t="s">
        <v>36</v>
      </c>
      <c r="D67" s="10" t="s">
        <v>42</v>
      </c>
      <c r="E67" s="20">
        <v>46211.667650462965</v>
      </c>
      <c r="F67" s="11"/>
      <c r="G67" s="14"/>
      <c r="H67" s="14">
        <v>115.68</v>
      </c>
      <c r="I67" s="14"/>
      <c r="J67" s="14"/>
      <c r="K67" s="15"/>
      <c r="L67" s="15"/>
      <c r="M67" s="16"/>
      <c r="N67" s="17"/>
      <c r="O67" s="18" t="str">
        <f>HYPERLINK("https://www.benzinga.com/news/26/07/60356370/mizuho-maintains-neutral-prudential-financial-raises-price-target-109", "BENZINGA")</f>
        <v>BENZINGA</v>
      </c>
      <c r="P67" s="10" t="s">
        <v>45</v>
      </c>
      <c r="Q67" s="10" t="s">
        <v>46</v>
      </c>
    </row>
    <row r="68">
      <c r="A68" s="9">
        <f t="shared" si="1"/>
        <v>67</v>
      </c>
      <c r="B68" s="10" t="s">
        <v>299</v>
      </c>
      <c r="C68" s="10" t="s">
        <v>36</v>
      </c>
      <c r="D68" s="10" t="s">
        <v>42</v>
      </c>
      <c r="E68" s="20">
        <v>46211.667662037034</v>
      </c>
      <c r="F68" s="11"/>
      <c r="G68" s="14"/>
      <c r="H68" s="14">
        <v>39.67</v>
      </c>
      <c r="I68" s="14"/>
      <c r="J68" s="14"/>
      <c r="K68" s="15"/>
      <c r="L68" s="15"/>
      <c r="M68" s="16"/>
      <c r="N68" s="17"/>
      <c r="O68" s="18" t="str">
        <f>HYPERLINK("https://www.benzinga.com/news/26/07/60363286/scotiabank-maintains-sector-perform-udr-raises-price-target-41", "BENZINGA")</f>
        <v>BENZINGA</v>
      </c>
      <c r="P68" s="10" t="s">
        <v>45</v>
      </c>
      <c r="Q68" s="10" t="s">
        <v>46</v>
      </c>
    </row>
    <row r="69">
      <c r="A69" s="9">
        <f t="shared" si="1"/>
        <v>68</v>
      </c>
      <c r="B69" s="10" t="s">
        <v>303</v>
      </c>
      <c r="C69" s="10" t="s">
        <v>36</v>
      </c>
      <c r="D69" s="10" t="s">
        <v>42</v>
      </c>
      <c r="E69" s="20">
        <v>46211.667662037034</v>
      </c>
      <c r="F69" s="11"/>
      <c r="G69" s="14"/>
      <c r="H69" s="14">
        <v>102.365</v>
      </c>
      <c r="I69" s="14"/>
      <c r="J69" s="14"/>
      <c r="K69" s="15"/>
      <c r="L69" s="15"/>
      <c r="M69" s="16"/>
      <c r="N69" s="17"/>
      <c r="O69" s="18" t="str">
        <f>HYPERLINK("https://www.benzinga.com/news/financing/26/07/60327735/obamacare-premiums-could-jump-14-in-2027-as-insurers-warn-rising-medical-costs-are-driving-rates-higher", "BENZINGA")</f>
        <v>BENZINGA</v>
      </c>
      <c r="P69" s="10" t="s">
        <v>54</v>
      </c>
      <c r="Q69" s="10" t="s">
        <v>56</v>
      </c>
    </row>
    <row r="70">
      <c r="A70" s="9">
        <f t="shared" si="1"/>
        <v>69</v>
      </c>
      <c r="B70" s="10" t="s">
        <v>308</v>
      </c>
      <c r="C70" s="10" t="s">
        <v>36</v>
      </c>
      <c r="D70" s="10" t="s">
        <v>42</v>
      </c>
      <c r="E70" s="20">
        <v>46211.667662037034</v>
      </c>
      <c r="F70" s="11"/>
      <c r="G70" s="14"/>
      <c r="H70" s="14">
        <v>113.07</v>
      </c>
      <c r="I70" s="14"/>
      <c r="J70" s="14"/>
      <c r="K70" s="15"/>
      <c r="L70" s="15"/>
      <c r="M70" s="16"/>
      <c r="N70" s="17"/>
      <c r="O70" s="18" t="str">
        <f>HYPERLINK("https://www.benzinga.com/m/26/07/60319725/principal-financial-group-agrees-acquire-employee-benefits-firm-beam-benefits-financial-terms-not-di", "BENZINGA")</f>
        <v>BENZINGA</v>
      </c>
      <c r="P70" s="10" t="s">
        <v>45</v>
      </c>
      <c r="Q70" s="10" t="s">
        <v>56</v>
      </c>
    </row>
    <row r="71">
      <c r="A71" s="9">
        <f t="shared" si="1"/>
        <v>70</v>
      </c>
      <c r="B71" s="10" t="s">
        <v>312</v>
      </c>
      <c r="C71" s="10" t="s">
        <v>36</v>
      </c>
      <c r="D71" s="10" t="s">
        <v>42</v>
      </c>
      <c r="E71" s="20">
        <v>46211.66767361111</v>
      </c>
      <c r="F71" s="11"/>
      <c r="G71" s="14"/>
      <c r="H71" s="14">
        <v>14.765</v>
      </c>
      <c r="I71" s="14"/>
      <c r="J71" s="14"/>
      <c r="K71" s="15"/>
      <c r="L71" s="15"/>
      <c r="M71" s="16"/>
      <c r="N71" s="17"/>
      <c r="O71" s="18" t="str">
        <f>HYPERLINK("https://www.benzinga.com/m/26/06/60140597/aes-shareholders-approve-proposed-takeover-global-infrastructure-partners-eqt-infrastructure-vi-fund", "BENZINGA")</f>
        <v>BENZINGA</v>
      </c>
      <c r="P71" s="10" t="s">
        <v>45</v>
      </c>
      <c r="Q71" s="10" t="s">
        <v>56</v>
      </c>
    </row>
    <row r="72">
      <c r="A72" s="9">
        <f t="shared" si="1"/>
        <v>71</v>
      </c>
      <c r="B72" s="10" t="s">
        <v>313</v>
      </c>
      <c r="C72" s="10" t="s">
        <v>36</v>
      </c>
      <c r="D72" s="10" t="s">
        <v>42</v>
      </c>
      <c r="E72" s="20">
        <v>46211.66768518519</v>
      </c>
      <c r="F72" s="11"/>
      <c r="G72" s="14"/>
      <c r="H72" s="14">
        <v>115.36</v>
      </c>
      <c r="I72" s="14"/>
      <c r="J72" s="14"/>
      <c r="K72" s="15"/>
      <c r="L72" s="15"/>
      <c r="M72" s="16"/>
      <c r="N72" s="17"/>
      <c r="O72" s="18" t="str">
        <f>HYPERLINK("https://www.benzinga.com/news/26/05/52641131/truist-securities-maintains-hold-on-wec-energy-group-lowers-price-target-to-119", "BENZINGA")</f>
        <v>BENZINGA</v>
      </c>
      <c r="P72" s="10" t="s">
        <v>89</v>
      </c>
      <c r="Q72" s="10" t="s">
        <v>46</v>
      </c>
    </row>
    <row r="73">
      <c r="A73" s="9">
        <f t="shared" si="1"/>
        <v>72</v>
      </c>
      <c r="B73" s="10" t="s">
        <v>316</v>
      </c>
      <c r="C73" s="10" t="s">
        <v>36</v>
      </c>
      <c r="D73" s="10" t="s">
        <v>42</v>
      </c>
      <c r="E73" s="20">
        <v>46211.66768518519</v>
      </c>
      <c r="F73" s="11"/>
      <c r="G73" s="14"/>
      <c r="H73" s="14">
        <v>113.87</v>
      </c>
      <c r="I73" s="14"/>
      <c r="J73" s="14"/>
      <c r="K73" s="15"/>
      <c r="L73" s="15"/>
      <c r="M73" s="16"/>
      <c r="N73" s="17"/>
      <c r="O73" s="18" t="str">
        <f>HYPERLINK("https://www.benzinga.com/news/26/07/60363069/scotiabank-maintains-sector-underperform-camden-prop-trust-raises-price-target-109", "BENZINGA")</f>
        <v>BENZINGA</v>
      </c>
      <c r="P73" s="10" t="s">
        <v>89</v>
      </c>
      <c r="Q73" s="10" t="s">
        <v>46</v>
      </c>
    </row>
    <row r="74">
      <c r="A74" s="9">
        <f t="shared" si="1"/>
        <v>73</v>
      </c>
      <c r="B74" s="10" t="s">
        <v>323</v>
      </c>
      <c r="C74" s="10" t="s">
        <v>36</v>
      </c>
      <c r="D74" s="10" t="s">
        <v>42</v>
      </c>
      <c r="E74" s="20">
        <v>46211.66768518519</v>
      </c>
      <c r="F74" s="11"/>
      <c r="G74" s="14"/>
      <c r="H74" s="14">
        <v>205.72</v>
      </c>
      <c r="I74" s="14"/>
      <c r="J74" s="14"/>
      <c r="K74" s="15"/>
      <c r="L74" s="15"/>
      <c r="M74" s="16"/>
      <c r="N74" s="17"/>
      <c r="O74" s="18" t="str">
        <f>HYPERLINK("https://www.benzinga.com/insights/news/26/06/53210137/100-invested-in-electronic-arts-15-years-ago-would-be-worth-this-much-today", "BENZINGA")</f>
        <v>BENZINGA</v>
      </c>
      <c r="P74" s="10" t="s">
        <v>45</v>
      </c>
      <c r="Q74" s="10" t="s">
        <v>56</v>
      </c>
    </row>
    <row r="75">
      <c r="A75" s="9">
        <f t="shared" si="1"/>
        <v>74</v>
      </c>
      <c r="B75" s="10" t="s">
        <v>77</v>
      </c>
      <c r="C75" s="10" t="s">
        <v>36</v>
      </c>
      <c r="D75" s="10" t="s">
        <v>42</v>
      </c>
      <c r="E75" s="20">
        <v>46211.66769675926</v>
      </c>
      <c r="F75" s="11"/>
      <c r="G75" s="14"/>
      <c r="H75" s="14">
        <v>112.41</v>
      </c>
      <c r="I75" s="14"/>
      <c r="J75" s="14"/>
      <c r="K75" s="15"/>
      <c r="L75" s="15"/>
      <c r="M75" s="16"/>
      <c r="N75" s="17"/>
      <c r="O75" s="18" t="str">
        <f>HYPERLINK("https://www.benzinga.com/news/26/07/60356260/barclays-maintains-equal-weight-ameren-raises-price-target-117", "BENZINGA")</f>
        <v>BENZINGA</v>
      </c>
      <c r="P75" s="10" t="s">
        <v>45</v>
      </c>
      <c r="Q75" s="10" t="s">
        <v>46</v>
      </c>
    </row>
    <row r="76">
      <c r="A76" s="9">
        <f t="shared" si="1"/>
        <v>75</v>
      </c>
      <c r="B76" s="10" t="s">
        <v>126</v>
      </c>
      <c r="C76" s="10" t="s">
        <v>36</v>
      </c>
      <c r="D76" s="10" t="s">
        <v>42</v>
      </c>
      <c r="E76" s="20">
        <v>46211.66769675926</v>
      </c>
      <c r="F76" s="11"/>
      <c r="G76" s="14"/>
      <c r="H76" s="14">
        <v>140.685</v>
      </c>
      <c r="I76" s="14"/>
      <c r="J76" s="14"/>
      <c r="K76" s="15"/>
      <c r="L76" s="15"/>
      <c r="M76" s="16"/>
      <c r="N76" s="17"/>
      <c r="O76" s="18" t="str">
        <f>HYPERLINK("https://www.benzinga.com/news/26/06/60050647/morgan-stanley-upgrades-cdw-overweight-raises-price-target-170", "BENZINGA")</f>
        <v>BENZINGA</v>
      </c>
      <c r="P76" s="10" t="s">
        <v>54</v>
      </c>
      <c r="Q76" s="10" t="s">
        <v>46</v>
      </c>
    </row>
    <row r="77">
      <c r="A77" s="9">
        <f t="shared" si="1"/>
        <v>76</v>
      </c>
      <c r="B77" s="10" t="s">
        <v>331</v>
      </c>
      <c r="C77" s="10" t="s">
        <v>36</v>
      </c>
      <c r="D77" s="10" t="s">
        <v>42</v>
      </c>
      <c r="E77" s="20">
        <v>46211.66769675926</v>
      </c>
      <c r="F77" s="11"/>
      <c r="G77" s="14"/>
      <c r="H77" s="14">
        <v>250.65</v>
      </c>
      <c r="I77" s="14"/>
      <c r="J77" s="14"/>
      <c r="K77" s="15"/>
      <c r="L77" s="15"/>
      <c r="M77" s="16"/>
      <c r="N77" s="17"/>
      <c r="O77" s="18" t="str">
        <f>HYPERLINK("https://www.benzinga.com/analyst-stock-ratings/downgrades/26/07/60338034/truist-financial-analyst-is-no-longer-bullish-after-ceo-shakeup", "BENZINGA")</f>
        <v>BENZINGA</v>
      </c>
      <c r="P77" s="10" t="s">
        <v>89</v>
      </c>
      <c r="Q77" s="10" t="s">
        <v>56</v>
      </c>
    </row>
    <row r="78">
      <c r="A78" s="9">
        <f t="shared" si="1"/>
        <v>77</v>
      </c>
      <c r="B78" s="10" t="s">
        <v>332</v>
      </c>
      <c r="C78" s="10" t="s">
        <v>36</v>
      </c>
      <c r="D78" s="10" t="s">
        <v>42</v>
      </c>
      <c r="E78" s="20">
        <v>46211.66769675926</v>
      </c>
      <c r="F78" s="11"/>
      <c r="G78" s="14"/>
      <c r="H78" s="14">
        <v>83.9</v>
      </c>
      <c r="I78" s="14"/>
      <c r="J78" s="14"/>
      <c r="K78" s="15"/>
      <c r="L78" s="15"/>
      <c r="M78" s="16"/>
      <c r="N78" s="17"/>
      <c r="O78" s="18" t="str">
        <f>HYPERLINK("https://www.benzinga.com/news/26/07/60362509/bmo-capital-initiates-coverage-henry-schein-market-perform-rating-announces-price-target-85", "BENZINGA")</f>
        <v>BENZINGA</v>
      </c>
      <c r="P78" s="10" t="s">
        <v>45</v>
      </c>
      <c r="Q78" s="10" t="s">
        <v>46</v>
      </c>
    </row>
    <row r="79">
      <c r="A79" s="9">
        <f t="shared" si="1"/>
        <v>78</v>
      </c>
      <c r="B79" s="10" t="s">
        <v>108</v>
      </c>
      <c r="C79" s="10" t="s">
        <v>36</v>
      </c>
      <c r="D79" s="10" t="s">
        <v>42</v>
      </c>
      <c r="E79" s="20">
        <v>46211.667708333334</v>
      </c>
      <c r="F79" s="11"/>
      <c r="G79" s="14"/>
      <c r="H79" s="14">
        <v>121.74</v>
      </c>
      <c r="I79" s="14"/>
      <c r="J79" s="14"/>
      <c r="K79" s="15"/>
      <c r="L79" s="15"/>
      <c r="M79" s="16"/>
      <c r="N79" s="17"/>
      <c r="O79" s="18" t="str">
        <f>HYPERLINK("https://www.benzinga.com/analyst-stock-ratings/price-target/26/07/60329297/merck-to-rally-more-than-16-here-are-10-top-analyst-forecasts-for-wednesday", "BENZINGA")</f>
        <v>BENZINGA</v>
      </c>
      <c r="P79" s="10" t="s">
        <v>54</v>
      </c>
      <c r="Q79" s="10" t="s">
        <v>56</v>
      </c>
    </row>
    <row r="80">
      <c r="A80" s="9">
        <f t="shared" si="1"/>
        <v>79</v>
      </c>
      <c r="B80" s="10" t="s">
        <v>342</v>
      </c>
      <c r="C80" s="10" t="s">
        <v>36</v>
      </c>
      <c r="D80" s="10" t="s">
        <v>42</v>
      </c>
      <c r="E80" s="20">
        <v>46211.667708333334</v>
      </c>
      <c r="F80" s="11"/>
      <c r="G80" s="14"/>
      <c r="H80" s="14">
        <v>59.345</v>
      </c>
      <c r="I80" s="14"/>
      <c r="J80" s="14"/>
      <c r="K80" s="15"/>
      <c r="L80" s="15"/>
      <c r="M80" s="16"/>
      <c r="N80" s="17"/>
      <c r="O80" s="18" t="str">
        <f>HYPERLINK("https://www.benzinga.com/trading-ideas/dividends/26/07/60352917/500-month-dividends-bank-of-america-stock-q2-earnings", "BENZINGA")</f>
        <v>BENZINGA</v>
      </c>
      <c r="P80" s="10" t="s">
        <v>45</v>
      </c>
      <c r="Q80" s="10" t="s">
        <v>65</v>
      </c>
    </row>
    <row r="81">
      <c r="A81" s="9">
        <f t="shared" si="1"/>
        <v>80</v>
      </c>
      <c r="B81" s="10" t="s">
        <v>347</v>
      </c>
      <c r="C81" s="10" t="s">
        <v>36</v>
      </c>
      <c r="D81" s="10" t="s">
        <v>42</v>
      </c>
      <c r="E81" s="20">
        <v>46211.667708333334</v>
      </c>
      <c r="F81" s="11"/>
      <c r="G81" s="14"/>
      <c r="H81" s="14">
        <v>277.035</v>
      </c>
      <c r="I81" s="14"/>
      <c r="J81" s="14"/>
      <c r="K81" s="15"/>
      <c r="L81" s="15"/>
      <c r="M81" s="16"/>
      <c r="N81" s="17"/>
      <c r="O81" s="18" t="str">
        <f>HYPERLINK("https://www.benzinga.com/news/26/06/60010010/labcorp-announces-nationwide-availability-colosense-its-rna-based-home-colorectal-cancer-screening-t", "BENZINGA")</f>
        <v>BENZINGA</v>
      </c>
      <c r="P81" s="10" t="s">
        <v>45</v>
      </c>
      <c r="Q81" s="10" t="s">
        <v>56</v>
      </c>
    </row>
    <row r="82">
      <c r="A82" s="9">
        <f t="shared" si="1"/>
        <v>81</v>
      </c>
      <c r="B82" s="10" t="s">
        <v>351</v>
      </c>
      <c r="C82" s="10" t="s">
        <v>36</v>
      </c>
      <c r="D82" s="10" t="s">
        <v>42</v>
      </c>
      <c r="E82" s="20">
        <v>46211.667708333334</v>
      </c>
      <c r="F82" s="11"/>
      <c r="G82" s="14"/>
      <c r="H82" s="14">
        <v>221.905</v>
      </c>
      <c r="I82" s="14"/>
      <c r="J82" s="14"/>
      <c r="K82" s="15"/>
      <c r="L82" s="15"/>
      <c r="M82" s="16"/>
      <c r="N82" s="17"/>
      <c r="O82" s="18" t="str">
        <f>HYPERLINK("https://www.benzinga.com/news/26/07/60363400/ubs-maintains-neutral-simon-property-group-raises-price-target-222", "BENZINGA")</f>
        <v>BENZINGA</v>
      </c>
      <c r="P82" s="10" t="s">
        <v>45</v>
      </c>
      <c r="Q82" s="10" t="s">
        <v>46</v>
      </c>
    </row>
    <row r="83">
      <c r="A83" s="9">
        <f t="shared" si="1"/>
        <v>82</v>
      </c>
      <c r="B83" s="10" t="s">
        <v>354</v>
      </c>
      <c r="C83" s="10" t="s">
        <v>36</v>
      </c>
      <c r="D83" s="10" t="s">
        <v>42</v>
      </c>
      <c r="E83" s="20">
        <v>46211.667708333334</v>
      </c>
      <c r="F83" s="11"/>
      <c r="G83" s="14"/>
      <c r="H83" s="14">
        <v>116.78</v>
      </c>
      <c r="I83" s="14"/>
      <c r="J83" s="14"/>
      <c r="K83" s="15"/>
      <c r="L83" s="15"/>
      <c r="M83" s="16"/>
      <c r="N83" s="17"/>
      <c r="O83" s="18" t="str">
        <f>HYPERLINK("https://www.benzinga.com/news/26/07/60333486/rbc-capital-maintains-sector-perform-ppg-indus-raises-price-target-129", "BENZINGA")</f>
        <v>BENZINGA</v>
      </c>
      <c r="P83" s="10" t="s">
        <v>45</v>
      </c>
      <c r="Q83" s="10" t="s">
        <v>46</v>
      </c>
    </row>
    <row r="84">
      <c r="A84" s="9">
        <f t="shared" si="1"/>
        <v>83</v>
      </c>
      <c r="B84" s="10" t="s">
        <v>360</v>
      </c>
      <c r="C84" s="10" t="s">
        <v>36</v>
      </c>
      <c r="D84" s="10" t="s">
        <v>42</v>
      </c>
      <c r="E84" s="20">
        <v>46211.667708333334</v>
      </c>
      <c r="F84" s="11"/>
      <c r="G84" s="14"/>
      <c r="H84" s="14">
        <v>134.08</v>
      </c>
      <c r="I84" s="14"/>
      <c r="J84" s="14"/>
      <c r="K84" s="15"/>
      <c r="L84" s="15"/>
      <c r="M84" s="16"/>
      <c r="N84" s="17"/>
      <c r="O84" s="18" t="str">
        <f>HYPERLINK("https://www.benzinga.com/news/26/06/52981987/morgan-stanley-maintains-equal-weight-on-allegion-lowers-price-target-to-142", "BENZINGA")</f>
        <v>BENZINGA</v>
      </c>
      <c r="P84" s="10" t="s">
        <v>89</v>
      </c>
      <c r="Q84" s="10" t="s">
        <v>46</v>
      </c>
    </row>
    <row r="85">
      <c r="A85" s="9">
        <f t="shared" si="1"/>
        <v>84</v>
      </c>
      <c r="B85" s="10" t="s">
        <v>364</v>
      </c>
      <c r="C85" s="10" t="s">
        <v>36</v>
      </c>
      <c r="D85" s="10" t="s">
        <v>42</v>
      </c>
      <c r="E85" s="20">
        <v>46211.667719907404</v>
      </c>
      <c r="F85" s="11"/>
      <c r="G85" s="14"/>
      <c r="H85" s="14">
        <v>134.41</v>
      </c>
      <c r="I85" s="14"/>
      <c r="J85" s="14"/>
      <c r="K85" s="15"/>
      <c r="L85" s="15"/>
      <c r="M85" s="16"/>
      <c r="N85" s="17"/>
      <c r="O85" s="18" t="str">
        <f>HYPERLINK("https://www.benzinga.com/trading-ideas/movers/26/07/60342006/bloom-energy-hit-by-explosive-short-report-questioning-china-free-supply-claims", "BENZINGA")</f>
        <v>BENZINGA</v>
      </c>
      <c r="P85" s="10" t="s">
        <v>45</v>
      </c>
      <c r="Q85" s="10" t="s">
        <v>56</v>
      </c>
    </row>
    <row r="86">
      <c r="A86" s="9">
        <f t="shared" si="1"/>
        <v>85</v>
      </c>
      <c r="B86" s="10" t="s">
        <v>367</v>
      </c>
      <c r="C86" s="10" t="s">
        <v>36</v>
      </c>
      <c r="D86" s="10" t="s">
        <v>42</v>
      </c>
      <c r="E86" s="20">
        <v>46211.667719907404</v>
      </c>
      <c r="F86" s="11"/>
      <c r="G86" s="14"/>
      <c r="H86" s="14">
        <v>107.19</v>
      </c>
      <c r="I86" s="14"/>
      <c r="J86" s="14"/>
      <c r="K86" s="15"/>
      <c r="L86" s="15"/>
      <c r="M86" s="16"/>
      <c r="N86" s="17"/>
      <c r="O86" s="18" t="str">
        <f>HYPERLINK("https://www.benzinga.com/news/26/07/60210310/barclays-maintains-equal-weight-pinnacle-west-capital-raises-price-target-108", "BENZINGA")</f>
        <v>BENZINGA</v>
      </c>
      <c r="P86" s="10" t="s">
        <v>45</v>
      </c>
      <c r="Q86" s="10" t="s">
        <v>46</v>
      </c>
    </row>
    <row r="87">
      <c r="A87" s="9">
        <f t="shared" si="1"/>
        <v>86</v>
      </c>
      <c r="B87" s="10" t="s">
        <v>374</v>
      </c>
      <c r="C87" s="10" t="s">
        <v>36</v>
      </c>
      <c r="D87" s="10" t="s">
        <v>42</v>
      </c>
      <c r="E87" s="20">
        <v>46211.66773148148</v>
      </c>
      <c r="F87" s="11"/>
      <c r="G87" s="14"/>
      <c r="H87" s="14">
        <v>70.42</v>
      </c>
      <c r="I87" s="14"/>
      <c r="J87" s="14"/>
      <c r="K87" s="15"/>
      <c r="L87" s="15"/>
      <c r="M87" s="16"/>
      <c r="N87" s="17"/>
      <c r="O87" s="18" t="str">
        <f>HYPERLINK("https://www.benzinga.com/news/26/07/60337693/citigroup-maintains-neutral-cooper-companies-raises-price-target-76", "BENZINGA")</f>
        <v>BENZINGA</v>
      </c>
      <c r="P87" s="10" t="s">
        <v>45</v>
      </c>
      <c r="Q87" s="10" t="s">
        <v>46</v>
      </c>
    </row>
    <row r="88">
      <c r="A88" s="9">
        <f t="shared" si="1"/>
        <v>87</v>
      </c>
      <c r="B88" s="10" t="s">
        <v>141</v>
      </c>
      <c r="C88" s="10" t="s">
        <v>36</v>
      </c>
      <c r="D88" s="10" t="s">
        <v>42</v>
      </c>
      <c r="E88" s="20">
        <v>46211.66773148148</v>
      </c>
      <c r="F88" s="11"/>
      <c r="G88" s="14"/>
      <c r="H88" s="14">
        <v>124.83</v>
      </c>
      <c r="I88" s="14"/>
      <c r="J88" s="14"/>
      <c r="K88" s="15"/>
      <c r="L88" s="15"/>
      <c r="M88" s="16"/>
      <c r="N88" s="17"/>
      <c r="O88" s="18" t="str">
        <f>HYPERLINK("https://www.benzinga.com/news/politics/26/07/60350262/rick-scott-urges-trump-to-increase-tariffs-on-chinese-generic-drug-makers-over-uyghur-slave-labor-claims", "BENZINGA")</f>
        <v>BENZINGA</v>
      </c>
      <c r="P88" s="10" t="s">
        <v>45</v>
      </c>
      <c r="Q88" s="10" t="s">
        <v>56</v>
      </c>
    </row>
    <row r="89">
      <c r="A89" s="9">
        <f t="shared" si="1"/>
        <v>88</v>
      </c>
      <c r="B89" s="10" t="s">
        <v>381</v>
      </c>
      <c r="C89" s="10" t="s">
        <v>36</v>
      </c>
      <c r="D89" s="10" t="s">
        <v>42</v>
      </c>
      <c r="E89" s="20">
        <v>46211.66773148148</v>
      </c>
      <c r="F89" s="11"/>
      <c r="G89" s="14"/>
      <c r="H89" s="14">
        <v>223.48</v>
      </c>
      <c r="I89" s="14"/>
      <c r="J89" s="14"/>
      <c r="K89" s="15"/>
      <c r="L89" s="15"/>
      <c r="M89" s="16"/>
      <c r="N89" s="17"/>
      <c r="O89" s="18" t="str">
        <f>HYPERLINK("https://www.benzinga.com/news/space/26/07/60350061/jeff-bezos-spacex-rival-blue-origin-seeks-10-billion-raise-at-130-billion-valuation-report", "BENZINGA")</f>
        <v>BENZINGA</v>
      </c>
      <c r="P89" s="10" t="s">
        <v>45</v>
      </c>
      <c r="Q89" s="10" t="s">
        <v>56</v>
      </c>
    </row>
    <row r="90">
      <c r="A90" s="9">
        <f t="shared" si="1"/>
        <v>89</v>
      </c>
      <c r="B90" s="10" t="s">
        <v>383</v>
      </c>
      <c r="C90" s="10" t="s">
        <v>36</v>
      </c>
      <c r="D90" s="10" t="s">
        <v>42</v>
      </c>
      <c r="E90" s="20">
        <v>46211.66774305556</v>
      </c>
      <c r="F90" s="11"/>
      <c r="G90" s="14"/>
      <c r="H90" s="14">
        <v>955.975</v>
      </c>
      <c r="I90" s="14"/>
      <c r="J90" s="14"/>
      <c r="K90" s="15"/>
      <c r="L90" s="15"/>
      <c r="M90" s="16"/>
      <c r="N90" s="17"/>
      <c r="O90" s="18" t="str">
        <f>HYPERLINK("https://www.benzinga.com/news/26/07/60241097/truist-securities-maintains-buy-parker-hannifin-raises-price-target-1269", "BENZINGA")</f>
        <v>BENZINGA</v>
      </c>
      <c r="P90" s="10" t="s">
        <v>45</v>
      </c>
      <c r="Q90" s="10" t="s">
        <v>46</v>
      </c>
    </row>
    <row r="91">
      <c r="A91" s="9">
        <f t="shared" si="1"/>
        <v>90</v>
      </c>
      <c r="B91" s="10" t="s">
        <v>386</v>
      </c>
      <c r="C91" s="10" t="s">
        <v>36</v>
      </c>
      <c r="D91" s="10" t="s">
        <v>42</v>
      </c>
      <c r="E91" s="20">
        <v>46211.66774305556</v>
      </c>
      <c r="F91" s="11"/>
      <c r="G91" s="14"/>
      <c r="H91" s="14">
        <v>392.46</v>
      </c>
      <c r="I91" s="14"/>
      <c r="J91" s="14"/>
      <c r="K91" s="15"/>
      <c r="L91" s="15"/>
      <c r="M91" s="16"/>
      <c r="N91" s="17"/>
      <c r="O91" s="18" t="str">
        <f>HYPERLINK("https://www.benzinga.com/news/26/07/60300915/cantor-fitzgerald-maintains-neutral-humana-raises-price-target-300", "BENZINGA")</f>
        <v>BENZINGA</v>
      </c>
      <c r="P91" s="10" t="s">
        <v>45</v>
      </c>
      <c r="Q91" s="10" t="s">
        <v>46</v>
      </c>
    </row>
    <row r="92">
      <c r="A92" s="9">
        <f t="shared" si="1"/>
        <v>91</v>
      </c>
      <c r="B92" s="10" t="s">
        <v>254</v>
      </c>
      <c r="C92" s="10" t="s">
        <v>36</v>
      </c>
      <c r="D92" s="10" t="s">
        <v>42</v>
      </c>
      <c r="E92" s="20">
        <v>46211.66774305556</v>
      </c>
      <c r="F92" s="11"/>
      <c r="G92" s="14"/>
      <c r="H92" s="14">
        <v>46.835</v>
      </c>
      <c r="I92" s="14"/>
      <c r="J92" s="14"/>
      <c r="K92" s="15"/>
      <c r="L92" s="15"/>
      <c r="M92" s="16"/>
      <c r="N92" s="17"/>
      <c r="O92" s="18" t="str">
        <f>HYPERLINK("https://www.benzinga.com/news/26/07/60357849/barclays-maintains-equal-weight-mgm-resorts-international-raises-price-target-48", "BENZINGA")</f>
        <v>BENZINGA</v>
      </c>
      <c r="P92" s="10" t="s">
        <v>45</v>
      </c>
      <c r="Q92" s="10" t="s">
        <v>46</v>
      </c>
    </row>
    <row r="93">
      <c r="A93" s="9">
        <f t="shared" si="1"/>
        <v>92</v>
      </c>
      <c r="B93" s="10" t="s">
        <v>392</v>
      </c>
      <c r="C93" s="10" t="s">
        <v>36</v>
      </c>
      <c r="D93" s="10" t="s">
        <v>42</v>
      </c>
      <c r="E93" s="20">
        <v>46211.66774305556</v>
      </c>
      <c r="F93" s="11"/>
      <c r="G93" s="14"/>
      <c r="H93" s="14">
        <v>226.1</v>
      </c>
      <c r="I93" s="14"/>
      <c r="J93" s="14"/>
      <c r="K93" s="15"/>
      <c r="L93" s="15"/>
      <c r="M93" s="16"/>
      <c r="N93" s="17"/>
      <c r="O93" s="18" t="str">
        <f>HYPERLINK("https://www.benzinga.com/news/26/07/60356891/barclays-maintains-equal-weight-davita-raises-price-target-218", "BENZINGA")</f>
        <v>BENZINGA</v>
      </c>
      <c r="P93" s="10" t="s">
        <v>45</v>
      </c>
      <c r="Q93" s="10" t="s">
        <v>46</v>
      </c>
    </row>
    <row r="94">
      <c r="A94" s="9">
        <f t="shared" si="1"/>
        <v>93</v>
      </c>
      <c r="B94" s="10" t="s">
        <v>397</v>
      </c>
      <c r="C94" s="10" t="s">
        <v>36</v>
      </c>
      <c r="D94" s="10" t="s">
        <v>42</v>
      </c>
      <c r="E94" s="20">
        <v>46211.66774305556</v>
      </c>
      <c r="F94" s="11"/>
      <c r="G94" s="14"/>
      <c r="H94" s="14">
        <v>266.005</v>
      </c>
      <c r="I94" s="14"/>
      <c r="J94" s="14"/>
      <c r="K94" s="15"/>
      <c r="L94" s="15"/>
      <c r="M94" s="16"/>
      <c r="N94" s="17"/>
      <c r="O94" s="18" t="str">
        <f>HYPERLINK("https://www.benzinga.com/news/26/07/60313973/argus-research-maintains-buy-expedia-group-raises-price-target-315", "BENZINGA")</f>
        <v>BENZINGA</v>
      </c>
      <c r="P94" s="10" t="s">
        <v>45</v>
      </c>
      <c r="Q94" s="10" t="s">
        <v>46</v>
      </c>
    </row>
    <row r="95">
      <c r="A95" s="9">
        <f t="shared" si="1"/>
        <v>94</v>
      </c>
      <c r="B95" s="10" t="s">
        <v>400</v>
      </c>
      <c r="C95" s="10" t="s">
        <v>36</v>
      </c>
      <c r="D95" s="10" t="s">
        <v>42</v>
      </c>
      <c r="E95" s="20">
        <v>46211.66775462963</v>
      </c>
      <c r="F95" s="11"/>
      <c r="G95" s="14"/>
      <c r="H95" s="14">
        <v>497.24</v>
      </c>
      <c r="I95" s="14"/>
      <c r="J95" s="14"/>
      <c r="K95" s="15"/>
      <c r="L95" s="15"/>
      <c r="M95" s="16"/>
      <c r="N95" s="17"/>
      <c r="O95" s="18" t="str">
        <f>HYPERLINK("https://www.benzinga.com/news/23/03/31222881/billionaire-warren-buffett-still-lives-in-a-1920s-house-he-paid-31k-for", "BENZINGA")</f>
        <v>BENZINGA</v>
      </c>
      <c r="P95" s="10" t="s">
        <v>45</v>
      </c>
      <c r="Q95" s="10" t="s">
        <v>56</v>
      </c>
    </row>
    <row r="96">
      <c r="A96" s="9">
        <f t="shared" si="1"/>
        <v>95</v>
      </c>
      <c r="B96" s="10" t="s">
        <v>406</v>
      </c>
      <c r="C96" s="10" t="s">
        <v>36</v>
      </c>
      <c r="D96" s="10" t="s">
        <v>42</v>
      </c>
      <c r="E96" s="20">
        <v>46211.66775462963</v>
      </c>
      <c r="F96" s="11"/>
      <c r="G96" s="14"/>
      <c r="H96" s="14">
        <v>177.95</v>
      </c>
      <c r="I96" s="14"/>
      <c r="J96" s="14"/>
      <c r="K96" s="15"/>
      <c r="L96" s="15"/>
      <c r="M96" s="16"/>
      <c r="N96" s="17"/>
      <c r="O96" s="18" t="str">
        <f>HYPERLINK("https://www.benzinga.com/news/26/07/60326527/keefe-bruyette-woods-downgrades-cincinnati-financial-market-perform-raises-price-target-201", "BENZINGA")</f>
        <v>BENZINGA</v>
      </c>
      <c r="P96" s="10" t="s">
        <v>89</v>
      </c>
      <c r="Q96" s="10" t="s">
        <v>46</v>
      </c>
    </row>
    <row r="97">
      <c r="A97" s="9">
        <f t="shared" si="1"/>
        <v>96</v>
      </c>
      <c r="B97" s="10" t="s">
        <v>408</v>
      </c>
      <c r="C97" s="10" t="s">
        <v>36</v>
      </c>
      <c r="D97" s="10" t="s">
        <v>42</v>
      </c>
      <c r="E97" s="20">
        <v>46211.66775462963</v>
      </c>
      <c r="F97" s="11"/>
      <c r="G97" s="14"/>
      <c r="H97" s="14">
        <v>238.6</v>
      </c>
      <c r="I97" s="14"/>
      <c r="J97" s="14"/>
      <c r="K97" s="15"/>
      <c r="L97" s="15"/>
      <c r="M97" s="16"/>
      <c r="N97" s="17"/>
      <c r="O97" s="18" t="str">
        <f>HYPERLINK("https://www.benzinga.com/news/26/07/60304347/ubs-maintains-neutral-m-t-bank-raises-price-target-252", "BENZINGA")</f>
        <v>BENZINGA</v>
      </c>
      <c r="P97" s="10" t="s">
        <v>45</v>
      </c>
      <c r="Q97" s="10" t="s">
        <v>46</v>
      </c>
    </row>
    <row r="98">
      <c r="A98" s="9">
        <f t="shared" si="1"/>
        <v>97</v>
      </c>
      <c r="B98" s="10" t="s">
        <v>415</v>
      </c>
      <c r="C98" s="10" t="s">
        <v>36</v>
      </c>
      <c r="D98" s="10" t="s">
        <v>42</v>
      </c>
      <c r="E98" s="20">
        <v>46211.66775462963</v>
      </c>
      <c r="F98" s="11"/>
      <c r="G98" s="14"/>
      <c r="H98" s="14">
        <v>453.51</v>
      </c>
      <c r="I98" s="14"/>
      <c r="J98" s="14"/>
      <c r="K98" s="15"/>
      <c r="L98" s="15"/>
      <c r="M98" s="16"/>
      <c r="N98" s="17"/>
      <c r="O98" s="18" t="str">
        <f>HYPERLINK("https://www.benzinga.com/trading-ideas/movers/26/07/60364263/why-is-dell-technologies-stock-surging-thursday", "BENZINGA")</f>
        <v>BENZINGA</v>
      </c>
      <c r="P98" s="10" t="s">
        <v>54</v>
      </c>
      <c r="Q98" s="10" t="s">
        <v>46</v>
      </c>
    </row>
    <row r="99">
      <c r="A99" s="9">
        <f t="shared" si="1"/>
        <v>98</v>
      </c>
      <c r="B99" s="10" t="s">
        <v>419</v>
      </c>
      <c r="C99" s="10" t="s">
        <v>36</v>
      </c>
      <c r="D99" s="10" t="s">
        <v>42</v>
      </c>
      <c r="E99" s="20">
        <v>46211.66775462963</v>
      </c>
      <c r="F99" s="11"/>
      <c r="G99" s="14"/>
      <c r="H99" s="14">
        <v>89.04</v>
      </c>
      <c r="I99" s="14"/>
      <c r="J99" s="14"/>
      <c r="K99" s="15"/>
      <c r="L99" s="15"/>
      <c r="M99" s="16"/>
      <c r="N99" s="17"/>
      <c r="O99" s="18" t="str">
        <f>HYPERLINK("https://www.benzinga.com/trading-ideas/movers/26/07/60339146/delta-stock-faces-fuel-cost-headwinds-following-us-military-strikes-against-iran", "BENZINGA")</f>
        <v>BENZINGA</v>
      </c>
      <c r="P99" s="10" t="s">
        <v>45</v>
      </c>
      <c r="Q99" s="10" t="s">
        <v>56</v>
      </c>
    </row>
    <row r="100">
      <c r="A100" s="9">
        <f t="shared" si="1"/>
        <v>99</v>
      </c>
      <c r="B100" s="10" t="s">
        <v>424</v>
      </c>
      <c r="C100" s="10" t="s">
        <v>36</v>
      </c>
      <c r="D100" s="10" t="s">
        <v>42</v>
      </c>
      <c r="E100" s="20">
        <v>46211.66775462963</v>
      </c>
      <c r="F100" s="11"/>
      <c r="G100" s="14"/>
      <c r="H100" s="14">
        <v>82.4</v>
      </c>
      <c r="I100" s="14"/>
      <c r="J100" s="14"/>
      <c r="K100" s="15"/>
      <c r="L100" s="15"/>
      <c r="M100" s="16"/>
      <c r="N100" s="17"/>
      <c r="O100" s="18" t="str">
        <f>HYPERLINK("https://www.benzinga.com/news/26/07/60237061/reported-earlier-guest-supply-asia-signs-licensing-agreement-haan-manufacture-and-distribute-persona", "BENZINGA")</f>
        <v>BENZINGA</v>
      </c>
      <c r="P100" s="10" t="s">
        <v>45</v>
      </c>
      <c r="Q100" s="10" t="s">
        <v>56</v>
      </c>
    </row>
    <row r="101">
      <c r="A101" s="9">
        <f t="shared" si="1"/>
        <v>100</v>
      </c>
      <c r="B101" s="10" t="s">
        <v>426</v>
      </c>
      <c r="C101" s="10" t="s">
        <v>36</v>
      </c>
      <c r="D101" s="10" t="s">
        <v>42</v>
      </c>
      <c r="E101" s="20">
        <v>46211.667766203704</v>
      </c>
      <c r="F101" s="11"/>
      <c r="G101" s="14"/>
      <c r="H101" s="14">
        <v>522.545</v>
      </c>
      <c r="I101" s="14"/>
      <c r="J101" s="14"/>
      <c r="K101" s="15"/>
      <c r="L101" s="15"/>
      <c r="M101" s="16"/>
      <c r="N101" s="17"/>
      <c r="O101" s="18" t="str">
        <f>HYPERLINK("https://www.benzinga.com/markets/options/26/07/60341362/9-health-care-stocks-whale-activity-today-s-session", "BENZINGA")</f>
        <v>BENZINGA</v>
      </c>
      <c r="P101" s="10" t="s">
        <v>45</v>
      </c>
      <c r="Q101" s="10" t="s">
        <v>56</v>
      </c>
    </row>
    <row r="102">
      <c r="A102" s="9">
        <f t="shared" si="1"/>
        <v>101</v>
      </c>
      <c r="B102" s="10" t="s">
        <v>433</v>
      </c>
      <c r="C102" s="10" t="s">
        <v>36</v>
      </c>
      <c r="D102" s="10" t="s">
        <v>42</v>
      </c>
      <c r="E102" s="20">
        <v>46211.667766203704</v>
      </c>
      <c r="F102" s="11"/>
      <c r="G102" s="14"/>
      <c r="H102" s="14">
        <v>199.35</v>
      </c>
      <c r="I102" s="14"/>
      <c r="J102" s="14"/>
      <c r="K102" s="15"/>
      <c r="L102" s="15"/>
      <c r="M102" s="16"/>
      <c r="N102" s="17"/>
      <c r="O102" s="18" t="str">
        <f>HYPERLINK("https://www.benzinga.com/news/26/07/60338894/morgan-stanley-maintains-equal-weight-biogen-lowers-price-target-222", "BENZINGA")</f>
        <v>BENZINGA</v>
      </c>
      <c r="P102" s="10" t="s">
        <v>89</v>
      </c>
      <c r="Q102" s="10" t="s">
        <v>46</v>
      </c>
    </row>
    <row r="103">
      <c r="A103" s="9">
        <f t="shared" si="1"/>
        <v>102</v>
      </c>
      <c r="B103" s="10" t="s">
        <v>434</v>
      </c>
      <c r="C103" s="10" t="s">
        <v>36</v>
      </c>
      <c r="D103" s="10" t="s">
        <v>42</v>
      </c>
      <c r="E103" s="20">
        <v>46211.66777777778</v>
      </c>
      <c r="F103" s="11"/>
      <c r="G103" s="14"/>
      <c r="H103" s="14">
        <v>112.31</v>
      </c>
      <c r="I103" s="14"/>
      <c r="J103" s="14"/>
      <c r="K103" s="15"/>
      <c r="L103" s="15"/>
      <c r="M103" s="16"/>
      <c r="N103" s="17"/>
      <c r="O103" s="18" t="str">
        <f>HYPERLINK("https://www.benzinga.com/news/26/07/60286489/evercore-isi-group-maintains-outperform-revvity-raises-price-target-125", "BENZINGA")</f>
        <v>BENZINGA</v>
      </c>
      <c r="P103" s="10" t="s">
        <v>54</v>
      </c>
      <c r="Q103" s="10" t="s">
        <v>46</v>
      </c>
    </row>
    <row r="104">
      <c r="A104" s="9">
        <f t="shared" si="1"/>
        <v>103</v>
      </c>
      <c r="B104" s="10" t="s">
        <v>440</v>
      </c>
      <c r="C104" s="10" t="s">
        <v>36</v>
      </c>
      <c r="D104" s="10" t="s">
        <v>42</v>
      </c>
      <c r="E104" s="20">
        <v>46211.66777777778</v>
      </c>
      <c r="F104" s="11"/>
      <c r="G104" s="14"/>
      <c r="H104" s="14">
        <v>91.395</v>
      </c>
      <c r="I104" s="14"/>
      <c r="J104" s="14"/>
      <c r="K104" s="15"/>
      <c r="L104" s="15"/>
      <c r="M104" s="16"/>
      <c r="N104" s="17"/>
      <c r="O104" s="18" t="str">
        <f>HYPERLINK("https://www.benzinga.com/news/26/07/60356290/mizuho-maintains-outperform-metlife-raises-price-target-102", "BENZINGA")</f>
        <v>BENZINGA</v>
      </c>
      <c r="P104" s="10" t="s">
        <v>54</v>
      </c>
      <c r="Q104" s="10" t="s">
        <v>46</v>
      </c>
    </row>
    <row r="105">
      <c r="A105" s="9">
        <f t="shared" si="1"/>
        <v>104</v>
      </c>
      <c r="B105" s="10" t="s">
        <v>444</v>
      </c>
      <c r="C105" s="10" t="s">
        <v>36</v>
      </c>
      <c r="D105" s="10" t="s">
        <v>42</v>
      </c>
      <c r="E105" s="20">
        <v>46211.66778935185</v>
      </c>
      <c r="F105" s="11"/>
      <c r="G105" s="14"/>
      <c r="H105" s="14">
        <v>347.15</v>
      </c>
      <c r="I105" s="14"/>
      <c r="J105" s="14"/>
      <c r="K105" s="15"/>
      <c r="L105" s="15"/>
      <c r="M105" s="16"/>
      <c r="N105" s="17"/>
      <c r="O105" s="18" t="str">
        <f>HYPERLINK("https://www.benzinga.com/news/26/07/60352109/b-securities-maintains-buy-american-express-raises-price-target-391", "BENZINGA")</f>
        <v>BENZINGA</v>
      </c>
      <c r="P105" s="10" t="s">
        <v>45</v>
      </c>
      <c r="Q105" s="10" t="s">
        <v>46</v>
      </c>
    </row>
    <row r="106">
      <c r="A106" s="9">
        <f t="shared" si="1"/>
        <v>105</v>
      </c>
      <c r="B106" s="10" t="s">
        <v>445</v>
      </c>
      <c r="C106" s="10" t="s">
        <v>36</v>
      </c>
      <c r="D106" s="10" t="s">
        <v>42</v>
      </c>
      <c r="E106" s="20">
        <v>46211.66778935185</v>
      </c>
      <c r="F106" s="11"/>
      <c r="G106" s="14"/>
      <c r="H106" s="14">
        <v>146.775</v>
      </c>
      <c r="I106" s="14"/>
      <c r="J106" s="14"/>
      <c r="K106" s="15"/>
      <c r="L106" s="15"/>
      <c r="M106" s="16"/>
      <c r="N106" s="17"/>
      <c r="O106" s="18" t="str">
        <f>HYPERLINK("https://www.benzinga.com/analyst-stock-ratings/price-target/26/06/60154823/applied-materials-to-rally-around-20-here-are-10-top-analyst-forecasts-for-monday", "BENZINGA")</f>
        <v>BENZINGA</v>
      </c>
      <c r="P106" s="10" t="s">
        <v>54</v>
      </c>
      <c r="Q106" s="10" t="s">
        <v>46</v>
      </c>
    </row>
    <row r="107">
      <c r="A107" s="9">
        <f t="shared" si="1"/>
        <v>106</v>
      </c>
      <c r="B107" s="10" t="s">
        <v>451</v>
      </c>
      <c r="C107" s="10" t="s">
        <v>36</v>
      </c>
      <c r="D107" s="10" t="s">
        <v>42</v>
      </c>
      <c r="E107" s="20">
        <v>46211.66778935185</v>
      </c>
      <c r="F107" s="11"/>
      <c r="G107" s="14"/>
      <c r="H107" s="14">
        <v>46.13</v>
      </c>
      <c r="I107" s="14"/>
      <c r="J107" s="14"/>
      <c r="K107" s="15"/>
      <c r="L107" s="15"/>
      <c r="M107" s="16"/>
      <c r="N107" s="17"/>
      <c r="O107" s="18" t="str">
        <f>HYPERLINK("https://www.benzinga.com/news/26/07/60339608/morgan-stanley-maintains-equal-weight-fastenal-raises-price-target-48", "BENZINGA")</f>
        <v>BENZINGA</v>
      </c>
      <c r="P107" s="10" t="s">
        <v>45</v>
      </c>
      <c r="Q107" s="10" t="s">
        <v>46</v>
      </c>
    </row>
    <row r="108">
      <c r="A108" s="9">
        <f t="shared" si="1"/>
        <v>107</v>
      </c>
      <c r="B108" s="10" t="s">
        <v>454</v>
      </c>
      <c r="C108" s="10" t="s">
        <v>36</v>
      </c>
      <c r="D108" s="10" t="s">
        <v>42</v>
      </c>
      <c r="E108" s="20">
        <v>46211.66789351852</v>
      </c>
      <c r="F108" s="11"/>
      <c r="G108" s="14"/>
      <c r="H108" s="14">
        <v>130.65</v>
      </c>
      <c r="I108" s="14"/>
      <c r="J108" s="14"/>
      <c r="K108" s="15"/>
      <c r="L108" s="15"/>
      <c r="M108" s="16"/>
      <c r="N108" s="17"/>
      <c r="O108" s="18" t="str">
        <f>HYPERLINK("https://www.benzinga.com/trading-ideas/long-ideas/26/07/60330867/forget-the-airlines-the-hidden-monopoly-is-pocketing-your-higher-airfare", "BENZINGA")</f>
        <v>BENZINGA</v>
      </c>
      <c r="P108" s="10" t="s">
        <v>54</v>
      </c>
      <c r="Q108" s="10" t="s">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6.88"/>
    <col customWidth="1" min="5" max="5" width="24.13"/>
    <col customWidth="1" min="6" max="6" width="13.13"/>
    <col customWidth="1" min="7" max="7" width="22.25"/>
    <col customWidth="1" min="8" max="8" width="35.75"/>
    <col customWidth="1" min="9" max="9" width="14.88"/>
    <col customWidth="1" min="12" max="12" width="16.13"/>
    <col customWidth="1" min="13" max="13" width="16.75"/>
    <col customWidth="1" min="16" max="16" width="13.5"/>
    <col customWidth="1" min="17" max="17" width="37.63"/>
  </cols>
  <sheetData>
    <row r="1" ht="22.5" customHeight="1">
      <c r="A1" s="22" t="s">
        <v>0</v>
      </c>
      <c r="B1" s="22" t="s">
        <v>18</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
      <c r="S1" s="2"/>
      <c r="T1" s="2"/>
    </row>
    <row r="2" ht="22.5" customHeight="1">
      <c r="A2" s="23">
        <f t="shared" ref="A2:A190" si="1">ROW()-1</f>
        <v>1</v>
      </c>
      <c r="B2" s="24">
        <v>46212.667546296296</v>
      </c>
      <c r="C2" s="25" t="s">
        <v>67</v>
      </c>
      <c r="D2" s="26" t="s">
        <v>36</v>
      </c>
      <c r="E2" s="25" t="s">
        <v>70</v>
      </c>
      <c r="F2" s="27">
        <v>2.0</v>
      </c>
      <c r="G2" s="28">
        <v>80.0</v>
      </c>
      <c r="H2" s="25" t="s">
        <v>73</v>
      </c>
      <c r="I2" s="27">
        <v>88.9</v>
      </c>
      <c r="J2" s="29"/>
      <c r="K2" s="29"/>
      <c r="L2" s="28">
        <f>IFERROR(__xludf.DUMMYFUNCTION("IF(ISBLANK($C2), """", GOOGLEFINANCE($C2, ""price""))"),80.02)</f>
        <v>80.02</v>
      </c>
      <c r="M2" s="30">
        <f t="shared" ref="M2:M190" si="2">IF(OR(ISBLANK($G2), ISBLANK($L2)), "", IF($D2="LONG", ($L2-$G2)/$G2, ($G2-$L2)/$G2))</f>
        <v>0.00025</v>
      </c>
      <c r="N2" s="30">
        <f>IFERROR(__xludf.DUMMYFUNCTION("IF(OR(ISBLANK($G2), IFERROR(INDEX(GOOGLEFINANCE($C2, ""price"", WORKDAY(INT($B2), 1)), 2, 2), """")=""""), """", IF($D2=""LONG"", (IFERROR(INDEX(GOOGLEFINANCE($C2, ""price"", WORKDAY(INT($B2), 1)), 2, 2), """")-$G2)/$G2, ($G2-IFERROR(INDEX(GOOGLEFINANCE($"&amp;"C2, ""price"", WORKDAY(INT($B2), 1)), 2, 2), """"))/$G2))"),0.03499999999999996)</f>
        <v>0.035</v>
      </c>
      <c r="O2" s="30">
        <f>IFERROR(__xludf.DUMMYFUNCTION("IF(OR(ISBLANK($G2), IFERROR(INDEX(GOOGLEFINANCE($C2, ""price"", WORKDAY(INT($B2), 5)), 2, 2), """")=""""), """", IF($D2=""LONG"", (IFERROR(INDEX(GOOGLEFINANCE($C2, ""price"", WORKDAY(INT($B2), 5)), 2, 2), """")-$G2)/$G2, ($G2-IFERROR(INDEX(GOOGLEFINANCE($"&amp;"C2, ""price"", WORKDAY(INT($B2), 5)), 2, 2), """"))/$G2))"),0.06612500000000007)</f>
        <v>0.066125</v>
      </c>
      <c r="P2" s="30">
        <f>IFERROR(__xludf.DUMMYFUNCTION("IF(OR(ISBLANK($G2), IFERROR(INDEX(GOOGLEFINANCE($C2, ""price"", WORKDAY(INT($B2), 20)), 2, 2), """")=""""), """", IF($D2=""LONG"", (IFERROR(INDEX(GOOGLEFINANCE($C2, ""price"", WORKDAY(INT($B2), 20)), 2, 2), """")-$G2)/$G2, ($G2-IFERROR(INDEX(GOOGLEFINANCE"&amp;"($C2, ""price"", WORKDAY(INT($B2), 20)), 2, 2), """"))/$G2))"),2.4999999999995024E-4)</f>
        <v>0.00025</v>
      </c>
      <c r="Q2" s="25" t="s">
        <v>97</v>
      </c>
      <c r="R2" s="31"/>
      <c r="S2" s="31"/>
      <c r="T2" s="31"/>
    </row>
    <row r="3" ht="22.5" customHeight="1">
      <c r="A3" s="23">
        <f t="shared" si="1"/>
        <v>2</v>
      </c>
      <c r="B3" s="24">
        <v>46212.66777777778</v>
      </c>
      <c r="C3" s="25" t="s">
        <v>108</v>
      </c>
      <c r="D3" s="26" t="s">
        <v>36</v>
      </c>
      <c r="E3" s="25" t="s">
        <v>37</v>
      </c>
      <c r="F3" s="27">
        <v>2.0</v>
      </c>
      <c r="G3" s="28">
        <v>120.94</v>
      </c>
      <c r="H3" s="25" t="s">
        <v>111</v>
      </c>
      <c r="I3" s="27">
        <v>93.1</v>
      </c>
      <c r="J3" s="29"/>
      <c r="K3" s="29"/>
      <c r="L3" s="28">
        <f>IFERROR(__xludf.DUMMYFUNCTION("IF(ISBLANK($C3), """", GOOGLEFINANCE($C3, ""price""))"),129.68)</f>
        <v>129.68</v>
      </c>
      <c r="M3" s="30">
        <f t="shared" si="2"/>
        <v>0.07226723995</v>
      </c>
      <c r="N3" s="30">
        <f>IFERROR(__xludf.DUMMYFUNCTION("IF(OR(ISBLANK($G3), IFERROR(INDEX(GOOGLEFINANCE($C3, ""price"", WORKDAY(INT($B3), 1)), 2, 2), """")=""""), """", IF($D3=""LONG"", (IFERROR(INDEX(GOOGLEFINANCE($C3, ""price"", WORKDAY(INT($B3), 1)), 2, 2), """")-$G3)/$G3, ($G3-IFERROR(INDEX(GOOGLEFINANCE($"&amp;"C3, ""price"", WORKDAY(INT($B3), 1)), 2, 2), """"))/$G3))"),0.032826194807342474)</f>
        <v>0.03282619481</v>
      </c>
      <c r="O3" s="30">
        <f>IFERROR(__xludf.DUMMYFUNCTION("IF(OR(ISBLANK($G3), IFERROR(INDEX(GOOGLEFINANCE($C3, ""price"", WORKDAY(INT($B3), 5)), 2, 2), """")=""""), """", IF($D3=""LONG"", (IFERROR(INDEX(GOOGLEFINANCE($C3, ""price"", WORKDAY(INT($B3), 5)), 2, 2), """")-$G3)/$G3, ($G3-IFERROR(INDEX(GOOGLEFINANCE($"&amp;"C3, ""price"", WORKDAY(INT($B3), 5)), 2, 2), """"))/$G3))"),0.06209690755746644)</f>
        <v>0.06209690756</v>
      </c>
      <c r="P3" s="30">
        <f>IFERROR(__xludf.DUMMYFUNCTION("IF(OR(ISBLANK($G3), IFERROR(INDEX(GOOGLEFINANCE($C3, ""price"", WORKDAY(INT($B3), 20)), 2, 2), """")=""""), """", IF($D3=""LONG"", (IFERROR(INDEX(GOOGLEFINANCE($C3, ""price"", WORKDAY(INT($B3), 20)), 2, 2), """")-$G3)/$G3, ($G3-IFERROR(INDEX(GOOGLEFINANCE"&amp;"($C3, ""price"", WORKDAY(INT($B3), 20)), 2, 2), """"))/$G3))"),0.07226723995369612)</f>
        <v>0.07226723995</v>
      </c>
      <c r="Q3" s="25" t="s">
        <v>122</v>
      </c>
      <c r="R3" s="31"/>
      <c r="S3" s="31"/>
      <c r="T3" s="31"/>
    </row>
    <row r="4" ht="22.5" customHeight="1">
      <c r="A4" s="23">
        <f t="shared" si="1"/>
        <v>3</v>
      </c>
      <c r="B4" s="24">
        <v>46212.66758101852</v>
      </c>
      <c r="C4" s="25" t="s">
        <v>126</v>
      </c>
      <c r="D4" s="26" t="s">
        <v>36</v>
      </c>
      <c r="E4" s="25" t="s">
        <v>37</v>
      </c>
      <c r="F4" s="27">
        <v>2.0</v>
      </c>
      <c r="G4" s="28">
        <v>140.23</v>
      </c>
      <c r="H4" s="25" t="s">
        <v>131</v>
      </c>
      <c r="I4" s="27">
        <v>97.5</v>
      </c>
      <c r="J4" s="29"/>
      <c r="K4" s="29"/>
      <c r="L4" s="28">
        <f>IFERROR(__xludf.DUMMYFUNCTION("IF(ISBLANK($C4), """", GOOGLEFINANCE($C4, ""price""))"),141.97)</f>
        <v>141.97</v>
      </c>
      <c r="M4" s="30">
        <f t="shared" si="2"/>
        <v>0.01240818655</v>
      </c>
      <c r="N4" s="30">
        <f>IFERROR(__xludf.DUMMYFUNCTION("IF(OR(ISBLANK($G4), IFERROR(INDEX(GOOGLEFINANCE($C4, ""price"", WORKDAY(INT($B4), 1)), 2, 2), """")=""""), """", IF($D4=""LONG"", (IFERROR(INDEX(GOOGLEFINANCE($C4, ""price"", WORKDAY(INT($B4), 1)), 2, 2), """")-$G4)/$G4, ($G4-IFERROR(INDEX(GOOGLEFINANCE($"&amp;"C4, ""price"", WORKDAY(INT($B4), 1)), 2, 2), """"))/$G4))"),0.029665549454467637)</f>
        <v>0.02966554945</v>
      </c>
      <c r="O4" s="30">
        <f>IFERROR(__xludf.DUMMYFUNCTION("IF(OR(ISBLANK($G4), IFERROR(INDEX(GOOGLEFINANCE($C4, ""price"", WORKDAY(INT($B4), 5)), 2, 2), """")=""""), """", IF($D4=""LONG"", (IFERROR(INDEX(GOOGLEFINANCE($C4, ""price"", WORKDAY(INT($B4), 5)), 2, 2), """")-$G4)/$G4, ($G4-IFERROR(INDEX(GOOGLEFINANCE($"&amp;"C4, ""price"", WORKDAY(INT($B4), 5)), 2, 2), """"))/$G4))"),-0.042002424588176476)</f>
        <v>-0.04200242459</v>
      </c>
      <c r="P4" s="30">
        <f>IFERROR(__xludf.DUMMYFUNCTION("IF(OR(ISBLANK($G4), IFERROR(INDEX(GOOGLEFINANCE($C4, ""price"", WORKDAY(INT($B4), 20)), 2, 2), """")=""""), """", IF($D4=""LONG"", (IFERROR(INDEX(GOOGLEFINANCE($C4, ""price"", WORKDAY(INT($B4), 20)), 2, 2), """")-$G4)/$G4, ($G4-IFERROR(INDEX(GOOGLEFINANCE"&amp;"($C4, ""price"", WORKDAY(INT($B4), 20)), 2, 2), """"))/$G4))"),0.012479497967624618)</f>
        <v>0.01247949797</v>
      </c>
      <c r="Q4" s="25" t="s">
        <v>146</v>
      </c>
      <c r="R4" s="31"/>
      <c r="S4" s="31"/>
      <c r="T4" s="31"/>
    </row>
    <row r="5" ht="22.5" customHeight="1">
      <c r="A5" s="23">
        <f t="shared" si="1"/>
        <v>4</v>
      </c>
      <c r="B5" s="24">
        <v>46212.667395833334</v>
      </c>
      <c r="C5" s="25" t="s">
        <v>153</v>
      </c>
      <c r="D5" s="26" t="s">
        <v>119</v>
      </c>
      <c r="E5" s="25" t="s">
        <v>120</v>
      </c>
      <c r="F5" s="27">
        <v>4.0</v>
      </c>
      <c r="G5" s="28">
        <v>139.92</v>
      </c>
      <c r="H5" s="25" t="s">
        <v>155</v>
      </c>
      <c r="I5" s="27">
        <v>11.9</v>
      </c>
      <c r="J5" s="29"/>
      <c r="K5" s="29"/>
      <c r="L5" s="28">
        <f>IFERROR(__xludf.DUMMYFUNCTION("IF(ISBLANK($C5), """", GOOGLEFINANCE($C5, ""price""))"),122.65)</f>
        <v>122.65</v>
      </c>
      <c r="M5" s="30">
        <f t="shared" si="2"/>
        <v>0.123427673</v>
      </c>
      <c r="N5" s="30">
        <f>IFERROR(__xludf.DUMMYFUNCTION("IF(OR(ISBLANK($G5), IFERROR(INDEX(GOOGLEFINANCE($C5, ""price"", WORKDAY(INT($B5), 1)), 2, 2), """")=""""), """", IF($D5=""LONG"", (IFERROR(INDEX(GOOGLEFINANCE($C5, ""price"", WORKDAY(INT($B5), 1)), 2, 2), """")-$G5)/$G5, ($G5-IFERROR(INDEX(GOOGLEFINANCE($"&amp;"C5, ""price"", WORKDAY(INT($B5), 1)), 2, 2), """"))/$G5))"),0.029445397369925505)</f>
        <v>0.02944539737</v>
      </c>
      <c r="O5" s="30">
        <f>IFERROR(__xludf.DUMMYFUNCTION("IF(OR(ISBLANK($G5), IFERROR(INDEX(GOOGLEFINANCE($C5, ""price"", WORKDAY(INT($B5), 5)), 2, 2), """")=""""), """", IF($D5=""LONG"", (IFERROR(INDEX(GOOGLEFINANCE($C5, ""price"", WORKDAY(INT($B5), 5)), 2, 2), """")-$G5)/$G5, ($G5-IFERROR(INDEX(GOOGLEFINANCE($"&amp;"C5, ""price"", WORKDAY(INT($B5), 5)), 2, 2), """"))/$G5))"),0.1343624928530588)</f>
        <v>0.1343624929</v>
      </c>
      <c r="P5" s="30">
        <f>IFERROR(__xludf.DUMMYFUNCTION("IF(OR(ISBLANK($G5), IFERROR(INDEX(GOOGLEFINANCE($C5, ""price"", WORKDAY(INT($B5), 20)), 2, 2), """")=""""), """", IF($D5=""LONG"", (IFERROR(INDEX(GOOGLEFINANCE($C5, ""price"", WORKDAY(INT($B5), 20)), 2, 2), """")-$G5)/$G5, ($G5-IFERROR(INDEX(GOOGLEFINANCE"&amp;"($C5, ""price"", WORKDAY(INT($B5), 20)), 2, 2), """"))/$G5))"),0.12378502001143507)</f>
        <v>0.12378502</v>
      </c>
      <c r="Q5" s="25" t="s">
        <v>172</v>
      </c>
      <c r="R5" s="31"/>
      <c r="S5" s="31"/>
      <c r="T5" s="31"/>
    </row>
    <row r="6" ht="22.5" customHeight="1">
      <c r="A6" s="23">
        <f t="shared" si="1"/>
        <v>5</v>
      </c>
      <c r="B6" s="24">
        <v>46212.667395833334</v>
      </c>
      <c r="C6" s="29" t="s">
        <v>179</v>
      </c>
      <c r="D6" s="32" t="s">
        <v>119</v>
      </c>
      <c r="E6" s="29" t="s">
        <v>120</v>
      </c>
      <c r="F6" s="27">
        <v>4.0</v>
      </c>
      <c r="G6" s="28">
        <v>28.33</v>
      </c>
      <c r="H6" s="29" t="s">
        <v>186</v>
      </c>
      <c r="I6" s="27">
        <v>19.3</v>
      </c>
      <c r="J6" s="29"/>
      <c r="K6" s="29"/>
      <c r="L6" s="28">
        <f>IFERROR(__xludf.DUMMYFUNCTION("IF(ISBLANK($C6), """", GOOGLEFINANCE($C6, ""price""))"),29.01)</f>
        <v>29.01</v>
      </c>
      <c r="M6" s="30">
        <f t="shared" si="2"/>
        <v>-0.02400282386</v>
      </c>
      <c r="N6" s="30">
        <f>IFERROR(__xludf.DUMMYFUNCTION("IF(OR(ISBLANK($G6), IFERROR(INDEX(GOOGLEFINANCE($C6, ""price"", WORKDAY(INT($B6), 1)), 2, 2), """")=""""), """", IF($D6=""LONG"", (IFERROR(INDEX(GOOGLEFINANCE($C6, ""price"", WORKDAY(INT($B6), 1)), 2, 2), """")-$G6)/$G6, ($G6-IFERROR(INDEX(GOOGLEFINANCE($"&amp;"C6, ""price"", WORKDAY(INT($B6), 1)), 2, 2), """"))/$G6))"),0.028591599011648386)</f>
        <v>0.02859159901</v>
      </c>
      <c r="O6" s="30">
        <f>IFERROR(__xludf.DUMMYFUNCTION("IF(OR(ISBLANK($G6), IFERROR(INDEX(GOOGLEFINANCE($C6, ""price"", WORKDAY(INT($B6), 5)), 2, 2), """")=""""), """", IF($D6=""LONG"", (IFERROR(INDEX(GOOGLEFINANCE($C6, ""price"", WORKDAY(INT($B6), 5)), 2, 2), """")-$G6)/$G6, ($G6-IFERROR(INDEX(GOOGLEFINANCE($"&amp;"C6, ""price"", WORKDAY(INT($B6), 5)), 2, 2), """"))/$G6))"),0.001411930815390016)</f>
        <v>0.001411930815</v>
      </c>
      <c r="P6" s="30">
        <f>IFERROR(__xludf.DUMMYFUNCTION("IF(OR(ISBLANK($G6), IFERROR(INDEX(GOOGLEFINANCE($C6, ""price"", WORKDAY(INT($B6), 20)), 2, 2), """")=""""), """", IF($D6=""LONG"", (IFERROR(INDEX(GOOGLEFINANCE($C6, ""price"", WORKDAY(INT($B6), 20)), 2, 2), """")-$G6)/$G6, ($G6-IFERROR(INDEX(GOOGLEFINANCE"&amp;"($C6, ""price"", WORKDAY(INT($B6), 20)), 2, 2), """"))/$G6))"),-0.024002823861630898)</f>
        <v>-0.02400282386</v>
      </c>
      <c r="Q6" s="29" t="s">
        <v>202</v>
      </c>
      <c r="R6" s="31"/>
      <c r="S6" s="31"/>
      <c r="T6" s="31"/>
    </row>
    <row r="7" ht="22.5" customHeight="1">
      <c r="A7" s="23">
        <f t="shared" si="1"/>
        <v>6</v>
      </c>
      <c r="B7" s="24">
        <v>46212.66761574074</v>
      </c>
      <c r="C7" s="25" t="s">
        <v>209</v>
      </c>
      <c r="D7" s="26" t="s">
        <v>119</v>
      </c>
      <c r="E7" s="25" t="s">
        <v>120</v>
      </c>
      <c r="F7" s="27">
        <v>4.0</v>
      </c>
      <c r="G7" s="28">
        <v>75.46</v>
      </c>
      <c r="H7" s="25" t="s">
        <v>214</v>
      </c>
      <c r="I7" s="27">
        <v>16.2</v>
      </c>
      <c r="J7" s="29"/>
      <c r="K7" s="29"/>
      <c r="L7" s="28">
        <f>IFERROR(__xludf.DUMMYFUNCTION("IF(ISBLANK($C7), """", GOOGLEFINANCE($C7, ""price""))"),73.69)</f>
        <v>73.69</v>
      </c>
      <c r="M7" s="30">
        <f t="shared" si="2"/>
        <v>0.0234561357</v>
      </c>
      <c r="N7" s="30">
        <f>IFERROR(__xludf.DUMMYFUNCTION("IF(OR(ISBLANK($G7), IFERROR(INDEX(GOOGLEFINANCE($C7, ""price"", WORKDAY(INT($B7), 1)), 2, 2), """")=""""), """", IF($D7=""LONG"", (IFERROR(INDEX(GOOGLEFINANCE($C7, ""price"", WORKDAY(INT($B7), 1)), 2, 2), """")-$G7)/$G7, ($G7-IFERROR(INDEX(GOOGLEFINANCE($"&amp;"C7, ""price"", WORKDAY(INT($B7), 1)), 2, 2), """"))/$G7))"),0.02769679300291531)</f>
        <v>0.027696793</v>
      </c>
      <c r="O7" s="30">
        <f>IFERROR(__xludf.DUMMYFUNCTION("IF(OR(ISBLANK($G7), IFERROR(INDEX(GOOGLEFINANCE($C7, ""price"", WORKDAY(INT($B7), 5)), 2, 2), """")=""""), """", IF($D7=""LONG"", (IFERROR(INDEX(GOOGLEFINANCE($C7, ""price"", WORKDAY(INT($B7), 5)), 2, 2), """")-$G7)/$G7, ($G7-IFERROR(INDEX(GOOGLEFINANCE($"&amp;"C7, ""price"", WORKDAY(INT($B7), 5)), 2, 2), """"))/$G7))"),0.014709780015902459)</f>
        <v>0.01470978002</v>
      </c>
      <c r="P7" s="30">
        <f>IFERROR(__xludf.DUMMYFUNCTION("IF(OR(ISBLANK($G7), IFERROR(INDEX(GOOGLEFINANCE($C7, ""price"", WORKDAY(INT($B7), 20)), 2, 2), """")=""""), """", IF($D7=""LONG"", (IFERROR(INDEX(GOOGLEFINANCE($C7, ""price"", WORKDAY(INT($B7), 20)), 2, 2), """")-$G7)/$G7, ($G7-IFERROR(INDEX(GOOGLEFINANCE"&amp;"($C7, ""price"", WORKDAY(INT($B7), 20)), 2, 2), """"))/$G7))"),0.02345613570103361)</f>
        <v>0.0234561357</v>
      </c>
      <c r="Q7" s="25" t="s">
        <v>227</v>
      </c>
      <c r="R7" s="31"/>
      <c r="S7" s="31"/>
      <c r="T7" s="31"/>
    </row>
    <row r="8" ht="22.5" customHeight="1">
      <c r="A8" s="23">
        <f t="shared" si="1"/>
        <v>7</v>
      </c>
      <c r="B8" s="24">
        <v>46212.66755787037</v>
      </c>
      <c r="C8" s="25" t="s">
        <v>104</v>
      </c>
      <c r="D8" s="26" t="s">
        <v>36</v>
      </c>
      <c r="E8" s="25" t="s">
        <v>37</v>
      </c>
      <c r="F8" s="27">
        <v>2.0</v>
      </c>
      <c r="G8" s="28">
        <v>115.73</v>
      </c>
      <c r="H8" s="25" t="s">
        <v>237</v>
      </c>
      <c r="I8" s="27">
        <v>96.7</v>
      </c>
      <c r="J8" s="29"/>
      <c r="K8" s="29"/>
      <c r="L8" s="28">
        <f>IFERROR(__xludf.DUMMYFUNCTION("IF(ISBLANK($C8), """", GOOGLEFINANCE($C8, ""price""))"),127.45)</f>
        <v>127.45</v>
      </c>
      <c r="M8" s="30">
        <f t="shared" si="2"/>
        <v>0.1012701979</v>
      </c>
      <c r="N8" s="30">
        <f>IFERROR(__xludf.DUMMYFUNCTION("IF(OR(ISBLANK($G8), IFERROR(INDEX(GOOGLEFINANCE($C8, ""price"", WORKDAY(INT($B8), 1)), 2, 2), """")=""""), """", IF($D8=""LONG"", (IFERROR(INDEX(GOOGLEFINANCE($C8, ""price"", WORKDAY(INT($B8), 1)), 2, 2), """")-$G8)/$G8, ($G8-IFERROR(INDEX(GOOGLEFINANCE($"&amp;"C8, ""price"", WORKDAY(INT($B8), 1)), 2, 2), """"))/$G8))"),0.0275641579538581)</f>
        <v>0.02756415795</v>
      </c>
      <c r="O8" s="30">
        <f>IFERROR(__xludf.DUMMYFUNCTION("IF(OR(ISBLANK($G8), IFERROR(INDEX(GOOGLEFINANCE($C8, ""price"", WORKDAY(INT($B8), 5)), 2, 2), """")=""""), """", IF($D8=""LONG"", (IFERROR(INDEX(GOOGLEFINANCE($C8, ""price"", WORKDAY(INT($B8), 5)), 2, 2), """")-$G8)/$G8, ($G8-IFERROR(INDEX(GOOGLEFINANCE($"&amp;"C8, ""price"", WORKDAY(INT($B8), 5)), 2, 2), """"))/$G8))"),0.09876436533310284)</f>
        <v>0.09876436533</v>
      </c>
      <c r="P8" s="30">
        <f>IFERROR(__xludf.DUMMYFUNCTION("IF(OR(ISBLANK($G8), IFERROR(INDEX(GOOGLEFINANCE($C8, ""price"", WORKDAY(INT($B8), 20)), 2, 2), """")=""""), """", IF($D8=""LONG"", (IFERROR(INDEX(GOOGLEFINANCE($C8, ""price"", WORKDAY(INT($B8), 20)), 2, 2), """")-$G8)/$G8, ($G8-IFERROR(INDEX(GOOGLEFINANCE"&amp;"($C8, ""price"", WORKDAY(INT($B8), 20)), 2, 2), """"))/$G8))"),0.10127019787436273)</f>
        <v>0.1012701979</v>
      </c>
      <c r="Q8" s="25" t="s">
        <v>251</v>
      </c>
      <c r="R8" s="31"/>
      <c r="S8" s="31"/>
      <c r="T8" s="31"/>
    </row>
    <row r="9" ht="22.5" customHeight="1">
      <c r="A9" s="23">
        <f t="shared" si="1"/>
        <v>8</v>
      </c>
      <c r="B9" s="24">
        <v>46212.66746527778</v>
      </c>
      <c r="C9" s="25" t="s">
        <v>118</v>
      </c>
      <c r="D9" s="26" t="s">
        <v>119</v>
      </c>
      <c r="E9" s="25" t="s">
        <v>120</v>
      </c>
      <c r="F9" s="27">
        <v>4.0</v>
      </c>
      <c r="G9" s="28">
        <v>139.04</v>
      </c>
      <c r="H9" s="25" t="s">
        <v>261</v>
      </c>
      <c r="I9" s="27">
        <v>9.2</v>
      </c>
      <c r="J9" s="29"/>
      <c r="K9" s="29"/>
      <c r="L9" s="28">
        <f>IFERROR(__xludf.DUMMYFUNCTION("IF(ISBLANK($C9), """", GOOGLEFINANCE($C9, ""price""))"),171.11)</f>
        <v>171.11</v>
      </c>
      <c r="M9" s="30">
        <f t="shared" si="2"/>
        <v>-0.2306530495</v>
      </c>
      <c r="N9" s="30">
        <f>IFERROR(__xludf.DUMMYFUNCTION("IF(OR(ISBLANK($G9), IFERROR(INDEX(GOOGLEFINANCE($C9, ""price"", WORKDAY(INT($B9), 1)), 2, 2), """")=""""), """", IF($D9=""LONG"", (IFERROR(INDEX(GOOGLEFINANCE($C9, ""price"", WORKDAY(INT($B9), 1)), 2, 2), """")-$G9)/$G9, ($G9-IFERROR(INDEX(GOOGLEFINANCE($"&amp;"C9, ""price"", WORKDAY(INT($B9), 1)), 2, 2), """"))/$G9))"),0.027402186421173782)</f>
        <v>0.02740218642</v>
      </c>
      <c r="O9" s="30">
        <f>IFERROR(__xludf.DUMMYFUNCTION("IF(OR(ISBLANK($G9), IFERROR(INDEX(GOOGLEFINANCE($C9, ""price"", WORKDAY(INT($B9), 5)), 2, 2), """")=""""), """", IF($D9=""LONG"", (IFERROR(INDEX(GOOGLEFINANCE($C9, ""price"", WORKDAY(INT($B9), 5)), 2, 2), """")-$G9)/$G9, ($G9-IFERROR(INDEX(GOOGLEFINANCE($"&amp;"C9, ""price"", WORKDAY(INT($B9), 5)), 2, 2), """"))/$G9))"),-0.04006041426927519)</f>
        <v>-0.04006041427</v>
      </c>
      <c r="P9" s="30">
        <f>IFERROR(__xludf.DUMMYFUNCTION("IF(OR(ISBLANK($G9), IFERROR(INDEX(GOOGLEFINANCE($C9, ""price"", WORKDAY(INT($B9), 20)), 2, 2), """")=""""), """", IF($D9=""LONG"", (IFERROR(INDEX(GOOGLEFINANCE($C9, ""price"", WORKDAY(INT($B9), 20)), 2, 2), """")-$G9)/$G9, ($G9-IFERROR(INDEX(GOOGLEFINANCE"&amp;"($C9, ""price"", WORKDAY(INT($B9), 20)), 2, 2), """"))/$G9))"),-0.23065304948216359)</f>
        <v>-0.2306530495</v>
      </c>
      <c r="Q9" s="25" t="s">
        <v>275</v>
      </c>
      <c r="R9" s="31"/>
      <c r="S9" s="31"/>
      <c r="T9" s="31"/>
    </row>
    <row r="10" ht="22.5" customHeight="1">
      <c r="A10" s="23">
        <f t="shared" si="1"/>
        <v>9</v>
      </c>
      <c r="B10" s="24">
        <v>46212.66775462963</v>
      </c>
      <c r="C10" s="25" t="s">
        <v>279</v>
      </c>
      <c r="D10" s="26" t="s">
        <v>36</v>
      </c>
      <c r="E10" s="25" t="s">
        <v>133</v>
      </c>
      <c r="F10" s="27">
        <v>2.0</v>
      </c>
      <c r="G10" s="28">
        <v>73.02</v>
      </c>
      <c r="H10" s="25" t="s">
        <v>283</v>
      </c>
      <c r="I10" s="27">
        <v>84.9</v>
      </c>
      <c r="J10" s="29"/>
      <c r="K10" s="29"/>
      <c r="L10" s="28">
        <f>IFERROR(__xludf.DUMMYFUNCTION("IF(ISBLANK($C10), """", GOOGLEFINANCE($C10, ""price""))"),83.02)</f>
        <v>83.02</v>
      </c>
      <c r="M10" s="30">
        <f t="shared" si="2"/>
        <v>0.1369487812</v>
      </c>
      <c r="N10" s="30">
        <f>IFERROR(__xludf.DUMMYFUNCTION("IF(OR(ISBLANK($G10), IFERROR(INDEX(GOOGLEFINANCE($C10, ""price"", WORKDAY(INT($B10), 1)), 2, 2), """")=""""), """", IF($D10=""LONG"", (IFERROR(INDEX(GOOGLEFINANCE($C10, ""price"", WORKDAY(INT($B10), 1)), 2, 2), """")-$G10)/$G10, ($G10-IFERROR(INDEX(GOOGLE"&amp;"FINANCE($C10, ""price"", WORKDAY(INT($B10), 1)), 2, 2), """"))/$G10))"),0.026568063544234428)</f>
        <v>0.02656806354</v>
      </c>
      <c r="O10" s="30">
        <f>IFERROR(__xludf.DUMMYFUNCTION("IF(OR(ISBLANK($G10), IFERROR(INDEX(GOOGLEFINANCE($C10, ""price"", WORKDAY(INT($B10), 5)), 2, 2), """")=""""), """", IF($D10=""LONG"", (IFERROR(INDEX(GOOGLEFINANCE($C10, ""price"", WORKDAY(INT($B10), 5)), 2, 2), """")-$G10)/$G10, ($G10-IFERROR(INDEX(GOOGLE"&amp;"FINANCE($C10, ""price"", WORKDAY(INT($B10), 5)), 2, 2), """"))/$G10))"),0.06792659545330058)</f>
        <v>0.06792659545</v>
      </c>
      <c r="P10" s="30">
        <f>IFERROR(__xludf.DUMMYFUNCTION("IF(OR(ISBLANK($G10), IFERROR(INDEX(GOOGLEFINANCE($C10, ""price"", WORKDAY(INT($B10), 20)), 2, 2), """")=""""), """", IF($D10=""LONG"", (IFERROR(INDEX(GOOGLEFINANCE($C10, ""price"", WORKDAY(INT($B10), 20)), 2, 2), """")-$G10)/$G10, ($G10-IFERROR(INDEX(GOOG"&amp;"LEFINANCE($C10, ""price"", WORKDAY(INT($B10), 20)), 2, 2), """"))/$G10))"),0.13694878115584772)</f>
        <v>0.1369487812</v>
      </c>
      <c r="Q10" s="25" t="s">
        <v>293</v>
      </c>
      <c r="R10" s="31"/>
      <c r="S10" s="31"/>
      <c r="T10" s="31"/>
    </row>
    <row r="11" ht="22.5" customHeight="1">
      <c r="A11" s="23">
        <f t="shared" si="1"/>
        <v>10</v>
      </c>
      <c r="B11" s="24">
        <v>46212.66755787037</v>
      </c>
      <c r="C11" s="25" t="s">
        <v>243</v>
      </c>
      <c r="D11" s="26" t="s">
        <v>119</v>
      </c>
      <c r="E11" s="25" t="s">
        <v>120</v>
      </c>
      <c r="F11" s="27">
        <v>4.0</v>
      </c>
      <c r="G11" s="28">
        <v>129.54</v>
      </c>
      <c r="H11" s="25" t="s">
        <v>302</v>
      </c>
      <c r="I11" s="27">
        <v>5.3</v>
      </c>
      <c r="J11" s="29"/>
      <c r="K11" s="29"/>
      <c r="L11" s="28">
        <f>IFERROR(__xludf.DUMMYFUNCTION("IF(ISBLANK($C11), """", GOOGLEFINANCE($C11, ""price""))"),118.55)</f>
        <v>118.55</v>
      </c>
      <c r="M11" s="30">
        <f t="shared" si="2"/>
        <v>0.08483865987</v>
      </c>
      <c r="N11" s="30">
        <f>IFERROR(__xludf.DUMMYFUNCTION("IF(OR(ISBLANK($G11), IFERROR(INDEX(GOOGLEFINANCE($C11, ""price"", WORKDAY(INT($B11), 1)), 2, 2), """")=""""), """", IF($D11=""LONG"", (IFERROR(INDEX(GOOGLEFINANCE($C11, ""price"", WORKDAY(INT($B11), 1)), 2, 2), """")-$G11)/$G11, ($G11-IFERROR(INDEX(GOOGLE"&amp;"FINANCE($C11, ""price"", WORKDAY(INT($B11), 1)), 2, 2), """"))/$G11))"),0.025860737995985754)</f>
        <v>0.025860738</v>
      </c>
      <c r="O11" s="30">
        <f>IFERROR(__xludf.DUMMYFUNCTION("IF(OR(ISBLANK($G11), IFERROR(INDEX(GOOGLEFINANCE($C11, ""price"", WORKDAY(INT($B11), 5)), 2, 2), """")=""""), """", IF($D11=""LONG"", (IFERROR(INDEX(GOOGLEFINANCE($C11, ""price"", WORKDAY(INT($B11), 5)), 2, 2), """")-$G11)/$G11, ($G11-IFERROR(INDEX(GOOGLE"&amp;"FINANCE($C11, ""price"", WORKDAY(INT($B11), 5)), 2, 2), """"))/$G11))"),0.08283155781997831)</f>
        <v>0.08283155782</v>
      </c>
      <c r="P11" s="30">
        <f>IFERROR(__xludf.DUMMYFUNCTION("IF(OR(ISBLANK($G11), IFERROR(INDEX(GOOGLEFINANCE($C11, ""price"", WORKDAY(INT($B11), 20)), 2, 2), """")=""""), """", IF($D11=""LONG"", (IFERROR(INDEX(GOOGLEFINANCE($C11, ""price"", WORKDAY(INT($B11), 20)), 2, 2), """")-$G11)/$G11, ($G11-IFERROR(INDEX(GOOG"&amp;"LEFINANCE($C11, ""price"", WORKDAY(INT($B11), 20)), 2, 2), """"))/$G11))"),0.08483865987339814)</f>
        <v>0.08483865987</v>
      </c>
      <c r="Q11" s="25" t="s">
        <v>314</v>
      </c>
      <c r="R11" s="31"/>
      <c r="S11" s="31"/>
      <c r="T11" s="31"/>
    </row>
    <row r="12" ht="22.5" customHeight="1">
      <c r="A12" s="23">
        <f t="shared" si="1"/>
        <v>11</v>
      </c>
      <c r="B12" s="24">
        <v>46212.66752314815</v>
      </c>
      <c r="C12" s="25" t="s">
        <v>322</v>
      </c>
      <c r="D12" s="26" t="s">
        <v>119</v>
      </c>
      <c r="E12" s="25" t="s">
        <v>120</v>
      </c>
      <c r="F12" s="27">
        <v>4.0</v>
      </c>
      <c r="G12" s="28">
        <v>144.24</v>
      </c>
      <c r="H12" s="25" t="s">
        <v>324</v>
      </c>
      <c r="I12" s="27">
        <v>9.7</v>
      </c>
      <c r="J12" s="29"/>
      <c r="K12" s="29"/>
      <c r="L12" s="28">
        <f>IFERROR(__xludf.DUMMYFUNCTION("IF(ISBLANK($C12), """", GOOGLEFINANCE($C12, ""price""))"),143.47)</f>
        <v>143.47</v>
      </c>
      <c r="M12" s="30">
        <f t="shared" si="2"/>
        <v>0.005338325014</v>
      </c>
      <c r="N12" s="30">
        <f>IFERROR(__xludf.DUMMYFUNCTION("IF(OR(ISBLANK($G12), IFERROR(INDEX(GOOGLEFINANCE($C12, ""price"", WORKDAY(INT($B12), 1)), 2, 2), """")=""""), """", IF($D12=""LONG"", (IFERROR(INDEX(GOOGLEFINANCE($C12, ""price"", WORKDAY(INT($B12), 1)), 2, 2), """")-$G12)/$G12, ($G12-IFERROR(INDEX(GOOGLE"&amp;"FINANCE($C12, ""price"", WORKDAY(INT($B12), 1)), 2, 2), """"))/$G12))"),0.024958402662229772)</f>
        <v>0.02495840266</v>
      </c>
      <c r="O12" s="30">
        <f>IFERROR(__xludf.DUMMYFUNCTION("IF(OR(ISBLANK($G12), IFERROR(INDEX(GOOGLEFINANCE($C12, ""price"", WORKDAY(INT($B12), 5)), 2, 2), """")=""""), """", IF($D12=""LONG"", (IFERROR(INDEX(GOOGLEFINANCE($C12, ""price"", WORKDAY(INT($B12), 5)), 2, 2), """")-$G12)/$G12, ($G12-IFERROR(INDEX(GOOGLE"&amp;"FINANCE($C12, ""price"", WORKDAY(INT($B12), 5)), 2, 2), """"))/$G12))"),0.13886577925679433)</f>
        <v>0.1388657793</v>
      </c>
      <c r="P12" s="30">
        <f>IFERROR(__xludf.DUMMYFUNCTION("IF(OR(ISBLANK($G12), IFERROR(INDEX(GOOGLEFINANCE($C12, ""price"", WORKDAY(INT($B12), 20)), 2, 2), """")=""""), """", IF($D12=""LONG"", (IFERROR(INDEX(GOOGLEFINANCE($C12, ""price"", WORKDAY(INT($B12), 20)), 2, 2), """")-$G12)/$G12, ($G12-IFERROR(INDEX(GOOG"&amp;"LEFINANCE($C12, ""price"", WORKDAY(INT($B12), 20)), 2, 2), """"))/$G12))"),0.00533832501386585)</f>
        <v>0.005338325014</v>
      </c>
      <c r="Q12" s="25" t="s">
        <v>333</v>
      </c>
      <c r="R12" s="31"/>
      <c r="S12" s="31"/>
      <c r="T12" s="31"/>
    </row>
    <row r="13" ht="22.5" customHeight="1">
      <c r="A13" s="23">
        <f t="shared" si="1"/>
        <v>12</v>
      </c>
      <c r="B13" s="24">
        <v>46212.66768518519</v>
      </c>
      <c r="C13" s="25" t="s">
        <v>341</v>
      </c>
      <c r="D13" s="26" t="s">
        <v>36</v>
      </c>
      <c r="E13" s="25" t="s">
        <v>37</v>
      </c>
      <c r="F13" s="27">
        <v>2.0</v>
      </c>
      <c r="G13" s="28">
        <v>59.0</v>
      </c>
      <c r="H13" s="25" t="s">
        <v>343</v>
      </c>
      <c r="I13" s="27">
        <v>87.8</v>
      </c>
      <c r="J13" s="29"/>
      <c r="K13" s="29"/>
      <c r="L13" s="28">
        <f>IFERROR(__xludf.DUMMYFUNCTION("IF(ISBLANK($C13), """", GOOGLEFINANCE($C13, ""price""))"),62.99)</f>
        <v>62.99</v>
      </c>
      <c r="M13" s="30">
        <f t="shared" si="2"/>
        <v>0.06762711864</v>
      </c>
      <c r="N13" s="30">
        <f>IFERROR(__xludf.DUMMYFUNCTION("IF(OR(ISBLANK($G13), IFERROR(INDEX(GOOGLEFINANCE($C13, ""price"", WORKDAY(INT($B13), 1)), 2, 2), """")=""""), """", IF($D13=""LONG"", (IFERROR(INDEX(GOOGLEFINANCE($C13, ""price"", WORKDAY(INT($B13), 1)), 2, 2), """")-$G13)/$G13, ($G13-IFERROR(INDEX(GOOGLE"&amp;"FINANCE($C13, ""price"", WORKDAY(INT($B13), 1)), 2, 2), """"))/$G13))"),0.02440677966101691)</f>
        <v>0.02440677966</v>
      </c>
      <c r="O13" s="30">
        <f>IFERROR(__xludf.DUMMYFUNCTION("IF(OR(ISBLANK($G13), IFERROR(INDEX(GOOGLEFINANCE($C13, ""price"", WORKDAY(INT($B13), 5)), 2, 2), """")=""""), """", IF($D13=""LONG"", (IFERROR(INDEX(GOOGLEFINANCE($C13, ""price"", WORKDAY(INT($B13), 5)), 2, 2), """")-$G13)/$G13, ($G13-IFERROR(INDEX(GOOGLE"&amp;"FINANCE($C13, ""price"", WORKDAY(INT($B13), 5)), 2, 2), """"))/$G13))"),0.025932203389830526)</f>
        <v>0.02593220339</v>
      </c>
      <c r="P13" s="30">
        <f>IFERROR(__xludf.DUMMYFUNCTION("IF(OR(ISBLANK($G13), IFERROR(INDEX(GOOGLEFINANCE($C13, ""price"", WORKDAY(INT($B13), 20)), 2, 2), """")=""""), """", IF($D13=""LONG"", (IFERROR(INDEX(GOOGLEFINANCE($C13, ""price"", WORKDAY(INT($B13), 20)), 2, 2), """")-$G13)/$G13, ($G13-IFERROR(INDEX(GOOG"&amp;"LEFINANCE($C13, ""price"", WORKDAY(INT($B13), 20)), 2, 2), """"))/$G13))"),0.06762711864406783)</f>
        <v>0.06762711864</v>
      </c>
      <c r="Q13" s="25" t="s">
        <v>361</v>
      </c>
      <c r="R13" s="31"/>
      <c r="S13" s="31"/>
      <c r="T13" s="31"/>
    </row>
    <row r="14" ht="22.5" customHeight="1">
      <c r="A14" s="23">
        <f t="shared" si="1"/>
        <v>13</v>
      </c>
      <c r="B14" s="24">
        <v>46212.66775462963</v>
      </c>
      <c r="C14" s="25" t="s">
        <v>86</v>
      </c>
      <c r="D14" s="26" t="s">
        <v>36</v>
      </c>
      <c r="E14" s="25" t="s">
        <v>37</v>
      </c>
      <c r="F14" s="27">
        <v>2.0</v>
      </c>
      <c r="G14" s="28">
        <v>77.06</v>
      </c>
      <c r="H14" s="25" t="s">
        <v>371</v>
      </c>
      <c r="I14" s="27">
        <v>95.6</v>
      </c>
      <c r="J14" s="29"/>
      <c r="K14" s="29"/>
      <c r="L14" s="28">
        <f>IFERROR(__xludf.DUMMYFUNCTION("IF(ISBLANK($C14), """", GOOGLEFINANCE($C14, ""price""))"),88.24)</f>
        <v>88.24</v>
      </c>
      <c r="M14" s="30">
        <f t="shared" si="2"/>
        <v>0.1450817545</v>
      </c>
      <c r="N14" s="30">
        <f>IFERROR(__xludf.DUMMYFUNCTION("IF(OR(ISBLANK($G14), IFERROR(INDEX(GOOGLEFINANCE($C14, ""price"", WORKDAY(INT($B14), 1)), 2, 2), """")=""""), """", IF($D14=""LONG"", (IFERROR(INDEX(GOOGLEFINANCE($C14, ""price"", WORKDAY(INT($B14), 1)), 2, 2), """")-$G14)/$G14, ($G14-IFERROR(INDEX(GOOGLE"&amp;"FINANCE($C14, ""price"", WORKDAY(INT($B14), 1)), 2, 2), """"))/$G14))"),0.023228652997664054)</f>
        <v>0.023228653</v>
      </c>
      <c r="O14" s="30">
        <f>IFERROR(__xludf.DUMMYFUNCTION("IF(OR(ISBLANK($G14), IFERROR(INDEX(GOOGLEFINANCE($C14, ""price"", WORKDAY(INT($B14), 5)), 2, 2), """")=""""), """", IF($D14=""LONG"", (IFERROR(INDEX(GOOGLEFINANCE($C14, ""price"", WORKDAY(INT($B14), 5)), 2, 2), """")-$G14)/$G14, ($G14-IFERROR(INDEX(GOOGLE"&amp;"FINANCE($C14, ""price"", WORKDAY(INT($B14), 5)), 2, 2), """"))/$G14))"),0.10018167661562417)</f>
        <v>0.1001816766</v>
      </c>
      <c r="P14" s="30">
        <f>IFERROR(__xludf.DUMMYFUNCTION("IF(OR(ISBLANK($G14), IFERROR(INDEX(GOOGLEFINANCE($C14, ""price"", WORKDAY(INT($B14), 20)), 2, 2), """")=""""), """", IF($D14=""LONG"", (IFERROR(INDEX(GOOGLEFINANCE($C14, ""price"", WORKDAY(INT($B14), 20)), 2, 2), """")-$G14)/$G14, ($G14-IFERROR(INDEX(GOOG"&amp;"LEFINANCE($C14, ""price"", WORKDAY(INT($B14), 20)), 2, 2), """"))/$G14))"),0.14508175447703078)</f>
        <v>0.1450817545</v>
      </c>
      <c r="Q14" s="25" t="s">
        <v>382</v>
      </c>
      <c r="R14" s="31"/>
      <c r="S14" s="31"/>
      <c r="T14" s="31"/>
    </row>
    <row r="15" ht="22.5" customHeight="1">
      <c r="A15" s="23">
        <f t="shared" si="1"/>
        <v>14</v>
      </c>
      <c r="B15" s="24">
        <v>46212.66758101852</v>
      </c>
      <c r="C15" s="25" t="s">
        <v>246</v>
      </c>
      <c r="D15" s="26" t="s">
        <v>36</v>
      </c>
      <c r="E15" s="25" t="s">
        <v>37</v>
      </c>
      <c r="F15" s="27">
        <v>2.0</v>
      </c>
      <c r="G15" s="28">
        <v>588.92</v>
      </c>
      <c r="H15" s="25" t="s">
        <v>391</v>
      </c>
      <c r="I15" s="27">
        <v>84.5</v>
      </c>
      <c r="J15" s="29"/>
      <c r="K15" s="29"/>
      <c r="L15" s="28">
        <f>IFERROR(__xludf.DUMMYFUNCTION("IF(ISBLANK($C15), """", GOOGLEFINANCE($C15, ""price""))"),527.48)</f>
        <v>527.48</v>
      </c>
      <c r="M15" s="30">
        <f t="shared" si="2"/>
        <v>-0.1043265639</v>
      </c>
      <c r="N15" s="30">
        <f>IFERROR(__xludf.DUMMYFUNCTION("IF(OR(ISBLANK($G15), IFERROR(INDEX(GOOGLEFINANCE($C15, ""price"", WORKDAY(INT($B15), 1)), 2, 2), """")=""""), """", IF($D15=""LONG"", (IFERROR(INDEX(GOOGLEFINANCE($C15, ""price"", WORKDAY(INT($B15), 1)), 2, 2), """")-$G15)/$G15, ($G15-IFERROR(INDEX(GOOGLE"&amp;"FINANCE($C15, ""price"", WORKDAY(INT($B15), 1)), 2, 2), """"))/$G15))"),0.023059159138762553)</f>
        <v>0.02305915914</v>
      </c>
      <c r="O15" s="30">
        <f>IFERROR(__xludf.DUMMYFUNCTION("IF(OR(ISBLANK($G15), IFERROR(INDEX(GOOGLEFINANCE($C15, ""price"", WORKDAY(INT($B15), 5)), 2, 2), """")=""""), """", IF($D15=""LONG"", (IFERROR(INDEX(GOOGLEFINANCE($C15, ""price"", WORKDAY(INT($B15), 5)), 2, 2), """")-$G15)/$G15, ($G15-IFERROR(INDEX(GOOGLE"&amp;"FINANCE($C15, ""price"", WORKDAY(INT($B15), 5)), 2, 2), """"))/$G15))"),-0.04752767778306054)</f>
        <v>-0.04752767778</v>
      </c>
      <c r="P15" s="30">
        <f>IFERROR(__xludf.DUMMYFUNCTION("IF(OR(ISBLANK($G15), IFERROR(INDEX(GOOGLEFINANCE($C15, ""price"", WORKDAY(INT($B15), 20)), 2, 2), """")=""""), """", IF($D15=""LONG"", (IFERROR(INDEX(GOOGLEFINANCE($C15, ""price"", WORKDAY(INT($B15), 20)), 2, 2), """")-$G15)/$G15, ($G15-IFERROR(INDEX(GOOG"&amp;"LEFINANCE($C15, ""price"", WORKDAY(INT($B15), 20)), 2, 2), """"))/$G15))"),-0.10432656387964401)</f>
        <v>-0.1043265639</v>
      </c>
      <c r="Q15" s="25" t="s">
        <v>404</v>
      </c>
      <c r="R15" s="31"/>
      <c r="S15" s="31"/>
      <c r="T15" s="31"/>
    </row>
    <row r="16" ht="22.5" customHeight="1">
      <c r="A16" s="23">
        <f t="shared" si="1"/>
        <v>15</v>
      </c>
      <c r="B16" s="24">
        <v>46212.667395833334</v>
      </c>
      <c r="C16" s="25" t="s">
        <v>412</v>
      </c>
      <c r="D16" s="26" t="s">
        <v>119</v>
      </c>
      <c r="E16" s="25" t="s">
        <v>120</v>
      </c>
      <c r="F16" s="27">
        <v>4.0</v>
      </c>
      <c r="G16" s="28">
        <v>51.64</v>
      </c>
      <c r="H16" s="25" t="s">
        <v>416</v>
      </c>
      <c r="I16" s="27">
        <v>16.1</v>
      </c>
      <c r="J16" s="29"/>
      <c r="K16" s="29"/>
      <c r="L16" s="28">
        <f>IFERROR(__xludf.DUMMYFUNCTION("IF(ISBLANK($C16), """", GOOGLEFINANCE($C16, ""price""))"),54.11)</f>
        <v>54.11</v>
      </c>
      <c r="M16" s="30">
        <f t="shared" si="2"/>
        <v>-0.04783113865</v>
      </c>
      <c r="N16" s="30">
        <f>IFERROR(__xludf.DUMMYFUNCTION("IF(OR(ISBLANK($G16), IFERROR(INDEX(GOOGLEFINANCE($C16, ""price"", WORKDAY(INT($B16), 1)), 2, 2), """")=""""), """", IF($D16=""LONG"", (IFERROR(INDEX(GOOGLEFINANCE($C16, ""price"", WORKDAY(INT($B16), 1)), 2, 2), """")-$G16)/$G16, ($G16-IFERROR(INDEX(GOOGLE"&amp;"FINANCE($C16, ""price"", WORKDAY(INT($B16), 1)), 2, 2), """"))/$G16))"),0.0230441518202943)</f>
        <v>0.02304415182</v>
      </c>
      <c r="O16" s="30">
        <f>IFERROR(__xludf.DUMMYFUNCTION("IF(OR(ISBLANK($G16), IFERROR(INDEX(GOOGLEFINANCE($C16, ""price"", WORKDAY(INT($B16), 5)), 2, 2), """")=""""), """", IF($D16=""LONG"", (IFERROR(INDEX(GOOGLEFINANCE($C16, ""price"", WORKDAY(INT($B16), 5)), 2, 2), """")-$G16)/$G16, ($G16-IFERROR(INDEX(GOOGLE"&amp;"FINANCE($C16, ""price"", WORKDAY(INT($B16), 5)), 2, 2), """"))/$G16))"),-0.0015491866769945448)</f>
        <v>-0.001549186677</v>
      </c>
      <c r="P16" s="30">
        <f>IFERROR(__xludf.DUMMYFUNCTION("IF(OR(ISBLANK($G16), IFERROR(INDEX(GOOGLEFINANCE($C16, ""price"", WORKDAY(INT($B16), 20)), 2, 2), """")=""""), """", IF($D16=""LONG"", (IFERROR(INDEX(GOOGLEFINANCE($C16, ""price"", WORKDAY(INT($B16), 20)), 2, 2), """")-$G16)/$G16, ($G16-IFERROR(INDEX(GOOG"&amp;"LEFINANCE($C16, ""price"", WORKDAY(INT($B16), 20)), 2, 2), """"))/$G16))"),-0.04783113865220757)</f>
        <v>-0.04783113865</v>
      </c>
      <c r="Q16" s="25" t="s">
        <v>430</v>
      </c>
      <c r="R16" s="31"/>
      <c r="S16" s="31"/>
      <c r="T16" s="31"/>
    </row>
    <row r="17" ht="22.5" customHeight="1">
      <c r="A17" s="23">
        <f t="shared" si="1"/>
        <v>16</v>
      </c>
      <c r="B17" s="24">
        <v>46212.66755787037</v>
      </c>
      <c r="C17" s="25" t="s">
        <v>184</v>
      </c>
      <c r="D17" s="26" t="s">
        <v>36</v>
      </c>
      <c r="E17" s="25" t="s">
        <v>37</v>
      </c>
      <c r="F17" s="27">
        <v>2.0</v>
      </c>
      <c r="G17" s="28">
        <v>288.68</v>
      </c>
      <c r="H17" s="25" t="s">
        <v>435</v>
      </c>
      <c r="I17" s="27">
        <v>92.8</v>
      </c>
      <c r="J17" s="29"/>
      <c r="K17" s="29"/>
      <c r="L17" s="28">
        <f>IFERROR(__xludf.DUMMYFUNCTION("IF(ISBLANK($C17), """", GOOGLEFINANCE($C17, ""price""))"),281.63)</f>
        <v>281.63</v>
      </c>
      <c r="M17" s="30">
        <f t="shared" si="2"/>
        <v>-0.02442150478</v>
      </c>
      <c r="N17" s="30">
        <f>IFERROR(__xludf.DUMMYFUNCTION("IF(OR(ISBLANK($G17), IFERROR(INDEX(GOOGLEFINANCE($C17, ""price"", WORKDAY(INT($B17), 1)), 2, 2), """")=""""), """", IF($D17=""LONG"", (IFERROR(INDEX(GOOGLEFINANCE($C17, ""price"", WORKDAY(INT($B17), 1)), 2, 2), """")-$G17)/$G17, ($G17-IFERROR(INDEX(GOOGLE"&amp;"FINANCE($C17, ""price"", WORKDAY(INT($B17), 1)), 2, 2), """"))/$G17))"),0.022758764029375062)</f>
        <v>0.02275876403</v>
      </c>
      <c r="O17" s="30">
        <f>IFERROR(__xludf.DUMMYFUNCTION("IF(OR(ISBLANK($G17), IFERROR(INDEX(GOOGLEFINANCE($C17, ""price"", WORKDAY(INT($B17), 5)), 2, 2), """")=""""), """", IF($D17=""LONG"", (IFERROR(INDEX(GOOGLEFINANCE($C17, ""price"", WORKDAY(INT($B17), 5)), 2, 2), """")-$G17)/$G17, ($G17-IFERROR(INDEX(GOOGLE"&amp;"FINANCE($C17, ""price"", WORKDAY(INT($B17), 5)), 2, 2), """"))/$G17))"),0.0165927670777332)</f>
        <v>0.01659276708</v>
      </c>
      <c r="P17" s="30">
        <f>IFERROR(__xludf.DUMMYFUNCTION("IF(OR(ISBLANK($G17), IFERROR(INDEX(GOOGLEFINANCE($C17, ""price"", WORKDAY(INT($B17), 20)), 2, 2), """")=""""), """", IF($D17=""LONG"", (IFERROR(INDEX(GOOGLEFINANCE($C17, ""price"", WORKDAY(INT($B17), 20)), 2, 2), """")-$G17)/$G17, ($G17-IFERROR(INDEX(GOOG"&amp;"LEFINANCE($C17, ""price"", WORKDAY(INT($B17), 20)), 2, 2), """"))/$G17))"),-0.0244215047803797)</f>
        <v>-0.02442150478</v>
      </c>
      <c r="Q17" s="25" t="s">
        <v>450</v>
      </c>
      <c r="R17" s="31"/>
      <c r="S17" s="31"/>
      <c r="T17" s="31"/>
    </row>
    <row r="18" ht="22.5" customHeight="1">
      <c r="A18" s="23">
        <f t="shared" si="1"/>
        <v>17</v>
      </c>
      <c r="B18" s="24">
        <v>46212.66752314815</v>
      </c>
      <c r="C18" s="25" t="s">
        <v>455</v>
      </c>
      <c r="D18" s="26" t="s">
        <v>36</v>
      </c>
      <c r="E18" s="25" t="s">
        <v>37</v>
      </c>
      <c r="F18" s="27">
        <v>2.0</v>
      </c>
      <c r="G18" s="28">
        <v>109.94</v>
      </c>
      <c r="H18" s="25" t="s">
        <v>459</v>
      </c>
      <c r="I18" s="27">
        <v>99.1</v>
      </c>
      <c r="J18" s="29"/>
      <c r="K18" s="29"/>
      <c r="L18" s="28">
        <f>IFERROR(__xludf.DUMMYFUNCTION("IF(ISBLANK($C18), """", GOOGLEFINANCE($C18, ""price""))"),108.66)</f>
        <v>108.66</v>
      </c>
      <c r="M18" s="30">
        <f t="shared" si="2"/>
        <v>-0.01164271421</v>
      </c>
      <c r="N18" s="30">
        <f>IFERROR(__xludf.DUMMYFUNCTION("IF(OR(ISBLANK($G18), IFERROR(INDEX(GOOGLEFINANCE($C18, ""price"", WORKDAY(INT($B18), 1)), 2, 2), """")=""""), """", IF($D18=""LONG"", (IFERROR(INDEX(GOOGLEFINANCE($C18, ""price"", WORKDAY(INT($B18), 1)), 2, 2), """")-$G18)/$G18, ($G18-IFERROR(INDEX(GOOGLE"&amp;"FINANCE($C18, ""price"", WORKDAY(INT($B18), 1)), 2, 2), """"))/$G18))"),0.022466800072766954)</f>
        <v>0.02246680007</v>
      </c>
      <c r="O18" s="30">
        <f>IFERROR(__xludf.DUMMYFUNCTION("IF(OR(ISBLANK($G18), IFERROR(INDEX(GOOGLEFINANCE($C18, ""price"", WORKDAY(INT($B18), 5)), 2, 2), """")=""""), """", IF($D18=""LONG"", (IFERROR(INDEX(GOOGLEFINANCE($C18, ""price"", WORKDAY(INT($B18), 5)), 2, 2), """")-$G18)/$G18, ($G18-IFERROR(INDEX(GOOGLE"&amp;"FINANCE($C18, ""price"", WORKDAY(INT($B18), 5)), 2, 2), """"))/$G18))"),-0.008641076951064242)</f>
        <v>-0.008641076951</v>
      </c>
      <c r="P18" s="30">
        <f>IFERROR(__xludf.DUMMYFUNCTION("IF(OR(ISBLANK($G18), IFERROR(INDEX(GOOGLEFINANCE($C18, ""price"", WORKDAY(INT($B18), 20)), 2, 2), """")=""""), """", IF($D18=""LONG"", (IFERROR(INDEX(GOOGLEFINANCE($C18, ""price"", WORKDAY(INT($B18), 20)), 2, 2), """")-$G18)/$G18, ($G18-IFERROR(INDEX(GOOG"&amp;"LEFINANCE($C18, ""price"", WORKDAY(INT($B18), 20)), 2, 2), """"))/$G18))"),-0.011642714207749693)</f>
        <v>-0.01164271421</v>
      </c>
      <c r="Q18" s="25" t="s">
        <v>466</v>
      </c>
      <c r="R18" s="31"/>
      <c r="S18" s="31"/>
      <c r="T18" s="31"/>
    </row>
    <row r="19" ht="22.5" customHeight="1">
      <c r="A19" s="23">
        <f t="shared" si="1"/>
        <v>18</v>
      </c>
      <c r="B19" s="24">
        <v>46212.66774305556</v>
      </c>
      <c r="C19" s="25" t="s">
        <v>406</v>
      </c>
      <c r="D19" s="26" t="s">
        <v>36</v>
      </c>
      <c r="E19" s="25" t="s">
        <v>37</v>
      </c>
      <c r="F19" s="27">
        <v>2.0</v>
      </c>
      <c r="G19" s="28">
        <v>175.4</v>
      </c>
      <c r="H19" s="25" t="s">
        <v>473</v>
      </c>
      <c r="I19" s="27">
        <v>94.3</v>
      </c>
      <c r="J19" s="29"/>
      <c r="K19" s="29"/>
      <c r="L19" s="28">
        <f>IFERROR(__xludf.DUMMYFUNCTION("IF(ISBLANK($C19), """", GOOGLEFINANCE($C19, ""price""))"),179.04)</f>
        <v>179.04</v>
      </c>
      <c r="M19" s="30">
        <f t="shared" si="2"/>
        <v>0.02075256556</v>
      </c>
      <c r="N19" s="30">
        <f>IFERROR(__xludf.DUMMYFUNCTION("IF(OR(ISBLANK($G19), IFERROR(INDEX(GOOGLEFINANCE($C19, ""price"", WORKDAY(INT($B19), 1)), 2, 2), """")=""""), """", IF($D19=""LONG"", (IFERROR(INDEX(GOOGLEFINANCE($C19, ""price"", WORKDAY(INT($B19), 1)), 2, 2), """")-$G19)/$G19, ($G19-IFERROR(INDEX(GOOGLE"&amp;"FINANCE($C19, ""price"", WORKDAY(INT($B19), 1)), 2, 2), """"))/$G19))"),0.022120866590649917)</f>
        <v>0.02212086659</v>
      </c>
      <c r="O19" s="30">
        <f>IFERROR(__xludf.DUMMYFUNCTION("IF(OR(ISBLANK($G19), IFERROR(INDEX(GOOGLEFINANCE($C19, ""price"", WORKDAY(INT($B19), 5)), 2, 2), """")=""""), """", IF($D19=""LONG"", (IFERROR(INDEX(GOOGLEFINANCE($C19, ""price"", WORKDAY(INT($B19), 5)), 2, 2), """")-$G19)/$G19, ($G19-IFERROR(INDEX(GOOGLE"&amp;"FINANCE($C19, ""price"", WORKDAY(INT($B19), 5)), 2, 2), """"))/$G19))"),0.005074116305587151)</f>
        <v>0.005074116306</v>
      </c>
      <c r="P19" s="30">
        <f>IFERROR(__xludf.DUMMYFUNCTION("IF(OR(ISBLANK($G19), IFERROR(INDEX(GOOGLEFINANCE($C19, ""price"", WORKDAY(INT($B19), 20)), 2, 2), """")=""""), """", IF($D19=""LONG"", (IFERROR(INDEX(GOOGLEFINANCE($C19, ""price"", WORKDAY(INT($B19), 20)), 2, 2), """")-$G19)/$G19, ($G19-IFERROR(INDEX(GOOG"&amp;"LEFINANCE($C19, ""price"", WORKDAY(INT($B19), 20)), 2, 2), """"))/$G19))"),0.020581527936145868)</f>
        <v>0.02058152794</v>
      </c>
      <c r="Q19" s="25" t="s">
        <v>484</v>
      </c>
      <c r="R19" s="31"/>
      <c r="S19" s="31"/>
      <c r="T19" s="31"/>
    </row>
    <row r="20" ht="22.5" customHeight="1">
      <c r="A20" s="23">
        <f t="shared" si="1"/>
        <v>19</v>
      </c>
      <c r="B20" s="24">
        <v>46212.66753472222</v>
      </c>
      <c r="C20" s="25" t="s">
        <v>424</v>
      </c>
      <c r="D20" s="26" t="s">
        <v>36</v>
      </c>
      <c r="E20" s="25" t="s">
        <v>37</v>
      </c>
      <c r="F20" s="27">
        <v>2.0</v>
      </c>
      <c r="G20" s="28">
        <v>82.03</v>
      </c>
      <c r="H20" s="25" t="s">
        <v>490</v>
      </c>
      <c r="I20" s="27">
        <v>96.2</v>
      </c>
      <c r="J20" s="29"/>
      <c r="K20" s="29"/>
      <c r="L20" s="28">
        <f>IFERROR(__xludf.DUMMYFUNCTION("IF(ISBLANK($C20), """", GOOGLEFINANCE($C20, ""price""))"),84.35)</f>
        <v>84.35</v>
      </c>
      <c r="M20" s="30">
        <f t="shared" si="2"/>
        <v>0.02828233573</v>
      </c>
      <c r="N20" s="30">
        <f>IFERROR(__xludf.DUMMYFUNCTION("IF(OR(ISBLANK($G20), IFERROR(INDEX(GOOGLEFINANCE($C20, ""price"", WORKDAY(INT($B20), 1)), 2, 2), """")=""""), """", IF($D20=""LONG"", (IFERROR(INDEX(GOOGLEFINANCE($C20, ""price"", WORKDAY(INT($B20), 1)), 2, 2), """")-$G20)/$G20, ($G20-IFERROR(INDEX(GOOGLE"&amp;"FINANCE($C20, ""price"", WORKDAY(INT($B20), 1)), 2, 2), """"))/$G20))"),0.021943191515299245)</f>
        <v>0.02194319152</v>
      </c>
      <c r="O20" s="30">
        <f>IFERROR(__xludf.DUMMYFUNCTION("IF(OR(ISBLANK($G20), IFERROR(INDEX(GOOGLEFINANCE($C20, ""price"", WORKDAY(INT($B20), 5)), 2, 2), """")=""""), """", IF($D20=""LONG"", (IFERROR(INDEX(GOOGLEFINANCE($C20, ""price"", WORKDAY(INT($B20), 5)), 2, 2), """")-$G20)/$G20, ($G20-IFERROR(INDEX(GOOGLE"&amp;"FINANCE($C20, ""price"", WORKDAY(INT($B20), 5)), 2, 2), """"))/$G20))"),0.002681945629647676)</f>
        <v>0.00268194563</v>
      </c>
      <c r="P20" s="30">
        <f>IFERROR(__xludf.DUMMYFUNCTION("IF(OR(ISBLANK($G20), IFERROR(INDEX(GOOGLEFINANCE($C20, ""price"", WORKDAY(INT($B20), 20)), 2, 2), """")=""""), """", IF($D20=""LONG"", (IFERROR(INDEX(GOOGLEFINANCE($C20, ""price"", WORKDAY(INT($B20), 20)), 2, 2), """")-$G20)/$G20, ($G20-IFERROR(INDEX(GOOG"&amp;"LEFINANCE($C20, ""price"", WORKDAY(INT($B20), 20)), 2, 2), """"))/$G20))"),0.0282823357308301)</f>
        <v>0.02828233573</v>
      </c>
      <c r="Q20" s="25" t="s">
        <v>503</v>
      </c>
      <c r="R20" s="31"/>
      <c r="S20" s="31"/>
      <c r="T20" s="31"/>
    </row>
    <row r="21" ht="22.5" customHeight="1">
      <c r="A21" s="23">
        <f t="shared" si="1"/>
        <v>20</v>
      </c>
      <c r="B21" s="24">
        <v>46212.667395833334</v>
      </c>
      <c r="C21" s="25" t="s">
        <v>306</v>
      </c>
      <c r="D21" s="26" t="s">
        <v>119</v>
      </c>
      <c r="E21" s="25" t="s">
        <v>120</v>
      </c>
      <c r="F21" s="27">
        <v>4.0</v>
      </c>
      <c r="G21" s="28">
        <v>97.97</v>
      </c>
      <c r="H21" s="25" t="s">
        <v>513</v>
      </c>
      <c r="I21" s="27">
        <v>8.7</v>
      </c>
      <c r="J21" s="29"/>
      <c r="K21" s="29"/>
      <c r="L21" s="28">
        <f>IFERROR(__xludf.DUMMYFUNCTION("IF(ISBLANK($C21), """", GOOGLEFINANCE($C21, ""price""))"),87.03)</f>
        <v>87.03</v>
      </c>
      <c r="M21" s="30">
        <f t="shared" si="2"/>
        <v>0.1116668368</v>
      </c>
      <c r="N21" s="30">
        <f>IFERROR(__xludf.DUMMYFUNCTION("IF(OR(ISBLANK($G21), IFERROR(INDEX(GOOGLEFINANCE($C21, ""price"", WORKDAY(INT($B21), 1)), 2, 2), """")=""""), """", IF($D21=""LONG"", (IFERROR(INDEX(GOOGLEFINANCE($C21, ""price"", WORKDAY(INT($B21), 1)), 2, 2), """")-$G21)/$G21, ($G21-IFERROR(INDEX(GOOGLE"&amp;"FINANCE($C21, ""price"", WORKDAY(INT($B21), 1)), 2, 2), """"))/$G21))"),0.02010819638664896)</f>
        <v>0.02010819639</v>
      </c>
      <c r="O21" s="30">
        <f>IFERROR(__xludf.DUMMYFUNCTION("IF(OR(ISBLANK($G21), IFERROR(INDEX(GOOGLEFINANCE($C21, ""price"", WORKDAY(INT($B21), 5)), 2, 2), """")=""""), """", IF($D21=""LONG"", (IFERROR(INDEX(GOOGLEFINANCE($C21, ""price"", WORKDAY(INT($B21), 5)), 2, 2), """")-$G21)/$G21, ($G21-IFERROR(INDEX(GOOGLE"&amp;"FINANCE($C21, ""price"", WORKDAY(INT($B21), 5)), 2, 2), """"))/$G21))"),0.06563233642951917)</f>
        <v>0.06563233643</v>
      </c>
      <c r="P21" s="30">
        <f>IFERROR(__xludf.DUMMYFUNCTION("IF(OR(ISBLANK($G21), IFERROR(INDEX(GOOGLEFINANCE($C21, ""price"", WORKDAY(INT($B21), 20)), 2, 2), """")=""""), """", IF($D21=""LONG"", (IFERROR(INDEX(GOOGLEFINANCE($C21, ""price"", WORKDAY(INT($B21), 20)), 2, 2), """")-$G21)/$G21, ($G21-IFERROR(INDEX(GOOG"&amp;"LEFINANCE($C21, ""price"", WORKDAY(INT($B21), 20)), 2, 2), """"))/$G21))"),0.11166683678677145)</f>
        <v>0.1116668368</v>
      </c>
      <c r="Q21" s="25" t="s">
        <v>523</v>
      </c>
      <c r="R21" s="31"/>
      <c r="S21" s="31"/>
      <c r="T21" s="31"/>
    </row>
    <row r="22" ht="22.5" customHeight="1">
      <c r="A22" s="23">
        <f t="shared" si="1"/>
        <v>21</v>
      </c>
      <c r="B22" s="24">
        <v>46212.667546296296</v>
      </c>
      <c r="C22" s="25" t="s">
        <v>91</v>
      </c>
      <c r="D22" s="26" t="s">
        <v>36</v>
      </c>
      <c r="E22" s="25" t="s">
        <v>37</v>
      </c>
      <c r="F22" s="27">
        <v>2.0</v>
      </c>
      <c r="G22" s="28">
        <v>37.19</v>
      </c>
      <c r="H22" s="25" t="s">
        <v>533</v>
      </c>
      <c r="I22" s="27">
        <v>98.1</v>
      </c>
      <c r="J22" s="29"/>
      <c r="K22" s="29"/>
      <c r="L22" s="28">
        <f>IFERROR(__xludf.DUMMYFUNCTION("IF(ISBLANK($C22), """", GOOGLEFINANCE($C22, ""price""))"),40.53)</f>
        <v>40.53</v>
      </c>
      <c r="M22" s="30">
        <f t="shared" si="2"/>
        <v>0.08980908846</v>
      </c>
      <c r="N22" s="30">
        <f>IFERROR(__xludf.DUMMYFUNCTION("IF(OR(ISBLANK($G22), IFERROR(INDEX(GOOGLEFINANCE($C22, ""price"", WORKDAY(INT($B22), 1)), 2, 2), """")=""""), """", IF($D22=""LONG"", (IFERROR(INDEX(GOOGLEFINANCE($C22, ""price"", WORKDAY(INT($B22), 1)), 2, 2), """")-$G22)/$G22, ($G22-IFERROR(INDEX(GOOGLE"&amp;"FINANCE($C22, ""price"", WORKDAY(INT($B22), 1)), 2, 2), """"))/$G22))"),0.019897821995160044)</f>
        <v>0.019897822</v>
      </c>
      <c r="O22" s="30">
        <f>IFERROR(__xludf.DUMMYFUNCTION("IF(OR(ISBLANK($G22), IFERROR(INDEX(GOOGLEFINANCE($C22, ""price"", WORKDAY(INT($B22), 5)), 2, 2), """")=""""), """", IF($D22=""LONG"", (IFERROR(INDEX(GOOGLEFINANCE($C22, ""price"", WORKDAY(INT($B22), 5)), 2, 2), """")-$G22)/$G22, ($G22-IFERROR(INDEX(GOOGLE"&amp;"FINANCE($C22, ""price"", WORKDAY(INT($B22), 5)), 2, 2), """"))/$G22))"),0.018284485076633498)</f>
        <v>0.01828448508</v>
      </c>
      <c r="P22" s="30">
        <f>IFERROR(__xludf.DUMMYFUNCTION("IF(OR(ISBLANK($G22), IFERROR(INDEX(GOOGLEFINANCE($C22, ""price"", WORKDAY(INT($B22), 20)), 2, 2), """")=""""), """", IF($D22=""LONG"", (IFERROR(INDEX(GOOGLEFINANCE($C22, ""price"", WORKDAY(INT($B22), 20)), 2, 2), """")-$G22)/$G22, ($G22-IFERROR(INDEX(GOOG"&amp;"LEFINANCE($C22, ""price"", WORKDAY(INT($B22), 20)), 2, 2), """"))/$G22))"),0.08980908846464113)</f>
        <v>0.08980908846</v>
      </c>
      <c r="Q22" s="25" t="s">
        <v>543</v>
      </c>
      <c r="R22" s="31"/>
      <c r="S22" s="31"/>
      <c r="T22" s="31"/>
    </row>
    <row r="23" ht="22.5" customHeight="1">
      <c r="A23" s="23">
        <f t="shared" si="1"/>
        <v>22</v>
      </c>
      <c r="B23" s="24">
        <v>46212.66777777778</v>
      </c>
      <c r="C23" s="25" t="s">
        <v>480</v>
      </c>
      <c r="D23" s="26" t="s">
        <v>119</v>
      </c>
      <c r="E23" s="25" t="s">
        <v>120</v>
      </c>
      <c r="F23" s="27">
        <v>4.0</v>
      </c>
      <c r="G23" s="28">
        <v>88.96</v>
      </c>
      <c r="H23" s="25" t="s">
        <v>554</v>
      </c>
      <c r="I23" s="27">
        <v>37.0</v>
      </c>
      <c r="J23" s="29"/>
      <c r="K23" s="29"/>
      <c r="L23" s="28">
        <f>IFERROR(__xludf.DUMMYFUNCTION("IF(ISBLANK($C23), """", GOOGLEFINANCE($C23, ""price""))"),91.96)</f>
        <v>91.96</v>
      </c>
      <c r="M23" s="30">
        <f t="shared" si="2"/>
        <v>-0.03372302158</v>
      </c>
      <c r="N23" s="30">
        <f>IFERROR(__xludf.DUMMYFUNCTION("IF(OR(ISBLANK($G23), IFERROR(INDEX(GOOGLEFINANCE($C23, ""price"", WORKDAY(INT($B23), 1)), 2, 2), """")=""""), """", IF($D23=""LONG"", (IFERROR(INDEX(GOOGLEFINANCE($C23, ""price"", WORKDAY(INT($B23), 1)), 2, 2), """")-$G23)/$G23, ($G23-IFERROR(INDEX(GOOGLE"&amp;"FINANCE($C23, ""price"", WORKDAY(INT($B23), 1)), 2, 2), """"))/$G23))"),0.019222122302158206)</f>
        <v>0.0192221223</v>
      </c>
      <c r="O23" s="30">
        <f>IFERROR(__xludf.DUMMYFUNCTION("IF(OR(ISBLANK($G23), IFERROR(INDEX(GOOGLEFINANCE($C23, ""price"", WORKDAY(INT($B23), 5)), 2, 2), """")=""""), """", IF($D23=""LONG"", (IFERROR(INDEX(GOOGLEFINANCE($C23, ""price"", WORKDAY(INT($B23), 5)), 2, 2), """")-$G23)/$G23, ($G23-IFERROR(INDEX(GOOGLE"&amp;"FINANCE($C23, ""price"", WORKDAY(INT($B23), 5)), 2, 2), """"))/$G23))"),0.008767985611510645)</f>
        <v>0.008767985612</v>
      </c>
      <c r="P23" s="30">
        <f>IFERROR(__xludf.DUMMYFUNCTION("IF(OR(ISBLANK($G23), IFERROR(INDEX(GOOGLEFINANCE($C23, ""price"", WORKDAY(INT($B23), 20)), 2, 2), """")=""""), """", IF($D23=""LONG"", (IFERROR(INDEX(GOOGLEFINANCE($C23, ""price"", WORKDAY(INT($B23), 20)), 2, 2), """")-$G23)/$G23, ($G23-IFERROR(INDEX(GOOG"&amp;"LEFINANCE($C23, ""price"", WORKDAY(INT($B23), 20)), 2, 2), """"))/$G23))"),-0.03372302158273382)</f>
        <v>-0.03372302158</v>
      </c>
      <c r="Q23" s="25" t="s">
        <v>567</v>
      </c>
      <c r="R23" s="31"/>
      <c r="S23" s="31"/>
      <c r="T23" s="31"/>
    </row>
    <row r="24" ht="22.5" customHeight="1">
      <c r="A24" s="23">
        <f t="shared" si="1"/>
        <v>23</v>
      </c>
      <c r="B24" s="24">
        <v>46212.66763888889</v>
      </c>
      <c r="C24" s="25" t="s">
        <v>196</v>
      </c>
      <c r="D24" s="26" t="s">
        <v>36</v>
      </c>
      <c r="E24" s="25" t="s">
        <v>133</v>
      </c>
      <c r="F24" s="27">
        <v>2.0</v>
      </c>
      <c r="G24" s="28">
        <v>387.51</v>
      </c>
      <c r="H24" s="25" t="s">
        <v>573</v>
      </c>
      <c r="I24" s="27">
        <v>83.1</v>
      </c>
      <c r="J24" s="29"/>
      <c r="K24" s="29"/>
      <c r="L24" s="28">
        <f>IFERROR(__xludf.DUMMYFUNCTION("IF(ISBLANK($C24), """", GOOGLEFINANCE($C24, ""price""))"),395.83)</f>
        <v>395.83</v>
      </c>
      <c r="M24" s="30">
        <f t="shared" si="2"/>
        <v>0.02147041367</v>
      </c>
      <c r="N24" s="30">
        <f>IFERROR(__xludf.DUMMYFUNCTION("IF(OR(ISBLANK($G24), IFERROR(INDEX(GOOGLEFINANCE($C24, ""price"", WORKDAY(INT($B24), 1)), 2, 2), """")=""""), """", IF($D24=""LONG"", (IFERROR(INDEX(GOOGLEFINANCE($C24, ""price"", WORKDAY(INT($B24), 1)), 2, 2), """")-$G24)/$G24, ($G24-IFERROR(INDEX(GOOGLE"&amp;"FINANCE($C24, ""price"", WORKDAY(INT($B24), 1)), 2, 2), """"))/$G24))"),0.019070475600629626)</f>
        <v>0.0190704756</v>
      </c>
      <c r="O24" s="30">
        <f>IFERROR(__xludf.DUMMYFUNCTION("IF(OR(ISBLANK($G24), IFERROR(INDEX(GOOGLEFINANCE($C24, ""price"", WORKDAY(INT($B24), 5)), 2, 2), """")=""""), """", IF($D24=""LONG"", (IFERROR(INDEX(GOOGLEFINANCE($C24, ""price"", WORKDAY(INT($B24), 5)), 2, 2), """")-$G24)/$G24, ($G24-IFERROR(INDEX(GOOGLE"&amp;"FINANCE($C24, ""price"", WORKDAY(INT($B24), 5)), 2, 2), """"))/$G24))"),0.0015483471394287186)</f>
        <v>0.001548347139</v>
      </c>
      <c r="P24" s="30">
        <f>IFERROR(__xludf.DUMMYFUNCTION("IF(OR(ISBLANK($G24), IFERROR(INDEX(GOOGLEFINANCE($C24, ""price"", WORKDAY(INT($B24), 20)), 2, 2), """")=""""), """", IF($D24=""LONG"", (IFERROR(INDEX(GOOGLEFINANCE($C24, ""price"", WORKDAY(INT($B24), 20)), 2, 2), """")-$G24)/$G24, ($G24-IFERROR(INDEX(GOOG"&amp;"LEFINANCE($C24, ""price"", WORKDAY(INT($B24), 20)), 2, 2), """"))/$G24))"),0.021470413666744067)</f>
        <v>0.02147041367</v>
      </c>
      <c r="Q24" s="25" t="s">
        <v>584</v>
      </c>
      <c r="R24" s="31"/>
      <c r="S24" s="31"/>
      <c r="T24" s="31"/>
    </row>
    <row r="25" ht="22.5" customHeight="1">
      <c r="A25" s="23">
        <f t="shared" si="1"/>
        <v>24</v>
      </c>
      <c r="B25" s="24">
        <v>46212.66758101852</v>
      </c>
      <c r="C25" s="25" t="s">
        <v>408</v>
      </c>
      <c r="D25" s="26" t="s">
        <v>36</v>
      </c>
      <c r="E25" s="25" t="s">
        <v>37</v>
      </c>
      <c r="F25" s="27">
        <v>2.0</v>
      </c>
      <c r="G25" s="28">
        <v>237.9</v>
      </c>
      <c r="H25" s="25" t="s">
        <v>588</v>
      </c>
      <c r="I25" s="27">
        <v>94.4</v>
      </c>
      <c r="J25" s="29"/>
      <c r="K25" s="29"/>
      <c r="L25" s="28">
        <f>IFERROR(__xludf.DUMMYFUNCTION("IF(ISBLANK($C25), """", GOOGLEFINANCE($C25, ""price""))"),250.14)</f>
        <v>250.14</v>
      </c>
      <c r="M25" s="30">
        <f t="shared" si="2"/>
        <v>0.05145018916</v>
      </c>
      <c r="N25" s="30">
        <f>IFERROR(__xludf.DUMMYFUNCTION("IF(OR(ISBLANK($G25), IFERROR(INDEX(GOOGLEFINANCE($C25, ""price"", WORKDAY(INT($B25), 1)), 2, 2), """")=""""), """", IF($D25=""LONG"", (IFERROR(INDEX(GOOGLEFINANCE($C25, ""price"", WORKDAY(INT($B25), 1)), 2, 2), """")-$G25)/$G25, ($G25-IFERROR(INDEX(GOOGLE"&amp;"FINANCE($C25, ""price"", WORKDAY(INT($B25), 1)), 2, 2), """"))/$G25))"),0.01866330390920554)</f>
        <v>0.01866330391</v>
      </c>
      <c r="O25" s="30">
        <f>IFERROR(__xludf.DUMMYFUNCTION("IF(OR(ISBLANK($G25), IFERROR(INDEX(GOOGLEFINANCE($C25, ""price"", WORKDAY(INT($B25), 5)), 2, 2), """")=""""), """", IF($D25=""LONG"", (IFERROR(INDEX(GOOGLEFINANCE($C25, ""price"", WORKDAY(INT($B25), 5)), 2, 2), """")-$G25)/$G25, ($G25-IFERROR(INDEX(GOOGLE"&amp;"FINANCE($C25, ""price"", WORKDAY(INT($B25), 5)), 2, 2), """"))/$G25))"),0.06784363177805795)</f>
        <v>0.06784363178</v>
      </c>
      <c r="P25" s="30">
        <f>IFERROR(__xludf.DUMMYFUNCTION("IF(OR(ISBLANK($G25), IFERROR(INDEX(GOOGLEFINANCE($C25, ""price"", WORKDAY(INT($B25), 20)), 2, 2), """")=""""), """", IF($D25=""LONG"", (IFERROR(INDEX(GOOGLEFINANCE($C25, ""price"", WORKDAY(INT($B25), 20)), 2, 2), """")-$G25)/$G25, ($G25-IFERROR(INDEX(GOOG"&amp;"LEFINANCE($C25, ""price"", WORKDAY(INT($B25), 20)), 2, 2), """"))/$G25))"),0.05145018915510711)</f>
        <v>0.05145018916</v>
      </c>
      <c r="Q25" s="25" t="s">
        <v>599</v>
      </c>
      <c r="R25" s="31"/>
      <c r="S25" s="31"/>
      <c r="T25" s="31"/>
    </row>
    <row r="26" ht="22.5" customHeight="1">
      <c r="A26" s="23">
        <f t="shared" si="1"/>
        <v>25</v>
      </c>
      <c r="B26" s="24">
        <v>46212.66774305556</v>
      </c>
      <c r="C26" s="25" t="s">
        <v>603</v>
      </c>
      <c r="D26" s="26" t="s">
        <v>119</v>
      </c>
      <c r="E26" s="25" t="s">
        <v>120</v>
      </c>
      <c r="F26" s="27">
        <v>4.0</v>
      </c>
      <c r="G26" s="28">
        <v>43.37</v>
      </c>
      <c r="H26" s="25" t="s">
        <v>608</v>
      </c>
      <c r="I26" s="27">
        <v>10.5</v>
      </c>
      <c r="J26" s="29"/>
      <c r="K26" s="29"/>
      <c r="L26" s="28">
        <f>IFERROR(__xludf.DUMMYFUNCTION("IF(ISBLANK($C26), """", GOOGLEFINANCE($C26, ""price""))"),56.89)</f>
        <v>56.89</v>
      </c>
      <c r="M26" s="30">
        <f t="shared" si="2"/>
        <v>-0.3117362232</v>
      </c>
      <c r="N26" s="30">
        <f>IFERROR(__xludf.DUMMYFUNCTION("IF(OR(ISBLANK($G26), IFERROR(INDEX(GOOGLEFINANCE($C26, ""price"", WORKDAY(INT($B26), 1)), 2, 2), """")=""""), """", IF($D26=""LONG"", (IFERROR(INDEX(GOOGLEFINANCE($C26, ""price"", WORKDAY(INT($B26), 1)), 2, 2), """")-$G26)/$G26, ($G26-IFERROR(INDEX(GOOGLE"&amp;"FINANCE($C26, ""price"", WORKDAY(INT($B26), 1)), 2, 2), """"))/$G26))"),0.018445930366612802)</f>
        <v>0.01844593037</v>
      </c>
      <c r="O26" s="30">
        <f>IFERROR(__xludf.DUMMYFUNCTION("IF(OR(ISBLANK($G26), IFERROR(INDEX(GOOGLEFINANCE($C26, ""price"", WORKDAY(INT($B26), 5)), 2, 2), """")=""""), """", IF($D26=""LONG"", (IFERROR(INDEX(GOOGLEFINANCE($C26, ""price"", WORKDAY(INT($B26), 5)), 2, 2), """")-$G26)/$G26, ($G26-IFERROR(INDEX(GOOGLE"&amp;"FINANCE($C26, ""price"", WORKDAY(INT($B26), 5)), 2, 2), """"))/$G26))"),-0.02743832142033675)</f>
        <v>-0.02743832142</v>
      </c>
      <c r="P26" s="30">
        <f>IFERROR(__xludf.DUMMYFUNCTION("IF(OR(ISBLANK($G26), IFERROR(INDEX(GOOGLEFINANCE($C26, ""price"", WORKDAY(INT($B26), 20)), 2, 2), """")=""""), """", IF($D26=""LONG"", (IFERROR(INDEX(GOOGLEFINANCE($C26, ""price"", WORKDAY(INT($B26), 20)), 2, 2), """")-$G26)/$G26, ($G26-IFERROR(INDEX(GOOG"&amp;"LEFINANCE($C26, ""price"", WORKDAY(INT($B26), 20)), 2, 2), """"))/$G26))"),-0.3117362231957575)</f>
        <v>-0.3117362232</v>
      </c>
      <c r="Q26" s="25" t="s">
        <v>625</v>
      </c>
      <c r="R26" s="31"/>
      <c r="S26" s="31"/>
      <c r="T26" s="31"/>
    </row>
    <row r="27" ht="22.5" customHeight="1">
      <c r="A27" s="23">
        <f t="shared" si="1"/>
        <v>26</v>
      </c>
      <c r="B27" s="24">
        <v>46212.667592592596</v>
      </c>
      <c r="C27" s="25" t="s">
        <v>629</v>
      </c>
      <c r="D27" s="26" t="s">
        <v>36</v>
      </c>
      <c r="E27" s="25" t="s">
        <v>133</v>
      </c>
      <c r="F27" s="27">
        <v>2.0</v>
      </c>
      <c r="G27" s="28">
        <v>51.54</v>
      </c>
      <c r="H27" s="25" t="s">
        <v>634</v>
      </c>
      <c r="I27" s="27">
        <v>98.2</v>
      </c>
      <c r="J27" s="29"/>
      <c r="K27" s="29"/>
      <c r="L27" s="28">
        <f>IFERROR(__xludf.DUMMYFUNCTION("IF(ISBLANK($C27), """", GOOGLEFINANCE($C27, ""price""))"),52.28)</f>
        <v>52.28</v>
      </c>
      <c r="M27" s="30">
        <f t="shared" si="2"/>
        <v>0.01435778036</v>
      </c>
      <c r="N27" s="30">
        <f>IFERROR(__xludf.DUMMYFUNCTION("IF(OR(ISBLANK($G27), IFERROR(INDEX(GOOGLEFINANCE($C27, ""price"", WORKDAY(INT($B27), 1)), 2, 2), """")=""""), """", IF($D27=""LONG"", (IFERROR(INDEX(GOOGLEFINANCE($C27, ""price"", WORKDAY(INT($B27), 1)), 2, 2), """")-$G27)/$G27, ($G27-IFERROR(INDEX(GOOGLE"&amp;"FINANCE($C27, ""price"", WORKDAY(INT($B27), 1)), 2, 2), """"))/$G27))"),0.017656189367481638)</f>
        <v>0.01765618937</v>
      </c>
      <c r="O27" s="30">
        <f>IFERROR(__xludf.DUMMYFUNCTION("IF(OR(ISBLANK($G27), IFERROR(INDEX(GOOGLEFINANCE($C27, ""price"", WORKDAY(INT($B27), 5)), 2, 2), """")=""""), """", IF($D27=""LONG"", (IFERROR(INDEX(GOOGLEFINANCE($C27, ""price"", WORKDAY(INT($B27), 5)), 2, 2), """")-$G27)/$G27, ($G27-IFERROR(INDEX(GOOGLE"&amp;"FINANCE($C27, ""price"", WORKDAY(INT($B27), 5)), 2, 2), """"))/$G27))"),0.026387272021730683)</f>
        <v>0.02638727202</v>
      </c>
      <c r="P27" s="30">
        <f>IFERROR(__xludf.DUMMYFUNCTION("IF(OR(ISBLANK($G27), IFERROR(INDEX(GOOGLEFINANCE($C27, ""price"", WORKDAY(INT($B27), 20)), 2, 2), """")=""""), """", IF($D27=""LONG"", (IFERROR(INDEX(GOOGLEFINANCE($C27, ""price"", WORKDAY(INT($B27), 20)), 2, 2), """")-$G27)/$G27, ($G27-IFERROR(INDEX(GOOG"&amp;"LEFINANCE($C27, ""price"", WORKDAY(INT($B27), 20)), 2, 2), """"))/$G27))"),0.014357780364765269)</f>
        <v>0.01435778036</v>
      </c>
      <c r="Q27" s="25" t="s">
        <v>647</v>
      </c>
      <c r="R27" s="31"/>
      <c r="S27" s="31"/>
      <c r="T27" s="31"/>
    </row>
    <row r="28" ht="22.5" customHeight="1">
      <c r="A28" s="23">
        <f t="shared" si="1"/>
        <v>27</v>
      </c>
      <c r="B28" s="24">
        <v>46212.667395833334</v>
      </c>
      <c r="C28" s="25" t="s">
        <v>148</v>
      </c>
      <c r="D28" s="26" t="s">
        <v>36</v>
      </c>
      <c r="E28" s="25" t="s">
        <v>37</v>
      </c>
      <c r="F28" s="27">
        <v>2.0</v>
      </c>
      <c r="G28" s="28">
        <v>195.83</v>
      </c>
      <c r="H28" s="25" t="s">
        <v>655</v>
      </c>
      <c r="I28" s="27">
        <v>90.9</v>
      </c>
      <c r="J28" s="29"/>
      <c r="K28" s="29"/>
      <c r="L28" s="28">
        <f>IFERROR(__xludf.DUMMYFUNCTION("IF(ISBLANK($C28), """", GOOGLEFINANCE($C28, ""price""))"),199.98)</f>
        <v>199.98</v>
      </c>
      <c r="M28" s="30">
        <f t="shared" si="2"/>
        <v>0.02119185007</v>
      </c>
      <c r="N28" s="30">
        <f>IFERROR(__xludf.DUMMYFUNCTION("IF(OR(ISBLANK($G28), IFERROR(INDEX(GOOGLEFINANCE($C28, ""price"", WORKDAY(INT($B28), 1)), 2, 2), """")=""""), """", IF($D28=""LONG"", (IFERROR(INDEX(GOOGLEFINANCE($C28, ""price"", WORKDAY(INT($B28), 1)), 2, 2), """")-$G28)/$G28, ($G28-IFERROR(INDEX(GOOGLE"&amp;"FINANCE($C28, ""price"", WORKDAY(INT($B28), 1)), 2, 2), """"))/$G28))"),0.01644283306949905)</f>
        <v>0.01644283307</v>
      </c>
      <c r="O28" s="30">
        <f>IFERROR(__xludf.DUMMYFUNCTION("IF(OR(ISBLANK($G28), IFERROR(INDEX(GOOGLEFINANCE($C28, ""price"", WORKDAY(INT($B28), 5)), 2, 2), """")=""""), """", IF($D28=""LONG"", (IFERROR(INDEX(GOOGLEFINANCE($C28, ""price"", WORKDAY(INT($B28), 5)), 2, 2), """")-$G28)/$G28, ($G28-IFERROR(INDEX(GOOGLE"&amp;"FINANCE($C28, ""price"", WORKDAY(INT($B28), 5)), 2, 2), """"))/$G28))"),0.04687739365776428)</f>
        <v>0.04687739366</v>
      </c>
      <c r="P28" s="30">
        <f>IFERROR(__xludf.DUMMYFUNCTION("IF(OR(ISBLANK($G28), IFERROR(INDEX(GOOGLEFINANCE($C28, ""price"", WORKDAY(INT($B28), 20)), 2, 2), """")=""""), """", IF($D28=""LONG"", (IFERROR(INDEX(GOOGLEFINANCE($C28, ""price"", WORKDAY(INT($B28), 20)), 2, 2), """")-$G28)/$G28, ($G28-IFERROR(INDEX(GOOG"&amp;"LEFINANCE($C28, ""price"", WORKDAY(INT($B28), 20)), 2, 2), """"))/$G28))"),0.021191850074043696)</f>
        <v>0.02119185007</v>
      </c>
      <c r="Q28" s="25" t="s">
        <v>669</v>
      </c>
      <c r="R28" s="31"/>
      <c r="S28" s="31"/>
      <c r="T28" s="31"/>
    </row>
    <row r="29" ht="22.5" customHeight="1">
      <c r="A29" s="23">
        <f t="shared" si="1"/>
        <v>28</v>
      </c>
      <c r="B29" s="24">
        <v>46212.66738425926</v>
      </c>
      <c r="C29" s="25" t="s">
        <v>174</v>
      </c>
      <c r="D29" s="26" t="s">
        <v>36</v>
      </c>
      <c r="E29" s="25" t="s">
        <v>37</v>
      </c>
      <c r="F29" s="27">
        <v>2.0</v>
      </c>
      <c r="G29" s="28">
        <v>24.33</v>
      </c>
      <c r="H29" s="25" t="s">
        <v>676</v>
      </c>
      <c r="I29" s="27">
        <v>96.4</v>
      </c>
      <c r="J29" s="29"/>
      <c r="K29" s="29"/>
      <c r="L29" s="28">
        <f>IFERROR(__xludf.DUMMYFUNCTION("IF(ISBLANK($C29), """", GOOGLEFINANCE($C29, ""price""))"),25.09)</f>
        <v>25.09</v>
      </c>
      <c r="M29" s="30">
        <f t="shared" si="2"/>
        <v>0.03123715577</v>
      </c>
      <c r="N29" s="30">
        <f>IFERROR(__xludf.DUMMYFUNCTION("IF(OR(ISBLANK($G29), IFERROR(INDEX(GOOGLEFINANCE($C29, ""price"", WORKDAY(INT($B29), 1)), 2, 2), """")=""""), """", IF($D29=""LONG"", (IFERROR(INDEX(GOOGLEFINANCE($C29, ""price"", WORKDAY(INT($B29), 1)), 2, 2), """")-$G29)/$G29, ($G29-IFERROR(INDEX(GOOGLE"&amp;"FINANCE($C29, ""price"", WORKDAY(INT($B29), 1)), 2, 2), """"))/$G29))"),0.016440608302507282)</f>
        <v>0.0164406083</v>
      </c>
      <c r="O29" s="30">
        <f>IFERROR(__xludf.DUMMYFUNCTION("IF(OR(ISBLANK($G29), IFERROR(INDEX(GOOGLEFINANCE($C29, ""price"", WORKDAY(INT($B29), 5)), 2, 2), """")=""""), """", IF($D29=""LONG"", (IFERROR(INDEX(GOOGLEFINANCE($C29, ""price"", WORKDAY(INT($B29), 5)), 2, 2), """")-$G29)/$G29, ($G29-IFERROR(INDEX(GOOGLE"&amp;"FINANCE($C29, ""price"", WORKDAY(INT($B29), 5)), 2, 2), """"))/$G29))"),0.05672009864364992)</f>
        <v>0.05672009864</v>
      </c>
      <c r="P29" s="30">
        <f>IFERROR(__xludf.DUMMYFUNCTION("IF(OR(ISBLANK($G29), IFERROR(INDEX(GOOGLEFINANCE($C29, ""price"", WORKDAY(INT($B29), 20)), 2, 2), """")=""""), """", IF($D29=""LONG"", (IFERROR(INDEX(GOOGLEFINANCE($C29, ""price"", WORKDAY(INT($B29), 20)), 2, 2), """")-$G29)/$G29, ($G29-IFERROR(INDEX(GOOG"&amp;"LEFINANCE($C29, ""price"", WORKDAY(INT($B29), 20)), 2, 2), """"))/$G29))"),0.03123715577476373)</f>
        <v>0.03123715577</v>
      </c>
      <c r="Q29" s="25" t="s">
        <v>689</v>
      </c>
      <c r="R29" s="31"/>
      <c r="S29" s="31"/>
      <c r="T29" s="31"/>
    </row>
    <row r="30" ht="22.5" customHeight="1">
      <c r="A30" s="23">
        <f t="shared" si="1"/>
        <v>29</v>
      </c>
      <c r="B30" s="24">
        <v>46212.66741898148</v>
      </c>
      <c r="C30" s="25" t="s">
        <v>288</v>
      </c>
      <c r="D30" s="26" t="s">
        <v>36</v>
      </c>
      <c r="E30" s="25" t="s">
        <v>37</v>
      </c>
      <c r="F30" s="27">
        <v>2.0</v>
      </c>
      <c r="G30" s="28">
        <v>19.17</v>
      </c>
      <c r="H30" s="25" t="s">
        <v>699</v>
      </c>
      <c r="I30" s="27">
        <v>95.8</v>
      </c>
      <c r="J30" s="29"/>
      <c r="K30" s="29"/>
      <c r="L30" s="28">
        <f>IFERROR(__xludf.DUMMYFUNCTION("IF(ISBLANK($C30), """", GOOGLEFINANCE($C30, ""price""))"),19.18)</f>
        <v>19.18</v>
      </c>
      <c r="M30" s="30">
        <f t="shared" si="2"/>
        <v>0.000521648409</v>
      </c>
      <c r="N30" s="30">
        <f>IFERROR(__xludf.DUMMYFUNCTION("IF(OR(ISBLANK($G30), IFERROR(INDEX(GOOGLEFINANCE($C30, ""price"", WORKDAY(INT($B30), 1)), 2, 2), """")=""""), """", IF($D30=""LONG"", (IFERROR(INDEX(GOOGLEFINANCE($C30, ""price"", WORKDAY(INT($B30), 1)), 2, 2), """")-$G30)/$G30, ($G30-IFERROR(INDEX(GOOGLE"&amp;"FINANCE($C30, ""price"", WORKDAY(INT($B30), 1)), 2, 2), """"))/$G30))"),0.016171100678142862)</f>
        <v>0.01617110068</v>
      </c>
      <c r="O30" s="30">
        <f>IFERROR(__xludf.DUMMYFUNCTION("IF(OR(ISBLANK($G30), IFERROR(INDEX(GOOGLEFINANCE($C30, ""price"", WORKDAY(INT($B30), 5)), 2, 2), """")=""""), """", IF($D30=""LONG"", (IFERROR(INDEX(GOOGLEFINANCE($C30, ""price"", WORKDAY(INT($B30), 5)), 2, 2), """")-$G30)/$G30, ($G30-IFERROR(INDEX(GOOGLE"&amp;"FINANCE($C30, ""price"", WORKDAY(INT($B30), 5)), 2, 2), """"))/$G30))"),-0.0078247261345854)</f>
        <v>-0.007824726135</v>
      </c>
      <c r="P30" s="30">
        <f>IFERROR(__xludf.DUMMYFUNCTION("IF(OR(ISBLANK($G30), IFERROR(INDEX(GOOGLEFINANCE($C30, ""price"", WORKDAY(INT($B30), 20)), 2, 2), """")=""""), """", IF($D30=""LONG"", (IFERROR(INDEX(GOOGLEFINANCE($C30, ""price"", WORKDAY(INT($B30), 20)), 2, 2), """")-$G30)/$G30, ($G30-IFERROR(INDEX(GOOG"&amp;"LEFINANCE($C30, ""price"", WORKDAY(INT($B30), 20)), 2, 2), """"))/$G30))"),5.216484089722489E-4)</f>
        <v>0.000521648409</v>
      </c>
      <c r="Q30" s="25" t="s">
        <v>717</v>
      </c>
      <c r="R30" s="31"/>
      <c r="S30" s="31"/>
      <c r="T30" s="31"/>
    </row>
    <row r="31" ht="22.5" customHeight="1">
      <c r="A31" s="23">
        <f t="shared" si="1"/>
        <v>30</v>
      </c>
      <c r="B31" s="24">
        <v>46212.667766203704</v>
      </c>
      <c r="C31" s="25" t="s">
        <v>185</v>
      </c>
      <c r="D31" s="26" t="s">
        <v>36</v>
      </c>
      <c r="E31" s="25" t="s">
        <v>37</v>
      </c>
      <c r="F31" s="27">
        <v>2.0</v>
      </c>
      <c r="G31" s="28">
        <v>76.66</v>
      </c>
      <c r="H31" s="25" t="s">
        <v>726</v>
      </c>
      <c r="I31" s="27">
        <v>91.6</v>
      </c>
      <c r="J31" s="29"/>
      <c r="K31" s="29"/>
      <c r="L31" s="28">
        <f>IFERROR(__xludf.DUMMYFUNCTION("IF(ISBLANK($C31), """", GOOGLEFINANCE($C31, ""price""))"),75.47)</f>
        <v>75.47</v>
      </c>
      <c r="M31" s="30">
        <f t="shared" si="2"/>
        <v>-0.01552308896</v>
      </c>
      <c r="N31" s="30">
        <f>IFERROR(__xludf.DUMMYFUNCTION("IF(OR(ISBLANK($G31), IFERROR(INDEX(GOOGLEFINANCE($C31, ""price"", WORKDAY(INT($B31), 1)), 2, 2), """")=""""), """", IF($D31=""LONG"", (IFERROR(INDEX(GOOGLEFINANCE($C31, ""price"", WORKDAY(INT($B31), 1)), 2, 2), """")-$G31)/$G31, ($G31-IFERROR(INDEX(GOOGLE"&amp;"FINANCE($C31, ""price"", WORKDAY(INT($B31), 1)), 2, 2), """"))/$G31))"),0.015392642838507786)</f>
        <v>0.01539264284</v>
      </c>
      <c r="O31" s="30">
        <f>IFERROR(__xludf.DUMMYFUNCTION("IF(OR(ISBLANK($G31), IFERROR(INDEX(GOOGLEFINANCE($C31, ""price"", WORKDAY(INT($B31), 5)), 2, 2), """")=""""), """", IF($D31=""LONG"", (IFERROR(INDEX(GOOGLEFINANCE($C31, ""price"", WORKDAY(INT($B31), 5)), 2, 2), """")-$G31)/$G31, ($G31-IFERROR(INDEX(GOOGLE"&amp;"FINANCE($C31, ""price"", WORKDAY(INT($B31), 5)), 2, 2), """"))/$G31))"),0.04539525176102275)</f>
        <v>0.04539525176</v>
      </c>
      <c r="P31" s="30">
        <f>IFERROR(__xludf.DUMMYFUNCTION("IF(OR(ISBLANK($G31), IFERROR(INDEX(GOOGLEFINANCE($C31, ""price"", WORKDAY(INT($B31), 20)), 2, 2), """")=""""), """", IF($D31=""LONG"", (IFERROR(INDEX(GOOGLEFINANCE($C31, ""price"", WORKDAY(INT($B31), 20)), 2, 2), """")-$G31)/$G31, ($G31-IFERROR(INDEX(GOOG"&amp;"LEFINANCE($C31, ""price"", WORKDAY(INT($B31), 20)), 2, 2), """"))/$G31))"),-0.015523088964257732)</f>
        <v>-0.01552308896</v>
      </c>
      <c r="Q31" s="25" t="s">
        <v>736</v>
      </c>
      <c r="R31" s="31"/>
      <c r="S31" s="31"/>
      <c r="T31" s="31"/>
    </row>
    <row r="32" ht="22.5" customHeight="1">
      <c r="A32" s="23">
        <f t="shared" si="1"/>
        <v>31</v>
      </c>
      <c r="B32" s="24">
        <v>46212.66756944444</v>
      </c>
      <c r="C32" s="25" t="s">
        <v>295</v>
      </c>
      <c r="D32" s="26" t="s">
        <v>119</v>
      </c>
      <c r="E32" s="25" t="s">
        <v>120</v>
      </c>
      <c r="F32" s="27">
        <v>4.0</v>
      </c>
      <c r="G32" s="28">
        <v>1373.5</v>
      </c>
      <c r="H32" s="25" t="s">
        <v>745</v>
      </c>
      <c r="I32" s="27">
        <v>4.8</v>
      </c>
      <c r="J32" s="29"/>
      <c r="K32" s="29"/>
      <c r="L32" s="28">
        <f>IFERROR(__xludf.DUMMYFUNCTION("IF(ISBLANK($C32), """", GOOGLEFINANCE($C32, ""price""))"),1359.08)</f>
        <v>1359.08</v>
      </c>
      <c r="M32" s="30">
        <f t="shared" si="2"/>
        <v>0.01049872588</v>
      </c>
      <c r="N32" s="30">
        <f>IFERROR(__xludf.DUMMYFUNCTION("IF(OR(ISBLANK($G32), IFERROR(INDEX(GOOGLEFINANCE($C32, ""price"", WORKDAY(INT($B32), 1)), 2, 2), """")=""""), """", IF($D32=""LONG"", (IFERROR(INDEX(GOOGLEFINANCE($C32, ""price"", WORKDAY(INT($B32), 1)), 2, 2), """")-$G32)/$G32, ($G32-IFERROR(INDEX(GOOGLE"&amp;"FINANCE($C32, ""price"", WORKDAY(INT($B32), 1)), 2, 2), """"))/$G32))"),0.015114670549690564)</f>
        <v>0.01511467055</v>
      </c>
      <c r="O32" s="30">
        <f>IFERROR(__xludf.DUMMYFUNCTION("IF(OR(ISBLANK($G32), IFERROR(INDEX(GOOGLEFINANCE($C32, ""price"", WORKDAY(INT($B32), 5)), 2, 2), """")=""""), """", IF($D32=""LONG"", (IFERROR(INDEX(GOOGLEFINANCE($C32, ""price"", WORKDAY(INT($B32), 5)), 2, 2), """")-$G32)/$G32, ($G32-IFERROR(INDEX(GOOGLE"&amp;"FINANCE($C32, ""price"", WORKDAY(INT($B32), 5)), 2, 2), """"))/$G32))"),0.04939934473971599)</f>
        <v>0.04939934474</v>
      </c>
      <c r="P32" s="30">
        <f>IFERROR(__xludf.DUMMYFUNCTION("IF(OR(ISBLANK($G32), IFERROR(INDEX(GOOGLEFINANCE($C32, ""price"", WORKDAY(INT($B32), 20)), 2, 2), """")=""""), """", IF($D32=""LONG"", (IFERROR(INDEX(GOOGLEFINANCE($C32, ""price"", WORKDAY(INT($B32), 20)), 2, 2), """")-$G32)/$G32, ($G32-IFERROR(INDEX(GOOG"&amp;"LEFINANCE($C32, ""price"", WORKDAY(INT($B32), 20)), 2, 2), """"))/$G32))"),0.010498725882781269)</f>
        <v>0.01049872588</v>
      </c>
      <c r="Q32" s="25" t="s">
        <v>761</v>
      </c>
      <c r="R32" s="31"/>
      <c r="S32" s="31"/>
      <c r="T32" s="31"/>
    </row>
    <row r="33" ht="22.5" customHeight="1">
      <c r="A33" s="23">
        <f t="shared" si="1"/>
        <v>32</v>
      </c>
      <c r="B33" s="24">
        <v>46212.66756944444</v>
      </c>
      <c r="C33" s="25" t="s">
        <v>98</v>
      </c>
      <c r="D33" s="26" t="s">
        <v>36</v>
      </c>
      <c r="E33" s="25" t="s">
        <v>37</v>
      </c>
      <c r="F33" s="27">
        <v>2.0</v>
      </c>
      <c r="G33" s="28">
        <v>30.57</v>
      </c>
      <c r="H33" s="25" t="s">
        <v>160</v>
      </c>
      <c r="I33" s="27">
        <v>93.2</v>
      </c>
      <c r="J33" s="29"/>
      <c r="K33" s="29"/>
      <c r="L33" s="28">
        <f>IFERROR(__xludf.DUMMYFUNCTION("IF(ISBLANK($C33), """", GOOGLEFINANCE($C33, ""price""))"),31.39)</f>
        <v>31.39</v>
      </c>
      <c r="M33" s="30">
        <f t="shared" si="2"/>
        <v>0.02682368335</v>
      </c>
      <c r="N33" s="30">
        <f>IFERROR(__xludf.DUMMYFUNCTION("IF(OR(ISBLANK($G33), IFERROR(INDEX(GOOGLEFINANCE($C33, ""price"", WORKDAY(INT($B33), 1)), 2, 2), """")=""""), """", IF($D33=""LONG"", (IFERROR(INDEX(GOOGLEFINANCE($C33, ""price"", WORKDAY(INT($B33), 1)), 2, 2), """")-$G33)/$G33, ($G33-IFERROR(INDEX(GOOGLE"&amp;"FINANCE($C33, ""price"", WORKDAY(INT($B33), 1)), 2, 2), """"))/$G33))"),0.014720314033366022)</f>
        <v>0.01472031403</v>
      </c>
      <c r="O33" s="30">
        <f>IFERROR(__xludf.DUMMYFUNCTION("IF(OR(ISBLANK($G33), IFERROR(INDEX(GOOGLEFINANCE($C33, ""price"", WORKDAY(INT($B33), 5)), 2, 2), """")=""""), """", IF($D33=""LONG"", (IFERROR(INDEX(GOOGLEFINANCE($C33, ""price"", WORKDAY(INT($B33), 5)), 2, 2), """")-$G33)/$G33, ($G33-IFERROR(INDEX(GOOGLE"&amp;"FINANCE($C33, ""price"", WORKDAY(INT($B33), 5)), 2, 2), """"))/$G33))"),0.059862610402355194)</f>
        <v>0.0598626104</v>
      </c>
      <c r="P33" s="30">
        <f>IFERROR(__xludf.DUMMYFUNCTION("IF(OR(ISBLANK($G33), IFERROR(INDEX(GOOGLEFINANCE($C33, ""price"", WORKDAY(INT($B33), 20)), 2, 2), """")=""""), """", IF($D33=""LONG"", (IFERROR(INDEX(GOOGLEFINANCE($C33, ""price"", WORKDAY(INT($B33), 20)), 2, 2), """")-$G33)/$G33, ($G33-IFERROR(INDEX(GOOG"&amp;"LEFINANCE($C33, ""price"", WORKDAY(INT($B33), 20)), 2, 2), """"))/$G33))"),0.026823683349689247)</f>
        <v>0.02682368335</v>
      </c>
      <c r="Q33" s="25" t="s">
        <v>792</v>
      </c>
      <c r="R33" s="31"/>
      <c r="S33" s="31"/>
      <c r="T33" s="31"/>
    </row>
    <row r="34" ht="22.5" customHeight="1">
      <c r="A34" s="23">
        <f t="shared" si="1"/>
        <v>33</v>
      </c>
      <c r="B34" s="24">
        <v>46212.667662037034</v>
      </c>
      <c r="C34" s="25" t="s">
        <v>392</v>
      </c>
      <c r="D34" s="26" t="s">
        <v>36</v>
      </c>
      <c r="E34" s="25" t="s">
        <v>37</v>
      </c>
      <c r="F34" s="27">
        <v>2.0</v>
      </c>
      <c r="G34" s="28">
        <v>229.46</v>
      </c>
      <c r="H34" s="25" t="s">
        <v>813</v>
      </c>
      <c r="I34" s="27">
        <v>87.5</v>
      </c>
      <c r="J34" s="29"/>
      <c r="K34" s="29"/>
      <c r="L34" s="28">
        <f>IFERROR(__xludf.DUMMYFUNCTION("IF(ISBLANK($C34), """", GOOGLEFINANCE($C34, ""price""))"),180.67)</f>
        <v>180.67</v>
      </c>
      <c r="M34" s="30">
        <f t="shared" si="2"/>
        <v>-0.2126296522</v>
      </c>
      <c r="N34" s="30">
        <f>IFERROR(__xludf.DUMMYFUNCTION("IF(OR(ISBLANK($G34), IFERROR(INDEX(GOOGLEFINANCE($C34, ""price"", WORKDAY(INT($B34), 1)), 2, 2), """")=""""), """", IF($D34=""LONG"", (IFERROR(INDEX(GOOGLEFINANCE($C34, ""price"", WORKDAY(INT($B34), 1)), 2, 2), """")-$G34)/$G34, ($G34-IFERROR(INDEX(GOOGLE"&amp;"FINANCE($C34, ""price"", WORKDAY(INT($B34), 1)), 2, 2), """"))/$G34))"),0.01455591388477296)</f>
        <v>0.01455591388</v>
      </c>
      <c r="O34" s="30">
        <f>IFERROR(__xludf.DUMMYFUNCTION("IF(OR(ISBLANK($G34), IFERROR(INDEX(GOOGLEFINANCE($C34, ""price"", WORKDAY(INT($B34), 5)), 2, 2), """")=""""), """", IF($D34=""LONG"", (IFERROR(INDEX(GOOGLEFINANCE($C34, ""price"", WORKDAY(INT($B34), 5)), 2, 2), """")-$G34)/$G34, ($G34-IFERROR(INDEX(GOOGLE"&amp;"FINANCE($C34, ""price"", WORKDAY(INT($B34), 5)), 2, 2), """"))/$G34))"),0.019829164124466062)</f>
        <v>0.01982916412</v>
      </c>
      <c r="P34" s="30">
        <f>IFERROR(__xludf.DUMMYFUNCTION("IF(OR(ISBLANK($G34), IFERROR(INDEX(GOOGLEFINANCE($C34, ""price"", WORKDAY(INT($B34), 20)), 2, 2), """")=""""), """", IF($D34=""LONG"", (IFERROR(INDEX(GOOGLEFINANCE($C34, ""price"", WORKDAY(INT($B34), 20)), 2, 2), """")-$G34)/$G34, ($G34-IFERROR(INDEX(GOOG"&amp;"LEFINANCE($C34, ""price"", WORKDAY(INT($B34), 20)), 2, 2), """"))/$G34))"),-0.21262965222696775)</f>
        <v>-0.2126296522</v>
      </c>
      <c r="Q34" s="25" t="s">
        <v>827</v>
      </c>
      <c r="R34" s="31"/>
      <c r="S34" s="31"/>
      <c r="T34" s="31"/>
    </row>
    <row r="35" ht="22.5" customHeight="1">
      <c r="A35" s="23">
        <f t="shared" si="1"/>
        <v>34</v>
      </c>
      <c r="B35" s="24">
        <v>46212.66741898148</v>
      </c>
      <c r="C35" s="25" t="s">
        <v>161</v>
      </c>
      <c r="D35" s="26" t="s">
        <v>36</v>
      </c>
      <c r="E35" s="25" t="s">
        <v>37</v>
      </c>
      <c r="F35" s="27">
        <v>2.0</v>
      </c>
      <c r="G35" s="28">
        <v>155.3</v>
      </c>
      <c r="H35" s="25" t="s">
        <v>836</v>
      </c>
      <c r="I35" s="27">
        <v>92.5</v>
      </c>
      <c r="J35" s="29"/>
      <c r="K35" s="29"/>
      <c r="L35" s="28">
        <f>IFERROR(__xludf.DUMMYFUNCTION("IF(ISBLANK($C35), """", GOOGLEFINANCE($C35, ""price""))"),180.71)</f>
        <v>180.71</v>
      </c>
      <c r="M35" s="30">
        <f t="shared" si="2"/>
        <v>0.1636188023</v>
      </c>
      <c r="N35" s="30">
        <f>IFERROR(__xludf.DUMMYFUNCTION("IF(OR(ISBLANK($G35), IFERROR(INDEX(GOOGLEFINANCE($C35, ""price"", WORKDAY(INT($B35), 1)), 2, 2), """")=""""), """", IF($D35=""LONG"", (IFERROR(INDEX(GOOGLEFINANCE($C35, ""price"", WORKDAY(INT($B35), 1)), 2, 2), """")-$G35)/$G35, ($G35-IFERROR(INDEX(GOOGLE"&amp;"FINANCE($C35, ""price"", WORKDAY(INT($B35), 1)), 2, 2), """"))/$G35))"),0.014294913071474557)</f>
        <v>0.01429491307</v>
      </c>
      <c r="O35" s="30">
        <f>IFERROR(__xludf.DUMMYFUNCTION("IF(OR(ISBLANK($G35), IFERROR(INDEX(GOOGLEFINANCE($C35, ""price"", WORKDAY(INT($B35), 5)), 2, 2), """")=""""), """", IF($D35=""LONG"", (IFERROR(INDEX(GOOGLEFINANCE($C35, ""price"", WORKDAY(INT($B35), 5)), 2, 2), """")-$G35)/$G35, ($G35-IFERROR(INDEX(GOOGLE"&amp;"FINANCE($C35, ""price"", WORKDAY(INT($B35), 5)), 2, 2), """"))/$G35))"),0.041661300708306495)</f>
        <v>0.04166130071</v>
      </c>
      <c r="P35" s="30">
        <f>IFERROR(__xludf.DUMMYFUNCTION("IF(OR(ISBLANK($G35), IFERROR(INDEX(GOOGLEFINANCE($C35, ""price"", WORKDAY(INT($B35), 20)), 2, 2), """")=""""), """", IF($D35=""LONG"", (IFERROR(INDEX(GOOGLEFINANCE($C35, ""price"", WORKDAY(INT($B35), 20)), 2, 2), """")-$G35)/$G35, ($G35-IFERROR(INDEX(GOOG"&amp;"LEFINANCE($C35, ""price"", WORKDAY(INT($B35), 20)), 2, 2), """"))/$G35))"),0.16361880231809398)</f>
        <v>0.1636188023</v>
      </c>
      <c r="Q35" s="25" t="s">
        <v>847</v>
      </c>
      <c r="R35" s="31"/>
      <c r="S35" s="31"/>
      <c r="T35" s="31"/>
    </row>
    <row r="36" ht="22.5" customHeight="1">
      <c r="A36" s="23">
        <f t="shared" si="1"/>
        <v>35</v>
      </c>
      <c r="B36" s="24">
        <v>46212.66740740741</v>
      </c>
      <c r="C36" s="25" t="s">
        <v>287</v>
      </c>
      <c r="D36" s="26" t="s">
        <v>36</v>
      </c>
      <c r="E36" s="25" t="s">
        <v>37</v>
      </c>
      <c r="F36" s="27">
        <v>2.0</v>
      </c>
      <c r="G36" s="28">
        <v>338.71</v>
      </c>
      <c r="H36" s="25" t="s">
        <v>856</v>
      </c>
      <c r="I36" s="27">
        <v>94.5</v>
      </c>
      <c r="J36" s="29"/>
      <c r="K36" s="29"/>
      <c r="L36" s="28">
        <f>IFERROR(__xludf.DUMMYFUNCTION("IF(ISBLANK($C36), """", GOOGLEFINANCE($C36, ""price""))"),349.52)</f>
        <v>349.52</v>
      </c>
      <c r="M36" s="30">
        <f t="shared" si="2"/>
        <v>0.0319152077</v>
      </c>
      <c r="N36" s="30">
        <f>IFERROR(__xludf.DUMMYFUNCTION("IF(OR(ISBLANK($G36), IFERROR(INDEX(GOOGLEFINANCE($C36, ""price"", WORKDAY(INT($B36), 1)), 2, 2), """")=""""), """", IF($D36=""LONG"", (IFERROR(INDEX(GOOGLEFINANCE($C36, ""price"", WORKDAY(INT($B36), 1)), 2, 2), """")-$G36)/$G36, ($G36-IFERROR(INDEX(GOOGLE"&amp;"FINANCE($C36, ""price"", WORKDAY(INT($B36), 1)), 2, 2), """"))/$G36))"),0.01355141566531851)</f>
        <v>0.01355141567</v>
      </c>
      <c r="O36" s="30">
        <f>IFERROR(__xludf.DUMMYFUNCTION("IF(OR(ISBLANK($G36), IFERROR(INDEX(GOOGLEFINANCE($C36, ""price"", WORKDAY(INT($B36), 5)), 2, 2), """")=""""), """", IF($D36=""LONG"", (IFERROR(INDEX(GOOGLEFINANCE($C36, ""price"", WORKDAY(INT($B36), 5)), 2, 2), """")-$G36)/$G36, ($G36-IFERROR(INDEX(GOOGLE"&amp;"FINANCE($C36, ""price"", WORKDAY(INT($B36), 5)), 2, 2), """"))/$G36))"),0.02748664048891383)</f>
        <v>0.02748664049</v>
      </c>
      <c r="P36" s="30">
        <f>IFERROR(__xludf.DUMMYFUNCTION("IF(OR(ISBLANK($G36), IFERROR(INDEX(GOOGLEFINANCE($C36, ""price"", WORKDAY(INT($B36), 20)), 2, 2), """")=""""), """", IF($D36=""LONG"", (IFERROR(INDEX(GOOGLEFINANCE($C36, ""price"", WORKDAY(INT($B36), 20)), 2, 2), """")-$G36)/$G36, ($G36-IFERROR(INDEX(GOOG"&amp;"LEFINANCE($C36, ""price"", WORKDAY(INT($B36), 20)), 2, 2), """"))/$G36))"),0.031915207699802196)</f>
        <v>0.0319152077</v>
      </c>
      <c r="Q36" s="25" t="s">
        <v>874</v>
      </c>
      <c r="R36" s="31"/>
      <c r="S36" s="31"/>
      <c r="T36" s="31"/>
    </row>
    <row r="37" ht="22.5" customHeight="1">
      <c r="A37" s="23">
        <f t="shared" si="1"/>
        <v>36</v>
      </c>
      <c r="B37" s="24">
        <v>46212.6675</v>
      </c>
      <c r="C37" s="25" t="s">
        <v>303</v>
      </c>
      <c r="D37" s="26" t="s">
        <v>36</v>
      </c>
      <c r="E37" s="25" t="s">
        <v>37</v>
      </c>
      <c r="F37" s="27">
        <v>2.0</v>
      </c>
      <c r="G37" s="28">
        <v>102.79</v>
      </c>
      <c r="H37" s="25" t="s">
        <v>882</v>
      </c>
      <c r="I37" s="27">
        <v>90.2</v>
      </c>
      <c r="J37" s="29"/>
      <c r="K37" s="29"/>
      <c r="L37" s="28">
        <f>IFERROR(__xludf.DUMMYFUNCTION("IF(ISBLANK($C37), """", GOOGLEFINANCE($C37, ""price""))"),96.22)</f>
        <v>96.22</v>
      </c>
      <c r="M37" s="30">
        <f t="shared" si="2"/>
        <v>-0.06391672342</v>
      </c>
      <c r="N37" s="30">
        <f>IFERROR(__xludf.DUMMYFUNCTION("IF(OR(ISBLANK($G37), IFERROR(INDEX(GOOGLEFINANCE($C37, ""price"", WORKDAY(INT($B37), 1)), 2, 2), """")=""""), """", IF($D37=""LONG"", (IFERROR(INDEX(GOOGLEFINANCE($C37, ""price"", WORKDAY(INT($B37), 1)), 2, 2), """")-$G37)/$G37, ($G37-IFERROR(INDEX(GOOGLE"&amp;"FINANCE($C37, ""price"", WORKDAY(INT($B37), 1)), 2, 2), """"))/$G37))"),0.013230859032979856)</f>
        <v>0.01323085903</v>
      </c>
      <c r="O37" s="30">
        <f>IFERROR(__xludf.DUMMYFUNCTION("IF(OR(ISBLANK($G37), IFERROR(INDEX(GOOGLEFINANCE($C37, ""price"", WORKDAY(INT($B37), 5)), 2, 2), """")=""""), """", IF($D37=""LONG"", (IFERROR(INDEX(GOOGLEFINANCE($C37, ""price"", WORKDAY(INT($B37), 5)), 2, 2), """")-$G37)/$G37, ($G37-IFERROR(INDEX(GOOGLE"&amp;"FINANCE($C37, ""price"", WORKDAY(INT($B37), 5)), 2, 2), """"))/$G37))"),0.03609300515614353)</f>
        <v>0.03609300516</v>
      </c>
      <c r="P37" s="30">
        <f>IFERROR(__xludf.DUMMYFUNCTION("IF(OR(ISBLANK($G37), IFERROR(INDEX(GOOGLEFINANCE($C37, ""price"", WORKDAY(INT($B37), 20)), 2, 2), """")=""""), """", IF($D37=""LONG"", (IFERROR(INDEX(GOOGLEFINANCE($C37, ""price"", WORKDAY(INT($B37), 20)), 2, 2), """")-$G37)/$G37, ($G37-IFERROR(INDEX(GOOG"&amp;"LEFINANCE($C37, ""price"", WORKDAY(INT($B37), 20)), 2, 2), """"))/$G37))"),-0.06391672341667484)</f>
        <v>-0.06391672342</v>
      </c>
      <c r="Q37" s="25" t="s">
        <v>897</v>
      </c>
      <c r="R37" s="31"/>
      <c r="S37" s="31"/>
      <c r="T37" s="31"/>
    </row>
    <row r="38" ht="22.5" customHeight="1">
      <c r="A38" s="23">
        <f t="shared" si="1"/>
        <v>37</v>
      </c>
      <c r="B38" s="24">
        <v>46212.66755787037</v>
      </c>
      <c r="C38" s="25" t="s">
        <v>367</v>
      </c>
      <c r="D38" s="26" t="s">
        <v>36</v>
      </c>
      <c r="E38" s="25" t="s">
        <v>37</v>
      </c>
      <c r="F38" s="27">
        <v>2.0</v>
      </c>
      <c r="G38" s="28">
        <v>106.74</v>
      </c>
      <c r="H38" s="25" t="s">
        <v>908</v>
      </c>
      <c r="I38" s="27">
        <v>96.4</v>
      </c>
      <c r="J38" s="29"/>
      <c r="K38" s="29"/>
      <c r="L38" s="28">
        <f>IFERROR(__xludf.DUMMYFUNCTION("IF(ISBLANK($C38), """", GOOGLEFINANCE($C38, ""price""))"),100.82)</f>
        <v>100.82</v>
      </c>
      <c r="M38" s="30">
        <f t="shared" si="2"/>
        <v>-0.05546186996</v>
      </c>
      <c r="N38" s="30">
        <f>IFERROR(__xludf.DUMMYFUNCTION("IF(OR(ISBLANK($G38), IFERROR(INDEX(GOOGLEFINANCE($C38, ""price"", WORKDAY(INT($B38), 1)), 2, 2), """")=""""), """", IF($D38=""LONG"", (IFERROR(INDEX(GOOGLEFINANCE($C38, ""price"", WORKDAY(INT($B38), 1)), 2, 2), """")-$G38)/$G38, ($G38-IFERROR(INDEX(GOOGLE"&amp;"FINANCE($C38, ""price"", WORKDAY(INT($B38), 1)), 2, 2), """"))/$G38))"),0.012928611579539158)</f>
        <v>0.01292861158</v>
      </c>
      <c r="O38" s="30">
        <f>IFERROR(__xludf.DUMMYFUNCTION("IF(OR(ISBLANK($G38), IFERROR(INDEX(GOOGLEFINANCE($C38, ""price"", WORKDAY(INT($B38), 5)), 2, 2), """")=""""), """", IF($D38=""LONG"", (IFERROR(INDEX(GOOGLEFINANCE($C38, ""price"", WORKDAY(INT($B38), 5)), 2, 2), """")-$G38)/$G38, ($G38-IFERROR(INDEX(GOOGLE"&amp;"FINANCE($C38, ""price"", WORKDAY(INT($B38), 5)), 2, 2), """"))/$G38))"),0.023889825744800558)</f>
        <v>0.02388982574</v>
      </c>
      <c r="P38" s="30">
        <f>IFERROR(__xludf.DUMMYFUNCTION("IF(OR(ISBLANK($G38), IFERROR(INDEX(GOOGLEFINANCE($C38, ""price"", WORKDAY(INT($B38), 20)), 2, 2), """")=""""), """", IF($D38=""LONG"", (IFERROR(INDEX(GOOGLEFINANCE($C38, ""price"", WORKDAY(INT($B38), 20)), 2, 2), """")-$G38)/$G38, ($G38-IFERROR(INDEX(GOOG"&amp;"LEFINANCE($C38, ""price"", WORKDAY(INT($B38), 20)), 2, 2), """"))/$G38))"),-0.055461869964399495)</f>
        <v>-0.05546186996</v>
      </c>
      <c r="Q38" s="25" t="s">
        <v>922</v>
      </c>
      <c r="R38" s="31"/>
      <c r="S38" s="31"/>
      <c r="T38" s="31"/>
    </row>
    <row r="39" ht="22.5" customHeight="1">
      <c r="A39" s="23">
        <f t="shared" si="1"/>
        <v>38</v>
      </c>
      <c r="B39" s="24">
        <v>46212.667766203704</v>
      </c>
      <c r="C39" s="25" t="s">
        <v>383</v>
      </c>
      <c r="D39" s="26" t="s">
        <v>36</v>
      </c>
      <c r="E39" s="25" t="s">
        <v>37</v>
      </c>
      <c r="F39" s="27">
        <v>2.0</v>
      </c>
      <c r="G39" s="28">
        <v>949.02</v>
      </c>
      <c r="H39" s="25" t="s">
        <v>935</v>
      </c>
      <c r="I39" s="27">
        <v>90.7</v>
      </c>
      <c r="J39" s="29"/>
      <c r="K39" s="29"/>
      <c r="L39" s="28">
        <f>IFERROR(__xludf.DUMMYFUNCTION("IF(ISBLANK($C39), """", GOOGLEFINANCE($C39, ""price""))"),1069.8)</f>
        <v>1069.8</v>
      </c>
      <c r="M39" s="30">
        <f t="shared" si="2"/>
        <v>0.1272681292</v>
      </c>
      <c r="N39" s="30">
        <f>IFERROR(__xludf.DUMMYFUNCTION("IF(OR(ISBLANK($G39), IFERROR(INDEX(GOOGLEFINANCE($C39, ""price"", WORKDAY(INT($B39), 1)), 2, 2), """")=""""), """", IF($D39=""LONG"", (IFERROR(INDEX(GOOGLEFINANCE($C39, ""price"", WORKDAY(INT($B39), 1)), 2, 2), """")-$G39)/$G39, ($G39-IFERROR(INDEX(GOOGLE"&amp;"FINANCE($C39, ""price"", WORKDAY(INT($B39), 1)), 2, 2), """"))/$G39))"),0.01290805251733367)</f>
        <v>0.01290805252</v>
      </c>
      <c r="O39" s="30">
        <f>IFERROR(__xludf.DUMMYFUNCTION("IF(OR(ISBLANK($G39), IFERROR(INDEX(GOOGLEFINANCE($C39, ""price"", WORKDAY(INT($B39), 5)), 2, 2), """")=""""), """", IF($D39=""LONG"", (IFERROR(INDEX(GOOGLEFINANCE($C39, ""price"", WORKDAY(INT($B39), 5)), 2, 2), """")-$G39)/$G39, ($G39-IFERROR(INDEX(GOOGLE"&amp;"FINANCE($C39, ""price"", WORKDAY(INT($B39), 5)), 2, 2), """"))/$G39))"),0.009820657098902077)</f>
        <v>0.009820657099</v>
      </c>
      <c r="P39" s="30">
        <f>IFERROR(__xludf.DUMMYFUNCTION("IF(OR(ISBLANK($G39), IFERROR(INDEX(GOOGLEFINANCE($C39, ""price"", WORKDAY(INT($B39), 20)), 2, 2), """")=""""), """", IF($D39=""LONG"", (IFERROR(INDEX(GOOGLEFINANCE($C39, ""price"", WORKDAY(INT($B39), 20)), 2, 2), """")-$G39)/$G39, ($G39-IFERROR(INDEX(GOOG"&amp;"LEFINANCE($C39, ""price"", WORKDAY(INT($B39), 20)), 2, 2), """"))/$G39))"),0.12726812922804576)</f>
        <v>0.1272681292</v>
      </c>
      <c r="Q39" s="25" t="s">
        <v>950</v>
      </c>
      <c r="R39" s="31"/>
      <c r="S39" s="31"/>
      <c r="T39" s="31"/>
    </row>
    <row r="40" ht="22.5" customHeight="1">
      <c r="A40" s="23">
        <f t="shared" si="1"/>
        <v>39</v>
      </c>
      <c r="B40" s="24">
        <v>46212.66738425926</v>
      </c>
      <c r="C40" s="25" t="s">
        <v>76</v>
      </c>
      <c r="D40" s="26" t="s">
        <v>36</v>
      </c>
      <c r="E40" s="25" t="s">
        <v>37</v>
      </c>
      <c r="F40" s="27">
        <v>2.0</v>
      </c>
      <c r="G40" s="28">
        <v>265.47</v>
      </c>
      <c r="H40" s="25" t="s">
        <v>954</v>
      </c>
      <c r="I40" s="27">
        <v>95.1</v>
      </c>
      <c r="J40" s="29"/>
      <c r="K40" s="29"/>
      <c r="L40" s="28">
        <f>IFERROR(__xludf.DUMMYFUNCTION("IF(ISBLANK($C40), """", GOOGLEFINANCE($C40, ""price""))"),294.7)</f>
        <v>294.7</v>
      </c>
      <c r="M40" s="30">
        <f t="shared" si="2"/>
        <v>0.1101066034</v>
      </c>
      <c r="N40" s="30">
        <f>IFERROR(__xludf.DUMMYFUNCTION("IF(OR(ISBLANK($G40), IFERROR(INDEX(GOOGLEFINANCE($C40, ""price"", WORKDAY(INT($B40), 1)), 2, 2), """")=""""), """", IF($D40=""LONG"", (IFERROR(INDEX(GOOGLEFINANCE($C40, ""price"", WORKDAY(INT($B40), 1)), 2, 2), """")-$G40)/$G40, ($G40-IFERROR(INDEX(GOOGLE"&amp;"FINANCE($C40, ""price"", WORKDAY(INT($B40), 1)), 2, 2), """"))/$G40))"),0.012581459298602384)</f>
        <v>0.0125814593</v>
      </c>
      <c r="O40" s="30">
        <f>IFERROR(__xludf.DUMMYFUNCTION("IF(OR(ISBLANK($G40), IFERROR(INDEX(GOOGLEFINANCE($C40, ""price"", WORKDAY(INT($B40), 5)), 2, 2), """")=""""), """", IF($D40=""LONG"", (IFERROR(INDEX(GOOGLEFINANCE($C40, ""price"", WORKDAY(INT($B40), 5)), 2, 2), """")-$G40)/$G40, ($G40-IFERROR(INDEX(GOOGLE"&amp;"FINANCE($C40, ""price"", WORKDAY(INT($B40), 5)), 2, 2), """"))/$G40))"),0.06592081967830639)</f>
        <v>0.06592081968</v>
      </c>
      <c r="P40" s="30">
        <f>IFERROR(__xludf.DUMMYFUNCTION("IF(OR(ISBLANK($G40), IFERROR(INDEX(GOOGLEFINANCE($C40, ""price"", WORKDAY(INT($B40), 20)), 2, 2), """")=""""), """", IF($D40=""LONG"", (IFERROR(INDEX(GOOGLEFINANCE($C40, ""price"", WORKDAY(INT($B40), 20)), 2, 2), """")-$G40)/$G40, ($G40-IFERROR(INDEX(GOOG"&amp;"LEFINANCE($C40, ""price"", WORKDAY(INT($B40), 20)), 2, 2), """"))/$G40))"),0.11010660338267962)</f>
        <v>0.1101066034</v>
      </c>
      <c r="Q40" s="25" t="s">
        <v>975</v>
      </c>
      <c r="R40" s="31"/>
      <c r="S40" s="31"/>
      <c r="T40" s="31"/>
    </row>
    <row r="41" ht="22.5" customHeight="1">
      <c r="A41" s="35">
        <f t="shared" si="1"/>
        <v>40</v>
      </c>
      <c r="B41" s="36">
        <v>46212.667719907404</v>
      </c>
      <c r="C41" s="37" t="s">
        <v>437</v>
      </c>
      <c r="D41" s="38" t="s">
        <v>36</v>
      </c>
      <c r="E41" s="37" t="s">
        <v>87</v>
      </c>
      <c r="F41" s="39">
        <v>2.0</v>
      </c>
      <c r="G41" s="40">
        <v>184.65</v>
      </c>
      <c r="H41" s="37" t="s">
        <v>991</v>
      </c>
      <c r="I41" s="39">
        <v>75.1</v>
      </c>
      <c r="J41" s="41"/>
      <c r="K41" s="37" t="s">
        <v>992</v>
      </c>
      <c r="L41" s="40">
        <f>IFERROR(__xludf.DUMMYFUNCTION("IF(ISBLANK($C41), """", GOOGLEFINANCE($C41, ""price""))"),192.32)</f>
        <v>192.32</v>
      </c>
      <c r="M41" s="42">
        <f t="shared" si="2"/>
        <v>0.04153804495</v>
      </c>
      <c r="N41" s="42">
        <f>IFERROR(__xludf.DUMMYFUNCTION("IF(OR(ISBLANK($G41), IFERROR(INDEX(GOOGLEFINANCE($C41, ""price"", WORKDAY(INT($B41), 1)), 2, 2), """")=""""), """", IF($D41=""LONG"", (IFERROR(INDEX(GOOGLEFINANCE($C41, ""price"", WORKDAY(INT($B41), 1)), 2, 2), """")-$G41)/$G41, ($G41-IFERROR(INDEX(GOOGLE"&amp;"FINANCE($C41, ""price"", WORKDAY(INT($B41), 1)), 2, 2), """"))/$G41))"),0.012510154346060126)</f>
        <v>0.01251015435</v>
      </c>
      <c r="O41" s="42">
        <f>IFERROR(__xludf.DUMMYFUNCTION("IF(OR(ISBLANK($G41), IFERROR(INDEX(GOOGLEFINANCE($C41, ""price"", WORKDAY(INT($B41), 5)), 2, 2), """")=""""), """", IF($D41=""LONG"", (IFERROR(INDEX(GOOGLEFINANCE($C41, ""price"", WORKDAY(INT($B41), 5)), 2, 2), """")-$G41)/$G41, ($G41-IFERROR(INDEX(GOOGLE"&amp;"FINANCE($C41, ""price"", WORKDAY(INT($B41), 5)), 2, 2), """"))/$G41))"),-0.08713782832385596)</f>
        <v>-0.08713782832</v>
      </c>
      <c r="P41" s="42">
        <f>IFERROR(__xludf.DUMMYFUNCTION("IF(OR(ISBLANK($G41), IFERROR(INDEX(GOOGLEFINANCE($C41, ""price"", WORKDAY(INT($B41), 20)), 2, 2), """")=""""), """", IF($D41=""LONG"", (IFERROR(INDEX(GOOGLEFINANCE($C41, ""price"", WORKDAY(INT($B41), 20)), 2, 2), """")-$G41)/$G41, ($G41-IFERROR(INDEX(GOOG"&amp;"LEFINANCE($C41, ""price"", WORKDAY(INT($B41), 20)), 2, 2), """"))/$G41))"),0.04153804494990516)</f>
        <v>0.04153804495</v>
      </c>
      <c r="Q41" s="37" t="s">
        <v>1005</v>
      </c>
      <c r="R41" s="31"/>
      <c r="S41" s="31"/>
      <c r="T41" s="31"/>
    </row>
    <row r="42" ht="22.5" customHeight="1">
      <c r="A42" s="23">
        <f t="shared" si="1"/>
        <v>41</v>
      </c>
      <c r="B42" s="24">
        <v>46212.66736111111</v>
      </c>
      <c r="C42" s="25" t="s">
        <v>158</v>
      </c>
      <c r="D42" s="26" t="s">
        <v>36</v>
      </c>
      <c r="E42" s="25" t="s">
        <v>37</v>
      </c>
      <c r="F42" s="27">
        <v>2.0</v>
      </c>
      <c r="G42" s="28">
        <v>73.93</v>
      </c>
      <c r="H42" s="25" t="s">
        <v>776</v>
      </c>
      <c r="I42" s="27">
        <v>95.6</v>
      </c>
      <c r="J42" s="29"/>
      <c r="K42" s="29"/>
      <c r="L42" s="28">
        <f>IFERROR(__xludf.DUMMYFUNCTION("IF(ISBLANK($C42), """", GOOGLEFINANCE($C42, ""price""))"),72.06)</f>
        <v>72.06</v>
      </c>
      <c r="M42" s="30">
        <f t="shared" si="2"/>
        <v>-0.02529419721</v>
      </c>
      <c r="N42" s="30">
        <f>IFERROR(__xludf.DUMMYFUNCTION("IF(OR(ISBLANK($G42), IFERROR(INDEX(GOOGLEFINANCE($C42, ""price"", WORKDAY(INT($B42), 1)), 2, 2), """")=""""), """", IF($D42=""LONG"", (IFERROR(INDEX(GOOGLEFINANCE($C42, ""price"", WORKDAY(INT($B42), 1)), 2, 2), """")-$G42)/$G42, ($G42-IFERROR(INDEX(GOOGLE"&amp;"FINANCE($C42, ""price"", WORKDAY(INT($B42), 1)), 2, 2), """"))/$G42))"),0.012038414716623648)</f>
        <v>0.01203841472</v>
      </c>
      <c r="O42" s="30">
        <f>IFERROR(__xludf.DUMMYFUNCTION("IF(OR(ISBLANK($G42), IFERROR(INDEX(GOOGLEFINANCE($C42, ""price"", WORKDAY(INT($B42), 5)), 2, 2), """")=""""), """", IF($D42=""LONG"", (IFERROR(INDEX(GOOGLEFINANCE($C42, ""price"", WORKDAY(INT($B42), 5)), 2, 2), """")-$G42)/$G42, ($G42-IFERROR(INDEX(GOOGLE"&amp;"FINANCE($C42, ""price"", WORKDAY(INT($B42), 5)), 2, 2), """"))/$G42))"),0.015014202624103874)</f>
        <v>0.01501420262</v>
      </c>
      <c r="P42" s="30">
        <f>IFERROR(__xludf.DUMMYFUNCTION("IF(OR(ISBLANK($G42), IFERROR(INDEX(GOOGLEFINANCE($C42, ""price"", WORKDAY(INT($B42), 20)), 2, 2), """")=""""), """", IF($D42=""LONG"", (IFERROR(INDEX(GOOGLEFINANCE($C42, ""price"", WORKDAY(INT($B42), 20)), 2, 2), """")-$G42)/$G42, ($G42-IFERROR(INDEX(GOOG"&amp;"LEFINANCE($C42, ""price"", WORKDAY(INT($B42), 20)), 2, 2), """"))/$G42))"),-0.025294197213580474)</f>
        <v>-0.02529419721</v>
      </c>
      <c r="Q42" s="25" t="s">
        <v>1027</v>
      </c>
      <c r="R42" s="31"/>
      <c r="S42" s="31"/>
      <c r="T42" s="31"/>
    </row>
    <row r="43" ht="22.5" customHeight="1">
      <c r="A43" s="35">
        <f t="shared" si="1"/>
        <v>42</v>
      </c>
      <c r="B43" s="36">
        <v>46212.66744212963</v>
      </c>
      <c r="C43" s="37" t="s">
        <v>364</v>
      </c>
      <c r="D43" s="38" t="s">
        <v>36</v>
      </c>
      <c r="E43" s="37" t="s">
        <v>37</v>
      </c>
      <c r="F43" s="39">
        <v>2.0</v>
      </c>
      <c r="G43" s="40">
        <v>133.83</v>
      </c>
      <c r="H43" s="37" t="s">
        <v>1036</v>
      </c>
      <c r="I43" s="39">
        <v>88.1</v>
      </c>
      <c r="J43" s="41"/>
      <c r="K43" s="37" t="s">
        <v>1038</v>
      </c>
      <c r="L43" s="40">
        <f>IFERROR(__xludf.DUMMYFUNCTION("IF(ISBLANK($C43), """", GOOGLEFINANCE($C43, ""price""))"),125.26)</f>
        <v>125.26</v>
      </c>
      <c r="M43" s="42">
        <f t="shared" si="2"/>
        <v>-0.06403646417</v>
      </c>
      <c r="N43" s="42">
        <f>IFERROR(__xludf.DUMMYFUNCTION("IF(OR(ISBLANK($G43), IFERROR(INDEX(GOOGLEFINANCE($C43, ""price"", WORKDAY(INT($B43), 1)), 2, 2), """")=""""), """", IF($D43=""LONG"", (IFERROR(INDEX(GOOGLEFINANCE($C43, ""price"", WORKDAY(INT($B43), 1)), 2, 2), """")-$G43)/$G43, ($G43-IFERROR(INDEX(GOOGLE"&amp;"FINANCE($C43, ""price"", WORKDAY(INT($B43), 1)), 2, 2), """"))/$G43))"),0.01195546588956134)</f>
        <v>0.01195546589</v>
      </c>
      <c r="O43" s="42">
        <f>IFERROR(__xludf.DUMMYFUNCTION("IF(OR(ISBLANK($G43), IFERROR(INDEX(GOOGLEFINANCE($C43, ""price"", WORKDAY(INT($B43), 5)), 2, 2), """")=""""), """", IF($D43=""LONG"", (IFERROR(INDEX(GOOGLEFINANCE($C43, ""price"", WORKDAY(INT($B43), 5)), 2, 2), """")-$G43)/$G43, ($G43-IFERROR(INDEX(GOOGLE"&amp;"FINANCE($C43, ""price"", WORKDAY(INT($B43), 5)), 2, 2), """"))/$G43))"),-0.005230516326683233)</f>
        <v>-0.005230516327</v>
      </c>
      <c r="P43" s="42">
        <f>IFERROR(__xludf.DUMMYFUNCTION("IF(OR(ISBLANK($G43), IFERROR(INDEX(GOOGLEFINANCE($C43, ""price"", WORKDAY(INT($B43), 20)), 2, 2), """")=""""), """", IF($D43=""LONG"", (IFERROR(INDEX(GOOGLEFINANCE($C43, ""price"", WORKDAY(INT($B43), 20)), 2, 2), """")-$G43)/$G43, ($G43-IFERROR(INDEX(GOOG"&amp;"LEFINANCE($C43, ""price"", WORKDAY(INT($B43), 20)), 2, 2), """"))/$G43))"),-0.06403646417096322)</f>
        <v>-0.06403646417</v>
      </c>
      <c r="Q43" s="37" t="s">
        <v>1050</v>
      </c>
      <c r="R43" s="31"/>
      <c r="S43" s="31"/>
      <c r="T43" s="31"/>
    </row>
    <row r="44" ht="22.5" customHeight="1">
      <c r="A44" s="23">
        <f t="shared" si="1"/>
        <v>43</v>
      </c>
      <c r="B44" s="24">
        <v>46212.66774305556</v>
      </c>
      <c r="C44" s="25" t="s">
        <v>445</v>
      </c>
      <c r="D44" s="26" t="s">
        <v>36</v>
      </c>
      <c r="E44" s="25" t="s">
        <v>37</v>
      </c>
      <c r="F44" s="27">
        <v>2.0</v>
      </c>
      <c r="G44" s="28">
        <v>146.87</v>
      </c>
      <c r="H44" s="25" t="s">
        <v>1056</v>
      </c>
      <c r="I44" s="27">
        <v>96.6</v>
      </c>
      <c r="J44" s="29"/>
      <c r="K44" s="29"/>
      <c r="L44" s="28">
        <f>IFERROR(__xludf.DUMMYFUNCTION("IF(ISBLANK($C44), """", GOOGLEFINANCE($C44, ""price""))"),151.64)</f>
        <v>151.64</v>
      </c>
      <c r="M44" s="30">
        <f t="shared" si="2"/>
        <v>0.03247770137</v>
      </c>
      <c r="N44" s="30">
        <f>IFERROR(__xludf.DUMMYFUNCTION("IF(OR(ISBLANK($G44), IFERROR(INDEX(GOOGLEFINANCE($C44, ""price"", WORKDAY(INT($B44), 1)), 2, 2), """")=""""), """", IF($D44=""LONG"", (IFERROR(INDEX(GOOGLEFINANCE($C44, ""price"", WORKDAY(INT($B44), 1)), 2, 2), """")-$G44)/$G44, ($G44-IFERROR(INDEX(GOOGLE"&amp;"FINANCE($C44, ""price"", WORKDAY(INT($B44), 1)), 2, 2), """"))/$G44))"),0.01191529924422959)</f>
        <v>0.01191529924</v>
      </c>
      <c r="O44" s="30">
        <f>IFERROR(__xludf.DUMMYFUNCTION("IF(OR(ISBLANK($G44), IFERROR(INDEX(GOOGLEFINANCE($C44, ""price"", WORKDAY(INT($B44), 5)), 2, 2), """")=""""), """", IF($D44=""LONG"", (IFERROR(INDEX(GOOGLEFINANCE($C44, ""price"", WORKDAY(INT($B44), 5)), 2, 2), """")-$G44)/$G44, ($G44-IFERROR(INDEX(GOOGLE"&amp;"FINANCE($C44, ""price"", WORKDAY(INT($B44), 5)), 2, 2), """"))/$G44))"),0.006332130455504914)</f>
        <v>0.006332130456</v>
      </c>
      <c r="P44" s="30">
        <f>IFERROR(__xludf.DUMMYFUNCTION("IF(OR(ISBLANK($G44), IFERROR(INDEX(GOOGLEFINANCE($C44, ""price"", WORKDAY(INT($B44), 20)), 2, 2), """")=""""), """", IF($D44=""LONG"", (IFERROR(INDEX(GOOGLEFINANCE($C44, ""price"", WORKDAY(INT($B44), 20)), 2, 2), """")-$G44)/$G44, ($G44-IFERROR(INDEX(GOOG"&amp;"LEFINANCE($C44, ""price"", WORKDAY(INT($B44), 20)), 2, 2), """"))/$G44))"),0.0324777013685571)</f>
        <v>0.03247770137</v>
      </c>
      <c r="Q44" s="25" t="s">
        <v>1070</v>
      </c>
      <c r="R44" s="31"/>
      <c r="S44" s="31"/>
      <c r="T44" s="31"/>
    </row>
    <row r="45" ht="22.5" customHeight="1">
      <c r="A45" s="23">
        <f t="shared" si="1"/>
        <v>44</v>
      </c>
      <c r="B45" s="24">
        <v>46212.667766203704</v>
      </c>
      <c r="C45" s="25" t="s">
        <v>360</v>
      </c>
      <c r="D45" s="26" t="s">
        <v>36</v>
      </c>
      <c r="E45" s="25" t="s">
        <v>37</v>
      </c>
      <c r="F45" s="27">
        <v>2.0</v>
      </c>
      <c r="G45" s="28">
        <v>135.07</v>
      </c>
      <c r="H45" s="25" t="s">
        <v>1078</v>
      </c>
      <c r="I45" s="27">
        <v>95.2</v>
      </c>
      <c r="J45" s="29"/>
      <c r="K45" s="29"/>
      <c r="L45" s="28">
        <f>IFERROR(__xludf.DUMMYFUNCTION("IF(ISBLANK($C45), """", GOOGLEFINANCE($C45, ""price""))"),168.7)</f>
        <v>168.7</v>
      </c>
      <c r="M45" s="30">
        <f t="shared" si="2"/>
        <v>0.2489820093</v>
      </c>
      <c r="N45" s="30">
        <f>IFERROR(__xludf.DUMMYFUNCTION("IF(OR(ISBLANK($G45), IFERROR(INDEX(GOOGLEFINANCE($C45, ""price"", WORKDAY(INT($B45), 1)), 2, 2), """")=""""), """", IF($D45=""LONG"", (IFERROR(INDEX(GOOGLEFINANCE($C45, ""price"", WORKDAY(INT($B45), 1)), 2, 2), """")-$G45)/$G45, ($G45-IFERROR(INDEX(GOOGLE"&amp;"FINANCE($C45, ""price"", WORKDAY(INT($B45), 1)), 2, 2), """"))/$G45))"),0.011549566891241595)</f>
        <v>0.01154956689</v>
      </c>
      <c r="O45" s="30">
        <f>IFERROR(__xludf.DUMMYFUNCTION("IF(OR(ISBLANK($G45), IFERROR(INDEX(GOOGLEFINANCE($C45, ""price"", WORKDAY(INT($B45), 5)), 2, 2), """")=""""), """", IF($D45=""LONG"", (IFERROR(INDEX(GOOGLEFINANCE($C45, ""price"", WORKDAY(INT($B45), 5)), 2, 2), """")-$G45)/$G45, ($G45-IFERROR(INDEX(GOOGLE"&amp;"FINANCE($C45, ""price"", WORKDAY(INT($B45), 5)), 2, 2), """"))/$G45))"),0.03264973717331752)</f>
        <v>0.03264973717</v>
      </c>
      <c r="P45" s="30">
        <f>IFERROR(__xludf.DUMMYFUNCTION("IF(OR(ISBLANK($G45), IFERROR(INDEX(GOOGLEFINANCE($C45, ""price"", WORKDAY(INT($B45), 20)), 2, 2), """")=""""), """", IF($D45=""LONG"", (IFERROR(INDEX(GOOGLEFINANCE($C45, ""price"", WORKDAY(INT($B45), 20)), 2, 2), """")-$G45)/$G45, ($G45-IFERROR(INDEX(GOOG"&amp;"LEFINANCE($C45, ""price"", WORKDAY(INT($B45), 20)), 2, 2), """"))/$G45))"),0.24898200932849632)</f>
        <v>0.2489820093</v>
      </c>
      <c r="Q45" s="25" t="s">
        <v>1091</v>
      </c>
      <c r="R45" s="31"/>
      <c r="S45" s="31"/>
      <c r="T45" s="31"/>
    </row>
    <row r="46" ht="22.5" customHeight="1">
      <c r="A46" s="35">
        <f t="shared" si="1"/>
        <v>45</v>
      </c>
      <c r="B46" s="36">
        <v>46212.66756944444</v>
      </c>
      <c r="C46" s="37" t="s">
        <v>641</v>
      </c>
      <c r="D46" s="38" t="s">
        <v>36</v>
      </c>
      <c r="E46" s="37" t="s">
        <v>37</v>
      </c>
      <c r="F46" s="39">
        <v>2.0</v>
      </c>
      <c r="G46" s="40">
        <v>60.99</v>
      </c>
      <c r="H46" s="37" t="s">
        <v>1106</v>
      </c>
      <c r="I46" s="39">
        <v>95.6</v>
      </c>
      <c r="J46" s="41"/>
      <c r="K46" s="37" t="s">
        <v>1111</v>
      </c>
      <c r="L46" s="40">
        <f>IFERROR(__xludf.DUMMYFUNCTION("IF(ISBLANK($C46), """", GOOGLEFINANCE($C46, ""price""))"),63.13)</f>
        <v>63.13</v>
      </c>
      <c r="M46" s="42">
        <f t="shared" si="2"/>
        <v>0.0350877193</v>
      </c>
      <c r="N46" s="42">
        <f>IFERROR(__xludf.DUMMYFUNCTION("IF(OR(ISBLANK($G46), IFERROR(INDEX(GOOGLEFINANCE($C46, ""price"", WORKDAY(INT($B46), 1)), 2, 2), """")=""""), """", IF($D46=""LONG"", (IFERROR(INDEX(GOOGLEFINANCE($C46, ""price"", WORKDAY(INT($B46), 1)), 2, 2), """")-$G46)/$G46, ($G46-IFERROR(INDEX(GOOGLE"&amp;"FINANCE($C46, ""price"", WORKDAY(INT($B46), 1)), 2, 2), """"))/$G46))"),0.01147729135923915)</f>
        <v>0.01147729136</v>
      </c>
      <c r="O46" s="42">
        <f>IFERROR(__xludf.DUMMYFUNCTION("IF(OR(ISBLANK($G46), IFERROR(INDEX(GOOGLEFINANCE($C46, ""price"", WORKDAY(INT($B46), 5)), 2, 2), """")=""""), """", IF($D46=""LONG"", (IFERROR(INDEX(GOOGLEFINANCE($C46, ""price"", WORKDAY(INT($B46), 5)), 2, 2), """")-$G46)/$G46, ($G46-IFERROR(INDEX(GOOGLE"&amp;"FINANCE($C46, ""price"", WORKDAY(INT($B46), 5)), 2, 2), """"))/$G46))"),0.035415641908509536)</f>
        <v>0.03541564191</v>
      </c>
      <c r="P46" s="42">
        <f>IFERROR(__xludf.DUMMYFUNCTION("IF(OR(ISBLANK($G46), IFERROR(INDEX(GOOGLEFINANCE($C46, ""price"", WORKDAY(INT($B46), 20)), 2, 2), """")=""""), """", IF($D46=""LONG"", (IFERROR(INDEX(GOOGLEFINANCE($C46, ""price"", WORKDAY(INT($B46), 20)), 2, 2), """")-$G46)/$G46, ($G46-IFERROR(INDEX(GOOG"&amp;"LEFINANCE($C46, ""price"", WORKDAY(INT($B46), 20)), 2, 2), """"))/$G46))"),0.03508771929824562)</f>
        <v>0.0350877193</v>
      </c>
      <c r="Q46" s="37" t="s">
        <v>1125</v>
      </c>
      <c r="R46" s="31"/>
      <c r="S46" s="31"/>
      <c r="T46" s="31"/>
    </row>
    <row r="47" ht="22.5" customHeight="1">
      <c r="A47" s="23">
        <f t="shared" si="1"/>
        <v>46</v>
      </c>
      <c r="B47" s="24">
        <v>46212.66761574074</v>
      </c>
      <c r="C47" s="25" t="s">
        <v>397</v>
      </c>
      <c r="D47" s="26" t="s">
        <v>36</v>
      </c>
      <c r="E47" s="25" t="s">
        <v>37</v>
      </c>
      <c r="F47" s="27">
        <v>2.0</v>
      </c>
      <c r="G47" s="28">
        <v>267.79</v>
      </c>
      <c r="H47" s="25" t="s">
        <v>1133</v>
      </c>
      <c r="I47" s="27">
        <v>91.0</v>
      </c>
      <c r="J47" s="29"/>
      <c r="K47" s="29"/>
      <c r="L47" s="28">
        <f>IFERROR(__xludf.DUMMYFUNCTION("IF(ISBLANK($C47), """", GOOGLEFINANCE($C47, ""price""))"),306.57)</f>
        <v>306.57</v>
      </c>
      <c r="M47" s="30">
        <f t="shared" si="2"/>
        <v>0.144814967</v>
      </c>
      <c r="N47" s="30">
        <f>IFERROR(__xludf.DUMMYFUNCTION("IF(OR(ISBLANK($G47), IFERROR(INDEX(GOOGLEFINANCE($C47, ""price"", WORKDAY(INT($B47), 1)), 2, 2), """")=""""), """", IF($D47=""LONG"", (IFERROR(INDEX(GOOGLEFINANCE($C47, ""price"", WORKDAY(INT($B47), 1)), 2, 2), """")-$G47)/$G47, ($G47-IFERROR(INDEX(GOOGLE"&amp;"FINANCE($C47, ""price"", WORKDAY(INT($B47), 1)), 2, 2), """"))/$G47))"),0.011352178946189041)</f>
        <v>0.01135217895</v>
      </c>
      <c r="O47" s="30">
        <f>IFERROR(__xludf.DUMMYFUNCTION("IF(OR(ISBLANK($G47), IFERROR(INDEX(GOOGLEFINANCE($C47, ""price"", WORKDAY(INT($B47), 5)), 2, 2), """")=""""), """", IF($D47=""LONG"", (IFERROR(INDEX(GOOGLEFINANCE($C47, ""price"", WORKDAY(INT($B47), 5)), 2, 2), """")-$G47)/$G47, ($G47-IFERROR(INDEX(GOOGLE"&amp;"FINANCE($C47, ""price"", WORKDAY(INT($B47), 5)), 2, 2), """"))/$G47))"),0.011800291273012315)</f>
        <v>0.01180029127</v>
      </c>
      <c r="P47" s="30">
        <f>IFERROR(__xludf.DUMMYFUNCTION("IF(OR(ISBLANK($G47), IFERROR(INDEX(GOOGLEFINANCE($C47, ""price"", WORKDAY(INT($B47), 20)), 2, 2), """")=""""), """", IF($D47=""LONG"", (IFERROR(INDEX(GOOGLEFINANCE($C47, ""price"", WORKDAY(INT($B47), 20)), 2, 2), """")-$G47)/$G47, ($G47-IFERROR(INDEX(GOOG"&amp;"LEFINANCE($C47, ""price"", WORKDAY(INT($B47), 20)), 2, 2), """"))/$G47))"),0.14481496695171578)</f>
        <v>0.144814967</v>
      </c>
      <c r="Q47" s="25" t="s">
        <v>1143</v>
      </c>
      <c r="R47" s="31"/>
      <c r="S47" s="31"/>
      <c r="T47" s="31"/>
    </row>
    <row r="48" ht="22.5" customHeight="1">
      <c r="A48" s="23">
        <f t="shared" si="1"/>
        <v>47</v>
      </c>
      <c r="B48" s="24">
        <v>46212.66738425926</v>
      </c>
      <c r="C48" s="25" t="s">
        <v>444</v>
      </c>
      <c r="D48" s="26" t="s">
        <v>36</v>
      </c>
      <c r="E48" s="25" t="s">
        <v>37</v>
      </c>
      <c r="F48" s="27">
        <v>2.0</v>
      </c>
      <c r="G48" s="28">
        <v>346.67</v>
      </c>
      <c r="H48" s="25" t="s">
        <v>1151</v>
      </c>
      <c r="I48" s="27">
        <v>94.3</v>
      </c>
      <c r="J48" s="29"/>
      <c r="K48" s="29"/>
      <c r="L48" s="28">
        <f>IFERROR(__xludf.DUMMYFUNCTION("IF(ISBLANK($C48), """", GOOGLEFINANCE($C48, ""price""))"),342.6)</f>
        <v>342.6</v>
      </c>
      <c r="M48" s="30">
        <f t="shared" si="2"/>
        <v>-0.01174027173</v>
      </c>
      <c r="N48" s="30">
        <f>IFERROR(__xludf.DUMMYFUNCTION("IF(OR(ISBLANK($G48), IFERROR(INDEX(GOOGLEFINANCE($C48, ""price"", WORKDAY(INT($B48), 1)), 2, 2), """")=""""), """", IF($D48=""LONG"", (IFERROR(INDEX(GOOGLEFINANCE($C48, ""price"", WORKDAY(INT($B48), 1)), 2, 2), """")-$G48)/$G48, ($G48-IFERROR(INDEX(GOOGLE"&amp;"FINANCE($C48, ""price"", WORKDAY(INT($B48), 1)), 2, 2), """"))/$G48))"),0.011278737704445057)</f>
        <v>0.0112787377</v>
      </c>
      <c r="O48" s="30">
        <f>IFERROR(__xludf.DUMMYFUNCTION("IF(OR(ISBLANK($G48), IFERROR(INDEX(GOOGLEFINANCE($C48, ""price"", WORKDAY(INT($B48), 5)), 2, 2), """")=""""), """", IF($D48=""LONG"", (IFERROR(INDEX(GOOGLEFINANCE($C48, ""price"", WORKDAY(INT($B48), 5)), 2, 2), """")-$G48)/$G48, ($G48-IFERROR(INDEX(GOOGLE"&amp;"FINANCE($C48, ""price"", WORKDAY(INT($B48), 5)), 2, 2), """"))/$G48))"),0.04298035595811572)</f>
        <v>0.04298035596</v>
      </c>
      <c r="P48" s="30">
        <f>IFERROR(__xludf.DUMMYFUNCTION("IF(OR(ISBLANK($G48), IFERROR(INDEX(GOOGLEFINANCE($C48, ""price"", WORKDAY(INT($B48), 20)), 2, 2), """")=""""), """", IF($D48=""LONG"", (IFERROR(INDEX(GOOGLEFINANCE($C48, ""price"", WORKDAY(INT($B48), 20)), 2, 2), """")-$G48)/$G48, ($G48-IFERROR(INDEX(GOOG"&amp;"LEFINANCE($C48, ""price"", WORKDAY(INT($B48), 20)), 2, 2), """"))/$G48))"),-0.01174027172815644)</f>
        <v>-0.01174027173</v>
      </c>
      <c r="Q48" s="25" t="s">
        <v>1163</v>
      </c>
      <c r="R48" s="31"/>
      <c r="S48" s="31"/>
      <c r="T48" s="31"/>
    </row>
    <row r="49" ht="22.5" customHeight="1">
      <c r="A49" s="23">
        <f t="shared" si="1"/>
        <v>48</v>
      </c>
      <c r="B49" s="24">
        <v>46212.66762731481</v>
      </c>
      <c r="C49" s="25" t="s">
        <v>60</v>
      </c>
      <c r="D49" s="26" t="s">
        <v>36</v>
      </c>
      <c r="E49" s="25" t="s">
        <v>37</v>
      </c>
      <c r="F49" s="27">
        <v>2.0</v>
      </c>
      <c r="G49" s="28">
        <v>42.72</v>
      </c>
      <c r="H49" s="25" t="s">
        <v>1173</v>
      </c>
      <c r="I49" s="27">
        <v>94.4</v>
      </c>
      <c r="J49" s="29"/>
      <c r="K49" s="29"/>
      <c r="L49" s="28">
        <f>IFERROR(__xludf.DUMMYFUNCTION("IF(ISBLANK($C49), """", GOOGLEFINANCE($C49, ""price""))"),47.06)</f>
        <v>47.06</v>
      </c>
      <c r="M49" s="30">
        <f t="shared" si="2"/>
        <v>0.1015917603</v>
      </c>
      <c r="N49" s="30">
        <f>IFERROR(__xludf.DUMMYFUNCTION("IF(OR(ISBLANK($G49), IFERROR(INDEX(GOOGLEFINANCE($C49, ""price"", WORKDAY(INT($B49), 1)), 2, 2), """")=""""), """", IF($D49=""LONG"", (IFERROR(INDEX(GOOGLEFINANCE($C49, ""price"", WORKDAY(INT($B49), 1)), 2, 2), """")-$G49)/$G49, ($G49-IFERROR(INDEX(GOOGLE"&amp;"FINANCE($C49, ""price"", WORKDAY(INT($B49), 1)), 2, 2), """"))/$G49))"),0.010767790262172306)</f>
        <v>0.01076779026</v>
      </c>
      <c r="O49" s="30">
        <f>IFERROR(__xludf.DUMMYFUNCTION("IF(OR(ISBLANK($G49), IFERROR(INDEX(GOOGLEFINANCE($C49, ""price"", WORKDAY(INT($B49), 5)), 2, 2), """")=""""), """", IF($D49=""LONG"", (IFERROR(INDEX(GOOGLEFINANCE($C49, ""price"", WORKDAY(INT($B49), 5)), 2, 2), """")-$G49)/$G49, ($G49-IFERROR(INDEX(GOOGLE"&amp;"FINANCE($C49, ""price"", WORKDAY(INT($B49), 5)), 2, 2), """"))/$G49))"),0.049625468164794115)</f>
        <v>0.04962546816</v>
      </c>
      <c r="P49" s="30">
        <f>IFERROR(__xludf.DUMMYFUNCTION("IF(OR(ISBLANK($G49), IFERROR(INDEX(GOOGLEFINANCE($C49, ""price"", WORKDAY(INT($B49), 20)), 2, 2), """")=""""), """", IF($D49=""LONG"", (IFERROR(INDEX(GOOGLEFINANCE($C49, ""price"", WORKDAY(INT($B49), 20)), 2, 2), """")-$G49)/$G49, ($G49-IFERROR(INDEX(GOOG"&amp;"LEFINANCE($C49, ""price"", WORKDAY(INT($B49), 20)), 2, 2), """"))/$G49))"),0.10159176029962555)</f>
        <v>0.1015917603</v>
      </c>
      <c r="Q49" s="25" t="s">
        <v>1186</v>
      </c>
      <c r="R49" s="31"/>
      <c r="S49" s="31"/>
      <c r="T49" s="31"/>
    </row>
    <row r="50" ht="22.5" customHeight="1">
      <c r="A50" s="35">
        <f t="shared" si="1"/>
        <v>49</v>
      </c>
      <c r="B50" s="36">
        <v>46212.66741898148</v>
      </c>
      <c r="C50" s="37" t="s">
        <v>77</v>
      </c>
      <c r="D50" s="38" t="s">
        <v>36</v>
      </c>
      <c r="E50" s="37" t="s">
        <v>37</v>
      </c>
      <c r="F50" s="39">
        <v>2.0</v>
      </c>
      <c r="G50" s="40">
        <v>111.77</v>
      </c>
      <c r="H50" s="37" t="s">
        <v>1194</v>
      </c>
      <c r="I50" s="39">
        <v>88.4</v>
      </c>
      <c r="J50" s="41"/>
      <c r="K50" s="37" t="s">
        <v>1197</v>
      </c>
      <c r="L50" s="40">
        <f>IFERROR(__xludf.DUMMYFUNCTION("IF(ISBLANK($C50), """", GOOGLEFINANCE($C50, ""price""))"),108.27)</f>
        <v>108.27</v>
      </c>
      <c r="M50" s="42">
        <f t="shared" si="2"/>
        <v>-0.03131430616</v>
      </c>
      <c r="N50" s="42">
        <f>IFERROR(__xludf.DUMMYFUNCTION("IF(OR(ISBLANK($G50), IFERROR(INDEX(GOOGLEFINANCE($C50, ""price"", WORKDAY(INT($B50), 1)), 2, 2), """")=""""), """", IF($D50=""LONG"", (IFERROR(INDEX(GOOGLEFINANCE($C50, ""price"", WORKDAY(INT($B50), 1)), 2, 2), """")-$G50)/$G50, ($G50-IFERROR(INDEX(GOOGLE"&amp;"FINANCE($C50, ""price"", WORKDAY(INT($B50), 1)), 2, 2), """"))/$G50))"),0.010467925203543007)</f>
        <v>0.0104679252</v>
      </c>
      <c r="O50" s="42">
        <f>IFERROR(__xludf.DUMMYFUNCTION("IF(OR(ISBLANK($G50), IFERROR(INDEX(GOOGLEFINANCE($C50, ""price"", WORKDAY(INT($B50), 5)), 2, 2), """")=""""), """", IF($D50=""LONG"", (IFERROR(INDEX(GOOGLEFINANCE($C50, ""price"", WORKDAY(INT($B50), 5)), 2, 2), """")-$G50)/$G50, ($G50-IFERROR(INDEX(GOOGLE"&amp;"FINANCE($C50, ""price"", WORKDAY(INT($B50), 5)), 2, 2), """"))/$G50))"),0.011899436342489024)</f>
        <v>0.01189943634</v>
      </c>
      <c r="P50" s="42">
        <f>IFERROR(__xludf.DUMMYFUNCTION("IF(OR(ISBLANK($G50), IFERROR(INDEX(GOOGLEFINANCE($C50, ""price"", WORKDAY(INT($B50), 20)), 2, 2), """")=""""), """", IF($D50=""LONG"", (IFERROR(INDEX(GOOGLEFINANCE($C50, ""price"", WORKDAY(INT($B50), 20)), 2, 2), """")-$G50)/$G50, ($G50-IFERROR(INDEX(GOOG"&amp;"LEFINANCE($C50, ""price"", WORKDAY(INT($B50), 20)), 2, 2), """"))/$G50))"),-0.03131430616444484)</f>
        <v>-0.03131430616</v>
      </c>
      <c r="Q50" s="37" t="s">
        <v>1207</v>
      </c>
      <c r="R50" s="31"/>
      <c r="S50" s="31"/>
      <c r="T50" s="31"/>
    </row>
    <row r="51" ht="22.5" customHeight="1">
      <c r="A51" s="23">
        <f t="shared" si="1"/>
        <v>50</v>
      </c>
      <c r="B51" s="24">
        <v>46212.66747685185</v>
      </c>
      <c r="C51" s="25" t="s">
        <v>1214</v>
      </c>
      <c r="D51" s="26" t="s">
        <v>36</v>
      </c>
      <c r="E51" s="25" t="s">
        <v>37</v>
      </c>
      <c r="F51" s="27">
        <v>2.0</v>
      </c>
      <c r="G51" s="28">
        <v>35.85</v>
      </c>
      <c r="H51" s="25" t="s">
        <v>1218</v>
      </c>
      <c r="I51" s="27">
        <v>99.6</v>
      </c>
      <c r="J51" s="29"/>
      <c r="K51" s="29"/>
      <c r="L51" s="28">
        <f>IFERROR(__xludf.DUMMYFUNCTION("IF(ISBLANK($C51), """", GOOGLEFINANCE($C51, ""price""))"),36.07)</f>
        <v>36.07</v>
      </c>
      <c r="M51" s="30">
        <f t="shared" si="2"/>
        <v>0.006136680614</v>
      </c>
      <c r="N51" s="30">
        <f>IFERROR(__xludf.DUMMYFUNCTION("IF(OR(ISBLANK($G51), IFERROR(INDEX(GOOGLEFINANCE($C51, ""price"", WORKDAY(INT($B51), 1)), 2, 2), """")=""""), """", IF($D51=""LONG"", (IFERROR(INDEX(GOOGLEFINANCE($C51, ""price"", WORKDAY(INT($B51), 1)), 2, 2), """")-$G51)/$G51, ($G51-IFERROR(INDEX(GOOGLE"&amp;"FINANCE($C51, ""price"", WORKDAY(INT($B51), 1)), 2, 2), """"))/$G51))"),0.010320781032078032)</f>
        <v>0.01032078103</v>
      </c>
      <c r="O51" s="30">
        <f>IFERROR(__xludf.DUMMYFUNCTION("IF(OR(ISBLANK($G51), IFERROR(INDEX(GOOGLEFINANCE($C51, ""price"", WORKDAY(INT($B51), 5)), 2, 2), """")=""""), """", IF($D51=""LONG"", (IFERROR(INDEX(GOOGLEFINANCE($C51, ""price"", WORKDAY(INT($B51), 5)), 2, 2), """")-$G51)/$G51, ($G51-IFERROR(INDEX(GOOGLE"&amp;"FINANCE($C51, ""price"", WORKDAY(INT($B51), 5)), 2, 2), """"))/$G51))"),0.07949790794979084)</f>
        <v>0.07949790795</v>
      </c>
      <c r="P51" s="30">
        <f>IFERROR(__xludf.DUMMYFUNCTION("IF(OR(ISBLANK($G51), IFERROR(INDEX(GOOGLEFINANCE($C51, ""price"", WORKDAY(INT($B51), 20)), 2, 2), """")=""""), """", IF($D51=""LONG"", (IFERROR(INDEX(GOOGLEFINANCE($C51, ""price"", WORKDAY(INT($B51), 20)), 2, 2), """")-$G51)/$G51, ($G51-IFERROR(INDEX(GOOG"&amp;"LEFINANCE($C51, ""price"", WORKDAY(INT($B51), 20)), 2, 2), """"))/$G51))"),0.006136680613668029)</f>
        <v>0.006136680614</v>
      </c>
      <c r="Q51" s="25" t="s">
        <v>1235</v>
      </c>
      <c r="R51" s="31"/>
      <c r="S51" s="31"/>
      <c r="T51" s="31"/>
    </row>
    <row r="52" ht="22.5" customHeight="1">
      <c r="A52" s="23">
        <f t="shared" si="1"/>
        <v>51</v>
      </c>
      <c r="B52" s="24">
        <v>46212.66763888889</v>
      </c>
      <c r="C52" s="25" t="s">
        <v>1241</v>
      </c>
      <c r="D52" s="26" t="s">
        <v>36</v>
      </c>
      <c r="E52" s="25" t="s">
        <v>133</v>
      </c>
      <c r="F52" s="27">
        <v>2.0</v>
      </c>
      <c r="G52" s="28">
        <v>159.07</v>
      </c>
      <c r="H52" s="25" t="s">
        <v>1244</v>
      </c>
      <c r="I52" s="27">
        <v>79.8</v>
      </c>
      <c r="J52" s="29"/>
      <c r="K52" s="29"/>
      <c r="L52" s="28">
        <f>IFERROR(__xludf.DUMMYFUNCTION("IF(ISBLANK($C52), """", GOOGLEFINANCE($C52, ""price""))"),173.99)</f>
        <v>173.99</v>
      </c>
      <c r="M52" s="30">
        <f t="shared" si="2"/>
        <v>0.09379518451</v>
      </c>
      <c r="N52" s="30">
        <f>IFERROR(__xludf.DUMMYFUNCTION("IF(OR(ISBLANK($G52), IFERROR(INDEX(GOOGLEFINANCE($C52, ""price"", WORKDAY(INT($B52), 1)), 2, 2), """")=""""), """", IF($D52=""LONG"", (IFERROR(INDEX(GOOGLEFINANCE($C52, ""price"", WORKDAY(INT($B52), 1)), 2, 2), """")-$G52)/$G52, ($G52-IFERROR(INDEX(GOOGLE"&amp;"FINANCE($C52, ""price"", WORKDAY(INT($B52), 1)), 2, 2), """"))/$G52))"),0.010309926447476048)</f>
        <v>0.01030992645</v>
      </c>
      <c r="O52" s="30">
        <f>IFERROR(__xludf.DUMMYFUNCTION("IF(OR(ISBLANK($G52), IFERROR(INDEX(GOOGLEFINANCE($C52, ""price"", WORKDAY(INT($B52), 5)), 2, 2), """")=""""), """", IF($D52=""LONG"", (IFERROR(INDEX(GOOGLEFINANCE($C52, ""price"", WORKDAY(INT($B52), 5)), 2, 2), """")-$G52)/$G52, ($G52-IFERROR(INDEX(GOOGLE"&amp;"FINANCE($C52, ""price"", WORKDAY(INT($B52), 5)), 2, 2), """"))/$G52))"),0.025083296661847044)</f>
        <v>0.02508329666</v>
      </c>
      <c r="P52" s="30">
        <f>IFERROR(__xludf.DUMMYFUNCTION("IF(OR(ISBLANK($G52), IFERROR(INDEX(GOOGLEFINANCE($C52, ""price"", WORKDAY(INT($B52), 20)), 2, 2), """")=""""), """", IF($D52=""LONG"", (IFERROR(INDEX(GOOGLEFINANCE($C52, ""price"", WORKDAY(INT($B52), 20)), 2, 2), """")-$G52)/$G52, ($G52-IFERROR(INDEX(GOOG"&amp;"LEFINANCE($C52, ""price"", WORKDAY(INT($B52), 20)), 2, 2), """"))/$G52))"),0.09379518450996427)</f>
        <v>0.09379518451</v>
      </c>
      <c r="Q52" s="25" t="s">
        <v>1256</v>
      </c>
      <c r="R52" s="31"/>
      <c r="S52" s="31"/>
      <c r="T52" s="31"/>
    </row>
    <row r="53" ht="22.5" customHeight="1">
      <c r="A53" s="23">
        <f t="shared" si="1"/>
        <v>52</v>
      </c>
      <c r="B53" s="24">
        <v>46212.667766203704</v>
      </c>
      <c r="C53" s="25" t="s">
        <v>789</v>
      </c>
      <c r="D53" s="26" t="s">
        <v>36</v>
      </c>
      <c r="E53" s="25" t="s">
        <v>37</v>
      </c>
      <c r="F53" s="27">
        <v>2.0</v>
      </c>
      <c r="G53" s="28">
        <v>91.31</v>
      </c>
      <c r="H53" s="25" t="s">
        <v>1266</v>
      </c>
      <c r="I53" s="27">
        <v>93.1</v>
      </c>
      <c r="J53" s="29"/>
      <c r="K53" s="29"/>
      <c r="L53" s="28">
        <f>IFERROR(__xludf.DUMMYFUNCTION("IF(ISBLANK($C53), """", GOOGLEFINANCE($C53, ""price""))"),89.32)</f>
        <v>89.32</v>
      </c>
      <c r="M53" s="30">
        <f t="shared" si="2"/>
        <v>-0.02179388895</v>
      </c>
      <c r="N53" s="30">
        <f>IFERROR(__xludf.DUMMYFUNCTION("IF(OR(ISBLANK($G53), IFERROR(INDEX(GOOGLEFINANCE($C53, ""price"", WORKDAY(INT($B53), 1)), 2, 2), """")=""""), """", IF($D53=""LONG"", (IFERROR(INDEX(GOOGLEFINANCE($C53, ""price"", WORKDAY(INT($B53), 1)), 2, 2), """")-$G53)/$G53, ($G53-IFERROR(INDEX(GOOGLE"&amp;"FINANCE($C53, ""price"", WORKDAY(INT($B53), 1)), 2, 2), """"))/$G53))"),0.009856532690833331)</f>
        <v>0.009856532691</v>
      </c>
      <c r="O53" s="30">
        <f>IFERROR(__xludf.DUMMYFUNCTION("IF(OR(ISBLANK($G53), IFERROR(INDEX(GOOGLEFINANCE($C53, ""price"", WORKDAY(INT($B53), 5)), 2, 2), """")=""""), """", IF($D53=""LONG"", (IFERROR(INDEX(GOOGLEFINANCE($C53, ""price"", WORKDAY(INT($B53), 5)), 2, 2), """")-$G53)/$G53, ($G53-IFERROR(INDEX(GOOGLE"&amp;"FINANCE($C53, ""price"", WORKDAY(INT($B53), 5)), 2, 2), """"))/$G53))"),-0.03800240937465774)</f>
        <v>-0.03800240937</v>
      </c>
      <c r="P53" s="30">
        <f>IFERROR(__xludf.DUMMYFUNCTION("IF(OR(ISBLANK($G53), IFERROR(INDEX(GOOGLEFINANCE($C53, ""price"", WORKDAY(INT($B53), 20)), 2, 2), """")=""""), """", IF($D53=""LONG"", (IFERROR(INDEX(GOOGLEFINANCE($C53, ""price"", WORKDAY(INT($B53), 20)), 2, 2), """")-$G53)/$G53, ($G53-IFERROR(INDEX(GOOG"&amp;"LEFINANCE($C53, ""price"", WORKDAY(INT($B53), 20)), 2, 2), """"))/$G53))"),-0.021793888949731784)</f>
        <v>-0.02179388895</v>
      </c>
      <c r="Q53" s="25" t="s">
        <v>1275</v>
      </c>
      <c r="R53" s="31"/>
      <c r="S53" s="31"/>
      <c r="T53" s="31"/>
    </row>
    <row r="54" ht="22.5" customHeight="1">
      <c r="A54" s="23">
        <f t="shared" si="1"/>
        <v>53</v>
      </c>
      <c r="B54" s="24">
        <v>46212.66767361111</v>
      </c>
      <c r="C54" s="25" t="s">
        <v>254</v>
      </c>
      <c r="D54" s="26" t="s">
        <v>36</v>
      </c>
      <c r="E54" s="25" t="s">
        <v>37</v>
      </c>
      <c r="F54" s="27">
        <v>2.0</v>
      </c>
      <c r="G54" s="28">
        <v>46.43</v>
      </c>
      <c r="H54" s="25" t="s">
        <v>1284</v>
      </c>
      <c r="I54" s="27">
        <v>85.9</v>
      </c>
      <c r="J54" s="29"/>
      <c r="K54" s="29"/>
      <c r="L54" s="28">
        <f>IFERROR(__xludf.DUMMYFUNCTION("IF(ISBLANK($C54), """", GOOGLEFINANCE($C54, ""price""))"),44.7)</f>
        <v>44.7</v>
      </c>
      <c r="M54" s="30">
        <f t="shared" si="2"/>
        <v>-0.03726039199</v>
      </c>
      <c r="N54" s="30">
        <f>IFERROR(__xludf.DUMMYFUNCTION("IF(OR(ISBLANK($G54), IFERROR(INDEX(GOOGLEFINANCE($C54, ""price"", WORKDAY(INT($B54), 1)), 2, 2), """")=""""), """", IF($D54=""LONG"", (IFERROR(INDEX(GOOGLEFINANCE($C54, ""price"", WORKDAY(INT($B54), 1)), 2, 2), """")-$G54)/$G54, ($G54-IFERROR(INDEX(GOOGLE"&amp;"FINANCE($C54, ""price"", WORKDAY(INT($B54), 1)), 2, 2), """"))/$G54))"),0.00969200947663155)</f>
        <v>0.009692009477</v>
      </c>
      <c r="O54" s="30">
        <f>IFERROR(__xludf.DUMMYFUNCTION("IF(OR(ISBLANK($G54), IFERROR(INDEX(GOOGLEFINANCE($C54, ""price"", WORKDAY(INT($B54), 5)), 2, 2), """")=""""), """", IF($D54=""LONG"", (IFERROR(INDEX(GOOGLEFINANCE($C54, ""price"", WORKDAY(INT($B54), 5)), 2, 2), """")-$G54)/$G54, ($G54-IFERROR(INDEX(GOOGLE"&amp;"FINANCE($C54, ""price"", WORKDAY(INT($B54), 5)), 2, 2), """"))/$G54))"),0.010122765453370642)</f>
        <v>0.01012276545</v>
      </c>
      <c r="P54" s="30">
        <f>IFERROR(__xludf.DUMMYFUNCTION("IF(OR(ISBLANK($G54), IFERROR(INDEX(GOOGLEFINANCE($C54, ""price"", WORKDAY(INT($B54), 20)), 2, 2), """")=""""), """", IF($D54=""LONG"", (IFERROR(INDEX(GOOGLEFINANCE($C54, ""price"", WORKDAY(INT($B54), 20)), 2, 2), """")-$G54)/$G54, ($G54-IFERROR(INDEX(GOOG"&amp;"LEFINANCE($C54, ""price"", WORKDAY(INT($B54), 20)), 2, 2), """"))/$G54))"),-0.03726039198793876)</f>
        <v>-0.03726039199</v>
      </c>
      <c r="Q54" s="25" t="s">
        <v>1299</v>
      </c>
      <c r="R54" s="31"/>
      <c r="S54" s="31"/>
      <c r="T54" s="31"/>
    </row>
    <row r="55" ht="22.5" customHeight="1">
      <c r="A55" s="23">
        <f t="shared" si="1"/>
        <v>54</v>
      </c>
      <c r="B55" s="24">
        <v>46212.66761574074</v>
      </c>
      <c r="C55" s="25" t="s">
        <v>94</v>
      </c>
      <c r="D55" s="26" t="s">
        <v>36</v>
      </c>
      <c r="E55" s="25" t="s">
        <v>37</v>
      </c>
      <c r="F55" s="27">
        <v>2.0</v>
      </c>
      <c r="G55" s="28">
        <v>56.53</v>
      </c>
      <c r="H55" s="25" t="s">
        <v>1308</v>
      </c>
      <c r="I55" s="27">
        <v>91.6</v>
      </c>
      <c r="J55" s="29"/>
      <c r="K55" s="29"/>
      <c r="L55" s="28">
        <f>IFERROR(__xludf.DUMMYFUNCTION("IF(ISBLANK($C55), """", GOOGLEFINANCE($C55, ""price""))"),56.96)</f>
        <v>56.96</v>
      </c>
      <c r="M55" s="30">
        <f t="shared" si="2"/>
        <v>0.007606580577</v>
      </c>
      <c r="N55" s="30">
        <f>IFERROR(__xludf.DUMMYFUNCTION("IF(OR(ISBLANK($G55), IFERROR(INDEX(GOOGLEFINANCE($C55, ""price"", WORKDAY(INT($B55), 1)), 2, 2), """")=""""), """", IF($D55=""LONG"", (IFERROR(INDEX(GOOGLEFINANCE($C55, ""price"", WORKDAY(INT($B55), 1)), 2, 2), """")-$G55)/$G55, ($G55-IFERROR(INDEX(GOOGLE"&amp;"FINANCE($C55, ""price"", WORKDAY(INT($B55), 1)), 2, 2), """"))/$G55))"),0.009552450026534568)</f>
        <v>0.009552450027</v>
      </c>
      <c r="O55" s="30">
        <f>IFERROR(__xludf.DUMMYFUNCTION("IF(OR(ISBLANK($G55), IFERROR(INDEX(GOOGLEFINANCE($C55, ""price"", WORKDAY(INT($B55), 5)), 2, 2), """")=""""), """", IF($D55=""LONG"", (IFERROR(INDEX(GOOGLEFINANCE($C55, ""price"", WORKDAY(INT($B55), 5)), 2, 2), """")-$G55)/$G55, ($G55-IFERROR(INDEX(GOOGLE"&amp;"FINANCE($C55, ""price"", WORKDAY(INT($B55), 5)), 2, 2), """"))/$G55))"),0.0502388112506633)</f>
        <v>0.05023881125</v>
      </c>
      <c r="P55" s="30">
        <f>IFERROR(__xludf.DUMMYFUNCTION("IF(OR(ISBLANK($G55), IFERROR(INDEX(GOOGLEFINANCE($C55, ""price"", WORKDAY(INT($B55), 20)), 2, 2), """")=""""), """", IF($D55=""LONG"", (IFERROR(INDEX(GOOGLEFINANCE($C55, ""price"", WORKDAY(INT($B55), 20)), 2, 2), """")-$G55)/$G55, ($G55-IFERROR(INDEX(GOOG"&amp;"LEFINANCE($C55, ""price"", WORKDAY(INT($B55), 20)), 2, 2), """"))/$G55))"),0.007606580576684941)</f>
        <v>0.007606580577</v>
      </c>
      <c r="Q55" s="25" t="s">
        <v>1324</v>
      </c>
      <c r="R55" s="31"/>
      <c r="S55" s="31"/>
      <c r="T55" s="31"/>
    </row>
    <row r="56" ht="22.5" customHeight="1">
      <c r="A56" s="23">
        <f t="shared" si="1"/>
        <v>55</v>
      </c>
      <c r="B56" s="24">
        <v>46212.667662037034</v>
      </c>
      <c r="C56" s="25" t="s">
        <v>280</v>
      </c>
      <c r="D56" s="26" t="s">
        <v>36</v>
      </c>
      <c r="E56" s="25" t="s">
        <v>37</v>
      </c>
      <c r="F56" s="27">
        <v>2.0</v>
      </c>
      <c r="G56" s="28">
        <v>75.7</v>
      </c>
      <c r="H56" s="25" t="s">
        <v>1331</v>
      </c>
      <c r="I56" s="27">
        <v>93.6</v>
      </c>
      <c r="J56" s="29"/>
      <c r="K56" s="29"/>
      <c r="L56" s="28">
        <f>IFERROR(__xludf.DUMMYFUNCTION("IF(ISBLANK($C56), """", GOOGLEFINANCE($C56, ""price""))"),69.52)</f>
        <v>69.52</v>
      </c>
      <c r="M56" s="30">
        <f t="shared" si="2"/>
        <v>-0.08163804491</v>
      </c>
      <c r="N56" s="30">
        <f>IFERROR(__xludf.DUMMYFUNCTION("IF(OR(ISBLANK($G56), IFERROR(INDEX(GOOGLEFINANCE($C56, ""price"", WORKDAY(INT($B56), 1)), 2, 2), """")=""""), """", IF($D56=""LONG"", (IFERROR(INDEX(GOOGLEFINANCE($C56, ""price"", WORKDAY(INT($B56), 1)), 2, 2), """")-$G56)/$G56, ($G56-IFERROR(INDEX(GOOGLE"&amp;"FINANCE($C56, ""price"", WORKDAY(INT($B56), 1)), 2, 2), """"))/$G56))"),0.00924702774108326)</f>
        <v>0.009247027741</v>
      </c>
      <c r="O56" s="30">
        <f>IFERROR(__xludf.DUMMYFUNCTION("IF(OR(ISBLANK($G56), IFERROR(INDEX(GOOGLEFINANCE($C56, ""price"", WORKDAY(INT($B56), 5)), 2, 2), """")=""""), """", IF($D56=""LONG"", (IFERROR(INDEX(GOOGLEFINANCE($C56, ""price"", WORKDAY(INT($B56), 5)), 2, 2), """")-$G56)/$G56, ($G56-IFERROR(INDEX(GOOGLE"&amp;"FINANCE($C56, ""price"", WORKDAY(INT($B56), 5)), 2, 2), """"))/$G56))"),6.605019815059069E-4)</f>
        <v>0.0006605019815</v>
      </c>
      <c r="P56" s="30">
        <f>IFERROR(__xludf.DUMMYFUNCTION("IF(OR(ISBLANK($G56), IFERROR(INDEX(GOOGLEFINANCE($C56, ""price"", WORKDAY(INT($B56), 20)), 2, 2), """")=""""), """", IF($D56=""LONG"", (IFERROR(INDEX(GOOGLEFINANCE($C56, ""price"", WORKDAY(INT($B56), 20)), 2, 2), """")-$G56)/$G56, ($G56-IFERROR(INDEX(GOOG"&amp;"LEFINANCE($C56, ""price"", WORKDAY(INT($B56), 20)), 2, 2), """"))/$G56))"),-0.0817701453104359)</f>
        <v>-0.08177014531</v>
      </c>
      <c r="Q56" s="25" t="s">
        <v>1345</v>
      </c>
      <c r="R56" s="31"/>
      <c r="S56" s="31"/>
      <c r="T56" s="31"/>
    </row>
    <row r="57" ht="22.5" customHeight="1">
      <c r="A57" s="23">
        <f t="shared" si="1"/>
        <v>56</v>
      </c>
      <c r="B57" s="24">
        <v>46212.66752314815</v>
      </c>
      <c r="C57" s="25" t="s">
        <v>170</v>
      </c>
      <c r="D57" s="26" t="s">
        <v>36</v>
      </c>
      <c r="E57" s="25" t="s">
        <v>37</v>
      </c>
      <c r="F57" s="27">
        <v>2.0</v>
      </c>
      <c r="G57" s="28">
        <v>69.44</v>
      </c>
      <c r="H57" s="25" t="s">
        <v>1352</v>
      </c>
      <c r="I57" s="27">
        <v>92.1</v>
      </c>
      <c r="J57" s="29"/>
      <c r="K57" s="29"/>
      <c r="L57" s="28">
        <f>IFERROR(__xludf.DUMMYFUNCTION("IF(ISBLANK($C57), """", GOOGLEFINANCE($C57, ""price""))"),66.8)</f>
        <v>66.8</v>
      </c>
      <c r="M57" s="30">
        <f t="shared" si="2"/>
        <v>-0.03801843318</v>
      </c>
      <c r="N57" s="30">
        <f>IFERROR(__xludf.DUMMYFUNCTION("IF(OR(ISBLANK($G57), IFERROR(INDEX(GOOGLEFINANCE($C57, ""price"", WORKDAY(INT($B57), 1)), 2, 2), """")=""""), """", IF($D57=""LONG"", (IFERROR(INDEX(GOOGLEFINANCE($C57, ""price"", WORKDAY(INT($B57), 1)), 2, 2), """")-$G57)/$G57, ($G57-IFERROR(INDEX(GOOGLE"&amp;"FINANCE($C57, ""price"", WORKDAY(INT($B57), 1)), 2, 2), """"))/$G57))"),0.00921658986175116)</f>
        <v>0.009216589862</v>
      </c>
      <c r="O57" s="30">
        <f>IFERROR(__xludf.DUMMYFUNCTION("IF(OR(ISBLANK($G57), IFERROR(INDEX(GOOGLEFINANCE($C57, ""price"", WORKDAY(INT($B57), 5)), 2, 2), """")=""""), """", IF($D57=""LONG"", (IFERROR(INDEX(GOOGLEFINANCE($C57, ""price"", WORKDAY(INT($B57), 5)), 2, 2), """")-$G57)/$G57, ($G57-IFERROR(INDEX(GOOGLE"&amp;"FINANCE($C57, ""price"", WORKDAY(INT($B57), 5)), 2, 2), """"))/$G57))"),0.032402073732718896)</f>
        <v>0.03240207373</v>
      </c>
      <c r="P57" s="30">
        <f>IFERROR(__xludf.DUMMYFUNCTION("IF(OR(ISBLANK($G57), IFERROR(INDEX(GOOGLEFINANCE($C57, ""price"", WORKDAY(INT($B57), 20)), 2, 2), """")=""""), """", IF($D57=""LONG"", (IFERROR(INDEX(GOOGLEFINANCE($C57, ""price"", WORKDAY(INT($B57), 20)), 2, 2), """")-$G57)/$G57, ($G57-IFERROR(INDEX(GOOG"&amp;"LEFINANCE($C57, ""price"", WORKDAY(INT($B57), 20)), 2, 2), """"))/$G57))"),-0.03801843317972351)</f>
        <v>-0.03801843318</v>
      </c>
      <c r="Q57" s="25" t="s">
        <v>1364</v>
      </c>
      <c r="R57" s="31"/>
      <c r="S57" s="31"/>
      <c r="T57" s="31"/>
    </row>
    <row r="58" ht="22.5" customHeight="1">
      <c r="A58" s="23">
        <f t="shared" si="1"/>
        <v>57</v>
      </c>
      <c r="B58" s="24">
        <v>46212.66777777778</v>
      </c>
      <c r="C58" s="25" t="s">
        <v>117</v>
      </c>
      <c r="D58" s="26" t="s">
        <v>36</v>
      </c>
      <c r="E58" s="25" t="s">
        <v>37</v>
      </c>
      <c r="F58" s="27">
        <v>2.0</v>
      </c>
      <c r="G58" s="28">
        <v>23.09</v>
      </c>
      <c r="H58" s="25" t="s">
        <v>1371</v>
      </c>
      <c r="I58" s="27">
        <v>91.1</v>
      </c>
      <c r="J58" s="29"/>
      <c r="K58" s="29"/>
      <c r="L58" s="28">
        <f>IFERROR(__xludf.DUMMYFUNCTION("IF(ISBLANK($C58), """", GOOGLEFINANCE($C58, ""price""))"),22.66)</f>
        <v>22.66</v>
      </c>
      <c r="M58" s="30">
        <f t="shared" si="2"/>
        <v>-0.01862278042</v>
      </c>
      <c r="N58" s="30">
        <f>IFERROR(__xludf.DUMMYFUNCTION("IF(OR(ISBLANK($G58), IFERROR(INDEX(GOOGLEFINANCE($C58, ""price"", WORKDAY(INT($B58), 1)), 2, 2), """")=""""), """", IF($D58=""LONG"", (IFERROR(INDEX(GOOGLEFINANCE($C58, ""price"", WORKDAY(INT($B58), 1)), 2, 2), """")-$G58)/$G58, ($G58-IFERROR(INDEX(GOOGLE"&amp;"FINANCE($C58, ""price"", WORKDAY(INT($B58), 1)), 2, 2), """"))/$G58))"),0.009094846253789556)</f>
        <v>0.009094846254</v>
      </c>
      <c r="O58" s="30">
        <f>IFERROR(__xludf.DUMMYFUNCTION("IF(OR(ISBLANK($G58), IFERROR(INDEX(GOOGLEFINANCE($C58, ""price"", WORKDAY(INT($B58), 5)), 2, 2), """")=""""), """", IF($D58=""LONG"", (IFERROR(INDEX(GOOGLEFINANCE($C58, ""price"", WORKDAY(INT($B58), 5)), 2, 2), """")-$G58)/$G58, ($G58-IFERROR(INDEX(GOOGLE"&amp;"FINANCE($C58, ""price"", WORKDAY(INT($B58), 5)), 2, 2), """"))/$G58))"),0.038977912516240734)</f>
        <v>0.03897791252</v>
      </c>
      <c r="P58" s="30">
        <f>IFERROR(__xludf.DUMMYFUNCTION("IF(OR(ISBLANK($G58), IFERROR(INDEX(GOOGLEFINANCE($C58, ""price"", WORKDAY(INT($B58), 20)), 2, 2), """")=""""), """", IF($D58=""LONG"", (IFERROR(INDEX(GOOGLEFINANCE($C58, ""price"", WORKDAY(INT($B58), 20)), 2, 2), """")-$G58)/$G58, ($G58-IFERROR(INDEX(GOOG"&amp;"LEFINANCE($C58, ""price"", WORKDAY(INT($B58), 20)), 2, 2), """"))/$G58))"),-0.018622780424426146)</f>
        <v>-0.01862278042</v>
      </c>
      <c r="Q58" s="25" t="s">
        <v>1382</v>
      </c>
      <c r="R58" s="31"/>
      <c r="S58" s="31"/>
      <c r="T58" s="31"/>
    </row>
    <row r="59" ht="22.5" customHeight="1">
      <c r="A59" s="23">
        <f t="shared" si="1"/>
        <v>58</v>
      </c>
      <c r="B59" s="24">
        <v>46212.66751157407</v>
      </c>
      <c r="C59" s="25" t="s">
        <v>731</v>
      </c>
      <c r="D59" s="26" t="s">
        <v>36</v>
      </c>
      <c r="E59" s="25" t="s">
        <v>37</v>
      </c>
      <c r="F59" s="27">
        <v>2.0</v>
      </c>
      <c r="G59" s="28">
        <v>68.08</v>
      </c>
      <c r="H59" s="25" t="s">
        <v>1389</v>
      </c>
      <c r="I59" s="27">
        <v>92.5</v>
      </c>
      <c r="J59" s="29"/>
      <c r="K59" s="29"/>
      <c r="L59" s="28">
        <f>IFERROR(__xludf.DUMMYFUNCTION("IF(ISBLANK($C59), """", GOOGLEFINANCE($C59, ""price""))"),66.7)</f>
        <v>66.7</v>
      </c>
      <c r="M59" s="30">
        <f t="shared" si="2"/>
        <v>-0.02027027027</v>
      </c>
      <c r="N59" s="30">
        <f>IFERROR(__xludf.DUMMYFUNCTION("IF(OR(ISBLANK($G59), IFERROR(INDEX(GOOGLEFINANCE($C59, ""price"", WORKDAY(INT($B59), 1)), 2, 2), """")=""""), """", IF($D59=""LONG"", (IFERROR(INDEX(GOOGLEFINANCE($C59, ""price"", WORKDAY(INT($B59), 1)), 2, 2), """")-$G59)/$G59, ($G59-IFERROR(INDEX(GOOGLE"&amp;"FINANCE($C59, ""price"", WORKDAY(INT($B59), 1)), 2, 2), """"))/$G59))"),0.008960047003525257)</f>
        <v>0.008960047004</v>
      </c>
      <c r="O59" s="30">
        <f>IFERROR(__xludf.DUMMYFUNCTION("IF(OR(ISBLANK($G59), IFERROR(INDEX(GOOGLEFINANCE($C59, ""price"", WORKDAY(INT($B59), 5)), 2, 2), """")=""""), """", IF($D59=""LONG"", (IFERROR(INDEX(GOOGLEFINANCE($C59, ""price"", WORKDAY(INT($B59), 5)), 2, 2), """")-$G59)/$G59, ($G59-IFERROR(INDEX(GOOGLE"&amp;"FINANCE($C59, ""price"", WORKDAY(INT($B59), 5)), 2, 2), """"))/$G59))"),0.028202115158636923)</f>
        <v>0.02820211516</v>
      </c>
      <c r="P59" s="30">
        <f>IFERROR(__xludf.DUMMYFUNCTION("IF(OR(ISBLANK($G59), IFERROR(INDEX(GOOGLEFINANCE($C59, ""price"", WORKDAY(INT($B59), 20)), 2, 2), """")=""""), """", IF($D59=""LONG"", (IFERROR(INDEX(GOOGLEFINANCE($C59, ""price"", WORKDAY(INT($B59), 20)), 2, 2), """")-$G59)/$G59, ($G59-IFERROR(INDEX(GOOG"&amp;"LEFINANCE($C59, ""price"", WORKDAY(INT($B59), 20)), 2, 2), """"))/$G59))"),-0.020270270270270205)</f>
        <v>-0.02027027027</v>
      </c>
      <c r="Q59" s="25" t="s">
        <v>1405</v>
      </c>
      <c r="R59" s="31"/>
      <c r="S59" s="31"/>
      <c r="T59" s="31"/>
    </row>
    <row r="60" ht="22.5" customHeight="1">
      <c r="A60" s="23">
        <f t="shared" si="1"/>
        <v>59</v>
      </c>
      <c r="B60" s="24">
        <v>46212.66758101852</v>
      </c>
      <c r="C60" s="25" t="s">
        <v>215</v>
      </c>
      <c r="D60" s="26" t="s">
        <v>36</v>
      </c>
      <c r="E60" s="25" t="s">
        <v>37</v>
      </c>
      <c r="F60" s="27">
        <v>2.0</v>
      </c>
      <c r="G60" s="28">
        <v>96.54</v>
      </c>
      <c r="H60" s="25" t="s">
        <v>1414</v>
      </c>
      <c r="I60" s="27">
        <v>88.5</v>
      </c>
      <c r="J60" s="29"/>
      <c r="K60" s="29"/>
      <c r="L60" s="28">
        <f>IFERROR(__xludf.DUMMYFUNCTION("IF(ISBLANK($C60), """", GOOGLEFINANCE($C60, ""price""))"),94.16)</f>
        <v>94.16</v>
      </c>
      <c r="M60" s="30">
        <f t="shared" si="2"/>
        <v>-0.02465299358</v>
      </c>
      <c r="N60" s="30">
        <f>IFERROR(__xludf.DUMMYFUNCTION("IF(OR(ISBLANK($G60), IFERROR(INDEX(GOOGLEFINANCE($C60, ""price"", WORKDAY(INT($B60), 1)), 2, 2), """")=""""), """", IF($D60=""LONG"", (IFERROR(INDEX(GOOGLEFINANCE($C60, ""price"", WORKDAY(INT($B60), 1)), 2, 2), """")-$G60)/$G60, ($G60-IFERROR(INDEX(GOOGLE"&amp;"FINANCE($C60, ""price"", WORKDAY(INT($B60), 1)), 2, 2), """"))/$G60))"),0.008804640563496937)</f>
        <v>0.008804640563</v>
      </c>
      <c r="O60" s="30">
        <f>IFERROR(__xludf.DUMMYFUNCTION("IF(OR(ISBLANK($G60), IFERROR(INDEX(GOOGLEFINANCE($C60, ""price"", WORKDAY(INT($B60), 5)), 2, 2), """")=""""), """", IF($D60=""LONG"", (IFERROR(INDEX(GOOGLEFINANCE($C60, ""price"", WORKDAY(INT($B60), 5)), 2, 2), """")-$G60)/$G60, ($G60-IFERROR(INDEX(GOOGLE"&amp;"FINANCE($C60, ""price"", WORKDAY(INT($B60), 5)), 2, 2), """"))/$G60))"),0.035218562253987895)</f>
        <v>0.03521856225</v>
      </c>
      <c r="P60" s="30">
        <f>IFERROR(__xludf.DUMMYFUNCTION("IF(OR(ISBLANK($G60), IFERROR(INDEX(GOOGLEFINANCE($C60, ""price"", WORKDAY(INT($B60), 20)), 2, 2), """")=""""), """", IF($D60=""LONG"", (IFERROR(INDEX(GOOGLEFINANCE($C60, ""price"", WORKDAY(INT($B60), 20)), 2, 2), """")-$G60)/$G60, ($G60-IFERROR(INDEX(GOOG"&amp;"LEFINANCE($C60, ""price"", WORKDAY(INT($B60), 20)), 2, 2), """"))/$G60))"),-0.024652993577791688)</f>
        <v>-0.02465299358</v>
      </c>
      <c r="Q60" s="25" t="s">
        <v>1424</v>
      </c>
      <c r="R60" s="31"/>
      <c r="S60" s="31"/>
      <c r="T60" s="31"/>
    </row>
    <row r="61" ht="22.5" customHeight="1">
      <c r="A61" s="23">
        <f t="shared" si="1"/>
        <v>60</v>
      </c>
      <c r="B61" s="24">
        <v>46212.66751157407</v>
      </c>
      <c r="C61" s="25" t="s">
        <v>238</v>
      </c>
      <c r="D61" s="26" t="s">
        <v>36</v>
      </c>
      <c r="E61" s="25" t="s">
        <v>37</v>
      </c>
      <c r="F61" s="27">
        <v>2.0</v>
      </c>
      <c r="G61" s="28">
        <v>219.83</v>
      </c>
      <c r="H61" s="25" t="s">
        <v>1433</v>
      </c>
      <c r="I61" s="27">
        <v>91.5</v>
      </c>
      <c r="J61" s="29"/>
      <c r="K61" s="29"/>
      <c r="L61" s="28">
        <f>IFERROR(__xludf.DUMMYFUNCTION("IF(ISBLANK($C61), """", GOOGLEFINANCE($C61, ""price""))"),246.89)</f>
        <v>246.89</v>
      </c>
      <c r="M61" s="30">
        <f t="shared" si="2"/>
        <v>0.123095119</v>
      </c>
      <c r="N61" s="30">
        <f>IFERROR(__xludf.DUMMYFUNCTION("IF(OR(ISBLANK($G61), IFERROR(INDEX(GOOGLEFINANCE($C61, ""price"", WORKDAY(INT($B61), 1)), 2, 2), """")=""""), """", IF($D61=""LONG"", (IFERROR(INDEX(GOOGLEFINANCE($C61, ""price"", WORKDAY(INT($B61), 1)), 2, 2), """")-$G61)/$G61, ($G61-IFERROR(INDEX(GOOGLE"&amp;"FINANCE($C61, ""price"", WORKDAY(INT($B61), 1)), 2, 2), """"))/$G61))"),0.008734021744074909)</f>
        <v>0.008734021744</v>
      </c>
      <c r="O61" s="30">
        <f>IFERROR(__xludf.DUMMYFUNCTION("IF(OR(ISBLANK($G61), IFERROR(INDEX(GOOGLEFINANCE($C61, ""price"", WORKDAY(INT($B61), 5)), 2, 2), """")=""""), """", IF($D61=""LONG"", (IFERROR(INDEX(GOOGLEFINANCE($C61, ""price"", WORKDAY(INT($B61), 5)), 2, 2), """")-$G61)/$G61, ($G61-IFERROR(INDEX(GOOGLE"&amp;"FINANCE($C61, ""price"", WORKDAY(INT($B61), 5)), 2, 2), """"))/$G61))"),0.038893690579083755)</f>
        <v>0.03889369058</v>
      </c>
      <c r="P61" s="30">
        <f>IFERROR(__xludf.DUMMYFUNCTION("IF(OR(ISBLANK($G61), IFERROR(INDEX(GOOGLEFINANCE($C61, ""price"", WORKDAY(INT($B61), 20)), 2, 2), """")=""""), """", IF($D61=""LONG"", (IFERROR(INDEX(GOOGLEFINANCE($C61, ""price"", WORKDAY(INT($B61), 20)), 2, 2), """")-$G61)/$G61, ($G61-IFERROR(INDEX(GOOG"&amp;"LEFINANCE($C61, ""price"", WORKDAY(INT($B61), 20)), 2, 2), """"))/$G61))"),0.12309511895555644)</f>
        <v>0.123095119</v>
      </c>
      <c r="Q61" s="25" t="s">
        <v>1443</v>
      </c>
      <c r="R61" s="31"/>
      <c r="S61" s="31"/>
      <c r="T61" s="31"/>
    </row>
    <row r="62" ht="22.5" customHeight="1">
      <c r="A62" s="23">
        <f t="shared" si="1"/>
        <v>61</v>
      </c>
      <c r="B62" s="24">
        <v>46212.6675</v>
      </c>
      <c r="C62" s="25" t="s">
        <v>114</v>
      </c>
      <c r="D62" s="26" t="s">
        <v>36</v>
      </c>
      <c r="E62" s="25" t="s">
        <v>37</v>
      </c>
      <c r="F62" s="27">
        <v>2.0</v>
      </c>
      <c r="G62" s="28">
        <v>233.84</v>
      </c>
      <c r="H62" s="25" t="s">
        <v>1449</v>
      </c>
      <c r="I62" s="27">
        <v>98.5</v>
      </c>
      <c r="J62" s="29"/>
      <c r="K62" s="29"/>
      <c r="L62" s="28">
        <f>IFERROR(__xludf.DUMMYFUNCTION("IF(ISBLANK($C62), """", GOOGLEFINANCE($C62, ""price""))"),237.66)</f>
        <v>237.66</v>
      </c>
      <c r="M62" s="30">
        <f t="shared" si="2"/>
        <v>0.01633595621</v>
      </c>
      <c r="N62" s="30">
        <f>IFERROR(__xludf.DUMMYFUNCTION("IF(OR(ISBLANK($G62), IFERROR(INDEX(GOOGLEFINANCE($C62, ""price"", WORKDAY(INT($B62), 1)), 2, 2), """")=""""), """", IF($D62=""LONG"", (IFERROR(INDEX(GOOGLEFINANCE($C62, ""price"", WORKDAY(INT($B62), 1)), 2, 2), """")-$G62)/$G62, ($G62-IFERROR(INDEX(GOOGLE"&amp;"FINANCE($C62, ""price"", WORKDAY(INT($B62), 1)), 2, 2), """"))/$G62))"),0.00838179952104006)</f>
        <v>0.008381799521</v>
      </c>
      <c r="O62" s="30">
        <f>IFERROR(__xludf.DUMMYFUNCTION("IF(OR(ISBLANK($G62), IFERROR(INDEX(GOOGLEFINANCE($C62, ""price"", WORKDAY(INT($B62), 5)), 2, 2), """")=""""), """", IF($D62=""LONG"", (IFERROR(INDEX(GOOGLEFINANCE($C62, ""price"", WORKDAY(INT($B62), 5)), 2, 2), """")-$G62)/$G62, ($G62-IFERROR(INDEX(GOOGLE"&amp;"FINANCE($C62, ""price"", WORKDAY(INT($B62), 5)), 2, 2), """"))/$G62))"),-0.02189531303455356)</f>
        <v>-0.02189531303</v>
      </c>
      <c r="P62" s="30">
        <f>IFERROR(__xludf.DUMMYFUNCTION("IF(OR(ISBLANK($G62), IFERROR(INDEX(GOOGLEFINANCE($C62, ""price"", WORKDAY(INT($B62), 20)), 2, 2), """")=""""), """", IF($D62=""LONG"", (IFERROR(INDEX(GOOGLEFINANCE($C62, ""price"", WORKDAY(INT($B62), 20)), 2, 2), """")-$G62)/$G62, ($G62-IFERROR(INDEX(GOOG"&amp;"LEFINANCE($C62, ""price"", WORKDAY(INT($B62), 20)), 2, 2), """"))/$G62))"),0.016335956209373902)</f>
        <v>0.01633595621</v>
      </c>
      <c r="Q62" s="25" t="s">
        <v>1459</v>
      </c>
      <c r="R62" s="31"/>
      <c r="S62" s="31"/>
      <c r="T62" s="31"/>
    </row>
    <row r="63" ht="22.5" customHeight="1">
      <c r="A63" s="23">
        <f t="shared" si="1"/>
        <v>62</v>
      </c>
      <c r="B63" s="24">
        <v>46212.66762731481</v>
      </c>
      <c r="C63" s="25" t="s">
        <v>234</v>
      </c>
      <c r="D63" s="26" t="s">
        <v>36</v>
      </c>
      <c r="E63" s="25" t="s">
        <v>37</v>
      </c>
      <c r="F63" s="27">
        <v>2.0</v>
      </c>
      <c r="G63" s="28">
        <v>61.9</v>
      </c>
      <c r="H63" s="25" t="s">
        <v>1463</v>
      </c>
      <c r="I63" s="27">
        <v>92.7</v>
      </c>
      <c r="J63" s="29"/>
      <c r="K63" s="29"/>
      <c r="L63" s="28">
        <f>IFERROR(__xludf.DUMMYFUNCTION("IF(ISBLANK($C63), """", GOOGLEFINANCE($C63, ""price""))"),63.81)</f>
        <v>63.81</v>
      </c>
      <c r="M63" s="30">
        <f t="shared" si="2"/>
        <v>0.03085621971</v>
      </c>
      <c r="N63" s="30">
        <f>IFERROR(__xludf.DUMMYFUNCTION("IF(OR(ISBLANK($G63), IFERROR(INDEX(GOOGLEFINANCE($C63, ""price"", WORKDAY(INT($B63), 1)), 2, 2), """")=""""), """", IF($D63=""LONG"", (IFERROR(INDEX(GOOGLEFINANCE($C63, ""price"", WORKDAY(INT($B63), 1)), 2, 2), """")-$G63)/$G63, ($G63-IFERROR(INDEX(GOOGLE"&amp;"FINANCE($C63, ""price"", WORKDAY(INT($B63), 1)), 2, 2), """"))/$G63))"),0.008239095315024201)</f>
        <v>0.008239095315</v>
      </c>
      <c r="O63" s="30">
        <f>IFERROR(__xludf.DUMMYFUNCTION("IF(OR(ISBLANK($G63), IFERROR(INDEX(GOOGLEFINANCE($C63, ""price"", WORKDAY(INT($B63), 5)), 2, 2), """")=""""), """", IF($D63=""LONG"", (IFERROR(INDEX(GOOGLEFINANCE($C63, ""price"", WORKDAY(INT($B63), 5)), 2, 2), """")-$G63)/$G63, ($G63-IFERROR(INDEX(GOOGLE"&amp;"FINANCE($C63, ""price"", WORKDAY(INT($B63), 5)), 2, 2), """"))/$G63))"),0.03408723747980624)</f>
        <v>0.03408723748</v>
      </c>
      <c r="P63" s="30">
        <f>IFERROR(__xludf.DUMMYFUNCTION("IF(OR(ISBLANK($G63), IFERROR(INDEX(GOOGLEFINANCE($C63, ""price"", WORKDAY(INT($B63), 20)), 2, 2), """")=""""), """", IF($D63=""LONG"", (IFERROR(INDEX(GOOGLEFINANCE($C63, ""price"", WORKDAY(INT($B63), 20)), 2, 2), """")-$G63)/$G63, ($G63-IFERROR(INDEX(GOOG"&amp;"LEFINANCE($C63, ""price"", WORKDAY(INT($B63), 20)), 2, 2), """"))/$G63))"),0.03085621970920846)</f>
        <v>0.03085621971</v>
      </c>
      <c r="Q63" s="25" t="s">
        <v>1470</v>
      </c>
      <c r="R63" s="31"/>
      <c r="S63" s="31"/>
      <c r="T63" s="31"/>
    </row>
    <row r="64" ht="22.5" customHeight="1">
      <c r="A64" s="23">
        <f t="shared" si="1"/>
        <v>63</v>
      </c>
      <c r="B64" s="24">
        <v>46212.66748842593</v>
      </c>
      <c r="C64" s="25" t="s">
        <v>223</v>
      </c>
      <c r="D64" s="26" t="s">
        <v>36</v>
      </c>
      <c r="E64" s="25" t="s">
        <v>37</v>
      </c>
      <c r="F64" s="27">
        <v>2.0</v>
      </c>
      <c r="G64" s="28">
        <v>123.74</v>
      </c>
      <c r="H64" s="25" t="s">
        <v>1476</v>
      </c>
      <c r="I64" s="27">
        <v>94.8</v>
      </c>
      <c r="J64" s="29"/>
      <c r="K64" s="29"/>
      <c r="L64" s="28">
        <f>IFERROR(__xludf.DUMMYFUNCTION("IF(ISBLANK($C64), """", GOOGLEFINANCE($C64, ""price""))"),129.55)</f>
        <v>129.55</v>
      </c>
      <c r="M64" s="30">
        <f t="shared" si="2"/>
        <v>0.04695328915</v>
      </c>
      <c r="N64" s="30">
        <f>IFERROR(__xludf.DUMMYFUNCTION("IF(OR(ISBLANK($G64), IFERROR(INDEX(GOOGLEFINANCE($C64, ""price"", WORKDAY(INT($B64), 1)), 2, 2), """")=""""), """", IF($D64=""LONG"", (IFERROR(INDEX(GOOGLEFINANCE($C64, ""price"", WORKDAY(INT($B64), 1)), 2, 2), """")-$G64)/$G64, ($G64-IFERROR(INDEX(GOOGLE"&amp;"FINANCE($C64, ""price"", WORKDAY(INT($B64), 1)), 2, 2), """"))/$G64))"),0.008162275739453734)</f>
        <v>0.008162275739</v>
      </c>
      <c r="O64" s="30">
        <f>IFERROR(__xludf.DUMMYFUNCTION("IF(OR(ISBLANK($G64), IFERROR(INDEX(GOOGLEFINANCE($C64, ""price"", WORKDAY(INT($B64), 5)), 2, 2), """")=""""), """", IF($D64=""LONG"", (IFERROR(INDEX(GOOGLEFINANCE($C64, ""price"", WORKDAY(INT($B64), 5)), 2, 2), """")-$G64)/$G64, ($G64-IFERROR(INDEX(GOOGLE"&amp;"FINANCE($C64, ""price"", WORKDAY(INT($B64), 5)), 2, 2), """"))/$G64))"),0.042670114756748145)</f>
        <v>0.04267011476</v>
      </c>
      <c r="P64" s="30">
        <f>IFERROR(__xludf.DUMMYFUNCTION("IF(OR(ISBLANK($G64), IFERROR(INDEX(GOOGLEFINANCE($C64, ""price"", WORKDAY(INT($B64), 20)), 2, 2), """")=""""), """", IF($D64=""LONG"", (IFERROR(INDEX(GOOGLEFINANCE($C64, ""price"", WORKDAY(INT($B64), 20)), 2, 2), """")-$G64)/$G64, ($G64-IFERROR(INDEX(GOOG"&amp;"LEFINANCE($C64, ""price"", WORKDAY(INT($B64), 20)), 2, 2), """"))/$G64))"),0.0469532891546793)</f>
        <v>0.04695328915</v>
      </c>
      <c r="Q64" s="25" t="s">
        <v>1485</v>
      </c>
      <c r="R64" s="31"/>
      <c r="S64" s="31"/>
      <c r="T64" s="31"/>
    </row>
    <row r="65" ht="22.5" customHeight="1">
      <c r="A65" s="23">
        <f t="shared" si="1"/>
        <v>64</v>
      </c>
      <c r="B65" s="24">
        <v>46212.66768518519</v>
      </c>
      <c r="C65" s="25" t="s">
        <v>696</v>
      </c>
      <c r="D65" s="26" t="s">
        <v>36</v>
      </c>
      <c r="E65" s="25" t="s">
        <v>87</v>
      </c>
      <c r="F65" s="27">
        <v>2.0</v>
      </c>
      <c r="G65" s="28">
        <v>170.64</v>
      </c>
      <c r="H65" s="25" t="s">
        <v>1489</v>
      </c>
      <c r="I65" s="27">
        <v>81.9</v>
      </c>
      <c r="J65" s="29"/>
      <c r="K65" s="29"/>
      <c r="L65" s="28">
        <f>IFERROR(__xludf.DUMMYFUNCTION("IF(ISBLANK($C65), """", GOOGLEFINANCE($C65, ""price""))"),178.56)</f>
        <v>178.56</v>
      </c>
      <c r="M65" s="30">
        <f t="shared" si="2"/>
        <v>0.04641350211</v>
      </c>
      <c r="N65" s="30">
        <f>IFERROR(__xludf.DUMMYFUNCTION("IF(OR(ISBLANK($G65), IFERROR(INDEX(GOOGLEFINANCE($C65, ""price"", WORKDAY(INT($B65), 1)), 2, 2), """")=""""), """", IF($D65=""LONG"", (IFERROR(INDEX(GOOGLEFINANCE($C65, ""price"", WORKDAY(INT($B65), 1)), 2, 2), """")-$G65)/$G65, ($G65-IFERROR(INDEX(GOOGLE"&amp;"FINANCE($C65, ""price"", WORKDAY(INT($B65), 1)), 2, 2), """"))/$G65))"),0.00808720112517595)</f>
        <v>0.008087201125</v>
      </c>
      <c r="O65" s="30">
        <f>IFERROR(__xludf.DUMMYFUNCTION("IF(OR(ISBLANK($G65), IFERROR(INDEX(GOOGLEFINANCE($C65, ""price"", WORKDAY(INT($B65), 5)), 2, 2), """")=""""), """", IF($D65=""LONG"", (IFERROR(INDEX(GOOGLEFINANCE($C65, ""price"", WORKDAY(INT($B65), 5)), 2, 2), """")-$G65)/$G65, ($G65-IFERROR(INDEX(GOOGLE"&amp;"FINANCE($C65, ""price"", WORKDAY(INT($B65), 5)), 2, 2), """"))/$G65))"),0.06633849038912343)</f>
        <v>0.06633849039</v>
      </c>
      <c r="P65" s="30">
        <f>IFERROR(__xludf.DUMMYFUNCTION("IF(OR(ISBLANK($G65), IFERROR(INDEX(GOOGLEFINANCE($C65, ""price"", WORKDAY(INT($B65), 20)), 2, 2), """")=""""), """", IF($D65=""LONG"", (IFERROR(INDEX(GOOGLEFINANCE($C65, ""price"", WORKDAY(INT($B65), 20)), 2, 2), """")-$G65)/$G65, ($G65-IFERROR(INDEX(GOOG"&amp;"LEFINANCE($C65, ""price"", WORKDAY(INT($B65), 20)), 2, 2), """"))/$G65))"),0.04641350210970474)</f>
        <v>0.04641350211</v>
      </c>
      <c r="Q65" s="25" t="s">
        <v>1498</v>
      </c>
      <c r="R65" s="31"/>
      <c r="S65" s="31"/>
      <c r="T65" s="31"/>
    </row>
    <row r="66" ht="22.5" customHeight="1">
      <c r="A66" s="23">
        <f t="shared" si="1"/>
        <v>65</v>
      </c>
      <c r="B66" s="24">
        <v>46212.6674537037</v>
      </c>
      <c r="C66" s="25" t="s">
        <v>72</v>
      </c>
      <c r="D66" s="26" t="s">
        <v>36</v>
      </c>
      <c r="E66" s="25" t="s">
        <v>37</v>
      </c>
      <c r="F66" s="27">
        <v>2.0</v>
      </c>
      <c r="G66" s="28">
        <v>1364.73</v>
      </c>
      <c r="H66" s="25" t="s">
        <v>1501</v>
      </c>
      <c r="I66" s="27">
        <v>91.0</v>
      </c>
      <c r="J66" s="29"/>
      <c r="K66" s="29"/>
      <c r="L66" s="28">
        <f>IFERROR(__xludf.DUMMYFUNCTION("IF(ISBLANK($C66), """", GOOGLEFINANCE($C66, ""price""))"),1282.58)</f>
        <v>1282.58</v>
      </c>
      <c r="M66" s="30">
        <f t="shared" si="2"/>
        <v>-0.0601950569</v>
      </c>
      <c r="N66" s="30">
        <f>IFERROR(__xludf.DUMMYFUNCTION("IF(OR(ISBLANK($G66), IFERROR(INDEX(GOOGLEFINANCE($C66, ""price"", WORKDAY(INT($B66), 1)), 2, 2), """")=""""), """", IF($D66=""LONG"", (IFERROR(INDEX(GOOGLEFINANCE($C66, ""price"", WORKDAY(INT($B66), 1)), 2, 2), """")-$G66)/$G66, ($G66-IFERROR(INDEX(GOOGLE"&amp;"FINANCE($C66, ""price"", WORKDAY(INT($B66), 1)), 2, 2), """"))/$G66))"),0.008082184754493543)</f>
        <v>0.008082184754</v>
      </c>
      <c r="O66" s="30">
        <f>IFERROR(__xludf.DUMMYFUNCTION("IF(OR(ISBLANK($G66), IFERROR(INDEX(GOOGLEFINANCE($C66, ""price"", WORKDAY(INT($B66), 5)), 2, 2), """")=""""), """", IF($D66=""LONG"", (IFERROR(INDEX(GOOGLEFINANCE($C66, ""price"", WORKDAY(INT($B66), 5)), 2, 2), """")-$G66)/$G66, ($G66-IFERROR(INDEX(GOOGLE"&amp;"FINANCE($C66, ""price"", WORKDAY(INT($B66), 5)), 2, 2), """"))/$G66))"),0.02733141353967448)</f>
        <v>0.02733141354</v>
      </c>
      <c r="P66" s="30">
        <f>IFERROR(__xludf.DUMMYFUNCTION("IF(OR(ISBLANK($G66), IFERROR(INDEX(GOOGLEFINANCE($C66, ""price"", WORKDAY(INT($B66), 20)), 2, 2), """")=""""), """", IF($D66=""LONG"", (IFERROR(INDEX(GOOGLEFINANCE($C66, ""price"", WORKDAY(INT($B66), 20)), 2, 2), """")-$G66)/$G66, ($G66-IFERROR(INDEX(GOOG"&amp;"LEFINANCE($C66, ""price"", WORKDAY(INT($B66), 20)), 2, 2), """"))/$G66))"),-0.060195056897701445)</f>
        <v>-0.0601950569</v>
      </c>
      <c r="Q66" s="25" t="s">
        <v>1511</v>
      </c>
      <c r="R66" s="31"/>
      <c r="S66" s="31"/>
      <c r="T66" s="31"/>
    </row>
    <row r="67" ht="22.5" customHeight="1">
      <c r="A67" s="23">
        <f t="shared" si="1"/>
        <v>66</v>
      </c>
      <c r="B67" s="24">
        <v>46212.66743055556</v>
      </c>
      <c r="C67" s="25" t="s">
        <v>47</v>
      </c>
      <c r="D67" s="26" t="s">
        <v>36</v>
      </c>
      <c r="E67" s="25" t="s">
        <v>37</v>
      </c>
      <c r="F67" s="27">
        <v>2.0</v>
      </c>
      <c r="G67" s="28">
        <v>291.2</v>
      </c>
      <c r="H67" s="25" t="s">
        <v>1514</v>
      </c>
      <c r="I67" s="27">
        <v>94.9</v>
      </c>
      <c r="J67" s="29"/>
      <c r="K67" s="29"/>
      <c r="L67" s="28">
        <f>IFERROR(__xludf.DUMMYFUNCTION("IF(ISBLANK($C67), """", GOOGLEFINANCE($C67, ""price""))"),285.12)</f>
        <v>285.12</v>
      </c>
      <c r="M67" s="30">
        <f t="shared" si="2"/>
        <v>-0.02087912088</v>
      </c>
      <c r="N67" s="30">
        <f>IFERROR(__xludf.DUMMYFUNCTION("IF(OR(ISBLANK($G67), IFERROR(INDEX(GOOGLEFINANCE($C67, ""price"", WORKDAY(INT($B67), 1)), 2, 2), """")=""""), """", IF($D67=""LONG"", (IFERROR(INDEX(GOOGLEFINANCE($C67, ""price"", WORKDAY(INT($B67), 1)), 2, 2), """")-$G67)/$G67, ($G67-IFERROR(INDEX(GOOGLE"&amp;"FINANCE($C67, ""price"", WORKDAY(INT($B67), 1)), 2, 2), """"))/$G67))"),0.008070054945055024)</f>
        <v>0.008070054945</v>
      </c>
      <c r="O67" s="30">
        <f>IFERROR(__xludf.DUMMYFUNCTION("IF(OR(ISBLANK($G67), IFERROR(INDEX(GOOGLEFINANCE($C67, ""price"", WORKDAY(INT($B67), 5)), 2, 2), """")=""""), """", IF($D67=""LONG"", (IFERROR(INDEX(GOOGLEFINANCE($C67, ""price"", WORKDAY(INT($B67), 5)), 2, 2), """")-$G67)/$G67, ($G67-IFERROR(INDEX(GOOGLE"&amp;"FINANCE($C67, ""price"", WORKDAY(INT($B67), 5)), 2, 2), """"))/$G67))"),0.021359890109890204)</f>
        <v>0.02135989011</v>
      </c>
      <c r="P67" s="30">
        <f>IFERROR(__xludf.DUMMYFUNCTION("IF(OR(ISBLANK($G67), IFERROR(INDEX(GOOGLEFINANCE($C67, ""price"", WORKDAY(INT($B67), 20)), 2, 2), """")=""""), """", IF($D67=""LONG"", (IFERROR(INDEX(GOOGLEFINANCE($C67, ""price"", WORKDAY(INT($B67), 20)), 2, 2), """")-$G67)/$G67, ($G67-IFERROR(INDEX(GOOG"&amp;"LEFINANCE($C67, ""price"", WORKDAY(INT($B67), 20)), 2, 2), """"))/$G67))"),-0.020879120879120826)</f>
        <v>-0.02087912088</v>
      </c>
      <c r="Q67" s="25" t="s">
        <v>1520</v>
      </c>
      <c r="R67" s="31"/>
      <c r="S67" s="31"/>
      <c r="T67" s="31"/>
    </row>
    <row r="68" ht="22.5" customHeight="1">
      <c r="A68" s="23">
        <f t="shared" si="1"/>
        <v>67</v>
      </c>
      <c r="B68" s="24">
        <v>46212.667719907404</v>
      </c>
      <c r="C68" s="25" t="s">
        <v>110</v>
      </c>
      <c r="D68" s="26" t="s">
        <v>36</v>
      </c>
      <c r="E68" s="25" t="s">
        <v>37</v>
      </c>
      <c r="F68" s="27">
        <v>2.0</v>
      </c>
      <c r="G68" s="28">
        <v>200.06</v>
      </c>
      <c r="H68" s="25" t="s">
        <v>1525</v>
      </c>
      <c r="I68" s="27">
        <v>97.1</v>
      </c>
      <c r="J68" s="29"/>
      <c r="K68" s="29"/>
      <c r="L68" s="28">
        <f>IFERROR(__xludf.DUMMYFUNCTION("IF(ISBLANK($C68), """", GOOGLEFINANCE($C68, ""price""))"),220.0)</f>
        <v>220</v>
      </c>
      <c r="M68" s="30">
        <f t="shared" si="2"/>
        <v>0.09967009897</v>
      </c>
      <c r="N68" s="30">
        <f>IFERROR(__xludf.DUMMYFUNCTION("IF(OR(ISBLANK($G68), IFERROR(INDEX(GOOGLEFINANCE($C68, ""price"", WORKDAY(INT($B68), 1)), 2, 2), """")=""""), """", IF($D68=""LONG"", (IFERROR(INDEX(GOOGLEFINANCE($C68, ""price"", WORKDAY(INT($B68), 1)), 2, 2), """")-$G68)/$G68, ($G68-IFERROR(INDEX(GOOGLE"&amp;"FINANCE($C68, ""price"", WORKDAY(INT($B68), 1)), 2, 2), """"))/$G68))"),0.007297810656802999)</f>
        <v>0.007297810657</v>
      </c>
      <c r="O68" s="30">
        <f>IFERROR(__xludf.DUMMYFUNCTION("IF(OR(ISBLANK($G68), IFERROR(INDEX(GOOGLEFINANCE($C68, ""price"", WORKDAY(INT($B68), 5)), 2, 2), """")=""""), """", IF($D68=""LONG"", (IFERROR(INDEX(GOOGLEFINANCE($C68, ""price"", WORKDAY(INT($B68), 5)), 2, 2), """")-$G68)/$G68, ($G68-IFERROR(INDEX(GOOGLE"&amp;"FINANCE($C68, ""price"", WORKDAY(INT($B68), 5)), 2, 2), """"))/$G68))"),0.059332200339898056)</f>
        <v>0.05933220034</v>
      </c>
      <c r="P68" s="30">
        <f>IFERROR(__xludf.DUMMYFUNCTION("IF(OR(ISBLANK($G68), IFERROR(INDEX(GOOGLEFINANCE($C68, ""price"", WORKDAY(INT($B68), 20)), 2, 2), """")=""""), """", IF($D68=""LONG"", (IFERROR(INDEX(GOOGLEFINANCE($C68, ""price"", WORKDAY(INT($B68), 20)), 2, 2), """")-$G68)/$G68, ($G68-IFERROR(INDEX(GOOG"&amp;"LEFINANCE($C68, ""price"", WORKDAY(INT($B68), 20)), 2, 2), """"))/$G68))"),0.0996700989703089)</f>
        <v>0.09967009897</v>
      </c>
      <c r="Q68" s="25" t="s">
        <v>1533</v>
      </c>
      <c r="R68" s="31"/>
      <c r="S68" s="31"/>
      <c r="T68" s="31"/>
    </row>
    <row r="69" ht="22.5" customHeight="1">
      <c r="A69" s="23">
        <f t="shared" si="1"/>
        <v>68</v>
      </c>
      <c r="B69" s="24">
        <v>46212.667662037034</v>
      </c>
      <c r="C69" s="25" t="s">
        <v>342</v>
      </c>
      <c r="D69" s="26" t="s">
        <v>36</v>
      </c>
      <c r="E69" s="25" t="s">
        <v>37</v>
      </c>
      <c r="F69" s="27">
        <v>2.0</v>
      </c>
      <c r="G69" s="28">
        <v>59.24</v>
      </c>
      <c r="H69" s="25" t="s">
        <v>1538</v>
      </c>
      <c r="I69" s="27">
        <v>89.9</v>
      </c>
      <c r="J69" s="29"/>
      <c r="K69" s="29"/>
      <c r="L69" s="28">
        <f>IFERROR(__xludf.DUMMYFUNCTION("IF(ISBLANK($C69), """", GOOGLEFINANCE($C69, ""price""))"),63.0)</f>
        <v>63</v>
      </c>
      <c r="M69" s="30">
        <f t="shared" si="2"/>
        <v>0.06347062795</v>
      </c>
      <c r="N69" s="30">
        <f>IFERROR(__xludf.DUMMYFUNCTION("IF(OR(ISBLANK($G69), IFERROR(INDEX(GOOGLEFINANCE($C69, ""price"", WORKDAY(INT($B69), 1)), 2, 2), """")=""""), """", IF($D69=""LONG"", (IFERROR(INDEX(GOOGLEFINANCE($C69, ""price"", WORKDAY(INT($B69), 1)), 2, 2), """")-$G69)/$G69, ($G69-IFERROR(INDEX(GOOGLE"&amp;"FINANCE($C69, ""price"", WORKDAY(INT($B69), 1)), 2, 2), """"))/$G69))"),0.007258609047940576)</f>
        <v>0.007258609048</v>
      </c>
      <c r="O69" s="30">
        <f>IFERROR(__xludf.DUMMYFUNCTION("IF(OR(ISBLANK($G69), IFERROR(INDEX(GOOGLEFINANCE($C69, ""price"", WORKDAY(INT($B69), 5)), 2, 2), """")=""""), """", IF($D69=""LONG"", (IFERROR(INDEX(GOOGLEFINANCE($C69, ""price"", WORKDAY(INT($B69), 5)), 2, 2), """")-$G69)/$G69, ($G69-IFERROR(INDEX(GOOGLE"&amp;"FINANCE($C69, ""price"", WORKDAY(INT($B69), 5)), 2, 2), """"))/$G69))"),0.03798109385550304)</f>
        <v>0.03798109386</v>
      </c>
      <c r="P69" s="30">
        <f>IFERROR(__xludf.DUMMYFUNCTION("IF(OR(ISBLANK($G69), IFERROR(INDEX(GOOGLEFINANCE($C69, ""price"", WORKDAY(INT($B69), 20)), 2, 2), """")=""""), """", IF($D69=""LONG"", (IFERROR(INDEX(GOOGLEFINANCE($C69, ""price"", WORKDAY(INT($B69), 20)), 2, 2), """")-$G69)/$G69, ($G69-IFERROR(INDEX(GOOG"&amp;"LEFINANCE($C69, ""price"", WORKDAY(INT($B69), 20)), 2, 2), """"))/$G69))"),0.06347062795408505)</f>
        <v>0.06347062795</v>
      </c>
      <c r="Q69" s="25" t="s">
        <v>1550</v>
      </c>
      <c r="R69" s="31"/>
      <c r="S69" s="31"/>
      <c r="T69" s="31"/>
    </row>
    <row r="70" ht="22.5" customHeight="1">
      <c r="A70" s="23">
        <f t="shared" si="1"/>
        <v>69</v>
      </c>
      <c r="B70" s="24">
        <v>46212.66738425926</v>
      </c>
      <c r="C70" s="25" t="s">
        <v>248</v>
      </c>
      <c r="D70" s="26" t="s">
        <v>36</v>
      </c>
      <c r="E70" s="25" t="s">
        <v>37</v>
      </c>
      <c r="F70" s="27">
        <v>2.0</v>
      </c>
      <c r="G70" s="28">
        <v>69.86</v>
      </c>
      <c r="H70" s="25" t="s">
        <v>1558</v>
      </c>
      <c r="I70" s="27">
        <v>85.4</v>
      </c>
      <c r="J70" s="29"/>
      <c r="K70" s="29"/>
      <c r="L70" s="28">
        <f>IFERROR(__xludf.DUMMYFUNCTION("IF(ISBLANK($C70), """", GOOGLEFINANCE($C70, ""price""))"),72.43)</f>
        <v>72.43</v>
      </c>
      <c r="M70" s="30">
        <f t="shared" si="2"/>
        <v>0.03678786144</v>
      </c>
      <c r="N70" s="30">
        <f>IFERROR(__xludf.DUMMYFUNCTION("IF(OR(ISBLANK($G70), IFERROR(INDEX(GOOGLEFINANCE($C70, ""price"", WORKDAY(INT($B70), 1)), 2, 2), """")=""""), """", IF($D70=""LONG"", (IFERROR(INDEX(GOOGLEFINANCE($C70, ""price"", WORKDAY(INT($B70), 1)), 2, 2), """")-$G70)/$G70, ($G70-IFERROR(INDEX(GOOGLE"&amp;"FINANCE($C70, ""price"", WORKDAY(INT($B70), 1)), 2, 2), """"))/$G70))"),0.006870884626395705)</f>
        <v>0.006870884626</v>
      </c>
      <c r="O70" s="30">
        <f>IFERROR(__xludf.DUMMYFUNCTION("IF(OR(ISBLANK($G70), IFERROR(INDEX(GOOGLEFINANCE($C70, ""price"", WORKDAY(INT($B70), 5)), 2, 2), """")=""""), """", IF($D70=""LONG"", (IFERROR(INDEX(GOOGLEFINANCE($C70, ""price"", WORKDAY(INT($B70), 5)), 2, 2), """")-$G70)/$G70, ($G70-IFERROR(INDEX(GOOGLE"&amp;"FINANCE($C70, ""price"", WORKDAY(INT($B70), 5)), 2, 2), """"))/$G70))"),0.0649871170913256)</f>
        <v>0.06498711709</v>
      </c>
      <c r="P70" s="30">
        <f>IFERROR(__xludf.DUMMYFUNCTION("IF(OR(ISBLANK($G70), IFERROR(INDEX(GOOGLEFINANCE($C70, ""price"", WORKDAY(INT($B70), 20)), 2, 2), """")=""""), """", IF($D70=""LONG"", (IFERROR(INDEX(GOOGLEFINANCE($C70, ""price"", WORKDAY(INT($B70), 20)), 2, 2), """")-$G70)/$G70, ($G70-IFERROR(INDEX(GOOG"&amp;"LEFINANCE($C70, ""price"", WORKDAY(INT($B70), 20)), 2, 2), """"))/$G70))"),0.03678786143716014)</f>
        <v>0.03678786144</v>
      </c>
      <c r="Q70" s="25" t="s">
        <v>1568</v>
      </c>
      <c r="R70" s="31"/>
      <c r="S70" s="31"/>
      <c r="T70" s="31"/>
    </row>
    <row r="71" ht="22.5" customHeight="1">
      <c r="A71" s="23">
        <f t="shared" si="1"/>
        <v>70</v>
      </c>
      <c r="B71" s="24">
        <v>46212.66756944444</v>
      </c>
      <c r="C71" s="25" t="s">
        <v>1327</v>
      </c>
      <c r="D71" s="26" t="s">
        <v>36</v>
      </c>
      <c r="E71" s="25" t="s">
        <v>37</v>
      </c>
      <c r="F71" s="27">
        <v>2.0</v>
      </c>
      <c r="G71" s="28">
        <v>1088.18</v>
      </c>
      <c r="H71" s="25" t="s">
        <v>1574</v>
      </c>
      <c r="I71" s="27">
        <v>81.6</v>
      </c>
      <c r="J71" s="29"/>
      <c r="K71" s="29"/>
      <c r="L71" s="28">
        <f>IFERROR(__xludf.DUMMYFUNCTION("IF(ISBLANK($C71), """", GOOGLEFINANCE($C71, ""price""))"),1162.66)</f>
        <v>1162.66</v>
      </c>
      <c r="M71" s="30">
        <f t="shared" si="2"/>
        <v>0.0684445588</v>
      </c>
      <c r="N71" s="30">
        <f>IFERROR(__xludf.DUMMYFUNCTION("IF(OR(ISBLANK($G71), IFERROR(INDEX(GOOGLEFINANCE($C71, ""price"", WORKDAY(INT($B71), 1)), 2, 2), """")=""""), """", IF($D71=""LONG"", (IFERROR(INDEX(GOOGLEFINANCE($C71, ""price"", WORKDAY(INT($B71), 1)), 2, 2), """")-$G71)/$G71, ($G71-IFERROR(INDEX(GOOGLE"&amp;"FINANCE($C71, ""price"", WORKDAY(INT($B71), 1)), 2, 2), """"))/$G71))"),0.006772776562700923)</f>
        <v>0.006772776563</v>
      </c>
      <c r="O71" s="30">
        <f>IFERROR(__xludf.DUMMYFUNCTION("IF(OR(ISBLANK($G71), IFERROR(INDEX(GOOGLEFINANCE($C71, ""price"", WORKDAY(INT($B71), 5)), 2, 2), """")=""""), """", IF($D71=""LONG"", (IFERROR(INDEX(GOOGLEFINANCE($C71, ""price"", WORKDAY(INT($B71), 5)), 2, 2), """")-$G71)/$G71, ($G71-IFERROR(INDEX(GOOGLE"&amp;"FINANCE($C71, ""price"", WORKDAY(INT($B71), 5)), 2, 2), """"))/$G71))"),-0.01503427741733916)</f>
        <v>-0.01503427742</v>
      </c>
      <c r="P71" s="30">
        <f>IFERROR(__xludf.DUMMYFUNCTION("IF(OR(ISBLANK($G71), IFERROR(INDEX(GOOGLEFINANCE($C71, ""price"", WORKDAY(INT($B71), 20)), 2, 2), """")=""""), """", IF($D71=""LONG"", (IFERROR(INDEX(GOOGLEFINANCE($C71, ""price"", WORKDAY(INT($B71), 20)), 2, 2), """")-$G71)/$G71, ($G71-IFERROR(INDEX(GOOG"&amp;"LEFINANCE($C71, ""price"", WORKDAY(INT($B71), 20)), 2, 2), """"))/$G71))"),0.06844455880460955)</f>
        <v>0.0684445588</v>
      </c>
      <c r="Q71" s="25" t="s">
        <v>1583</v>
      </c>
      <c r="R71" s="31"/>
      <c r="S71" s="31"/>
      <c r="T71" s="31"/>
    </row>
    <row r="72" ht="22.5" customHeight="1">
      <c r="A72" s="23">
        <f t="shared" si="1"/>
        <v>71</v>
      </c>
      <c r="B72" s="24">
        <v>46212.66740740741</v>
      </c>
      <c r="C72" s="25" t="s">
        <v>123</v>
      </c>
      <c r="D72" s="26" t="s">
        <v>36</v>
      </c>
      <c r="E72" s="25" t="s">
        <v>37</v>
      </c>
      <c r="F72" s="27">
        <v>2.0</v>
      </c>
      <c r="G72" s="28">
        <v>17.75</v>
      </c>
      <c r="H72" s="25" t="s">
        <v>1589</v>
      </c>
      <c r="I72" s="27">
        <v>95.0</v>
      </c>
      <c r="J72" s="29"/>
      <c r="K72" s="29"/>
      <c r="L72" s="28">
        <f>IFERROR(__xludf.DUMMYFUNCTION("IF(ISBLANK($C72), """", GOOGLEFINANCE($C72, ""price""))"),17.36)</f>
        <v>17.36</v>
      </c>
      <c r="M72" s="30">
        <f t="shared" si="2"/>
        <v>-0.02197183099</v>
      </c>
      <c r="N72" s="30">
        <f>IFERROR(__xludf.DUMMYFUNCTION("IF(OR(ISBLANK($G72), IFERROR(INDEX(GOOGLEFINANCE($C72, ""price"", WORKDAY(INT($B72), 1)), 2, 2), """")=""""), """", IF($D72=""LONG"", (IFERROR(INDEX(GOOGLEFINANCE($C72, ""price"", WORKDAY(INT($B72), 1)), 2, 2), """")-$G72)/$G72, ($G72-IFERROR(INDEX(GOOGLE"&amp;"FINANCE($C72, ""price"", WORKDAY(INT($B72), 1)), 2, 2), """"))/$G72))"),0.006760563380281746)</f>
        <v>0.00676056338</v>
      </c>
      <c r="O72" s="30">
        <f>IFERROR(__xludf.DUMMYFUNCTION("IF(OR(ISBLANK($G72), IFERROR(INDEX(GOOGLEFINANCE($C72, ""price"", WORKDAY(INT($B72), 5)), 2, 2), """")=""""), """", IF($D72=""LONG"", (IFERROR(INDEX(GOOGLEFINANCE($C72, ""price"", WORKDAY(INT($B72), 5)), 2, 2), """")-$G72)/$G72, ($G72-IFERROR(INDEX(GOOGLE"&amp;"FINANCE($C72, ""price"", WORKDAY(INT($B72), 5)), 2, 2), """"))/$G72))"),0.04563380281690134)</f>
        <v>0.04563380282</v>
      </c>
      <c r="P72" s="30">
        <f>IFERROR(__xludf.DUMMYFUNCTION("IF(OR(ISBLANK($G72), IFERROR(INDEX(GOOGLEFINANCE($C72, ""price"", WORKDAY(INT($B72), 20)), 2, 2), """")=""""), """", IF($D72=""LONG"", (IFERROR(INDEX(GOOGLEFINANCE($C72, ""price"", WORKDAY(INT($B72), 20)), 2, 2), """")-$G72)/$G72, ($G72-IFERROR(INDEX(GOOG"&amp;"LEFINANCE($C72, ""price"", WORKDAY(INT($B72), 20)), 2, 2), """"))/$G72))"),-0.021971830985915524)</f>
        <v>-0.02197183099</v>
      </c>
      <c r="Q72" s="25" t="s">
        <v>1597</v>
      </c>
      <c r="R72" s="31"/>
      <c r="S72" s="31"/>
      <c r="T72" s="31"/>
    </row>
    <row r="73" ht="22.5" customHeight="1">
      <c r="A73" s="23">
        <f t="shared" si="1"/>
        <v>72</v>
      </c>
      <c r="B73" s="24">
        <v>46212.667592592596</v>
      </c>
      <c r="C73" s="25" t="s">
        <v>422</v>
      </c>
      <c r="D73" s="26" t="s">
        <v>119</v>
      </c>
      <c r="E73" s="25" t="s">
        <v>120</v>
      </c>
      <c r="F73" s="27">
        <v>4.0</v>
      </c>
      <c r="G73" s="28">
        <v>247.0</v>
      </c>
      <c r="H73" s="25" t="s">
        <v>1605</v>
      </c>
      <c r="I73" s="27">
        <v>10.3</v>
      </c>
      <c r="J73" s="29"/>
      <c r="K73" s="29"/>
      <c r="L73" s="28">
        <f>IFERROR(__xludf.DUMMYFUNCTION("IF(ISBLANK($C73), """", GOOGLEFINANCE($C73, ""price""))"),272.26)</f>
        <v>272.26</v>
      </c>
      <c r="M73" s="30">
        <f t="shared" si="2"/>
        <v>-0.1022672065</v>
      </c>
      <c r="N73" s="30">
        <f>IFERROR(__xludf.DUMMYFUNCTION("IF(OR(ISBLANK($G73), IFERROR(INDEX(GOOGLEFINANCE($C73, ""price"", WORKDAY(INT($B73), 1)), 2, 2), """")=""""), """", IF($D73=""LONG"", (IFERROR(INDEX(GOOGLEFINANCE($C73, ""price"", WORKDAY(INT($B73), 1)), 2, 2), """")-$G73)/$G73, ($G73-IFERROR(INDEX(GOOGLE"&amp;"FINANCE($C73, ""price"", WORKDAY(INT($B73), 1)), 2, 2), """"))/$G73))"),0.006720647773279339)</f>
        <v>0.006720647773</v>
      </c>
      <c r="O73" s="30">
        <f>IFERROR(__xludf.DUMMYFUNCTION("IF(OR(ISBLANK($G73), IFERROR(INDEX(GOOGLEFINANCE($C73, ""price"", WORKDAY(INT($B73), 5)), 2, 2), """")=""""), """", IF($D73=""LONG"", (IFERROR(INDEX(GOOGLEFINANCE($C73, ""price"", WORKDAY(INT($B73), 5)), 2, 2), """")-$G73)/$G73, ($G73-IFERROR(INDEX(GOOGLE"&amp;"FINANCE($C73, ""price"", WORKDAY(INT($B73), 5)), 2, 2), """"))/$G73))"),-0.01170040485829954)</f>
        <v>-0.01170040486</v>
      </c>
      <c r="P73" s="30">
        <f>IFERROR(__xludf.DUMMYFUNCTION("IF(OR(ISBLANK($G73), IFERROR(INDEX(GOOGLEFINANCE($C73, ""price"", WORKDAY(INT($B73), 20)), 2, 2), """")=""""), """", IF($D73=""LONG"", (IFERROR(INDEX(GOOGLEFINANCE($C73, ""price"", WORKDAY(INT($B73), 20)), 2, 2), """")-$G73)/$G73, ($G73-IFERROR(INDEX(GOOG"&amp;"LEFINANCE($C73, ""price"", WORKDAY(INT($B73), 20)), 2, 2), """"))/$G73))"),-0.10226720647773276)</f>
        <v>-0.1022672065</v>
      </c>
      <c r="Q73" s="25" t="s">
        <v>1612</v>
      </c>
      <c r="R73" s="31"/>
      <c r="S73" s="31"/>
      <c r="T73" s="31"/>
    </row>
    <row r="74" ht="22.5" customHeight="1">
      <c r="A74" s="23">
        <f t="shared" si="1"/>
        <v>73</v>
      </c>
      <c r="B74" s="24">
        <v>46212.667719907404</v>
      </c>
      <c r="C74" s="25" t="s">
        <v>208</v>
      </c>
      <c r="D74" s="26" t="s">
        <v>119</v>
      </c>
      <c r="E74" s="25" t="s">
        <v>120</v>
      </c>
      <c r="F74" s="27">
        <v>4.0</v>
      </c>
      <c r="G74" s="28">
        <v>44.77</v>
      </c>
      <c r="H74" s="25" t="s">
        <v>1618</v>
      </c>
      <c r="I74" s="27">
        <v>7.7</v>
      </c>
      <c r="J74" s="29"/>
      <c r="K74" s="29"/>
      <c r="L74" s="28">
        <f>IFERROR(__xludf.DUMMYFUNCTION("IF(ISBLANK($C74), """", GOOGLEFINANCE($C74, ""price""))"),36.83)</f>
        <v>36.83</v>
      </c>
      <c r="M74" s="30">
        <f t="shared" si="2"/>
        <v>0.1773509046</v>
      </c>
      <c r="N74" s="30">
        <f>IFERROR(__xludf.DUMMYFUNCTION("IF(OR(ISBLANK($G74), IFERROR(INDEX(GOOGLEFINANCE($C74, ""price"", WORKDAY(INT($B74), 1)), 2, 2), """")=""""), """", IF($D74=""LONG"", (IFERROR(INDEX(GOOGLEFINANCE($C74, ""price"", WORKDAY(INT($B74), 1)), 2, 2), """")-$G74)/$G74, ($G74-IFERROR(INDEX(GOOGLE"&amp;"FINANCE($C74, ""price"", WORKDAY(INT($B74), 1)), 2, 2), """"))/$G74))"),0.006700915791824977)</f>
        <v>0.006700915792</v>
      </c>
      <c r="O74" s="30">
        <f>IFERROR(__xludf.DUMMYFUNCTION("IF(OR(ISBLANK($G74), IFERROR(INDEX(GOOGLEFINANCE($C74, ""price"", WORKDAY(INT($B74), 5)), 2, 2), """")=""""), """", IF($D74=""LONG"", (IFERROR(INDEX(GOOGLEFINANCE($C74, ""price"", WORKDAY(INT($B74), 5)), 2, 2), """")-$G74)/$G74, ($G74-IFERROR(INDEX(GOOGLE"&amp;"FINANCE($C74, ""price"", WORKDAY(INT($B74), 5)), 2, 2), """"))/$G74))"),-0.015412106321197178)</f>
        <v>-0.01541210632</v>
      </c>
      <c r="P74" s="30">
        <f>IFERROR(__xludf.DUMMYFUNCTION("IF(OR(ISBLANK($G74), IFERROR(INDEX(GOOGLEFINANCE($C74, ""price"", WORKDAY(INT($B74), 20)), 2, 2), """")=""""), """", IF($D74=""LONG"", (IFERROR(INDEX(GOOGLEFINANCE($C74, ""price"", WORKDAY(INT($B74), 20)), 2, 2), """")-$G74)/$G74, ($G74-IFERROR(INDEX(GOOG"&amp;"LEFINANCE($C74, ""price"", WORKDAY(INT($B74), 20)), 2, 2), """"))/$G74))"),0.17735090462363198)</f>
        <v>0.1773509046</v>
      </c>
      <c r="Q74" s="25" t="s">
        <v>1626</v>
      </c>
      <c r="R74" s="31"/>
      <c r="S74" s="31"/>
      <c r="T74" s="31"/>
    </row>
    <row r="75" ht="22.5" customHeight="1">
      <c r="A75" s="23">
        <f t="shared" si="1"/>
        <v>74</v>
      </c>
      <c r="B75" s="24">
        <v>46212.66743055556</v>
      </c>
      <c r="C75" s="25" t="s">
        <v>191</v>
      </c>
      <c r="D75" s="26" t="s">
        <v>36</v>
      </c>
      <c r="E75" s="25" t="s">
        <v>37</v>
      </c>
      <c r="F75" s="27">
        <v>2.0</v>
      </c>
      <c r="G75" s="28">
        <v>22.47</v>
      </c>
      <c r="H75" s="25" t="s">
        <v>1631</v>
      </c>
      <c r="I75" s="27">
        <v>96.2</v>
      </c>
      <c r="J75" s="29"/>
      <c r="K75" s="29"/>
      <c r="L75" s="28">
        <f>IFERROR(__xludf.DUMMYFUNCTION("IF(ISBLANK($C75), """", GOOGLEFINANCE($C75, ""price""))"),27.01)</f>
        <v>27.01</v>
      </c>
      <c r="M75" s="30">
        <f t="shared" si="2"/>
        <v>0.202047174</v>
      </c>
      <c r="N75" s="30">
        <f>IFERROR(__xludf.DUMMYFUNCTION("IF(OR(ISBLANK($G75), IFERROR(INDEX(GOOGLEFINANCE($C75, ""price"", WORKDAY(INT($B75), 1)), 2, 2), """")=""""), """", IF($D75=""LONG"", (IFERROR(INDEX(GOOGLEFINANCE($C75, ""price"", WORKDAY(INT($B75), 1)), 2, 2), """")-$G75)/$G75, ($G75-IFERROR(INDEX(GOOGLE"&amp;"FINANCE($C75, ""price"", WORKDAY(INT($B75), 1)), 2, 2), """"))/$G75))"),0.006675567423231069)</f>
        <v>0.006675567423</v>
      </c>
      <c r="O75" s="30">
        <f>IFERROR(__xludf.DUMMYFUNCTION("IF(OR(ISBLANK($G75), IFERROR(INDEX(GOOGLEFINANCE($C75, ""price"", WORKDAY(INT($B75), 5)), 2, 2), """")=""""), """", IF($D75=""LONG"", (IFERROR(INDEX(GOOGLEFINANCE($C75, ""price"", WORKDAY(INT($B75), 5)), 2, 2), """")-$G75)/$G75, ($G75-IFERROR(INDEX(GOOGLE"&amp;"FINANCE($C75, ""price"", WORKDAY(INT($B75), 5)), 2, 2), """"))/$G75))"),0.039163328882955165)</f>
        <v>0.03916332888</v>
      </c>
      <c r="P75" s="30">
        <f>IFERROR(__xludf.DUMMYFUNCTION("IF(OR(ISBLANK($G75), IFERROR(INDEX(GOOGLEFINANCE($C75, ""price"", WORKDAY(INT($B75), 20)), 2, 2), """")=""""), """", IF($D75=""LONG"", (IFERROR(INDEX(GOOGLEFINANCE($C75, ""price"", WORKDAY(INT($B75), 20)), 2, 2), """")-$G75)/$G75, ($G75-IFERROR(INDEX(GOOG"&amp;"LEFINANCE($C75, ""price"", WORKDAY(INT($B75), 20)), 2, 2), """"))/$G75))"),0.20204717400979097)</f>
        <v>0.202047174</v>
      </c>
      <c r="Q75" s="25" t="s">
        <v>1641</v>
      </c>
      <c r="R75" s="31"/>
      <c r="S75" s="31"/>
      <c r="T75" s="31"/>
    </row>
    <row r="76" ht="22.5" customHeight="1">
      <c r="A76" s="23">
        <f t="shared" si="1"/>
        <v>75</v>
      </c>
      <c r="B76" s="24">
        <v>46212.667766203704</v>
      </c>
      <c r="C76" s="25" t="s">
        <v>354</v>
      </c>
      <c r="D76" s="26" t="s">
        <v>36</v>
      </c>
      <c r="E76" s="25" t="s">
        <v>37</v>
      </c>
      <c r="F76" s="27">
        <v>2.0</v>
      </c>
      <c r="G76" s="28">
        <v>115.99</v>
      </c>
      <c r="H76" s="25" t="s">
        <v>1646</v>
      </c>
      <c r="I76" s="27">
        <v>96.1</v>
      </c>
      <c r="J76" s="29"/>
      <c r="K76" s="29"/>
      <c r="L76" s="28">
        <f>IFERROR(__xludf.DUMMYFUNCTION("IF(ISBLANK($C76), """", GOOGLEFINANCE($C76, ""price""))"),117.16)</f>
        <v>117.16</v>
      </c>
      <c r="M76" s="30">
        <f t="shared" si="2"/>
        <v>0.01008707647</v>
      </c>
      <c r="N76" s="30">
        <f>IFERROR(__xludf.DUMMYFUNCTION("IF(OR(ISBLANK($G76), IFERROR(INDEX(GOOGLEFINANCE($C76, ""price"", WORKDAY(INT($B76), 1)), 2, 2), """")=""""), """", IF($D76=""LONG"", (IFERROR(INDEX(GOOGLEFINANCE($C76, ""price"", WORKDAY(INT($B76), 1)), 2, 2), """")-$G76)/$G76, ($G76-IFERROR(INDEX(GOOGLE"&amp;"FINANCE($C76, ""price"", WORKDAY(INT($B76), 1)), 2, 2), """"))/$G76))"),0.006638503319251748)</f>
        <v>0.006638503319</v>
      </c>
      <c r="O76" s="30">
        <f>IFERROR(__xludf.DUMMYFUNCTION("IF(OR(ISBLANK($G76), IFERROR(INDEX(GOOGLEFINANCE($C76, ""price"", WORKDAY(INT($B76), 5)), 2, 2), """")=""""), """", IF($D76=""LONG"", (IFERROR(INDEX(GOOGLEFINANCE($C76, ""price"", WORKDAY(INT($B76), 5)), 2, 2), """")-$G76)/$G76, ($G76-IFERROR(INDEX(GOOGLE"&amp;"FINANCE($C76, ""price"", WORKDAY(INT($B76), 5)), 2, 2), """"))/$G76))"),0.023191654452970188)</f>
        <v>0.02319165445</v>
      </c>
      <c r="P76" s="30">
        <f>IFERROR(__xludf.DUMMYFUNCTION("IF(OR(ISBLANK($G76), IFERROR(INDEX(GOOGLEFINANCE($C76, ""price"", WORKDAY(INT($B76), 20)), 2, 2), """")=""""), """", IF($D76=""LONG"", (IFERROR(INDEX(GOOGLEFINANCE($C76, ""price"", WORKDAY(INT($B76), 20)), 2, 2), """")-$G76)/$G76, ($G76-IFERROR(INDEX(GOOG"&amp;"LEFINANCE($C76, ""price"", WORKDAY(INT($B76), 20)), 2, 2), """"))/$G76))"),0.01008707647210968)</f>
        <v>0.01008707647</v>
      </c>
      <c r="Q76" s="25" t="s">
        <v>1654</v>
      </c>
      <c r="R76" s="31"/>
      <c r="S76" s="31"/>
      <c r="T76" s="31"/>
    </row>
    <row r="77" ht="22.5" customHeight="1">
      <c r="A77" s="23">
        <f t="shared" si="1"/>
        <v>76</v>
      </c>
      <c r="B77" s="24">
        <v>46212.66767361111</v>
      </c>
      <c r="C77" s="25" t="s">
        <v>332</v>
      </c>
      <c r="D77" s="26" t="s">
        <v>36</v>
      </c>
      <c r="E77" s="25" t="s">
        <v>37</v>
      </c>
      <c r="F77" s="27">
        <v>2.0</v>
      </c>
      <c r="G77" s="28">
        <v>83.87</v>
      </c>
      <c r="H77" s="25" t="s">
        <v>1659</v>
      </c>
      <c r="I77" s="27">
        <v>95.1</v>
      </c>
      <c r="J77" s="29"/>
      <c r="K77" s="29"/>
      <c r="L77" s="28">
        <f>IFERROR(__xludf.DUMMYFUNCTION("IF(ISBLANK($C77), """", GOOGLEFINANCE($C77, ""price""))"),88.23)</f>
        <v>88.23</v>
      </c>
      <c r="M77" s="30">
        <f t="shared" si="2"/>
        <v>0.05198521521</v>
      </c>
      <c r="N77" s="30">
        <f>IFERROR(__xludf.DUMMYFUNCTION("IF(OR(ISBLANK($G77), IFERROR(INDEX(GOOGLEFINANCE($C77, ""price"", WORKDAY(INT($B77), 1)), 2, 2), """")=""""), """", IF($D77=""LONG"", (IFERROR(INDEX(GOOGLEFINANCE($C77, ""price"", WORKDAY(INT($B77), 1)), 2, 2), """")-$G77)/$G77, ($G77-IFERROR(INDEX(GOOGLE"&amp;"FINANCE($C77, ""price"", WORKDAY(INT($B77), 1)), 2, 2), """"))/$G77))"),0.0063193036842732935)</f>
        <v>0.006319303684</v>
      </c>
      <c r="O77" s="30">
        <f>IFERROR(__xludf.DUMMYFUNCTION("IF(OR(ISBLANK($G77), IFERROR(INDEX(GOOGLEFINANCE($C77, ""price"", WORKDAY(INT($B77), 5)), 2, 2), """")=""""), """", IF($D77=""LONG"", (IFERROR(INDEX(GOOGLEFINANCE($C77, ""price"", WORKDAY(INT($B77), 5)), 2, 2), """")-$G77)/$G77, ($G77-IFERROR(INDEX(GOOGLE"&amp;"FINANCE($C77, ""price"", WORKDAY(INT($B77), 5)), 2, 2), """"))/$G77))"),0.05234291164898057)</f>
        <v>0.05234291165</v>
      </c>
      <c r="P77" s="30">
        <f>IFERROR(__xludf.DUMMYFUNCTION("IF(OR(ISBLANK($G77), IFERROR(INDEX(GOOGLEFINANCE($C77, ""price"", WORKDAY(INT($B77), 20)), 2, 2), """")=""""), """", IF($D77=""LONG"", (IFERROR(INDEX(GOOGLEFINANCE($C77, ""price"", WORKDAY(INT($B77), 20)), 2, 2), """")-$G77)/$G77, ($G77-IFERROR(INDEX(GOOG"&amp;"LEFINANCE($C77, ""price"", WORKDAY(INT($B77), 20)), 2, 2), """"))/$G77))"),0.05198521521402169)</f>
        <v>0.05198521521</v>
      </c>
      <c r="Q77" s="25" t="s">
        <v>1668</v>
      </c>
      <c r="R77" s="31"/>
      <c r="S77" s="31"/>
      <c r="T77" s="31"/>
    </row>
    <row r="78" ht="22.5" customHeight="1">
      <c r="A78" s="23">
        <f t="shared" si="1"/>
        <v>77</v>
      </c>
      <c r="B78" s="24">
        <v>46212.66756944444</v>
      </c>
      <c r="C78" s="25" t="s">
        <v>1154</v>
      </c>
      <c r="D78" s="26" t="s">
        <v>36</v>
      </c>
      <c r="E78" s="25" t="s">
        <v>133</v>
      </c>
      <c r="F78" s="27">
        <v>2.0</v>
      </c>
      <c r="G78" s="28">
        <v>1288.43</v>
      </c>
      <c r="H78" s="25" t="s">
        <v>1674</v>
      </c>
      <c r="I78" s="27">
        <v>90.2</v>
      </c>
      <c r="J78" s="29"/>
      <c r="K78" s="29"/>
      <c r="L78" s="28">
        <f>IFERROR(__xludf.DUMMYFUNCTION("IF(ISBLANK($C78), """", GOOGLEFINANCE($C78, ""price""))"),1421.24)</f>
        <v>1421.24</v>
      </c>
      <c r="M78" s="30">
        <f t="shared" si="2"/>
        <v>0.103078941</v>
      </c>
      <c r="N78" s="30">
        <f>IFERROR(__xludf.DUMMYFUNCTION("IF(OR(ISBLANK($G78), IFERROR(INDEX(GOOGLEFINANCE($C78, ""price"", WORKDAY(INT($B78), 1)), 2, 2), """")=""""), """", IF($D78=""LONG"", (IFERROR(INDEX(GOOGLEFINANCE($C78, ""price"", WORKDAY(INT($B78), 1)), 2, 2), """")-$G78)/$G78, ($G78-IFERROR(INDEX(GOOGLE"&amp;"FINANCE($C78, ""price"", WORKDAY(INT($B78), 1)), 2, 2), """"))/$G78))"),0.006007311223737424)</f>
        <v>0.006007311224</v>
      </c>
      <c r="O78" s="30">
        <f>IFERROR(__xludf.DUMMYFUNCTION("IF(OR(ISBLANK($G78), IFERROR(INDEX(GOOGLEFINANCE($C78, ""price"", WORKDAY(INT($B78), 5)), 2, 2), """")=""""), """", IF($D78=""LONG"", (IFERROR(INDEX(GOOGLEFINANCE($C78, ""price"", WORKDAY(INT($B78), 5)), 2, 2), """")-$G78)/$G78, ($G78-IFERROR(INDEX(GOOGLE"&amp;"FINANCE($C78, ""price"", WORKDAY(INT($B78), 5)), 2, 2), """"))/$G78))"),0.03621461779064431)</f>
        <v>0.03621461779</v>
      </c>
      <c r="P78" s="30">
        <f>IFERROR(__xludf.DUMMYFUNCTION("IF(OR(ISBLANK($G78), IFERROR(INDEX(GOOGLEFINANCE($C78, ""price"", WORKDAY(INT($B78), 20)), 2, 2), """")=""""), """", IF($D78=""LONG"", (IFERROR(INDEX(GOOGLEFINANCE($C78, ""price"", WORKDAY(INT($B78), 20)), 2, 2), """")-$G78)/$G78, ($G78-IFERROR(INDEX(GOOG"&amp;"LEFINANCE($C78, ""price"", WORKDAY(INT($B78), 20)), 2, 2), """"))/$G78))"),0.10307894103676563)</f>
        <v>0.103078941</v>
      </c>
      <c r="Q78" s="25" t="s">
        <v>1681</v>
      </c>
      <c r="R78" s="31"/>
      <c r="S78" s="31"/>
      <c r="T78" s="31"/>
    </row>
    <row r="79" ht="22.5" customHeight="1">
      <c r="A79" s="23">
        <f t="shared" si="1"/>
        <v>78</v>
      </c>
      <c r="B79" s="24">
        <v>46212.66755787037</v>
      </c>
      <c r="C79" s="25" t="s">
        <v>207</v>
      </c>
      <c r="D79" s="26" t="s">
        <v>36</v>
      </c>
      <c r="E79" s="25" t="s">
        <v>37</v>
      </c>
      <c r="F79" s="27">
        <v>2.0</v>
      </c>
      <c r="G79" s="28">
        <v>332.05</v>
      </c>
      <c r="H79" s="25" t="s">
        <v>1688</v>
      </c>
      <c r="I79" s="27">
        <v>97.0</v>
      </c>
      <c r="J79" s="29"/>
      <c r="K79" s="29"/>
      <c r="L79" s="28">
        <f>IFERROR(__xludf.DUMMYFUNCTION("IF(ISBLANK($C79), """", GOOGLEFINANCE($C79, ""price""))"),363.42)</f>
        <v>363.42</v>
      </c>
      <c r="M79" s="30">
        <f t="shared" si="2"/>
        <v>0.09447372384</v>
      </c>
      <c r="N79" s="30">
        <f>IFERROR(__xludf.DUMMYFUNCTION("IF(OR(ISBLANK($G79), IFERROR(INDEX(GOOGLEFINANCE($C79, ""price"", WORKDAY(INT($B79), 1)), 2, 2), """")=""""), """", IF($D79=""LONG"", (IFERROR(INDEX(GOOGLEFINANCE($C79, ""price"", WORKDAY(INT($B79), 1)), 2, 2), """")-$G79)/$G79, ($G79-IFERROR(INDEX(GOOGLE"&amp;"FINANCE($C79, ""price"", WORKDAY(INT($B79), 1)), 2, 2), """"))/$G79))"),0.0058424936003613846)</f>
        <v>0.0058424936</v>
      </c>
      <c r="O79" s="30">
        <f>IFERROR(__xludf.DUMMYFUNCTION("IF(OR(ISBLANK($G79), IFERROR(INDEX(GOOGLEFINANCE($C79, ""price"", WORKDAY(INT($B79), 5)), 2, 2), """")=""""), """", IF($D79=""LONG"", (IFERROR(INDEX(GOOGLEFINANCE($C79, ""price"", WORKDAY(INT($B79), 5)), 2, 2), """")-$G79)/$G79, ($G79-IFERROR(INDEX(GOOGLE"&amp;"FINANCE($C79, ""price"", WORKDAY(INT($B79), 5)), 2, 2), """"))/$G79))"),0.018340611353711716)</f>
        <v>0.01834061135</v>
      </c>
      <c r="P79" s="30">
        <f>IFERROR(__xludf.DUMMYFUNCTION("IF(OR(ISBLANK($G79), IFERROR(INDEX(GOOGLEFINANCE($C79, ""price"", WORKDAY(INT($B79), 20)), 2, 2), """")=""""), """", IF($D79=""LONG"", (IFERROR(INDEX(GOOGLEFINANCE($C79, ""price"", WORKDAY(INT($B79), 20)), 2, 2), """")-$G79)/$G79, ($G79-IFERROR(INDEX(GOOG"&amp;"LEFINANCE($C79, ""price"", WORKDAY(INT($B79), 20)), 2, 2), """"))/$G79))"),0.09447372383677158)</f>
        <v>0.09447372384</v>
      </c>
      <c r="Q79" s="25" t="s">
        <v>1695</v>
      </c>
      <c r="R79" s="31"/>
      <c r="S79" s="31"/>
      <c r="T79" s="31"/>
    </row>
    <row r="80" ht="22.5" customHeight="1">
      <c r="A80" s="23">
        <f t="shared" si="1"/>
        <v>79</v>
      </c>
      <c r="B80" s="24">
        <v>46212.667604166665</v>
      </c>
      <c r="C80" s="25" t="s">
        <v>440</v>
      </c>
      <c r="D80" s="26" t="s">
        <v>36</v>
      </c>
      <c r="E80" s="25" t="s">
        <v>133</v>
      </c>
      <c r="F80" s="27">
        <v>2.0</v>
      </c>
      <c r="G80" s="28">
        <v>91.13</v>
      </c>
      <c r="H80" s="25" t="s">
        <v>1702</v>
      </c>
      <c r="I80" s="27">
        <v>90.0</v>
      </c>
      <c r="J80" s="29"/>
      <c r="K80" s="29"/>
      <c r="L80" s="28">
        <f>IFERROR(__xludf.DUMMYFUNCTION("IF(ISBLANK($C80), """", GOOGLEFINANCE($C80, ""price""))"),99.95)</f>
        <v>99.95</v>
      </c>
      <c r="M80" s="30">
        <f t="shared" si="2"/>
        <v>0.0967848129</v>
      </c>
      <c r="N80" s="30">
        <f>IFERROR(__xludf.DUMMYFUNCTION("IF(OR(ISBLANK($G80), IFERROR(INDEX(GOOGLEFINANCE($C80, ""price"", WORKDAY(INT($B80), 1)), 2, 2), """")=""""), """", IF($D80=""LONG"", (IFERROR(INDEX(GOOGLEFINANCE($C80, ""price"", WORKDAY(INT($B80), 1)), 2, 2), """")-$G80)/$G80, ($G80-IFERROR(INDEX(GOOGLE"&amp;"FINANCE($C80, ""price"", WORKDAY(INT($B80), 1)), 2, 2), """"))/$G80))"),0.0057061340941513255)</f>
        <v>0.005706134094</v>
      </c>
      <c r="O80" s="30">
        <f>IFERROR(__xludf.DUMMYFUNCTION("IF(OR(ISBLANK($G80), IFERROR(INDEX(GOOGLEFINANCE($C80, ""price"", WORKDAY(INT($B80), 5)), 2, 2), """")=""""), """", IF($D80=""LONG"", (IFERROR(INDEX(GOOGLEFINANCE($C80, ""price"", WORKDAY(INT($B80), 5)), 2, 2), """")-$G80)/$G80, ($G80-IFERROR(INDEX(GOOGLE"&amp;"FINANCE($C80, ""price"", WORKDAY(INT($B80), 5)), 2, 2), """"))/$G80))"),0.028201470426862805)</f>
        <v>0.02820147043</v>
      </c>
      <c r="P80" s="30">
        <f>IFERROR(__xludf.DUMMYFUNCTION("IF(OR(ISBLANK($G80), IFERROR(INDEX(GOOGLEFINANCE($C80, ""price"", WORKDAY(INT($B80), 20)), 2, 2), """")=""""), """", IF($D80=""LONG"", (IFERROR(INDEX(GOOGLEFINANCE($C80, ""price"", WORKDAY(INT($B80), 20)), 2, 2), """")-$G80)/$G80, ($G80-IFERROR(INDEX(GOOG"&amp;"LEFINANCE($C80, ""price"", WORKDAY(INT($B80), 20)), 2, 2), """"))/$G80))"),0.0967848129046418)</f>
        <v>0.0967848129</v>
      </c>
      <c r="Q80" s="25" t="s">
        <v>1712</v>
      </c>
      <c r="R80" s="31"/>
      <c r="S80" s="31"/>
      <c r="T80" s="31"/>
    </row>
    <row r="81" ht="22.5" customHeight="1">
      <c r="A81" s="23">
        <f t="shared" si="1"/>
        <v>80</v>
      </c>
      <c r="B81" s="24">
        <v>46212.66747685185</v>
      </c>
      <c r="C81" s="25" t="s">
        <v>663</v>
      </c>
      <c r="D81" s="26" t="s">
        <v>36</v>
      </c>
      <c r="E81" s="25" t="s">
        <v>37</v>
      </c>
      <c r="F81" s="27">
        <v>2.0</v>
      </c>
      <c r="G81" s="28">
        <v>74.98</v>
      </c>
      <c r="H81" s="25" t="s">
        <v>1718</v>
      </c>
      <c r="I81" s="27">
        <v>88.8</v>
      </c>
      <c r="J81" s="29"/>
      <c r="K81" s="29"/>
      <c r="L81" s="28">
        <f>IFERROR(__xludf.DUMMYFUNCTION("IF(ISBLANK($C81), """", GOOGLEFINANCE($C81, ""price""))"),71.2)</f>
        <v>71.2</v>
      </c>
      <c r="M81" s="30">
        <f t="shared" si="2"/>
        <v>-0.05041344358</v>
      </c>
      <c r="N81" s="30">
        <f>IFERROR(__xludf.DUMMYFUNCTION("IF(OR(ISBLANK($G81), IFERROR(INDEX(GOOGLEFINANCE($C81, ""price"", WORKDAY(INT($B81), 1)), 2, 2), """")=""""), """", IF($D81=""LONG"", (IFERROR(INDEX(GOOGLEFINANCE($C81, ""price"", WORKDAY(INT($B81), 1)), 2, 2), """")-$G81)/$G81, ($G81-IFERROR(INDEX(GOOGLE"&amp;"FINANCE($C81, ""price"", WORKDAY(INT($B81), 1)), 2, 2), """"))/$G81))"),0.005601493731661799)</f>
        <v>0.005601493732</v>
      </c>
      <c r="O81" s="30">
        <f>IFERROR(__xludf.DUMMYFUNCTION("IF(OR(ISBLANK($G81), IFERROR(INDEX(GOOGLEFINANCE($C81, ""price"", WORKDAY(INT($B81), 5)), 2, 2), """")=""""), """", IF($D81=""LONG"", (IFERROR(INDEX(GOOGLEFINANCE($C81, ""price"", WORKDAY(INT($B81), 5)), 2, 2), """")-$G81)/$G81, ($G81-IFERROR(INDEX(GOOGLE"&amp;"FINANCE($C81, ""price"", WORKDAY(INT($B81), 5)), 2, 2), """"))/$G81))"),-0.007868765004001112)</f>
        <v>-0.007868765004</v>
      </c>
      <c r="P81" s="30">
        <f>IFERROR(__xludf.DUMMYFUNCTION("IF(OR(ISBLANK($G81), IFERROR(INDEX(GOOGLEFINANCE($C81, ""price"", WORKDAY(INT($B81), 20)), 2, 2), """")=""""), """", IF($D81=""LONG"", (IFERROR(INDEX(GOOGLEFINANCE($C81, ""price"", WORKDAY(INT($B81), 20)), 2, 2), """")-$G81)/$G81, ($G81-IFERROR(INDEX(GOOG"&amp;"LEFINANCE($C81, ""price"", WORKDAY(INT($B81), 20)), 2, 2), """"))/$G81))"),-0.050413443584956)</f>
        <v>-0.05041344358</v>
      </c>
      <c r="Q81" s="25" t="s">
        <v>1725</v>
      </c>
      <c r="R81" s="31"/>
      <c r="S81" s="31"/>
      <c r="T81" s="31"/>
    </row>
    <row r="82" ht="22.5" customHeight="1">
      <c r="A82" s="23">
        <f t="shared" si="1"/>
        <v>81</v>
      </c>
      <c r="B82" s="24">
        <v>46212.667592592596</v>
      </c>
      <c r="C82" s="25" t="s">
        <v>228</v>
      </c>
      <c r="D82" s="26" t="s">
        <v>36</v>
      </c>
      <c r="E82" s="25" t="s">
        <v>37</v>
      </c>
      <c r="F82" s="27">
        <v>2.0</v>
      </c>
      <c r="G82" s="28">
        <v>71.82</v>
      </c>
      <c r="H82" s="25" t="s">
        <v>1731</v>
      </c>
      <c r="I82" s="27">
        <v>96.2</v>
      </c>
      <c r="J82" s="29"/>
      <c r="K82" s="29"/>
      <c r="L82" s="28">
        <f>IFERROR(__xludf.DUMMYFUNCTION("IF(ISBLANK($C82), """", GOOGLEFINANCE($C82, ""price""))"),72.13)</f>
        <v>72.13</v>
      </c>
      <c r="M82" s="30">
        <f t="shared" si="2"/>
        <v>0.004316346422</v>
      </c>
      <c r="N82" s="30">
        <f>IFERROR(__xludf.DUMMYFUNCTION("IF(OR(ISBLANK($G82), IFERROR(INDEX(GOOGLEFINANCE($C82, ""price"", WORKDAY(INT($B82), 1)), 2, 2), """")=""""), """", IF($D82=""LONG"", (IFERROR(INDEX(GOOGLEFINANCE($C82, ""price"", WORKDAY(INT($B82), 1)), 2, 2), """")-$G82)/$G82, ($G82-IFERROR(INDEX(GOOGLE"&amp;"FINANCE($C82, ""price"", WORKDAY(INT($B82), 1)), 2, 2), """"))/$G82))"),0.00515176830966311)</f>
        <v>0.00515176831</v>
      </c>
      <c r="O82" s="30">
        <f>IFERROR(__xludf.DUMMYFUNCTION("IF(OR(ISBLANK($G82), IFERROR(INDEX(GOOGLEFINANCE($C82, ""price"", WORKDAY(INT($B82), 5)), 2, 2), """")=""""), """", IF($D82=""LONG"", (IFERROR(INDEX(GOOGLEFINANCE($C82, ""price"", WORKDAY(INT($B82), 5)), 2, 2), """")-$G82)/$G82, ($G82-IFERROR(INDEX(GOOGLE"&amp;"FINANCE($C82, ""price"", WORKDAY(INT($B82), 5)), 2, 2), """"))/$G82))"),-0.026733500417710773)</f>
        <v>-0.02673350042</v>
      </c>
      <c r="P82" s="30">
        <f>IFERROR(__xludf.DUMMYFUNCTION("IF(OR(ISBLANK($G82), IFERROR(INDEX(GOOGLEFINANCE($C82, ""price"", WORKDAY(INT($B82), 20)), 2, 2), """")=""""), """", IF($D82=""LONG"", (IFERROR(INDEX(GOOGLEFINANCE($C82, ""price"", WORKDAY(INT($B82), 20)), 2, 2), """")-$G82)/$G82, ($G82-IFERROR(INDEX(GOOG"&amp;"LEFINANCE($C82, ""price"", WORKDAY(INT($B82), 20)), 2, 2), """"))/$G82))"),0.004316346421609611)</f>
        <v>0.004316346422</v>
      </c>
      <c r="Q82" s="25" t="s">
        <v>1741</v>
      </c>
      <c r="R82" s="31"/>
      <c r="S82" s="31"/>
      <c r="T82" s="31"/>
    </row>
    <row r="83" ht="22.5" customHeight="1">
      <c r="A83" s="23">
        <f t="shared" si="1"/>
        <v>82</v>
      </c>
      <c r="B83" s="24">
        <v>46212.66748842593</v>
      </c>
      <c r="C83" s="25" t="s">
        <v>308</v>
      </c>
      <c r="D83" s="26" t="s">
        <v>36</v>
      </c>
      <c r="E83" s="25" t="s">
        <v>37</v>
      </c>
      <c r="F83" s="27">
        <v>2.0</v>
      </c>
      <c r="G83" s="28">
        <v>111.68</v>
      </c>
      <c r="H83" s="25" t="s">
        <v>1746</v>
      </c>
      <c r="I83" s="27">
        <v>81.1</v>
      </c>
      <c r="J83" s="29"/>
      <c r="K83" s="29"/>
      <c r="L83" s="28">
        <f>IFERROR(__xludf.DUMMYFUNCTION("IF(ISBLANK($C83), """", GOOGLEFINANCE($C83, ""price""))"),115.41)</f>
        <v>115.41</v>
      </c>
      <c r="M83" s="30">
        <f t="shared" si="2"/>
        <v>0.03339899713</v>
      </c>
      <c r="N83" s="30">
        <f>IFERROR(__xludf.DUMMYFUNCTION("IF(OR(ISBLANK($G83), IFERROR(INDEX(GOOGLEFINANCE($C83, ""price"", WORKDAY(INT($B83), 1)), 2, 2), """")=""""), """", IF($D83=""LONG"", (IFERROR(INDEX(GOOGLEFINANCE($C83, ""price"", WORKDAY(INT($B83), 1)), 2, 2), """")-$G83)/$G83, ($G83-IFERROR(INDEX(GOOGLE"&amp;"FINANCE($C83, ""price"", WORKDAY(INT($B83), 1)), 2, 2), """"))/$G83))"),0.0049247851002865075)</f>
        <v>0.0049247851</v>
      </c>
      <c r="O83" s="30">
        <f>IFERROR(__xludf.DUMMYFUNCTION("IF(OR(ISBLANK($G83), IFERROR(INDEX(GOOGLEFINANCE($C83, ""price"", WORKDAY(INT($B83), 5)), 2, 2), """")=""""), """", IF($D83=""LONG"", (IFERROR(INDEX(GOOGLEFINANCE($C83, ""price"", WORKDAY(INT($B83), 5)), 2, 2), """")-$G83)/$G83, ($G83-IFERROR(INDEX(GOOGLE"&amp;"FINANCE($C83, ""price"", WORKDAY(INT($B83), 5)), 2, 2), """"))/$G83))"),0.012893982808022902)</f>
        <v>0.01289398281</v>
      </c>
      <c r="P83" s="30">
        <f>IFERROR(__xludf.DUMMYFUNCTION("IF(OR(ISBLANK($G83), IFERROR(INDEX(GOOGLEFINANCE($C83, ""price"", WORKDAY(INT($B83), 20)), 2, 2), """")=""""), """", IF($D83=""LONG"", (IFERROR(INDEX(GOOGLEFINANCE($C83, ""price"", WORKDAY(INT($B83), 20)), 2, 2), """")-$G83)/$G83, ($G83-IFERROR(INDEX(GOOG"&amp;"LEFINANCE($C83, ""price"", WORKDAY(INT($B83), 20)), 2, 2), """"))/$G83))"),0.03339899713467039)</f>
        <v>0.03339899713</v>
      </c>
      <c r="Q83" s="25" t="s">
        <v>1751</v>
      </c>
      <c r="R83" s="31"/>
      <c r="S83" s="31"/>
      <c r="T83" s="31"/>
    </row>
    <row r="84" ht="22.5" customHeight="1">
      <c r="A84" s="23">
        <f t="shared" si="1"/>
        <v>83</v>
      </c>
      <c r="B84" s="24">
        <v>46212.6674537037</v>
      </c>
      <c r="C84" s="25" t="s">
        <v>426</v>
      </c>
      <c r="D84" s="26" t="s">
        <v>36</v>
      </c>
      <c r="E84" s="25" t="s">
        <v>133</v>
      </c>
      <c r="F84" s="27">
        <v>2.0</v>
      </c>
      <c r="G84" s="28">
        <v>524.58</v>
      </c>
      <c r="H84" s="25" t="s">
        <v>1755</v>
      </c>
      <c r="I84" s="27">
        <v>89.1</v>
      </c>
      <c r="J84" s="29"/>
      <c r="K84" s="29"/>
      <c r="L84" s="28">
        <f>IFERROR(__xludf.DUMMYFUNCTION("IF(ISBLANK($C84), """", GOOGLEFINANCE($C84, ""price""))"),580.02)</f>
        <v>580.02</v>
      </c>
      <c r="M84" s="30">
        <f t="shared" si="2"/>
        <v>0.1056845476</v>
      </c>
      <c r="N84" s="30">
        <f>IFERROR(__xludf.DUMMYFUNCTION("IF(OR(ISBLANK($G84), IFERROR(INDEX(GOOGLEFINANCE($C84, ""price"", WORKDAY(INT($B84), 1)), 2, 2), """")=""""), """", IF($D84=""LONG"", (IFERROR(INDEX(GOOGLEFINANCE($C84, ""price"", WORKDAY(INT($B84), 1)), 2, 2), """")-$G84)/$G84, ($G84-IFERROR(INDEX(GOOGLE"&amp;"FINANCE($C84, ""price"", WORKDAY(INT($B84), 1)), 2, 2), """"))/$G84))"),0.004708528727743935)</f>
        <v>0.004708528728</v>
      </c>
      <c r="O84" s="30">
        <f>IFERROR(__xludf.DUMMYFUNCTION("IF(OR(ISBLANK($G84), IFERROR(INDEX(GOOGLEFINANCE($C84, ""price"", WORKDAY(INT($B84), 5)), 2, 2), """")=""""), """", IF($D84=""LONG"", (IFERROR(INDEX(GOOGLEFINANCE($C84, ""price"", WORKDAY(INT($B84), 5)), 2, 2), """")-$G84)/$G84, ($G84-IFERROR(INDEX(GOOGLE"&amp;"FINANCE($C84, ""price"", WORKDAY(INT($B84), 5)), 2, 2), """"))/$G84))"),0.03547599984749707)</f>
        <v>0.03547599985</v>
      </c>
      <c r="P84" s="30">
        <f>IFERROR(__xludf.DUMMYFUNCTION("IF(OR(ISBLANK($G84), IFERROR(INDEX(GOOGLEFINANCE($C84, ""price"", WORKDAY(INT($B84), 20)), 2, 2), """")=""""), """", IF($D84=""LONG"", (IFERROR(INDEX(GOOGLEFINANCE($C84, ""price"", WORKDAY(INT($B84), 20)), 2, 2), """")-$G84)/$G84, ($G84-IFERROR(INDEX(GOOG"&amp;"LEFINANCE($C84, ""price"", WORKDAY(INT($B84), 20)), 2, 2), """"))/$G84))"),0.10568454763811037)</f>
        <v>0.1056845476</v>
      </c>
      <c r="Q84" s="25" t="s">
        <v>1759</v>
      </c>
      <c r="R84" s="31"/>
      <c r="S84" s="31"/>
      <c r="T84" s="31"/>
    </row>
    <row r="85" ht="22.5" customHeight="1">
      <c r="A85" s="23">
        <f t="shared" si="1"/>
        <v>84</v>
      </c>
      <c r="B85" s="24">
        <v>46212.66743055556</v>
      </c>
      <c r="C85" s="25" t="s">
        <v>128</v>
      </c>
      <c r="D85" s="26" t="s">
        <v>36</v>
      </c>
      <c r="E85" s="25" t="s">
        <v>37</v>
      </c>
      <c r="F85" s="27">
        <v>2.0</v>
      </c>
      <c r="G85" s="28">
        <v>400.07</v>
      </c>
      <c r="H85" s="25" t="s">
        <v>1764</v>
      </c>
      <c r="I85" s="27">
        <v>89.6</v>
      </c>
      <c r="J85" s="29"/>
      <c r="K85" s="29"/>
      <c r="L85" s="28">
        <f>IFERROR(__xludf.DUMMYFUNCTION("IF(ISBLANK($C85), """", GOOGLEFINANCE($C85, ""price""))"),414.68)</f>
        <v>414.68</v>
      </c>
      <c r="M85" s="30">
        <f t="shared" si="2"/>
        <v>0.03651860924</v>
      </c>
      <c r="N85" s="30">
        <f>IFERROR(__xludf.DUMMYFUNCTION("IF(OR(ISBLANK($G85), IFERROR(INDEX(GOOGLEFINANCE($C85, ""price"", WORKDAY(INT($B85), 1)), 2, 2), """")=""""), """", IF($D85=""LONG"", (IFERROR(INDEX(GOOGLEFINANCE($C85, ""price"", WORKDAY(INT($B85), 1)), 2, 2), """")-$G85)/$G85, ($G85-IFERROR(INDEX(GOOGLE"&amp;"FINANCE($C85, ""price"", WORKDAY(INT($B85), 1)), 2, 2), """"))/$G85))"),0.004674182018146835)</f>
        <v>0.004674182018</v>
      </c>
      <c r="O85" s="30">
        <f>IFERROR(__xludf.DUMMYFUNCTION("IF(OR(ISBLANK($G85), IFERROR(INDEX(GOOGLEFINANCE($C85, ""price"", WORKDAY(INT($B85), 5)), 2, 2), """")=""""), """", IF($D85=""LONG"", (IFERROR(INDEX(GOOGLEFINANCE($C85, ""price"", WORKDAY(INT($B85), 5)), 2, 2), """")-$G85)/$G85, ($G85-IFERROR(INDEX(GOOGLE"&amp;"FINANCE($C85, ""price"", WORKDAY(INT($B85), 5)), 2, 2), """"))/$G85))"),0.037243482390581735)</f>
        <v>0.03724348239</v>
      </c>
      <c r="P85" s="30">
        <f>IFERROR(__xludf.DUMMYFUNCTION("IF(OR(ISBLANK($G85), IFERROR(INDEX(GOOGLEFINANCE($C85, ""price"", WORKDAY(INT($B85), 20)), 2, 2), """")=""""), """", IF($D85=""LONG"", (IFERROR(INDEX(GOOGLEFINANCE($C85, ""price"", WORKDAY(INT($B85), 20)), 2, 2), """")-$G85)/$G85, ($G85-IFERROR(INDEX(GOOG"&amp;"LEFINANCE($C85, ""price"", WORKDAY(INT($B85), 20)), 2, 2), """"))/$G85))"),0.03651860924338244)</f>
        <v>0.03651860924</v>
      </c>
      <c r="Q85" s="25" t="s">
        <v>1768</v>
      </c>
      <c r="R85" s="31"/>
      <c r="S85" s="31"/>
      <c r="T85" s="31"/>
    </row>
    <row r="86" ht="22.5" customHeight="1">
      <c r="A86" s="23">
        <f t="shared" si="1"/>
        <v>85</v>
      </c>
      <c r="B86" s="24">
        <v>46212.66775462963</v>
      </c>
      <c r="C86" s="25" t="s">
        <v>134</v>
      </c>
      <c r="D86" s="26" t="s">
        <v>36</v>
      </c>
      <c r="E86" s="25" t="s">
        <v>37</v>
      </c>
      <c r="F86" s="27">
        <v>2.0</v>
      </c>
      <c r="G86" s="28">
        <v>273.09</v>
      </c>
      <c r="H86" s="25" t="s">
        <v>1771</v>
      </c>
      <c r="I86" s="27">
        <v>97.2</v>
      </c>
      <c r="J86" s="29"/>
      <c r="K86" s="29"/>
      <c r="L86" s="28">
        <f>IFERROR(__xludf.DUMMYFUNCTION("IF(ISBLANK($C86), """", GOOGLEFINANCE($C86, ""price""))"),283.46)</f>
        <v>283.46</v>
      </c>
      <c r="M86" s="30">
        <f t="shared" si="2"/>
        <v>0.03797282947</v>
      </c>
      <c r="N86" s="30">
        <f>IFERROR(__xludf.DUMMYFUNCTION("IF(OR(ISBLANK($G86), IFERROR(INDEX(GOOGLEFINANCE($C86, ""price"", WORKDAY(INT($B86), 1)), 2, 2), """")=""""), """", IF($D86=""LONG"", (IFERROR(INDEX(GOOGLEFINANCE($C86, ""price"", WORKDAY(INT($B86), 1)), 2, 2), """")-$G86)/$G86, ($G86-IFERROR(INDEX(GOOGLE"&amp;"FINANCE($C86, ""price"", WORKDAY(INT($B86), 1)), 2, 2), """"))/$G86))"),0.004467391702369283)</f>
        <v>0.004467391702</v>
      </c>
      <c r="O86" s="30">
        <f>IFERROR(__xludf.DUMMYFUNCTION("IF(OR(ISBLANK($G86), IFERROR(INDEX(GOOGLEFINANCE($C86, ""price"", WORKDAY(INT($B86), 5)), 2, 2), """")=""""), """", IF($D86=""LONG"", (IFERROR(INDEX(GOOGLEFINANCE($C86, ""price"", WORKDAY(INT($B86), 5)), 2, 2), """")-$G86)/$G86, ($G86-IFERROR(INDEX(GOOGLE"&amp;"FINANCE($C86, ""price"", WORKDAY(INT($B86), 5)), 2, 2), """"))/$G86))"),0.009593906770661704)</f>
        <v>0.009593906771</v>
      </c>
      <c r="P86" s="30">
        <f>IFERROR(__xludf.DUMMYFUNCTION("IF(OR(ISBLANK($G86), IFERROR(INDEX(GOOGLEFINANCE($C86, ""price"", WORKDAY(INT($B86), 20)), 2, 2), """")=""""), """", IF($D86=""LONG"", (IFERROR(INDEX(GOOGLEFINANCE($C86, ""price"", WORKDAY(INT($B86), 20)), 2, 2), """")-$G86)/$G86, ($G86-IFERROR(INDEX(GOOG"&amp;"LEFINANCE($C86, ""price"", WORKDAY(INT($B86), 20)), 2, 2), """"))/$G86))"),0.03797282947013807)</f>
        <v>0.03797282947</v>
      </c>
      <c r="Q86" s="25" t="s">
        <v>1775</v>
      </c>
      <c r="R86" s="31"/>
      <c r="S86" s="31"/>
      <c r="T86" s="31"/>
    </row>
    <row r="87" ht="22.5" customHeight="1">
      <c r="A87" s="23">
        <f t="shared" si="1"/>
        <v>86</v>
      </c>
      <c r="B87" s="24">
        <v>46212.66767361111</v>
      </c>
      <c r="C87" s="25" t="s">
        <v>331</v>
      </c>
      <c r="D87" s="26" t="s">
        <v>36</v>
      </c>
      <c r="E87" s="25" t="s">
        <v>37</v>
      </c>
      <c r="F87" s="27">
        <v>2.0</v>
      </c>
      <c r="G87" s="28">
        <v>250.83</v>
      </c>
      <c r="H87" s="25" t="s">
        <v>1780</v>
      </c>
      <c r="I87" s="27">
        <v>93.2</v>
      </c>
      <c r="J87" s="29"/>
      <c r="K87" s="29"/>
      <c r="L87" s="28">
        <f>IFERROR(__xludf.DUMMYFUNCTION("IF(ISBLANK($C87), """", GOOGLEFINANCE($C87, ""price""))"),252.76)</f>
        <v>252.76</v>
      </c>
      <c r="M87" s="30">
        <f t="shared" si="2"/>
        <v>0.007694454411</v>
      </c>
      <c r="N87" s="30">
        <f>IFERROR(__xludf.DUMMYFUNCTION("IF(OR(ISBLANK($G87), IFERROR(INDEX(GOOGLEFINANCE($C87, ""price"", WORKDAY(INT($B87), 1)), 2, 2), """")=""""), """", IF($D87=""LONG"", (IFERROR(INDEX(GOOGLEFINANCE($C87, ""price"", WORKDAY(INT($B87), 1)), 2, 2), """")-$G87)/$G87, ($G87-IFERROR(INDEX(GOOGLE"&amp;"FINANCE($C87, ""price"", WORKDAY(INT($B87), 1)), 2, 2), """"))/$G87))"),0.004305705059203381)</f>
        <v>0.004305705059</v>
      </c>
      <c r="O87" s="30">
        <f>IFERROR(__xludf.DUMMYFUNCTION("IF(OR(ISBLANK($G87), IFERROR(INDEX(GOOGLEFINANCE($C87, ""price"", WORKDAY(INT($B87), 5)), 2, 2), """")=""""), """", IF($D87=""LONG"", (IFERROR(INDEX(GOOGLEFINANCE($C87, ""price"", WORKDAY(INT($B87), 5)), 2, 2), """")-$G87)/$G87, ($G87-IFERROR(INDEX(GOOGLE"&amp;"FINANCE($C87, ""price"", WORKDAY(INT($B87), 5)), 2, 2), """"))/$G87))"),0.017422158433999028)</f>
        <v>0.01742215843</v>
      </c>
      <c r="P87" s="30">
        <f>IFERROR(__xludf.DUMMYFUNCTION("IF(OR(ISBLANK($G87), IFERROR(INDEX(GOOGLEFINANCE($C87, ""price"", WORKDAY(INT($B87), 20)), 2, 2), """")=""""), """", IF($D87=""LONG"", (IFERROR(INDEX(GOOGLEFINANCE($C87, ""price"", WORKDAY(INT($B87), 20)), 2, 2), """")-$G87)/$G87, ($G87-IFERROR(INDEX(GOOG"&amp;"LEFINANCE($C87, ""price"", WORKDAY(INT($B87), 20)), 2, 2), """"))/$G87))"),0.007694454411354217)</f>
        <v>0.007694454411</v>
      </c>
      <c r="Q87" s="25" t="s">
        <v>1784</v>
      </c>
      <c r="R87" s="31"/>
      <c r="S87" s="31"/>
      <c r="T87" s="31"/>
    </row>
    <row r="88" ht="22.5" customHeight="1">
      <c r="A88" s="23">
        <f t="shared" si="1"/>
        <v>87</v>
      </c>
      <c r="B88" s="24">
        <v>46212.667708333334</v>
      </c>
      <c r="C88" s="25" t="s">
        <v>939</v>
      </c>
      <c r="D88" s="26" t="s">
        <v>36</v>
      </c>
      <c r="E88" s="25" t="s">
        <v>37</v>
      </c>
      <c r="F88" s="27">
        <v>2.0</v>
      </c>
      <c r="G88" s="28">
        <v>195.2</v>
      </c>
      <c r="H88" s="25" t="s">
        <v>1791</v>
      </c>
      <c r="I88" s="27">
        <v>87.9</v>
      </c>
      <c r="J88" s="29"/>
      <c r="K88" s="29"/>
      <c r="L88" s="28">
        <f>IFERROR(__xludf.DUMMYFUNCTION("IF(ISBLANK($C88), """", GOOGLEFINANCE($C88, ""price""))"),223.25)</f>
        <v>223.25</v>
      </c>
      <c r="M88" s="30">
        <f t="shared" si="2"/>
        <v>0.1436987705</v>
      </c>
      <c r="N88" s="30">
        <f>IFERROR(__xludf.DUMMYFUNCTION("IF(OR(ISBLANK($G88), IFERROR(INDEX(GOOGLEFINANCE($C88, ""price"", WORKDAY(INT($B88), 1)), 2, 2), """")=""""), """", IF($D88=""LONG"", (IFERROR(INDEX(GOOGLEFINANCE($C88, ""price"", WORKDAY(INT($B88), 1)), 2, 2), """")-$G88)/$G88, ($G88-IFERROR(INDEX(GOOGLE"&amp;"FINANCE($C88, ""price"", WORKDAY(INT($B88), 1)), 2, 2), """"))/$G88))"),0.0037397540983607493)</f>
        <v>0.003739754098</v>
      </c>
      <c r="O88" s="30">
        <f>IFERROR(__xludf.DUMMYFUNCTION("IF(OR(ISBLANK($G88), IFERROR(INDEX(GOOGLEFINANCE($C88, ""price"", WORKDAY(INT($B88), 5)), 2, 2), """")=""""), """", IF($D88=""LONG"", (IFERROR(INDEX(GOOGLEFINANCE($C88, ""price"", WORKDAY(INT($B88), 5)), 2, 2), """")-$G88)/$G88, ($G88-IFERROR(INDEX(GOOGLE"&amp;"FINANCE($C88, ""price"", WORKDAY(INT($B88), 5)), 2, 2), """"))/$G88))"),-0.004303278688524462)</f>
        <v>-0.004303278689</v>
      </c>
      <c r="P88" s="30">
        <f>IFERROR(__xludf.DUMMYFUNCTION("IF(OR(ISBLANK($G88), IFERROR(INDEX(GOOGLEFINANCE($C88, ""price"", WORKDAY(INT($B88), 20)), 2, 2), """")=""""), """", IF($D88=""LONG"", (IFERROR(INDEX(GOOGLEFINANCE($C88, ""price"", WORKDAY(INT($B88), 20)), 2, 2), """")-$G88)/$G88, ($G88-IFERROR(INDEX(GOOG"&amp;"LEFINANCE($C88, ""price"", WORKDAY(INT($B88), 20)), 2, 2), """"))/$G88))"),0.14369877049180335)</f>
        <v>0.1436987705</v>
      </c>
      <c r="Q88" s="25" t="s">
        <v>1795</v>
      </c>
      <c r="R88" s="31"/>
      <c r="S88" s="31"/>
      <c r="T88" s="31"/>
    </row>
    <row r="89" ht="22.5" customHeight="1">
      <c r="A89" s="23">
        <f t="shared" si="1"/>
        <v>88</v>
      </c>
      <c r="B89" s="24">
        <v>46212.66740740741</v>
      </c>
      <c r="C89" s="25" t="s">
        <v>1183</v>
      </c>
      <c r="D89" s="26" t="s">
        <v>36</v>
      </c>
      <c r="E89" s="25" t="s">
        <v>37</v>
      </c>
      <c r="F89" s="27">
        <v>2.0</v>
      </c>
      <c r="G89" s="28">
        <v>182.9</v>
      </c>
      <c r="H89" s="25" t="s">
        <v>1799</v>
      </c>
      <c r="I89" s="27">
        <v>83.4</v>
      </c>
      <c r="J89" s="29"/>
      <c r="K89" s="29"/>
      <c r="L89" s="28">
        <f>IFERROR(__xludf.DUMMYFUNCTION("IF(ISBLANK($C89), """", GOOGLEFINANCE($C89, ""price""))"),184.14)</f>
        <v>184.14</v>
      </c>
      <c r="M89" s="30">
        <f t="shared" si="2"/>
        <v>0.006779661017</v>
      </c>
      <c r="N89" s="30">
        <f>IFERROR(__xludf.DUMMYFUNCTION("IF(OR(ISBLANK($G89), IFERROR(INDEX(GOOGLEFINANCE($C89, ""price"", WORKDAY(INT($B89), 1)), 2, 2), """")=""""), """", IF($D89=""LONG"", (IFERROR(INDEX(GOOGLEFINANCE($C89, ""price"", WORKDAY(INT($B89), 1)), 2, 2), """")-$G89)/$G89, ($G89-IFERROR(INDEX(GOOGLE"&amp;"FINANCE($C89, ""price"", WORKDAY(INT($B89), 1)), 2, 2), """"))/$G89))"),0.0035538545653362803)</f>
        <v>0.003553854565</v>
      </c>
      <c r="O89" s="30">
        <f>IFERROR(__xludf.DUMMYFUNCTION("IF(OR(ISBLANK($G89), IFERROR(INDEX(GOOGLEFINANCE($C89, ""price"", WORKDAY(INT($B89), 5)), 2, 2), """")=""""), """", IF($D89=""LONG"", (IFERROR(INDEX(GOOGLEFINANCE($C89, ""price"", WORKDAY(INT($B89), 5)), 2, 2), """")-$G89)/$G89, ($G89-IFERROR(INDEX(GOOGLE"&amp;"FINANCE($C89, ""price"", WORKDAY(INT($B89), 5)), 2, 2), """"))/$G89))"),0.03072717331875344)</f>
        <v>0.03072717332</v>
      </c>
      <c r="P89" s="30">
        <f>IFERROR(__xludf.DUMMYFUNCTION("IF(OR(ISBLANK($G89), IFERROR(INDEX(GOOGLEFINANCE($C89, ""price"", WORKDAY(INT($B89), 20)), 2, 2), """")=""""), """", IF($D89=""LONG"", (IFERROR(INDEX(GOOGLEFINANCE($C89, ""price"", WORKDAY(INT($B89), 20)), 2, 2), """")-$G89)/$G89, ($G89-IFERROR(INDEX(GOOG"&amp;"LEFINANCE($C89, ""price"", WORKDAY(INT($B89), 20)), 2, 2), """"))/$G89))"),0.006615636960087523)</f>
        <v>0.00661563696</v>
      </c>
      <c r="Q89" s="25" t="s">
        <v>1805</v>
      </c>
      <c r="R89" s="31"/>
      <c r="S89" s="31"/>
      <c r="T89" s="31"/>
    </row>
    <row r="90" ht="22.5" customHeight="1">
      <c r="A90" s="23">
        <f t="shared" si="1"/>
        <v>89</v>
      </c>
      <c r="B90" s="24">
        <v>46212.66768518519</v>
      </c>
      <c r="C90" s="25" t="s">
        <v>995</v>
      </c>
      <c r="D90" s="26" t="s">
        <v>119</v>
      </c>
      <c r="E90" s="25" t="s">
        <v>120</v>
      </c>
      <c r="F90" s="27">
        <v>4.0</v>
      </c>
      <c r="G90" s="28">
        <v>462.3</v>
      </c>
      <c r="H90" s="25" t="s">
        <v>1809</v>
      </c>
      <c r="I90" s="27">
        <v>0.9</v>
      </c>
      <c r="J90" s="29"/>
      <c r="K90" s="29"/>
      <c r="L90" s="28">
        <f>IFERROR(__xludf.DUMMYFUNCTION("IF(ISBLANK($C90), """", GOOGLEFINANCE($C90, ""price""))"),403.76)</f>
        <v>403.76</v>
      </c>
      <c r="M90" s="30">
        <f t="shared" si="2"/>
        <v>0.1266277309</v>
      </c>
      <c r="N90" s="30">
        <f>IFERROR(__xludf.DUMMYFUNCTION("IF(OR(ISBLANK($G90), IFERROR(INDEX(GOOGLEFINANCE($C90, ""price"", WORKDAY(INT($B90), 1)), 2, 2), """")=""""), """", IF($D90=""LONG"", (IFERROR(INDEX(GOOGLEFINANCE($C90, ""price"", WORKDAY(INT($B90), 1)), 2, 2), """")-$G90)/$G90, ($G90-IFERROR(INDEX(GOOGLE"&amp;"FINANCE($C90, ""price"", WORKDAY(INT($B90), 1)), 2, 2), """"))/$G90))"),0.0034176941380055894)</f>
        <v>0.003417694138</v>
      </c>
      <c r="O90" s="30">
        <f>IFERROR(__xludf.DUMMYFUNCTION("IF(OR(ISBLANK($G90), IFERROR(INDEX(GOOGLEFINANCE($C90, ""price"", WORKDAY(INT($B90), 5)), 2, 2), """")=""""), """", IF($D90=""LONG"", (IFERROR(INDEX(GOOGLEFINANCE($C90, ""price"", WORKDAY(INT($B90), 5)), 2, 2), """")-$G90)/$G90, ($G90-IFERROR(INDEX(GOOGLE"&amp;"FINANCE($C90, ""price"", WORKDAY(INT($B90), 5)), 2, 2), """"))/$G90))"),0.15896603936837553)</f>
        <v>0.1589660394</v>
      </c>
      <c r="P90" s="30">
        <f>IFERROR(__xludf.DUMMYFUNCTION("IF(OR(ISBLANK($G90), IFERROR(INDEX(GOOGLEFINANCE($C90, ""price"", WORKDAY(INT($B90), 20)), 2, 2), """")=""""), """", IF($D90=""LONG"", (IFERROR(INDEX(GOOGLEFINANCE($C90, ""price"", WORKDAY(INT($B90), 20)), 2, 2), """")-$G90)/$G90, ($G90-IFERROR(INDEX(GOOG"&amp;"LEFINANCE($C90, ""price"", WORKDAY(INT($B90), 20)), 2, 2), """"))/$G90))"),0.12662773091066412)</f>
        <v>0.1266277309</v>
      </c>
      <c r="Q90" s="25" t="s">
        <v>1815</v>
      </c>
      <c r="R90" s="31"/>
      <c r="S90" s="31"/>
      <c r="T90" s="31"/>
    </row>
    <row r="91" ht="22.5" customHeight="1">
      <c r="A91" s="23">
        <f t="shared" si="1"/>
        <v>90</v>
      </c>
      <c r="B91" s="24">
        <v>46212.66758101852</v>
      </c>
      <c r="C91" s="25" t="s">
        <v>272</v>
      </c>
      <c r="D91" s="26" t="s">
        <v>36</v>
      </c>
      <c r="E91" s="25" t="s">
        <v>37</v>
      </c>
      <c r="F91" s="27">
        <v>2.0</v>
      </c>
      <c r="G91" s="28">
        <v>335.34</v>
      </c>
      <c r="H91" s="25" t="s">
        <v>1818</v>
      </c>
      <c r="I91" s="27">
        <v>94.4</v>
      </c>
      <c r="J91" s="29"/>
      <c r="K91" s="29"/>
      <c r="L91" s="28">
        <f>IFERROR(__xludf.DUMMYFUNCTION("IF(ISBLANK($C91), """", GOOGLEFINANCE($C91, ""price""))"),356.3)</f>
        <v>356.3</v>
      </c>
      <c r="M91" s="30">
        <f t="shared" si="2"/>
        <v>0.06250372756</v>
      </c>
      <c r="N91" s="30">
        <f>IFERROR(__xludf.DUMMYFUNCTION("IF(OR(ISBLANK($G91), IFERROR(INDEX(GOOGLEFINANCE($C91, ""price"", WORKDAY(INT($B91), 1)), 2, 2), """")=""""), """", IF($D91=""LONG"", (IFERROR(INDEX(GOOGLEFINANCE($C91, ""price"", WORKDAY(INT($B91), 1)), 2, 2), """")-$G91)/$G91, ($G91-IFERROR(INDEX(GOOGLE"&amp;"FINANCE($C91, ""price"", WORKDAY(INT($B91), 1)), 2, 2), """"))/$G91))"),0.0033697143197949915)</f>
        <v>0.00336971432</v>
      </c>
      <c r="O91" s="30">
        <f>IFERROR(__xludf.DUMMYFUNCTION("IF(OR(ISBLANK($G91), IFERROR(INDEX(GOOGLEFINANCE($C91, ""price"", WORKDAY(INT($B91), 5)), 2, 2), """")=""""), """", IF($D91=""LONG"", (IFERROR(INDEX(GOOGLEFINANCE($C91, ""price"", WORKDAY(INT($B91), 5)), 2, 2), """")-$G91)/$G91, ($G91-IFERROR(INDEX(GOOGLE"&amp;"FINANCE($C91, ""price"", WORKDAY(INT($B91), 5)), 2, 2), """"))/$G91))"),0.023289795431502364)</f>
        <v>0.02328979543</v>
      </c>
      <c r="P91" s="30">
        <f>IFERROR(__xludf.DUMMYFUNCTION("IF(OR(ISBLANK($G91), IFERROR(INDEX(GOOGLEFINANCE($C91, ""price"", WORKDAY(INT($B91), 20)), 2, 2), """")=""""), """", IF($D91=""LONG"", (IFERROR(INDEX(GOOGLEFINANCE($C91, ""price"", WORKDAY(INT($B91), 20)), 2, 2), """")-$G91)/$G91, ($G91-IFERROR(INDEX(GOOG"&amp;"LEFINANCE($C91, ""price"", WORKDAY(INT($B91), 20)), 2, 2), """"))/$G91))"),0.06250372756008839)</f>
        <v>0.06250372756</v>
      </c>
      <c r="Q91" s="25" t="s">
        <v>1823</v>
      </c>
      <c r="R91" s="31"/>
      <c r="S91" s="31"/>
      <c r="T91" s="31"/>
    </row>
    <row r="92" ht="22.5" customHeight="1">
      <c r="A92" s="23">
        <f t="shared" si="1"/>
        <v>91</v>
      </c>
      <c r="B92" s="24">
        <v>46212.66747685185</v>
      </c>
      <c r="C92" s="25" t="s">
        <v>505</v>
      </c>
      <c r="D92" s="26" t="s">
        <v>119</v>
      </c>
      <c r="E92" s="25" t="s">
        <v>120</v>
      </c>
      <c r="F92" s="27">
        <v>4.0</v>
      </c>
      <c r="G92" s="28">
        <v>24.25</v>
      </c>
      <c r="H92" s="25" t="s">
        <v>1827</v>
      </c>
      <c r="I92" s="27">
        <v>6.0</v>
      </c>
      <c r="J92" s="29"/>
      <c r="K92" s="29"/>
      <c r="L92" s="28">
        <f>IFERROR(__xludf.DUMMYFUNCTION("IF(ISBLANK($C92), """", GOOGLEFINANCE($C92, ""price""))"),26.2)</f>
        <v>26.2</v>
      </c>
      <c r="M92" s="30">
        <f t="shared" si="2"/>
        <v>-0.08041237113</v>
      </c>
      <c r="N92" s="30">
        <f>IFERROR(__xludf.DUMMYFUNCTION("IF(OR(ISBLANK($G92), IFERROR(INDEX(GOOGLEFINANCE($C92, ""price"", WORKDAY(INT($B92), 1)), 2, 2), """")=""""), """", IF($D92=""LONG"", (IFERROR(INDEX(GOOGLEFINANCE($C92, ""price"", WORKDAY(INT($B92), 1)), 2, 2), """")-$G92)/$G92, ($G92-IFERROR(INDEX(GOOGLE"&amp;"FINANCE($C92, ""price"", WORKDAY(INT($B92), 1)), 2, 2), """"))/$G92))"),0.003298969072164878)</f>
        <v>0.003298969072</v>
      </c>
      <c r="O92" s="30">
        <f>IFERROR(__xludf.DUMMYFUNCTION("IF(OR(ISBLANK($G92), IFERROR(INDEX(GOOGLEFINANCE($C92, ""price"", WORKDAY(INT($B92), 5)), 2, 2), """")=""""), """", IF($D92=""LONG"", (IFERROR(INDEX(GOOGLEFINANCE($C92, ""price"", WORKDAY(INT($B92), 5)), 2, 2), """")-$G92)/$G92, ($G92-IFERROR(INDEX(GOOGLE"&amp;"FINANCE($C92, ""price"", WORKDAY(INT($B92), 5)), 2, 2), """"))/$G92))"),-0.036701030927835075)</f>
        <v>-0.03670103093</v>
      </c>
      <c r="P92" s="30">
        <f>IFERROR(__xludf.DUMMYFUNCTION("IF(OR(ISBLANK($G92), IFERROR(INDEX(GOOGLEFINANCE($C92, ""price"", WORKDAY(INT($B92), 20)), 2, 2), """")=""""), """", IF($D92=""LONG"", (IFERROR(INDEX(GOOGLEFINANCE($C92, ""price"", WORKDAY(INT($B92), 20)), 2, 2), """")-$G92)/$G92, ($G92-IFERROR(INDEX(GOOG"&amp;"LEFINANCE($C92, ""price"", WORKDAY(INT($B92), 20)), 2, 2), """"))/$G92))"),-0.08041237113402058)</f>
        <v>-0.08041237113</v>
      </c>
      <c r="Q92" s="25" t="s">
        <v>1831</v>
      </c>
      <c r="R92" s="31"/>
      <c r="S92" s="31"/>
      <c r="T92" s="31"/>
    </row>
    <row r="93" ht="22.5" customHeight="1">
      <c r="A93" s="23">
        <f t="shared" si="1"/>
        <v>92</v>
      </c>
      <c r="B93" s="24">
        <v>46212.66752314815</v>
      </c>
      <c r="C93" s="25" t="s">
        <v>355</v>
      </c>
      <c r="D93" s="26" t="s">
        <v>119</v>
      </c>
      <c r="E93" s="25" t="s">
        <v>120</v>
      </c>
      <c r="F93" s="27">
        <v>4.0</v>
      </c>
      <c r="G93" s="28">
        <v>137.83</v>
      </c>
      <c r="H93" s="25" t="s">
        <v>1835</v>
      </c>
      <c r="I93" s="27">
        <v>21.4</v>
      </c>
      <c r="J93" s="29"/>
      <c r="K93" s="29"/>
      <c r="L93" s="28">
        <f>IFERROR(__xludf.DUMMYFUNCTION("IF(ISBLANK($C93), """", GOOGLEFINANCE($C93, ""price""))"),138.44)</f>
        <v>138.44</v>
      </c>
      <c r="M93" s="30">
        <f t="shared" si="2"/>
        <v>-0.004425741856</v>
      </c>
      <c r="N93" s="30">
        <f>IFERROR(__xludf.DUMMYFUNCTION("IF(OR(ISBLANK($G93), IFERROR(INDEX(GOOGLEFINANCE($C93, ""price"", WORKDAY(INT($B93), 1)), 2, 2), """")=""""), """", IF($D93=""LONG"", (IFERROR(INDEX(GOOGLEFINANCE($C93, ""price"", WORKDAY(INT($B93), 1)), 2, 2), """")-$G93)/$G93, ($G93-IFERROR(INDEX(GOOGLE"&amp;"FINANCE($C93, ""price"", WORKDAY(INT($B93), 1)), 2, 2), """"))/$G93))"),0.003264891533048081)</f>
        <v>0.003264891533</v>
      </c>
      <c r="O93" s="30">
        <f>IFERROR(__xludf.DUMMYFUNCTION("IF(OR(ISBLANK($G93), IFERROR(INDEX(GOOGLEFINANCE($C93, ""price"", WORKDAY(INT($B93), 5)), 2, 2), """")=""""), """", IF($D93=""LONG"", (IFERROR(INDEX(GOOGLEFINANCE($C93, ""price"", WORKDAY(INT($B93), 5)), 2, 2), """")-$G93)/$G93, ($G93-IFERROR(INDEX(GOOGLE"&amp;"FINANCE($C93, ""price"", WORKDAY(INT($B93), 5)), 2, 2), """"))/$G93))"),-0.011608503228614918)</f>
        <v>-0.01160850323</v>
      </c>
      <c r="P93" s="30">
        <f>IFERROR(__xludf.DUMMYFUNCTION("IF(OR(ISBLANK($G93), IFERROR(INDEX(GOOGLEFINANCE($C93, ""price"", WORKDAY(INT($B93), 20)), 2, 2), """")=""""), """", IF($D93=""LONG"", (IFERROR(INDEX(GOOGLEFINANCE($C93, ""price"", WORKDAY(INT($B93), 20)), 2, 2), """")-$G93)/$G93, ($G93-IFERROR(INDEX(GOOG"&amp;"LEFINANCE($C93, ""price"", WORKDAY(INT($B93), 20)), 2, 2), """"))/$G93))"),-0.004425741855909346)</f>
        <v>-0.004425741856</v>
      </c>
      <c r="Q93" s="25" t="s">
        <v>1839</v>
      </c>
      <c r="R93" s="31"/>
      <c r="S93" s="31"/>
      <c r="T93" s="31"/>
    </row>
    <row r="94" ht="22.5" customHeight="1">
      <c r="A94" s="23">
        <f t="shared" si="1"/>
        <v>93</v>
      </c>
      <c r="B94" s="24">
        <v>46212.66752314815</v>
      </c>
      <c r="C94" s="25" t="s">
        <v>1094</v>
      </c>
      <c r="D94" s="26" t="s">
        <v>119</v>
      </c>
      <c r="E94" s="25" t="s">
        <v>120</v>
      </c>
      <c r="F94" s="27">
        <v>4.0</v>
      </c>
      <c r="G94" s="28">
        <v>401.26</v>
      </c>
      <c r="H94" s="25" t="s">
        <v>1843</v>
      </c>
      <c r="I94" s="27">
        <v>7.3</v>
      </c>
      <c r="J94" s="29"/>
      <c r="K94" s="29"/>
      <c r="L94" s="28">
        <f>IFERROR(__xludf.DUMMYFUNCTION("IF(ISBLANK($C94), """", GOOGLEFINANCE($C94, ""price""))"),420.57)</f>
        <v>420.57</v>
      </c>
      <c r="M94" s="30">
        <f t="shared" si="2"/>
        <v>-0.04812341125</v>
      </c>
      <c r="N94" s="30">
        <f>IFERROR(__xludf.DUMMYFUNCTION("IF(OR(ISBLANK($G94), IFERROR(INDEX(GOOGLEFINANCE($C94, ""price"", WORKDAY(INT($B94), 1)), 2, 2), """")=""""), """", IF($D94=""LONG"", (IFERROR(INDEX(GOOGLEFINANCE($C94, ""price"", WORKDAY(INT($B94), 1)), 2, 2), """")-$G94)/$G94, ($G94-IFERROR(INDEX(GOOGLE"&amp;"FINANCE($C94, ""price"", WORKDAY(INT($B94), 1)), 2, 2), """"))/$G94))"),0.003214873149578736)</f>
        <v>0.00321487315</v>
      </c>
      <c r="O94" s="30">
        <f>IFERROR(__xludf.DUMMYFUNCTION("IF(OR(ISBLANK($G94), IFERROR(INDEX(GOOGLEFINANCE($C94, ""price"", WORKDAY(INT($B94), 5)), 2, 2), """")=""""), """", IF($D94=""LONG"", (IFERROR(INDEX(GOOGLEFINANCE($C94, ""price"", WORKDAY(INT($B94), 5)), 2, 2), """")-$G94)/$G94, ($G94-IFERROR(INDEX(GOOGLE"&amp;"FINANCE($C94, ""price"", WORKDAY(INT($B94), 5)), 2, 2), """"))/$G94))"),0.06681453421721578)</f>
        <v>0.06681453422</v>
      </c>
      <c r="P94" s="30">
        <f>IFERROR(__xludf.DUMMYFUNCTION("IF(OR(ISBLANK($G94), IFERROR(INDEX(GOOGLEFINANCE($C94, ""price"", WORKDAY(INT($B94), 20)), 2, 2), """")=""""), """", IF($D94=""LONG"", (IFERROR(INDEX(GOOGLEFINANCE($C94, ""price"", WORKDAY(INT($B94), 20)), 2, 2), """")-$G94)/$G94, ($G94-IFERROR(INDEX(GOOG"&amp;"LEFINANCE($C94, ""price"", WORKDAY(INT($B94), 20)), 2, 2), """"))/$G94))"),-0.04812341125454818)</f>
        <v>-0.04812341125</v>
      </c>
      <c r="Q94" s="25" t="s">
        <v>1847</v>
      </c>
      <c r="R94" s="31"/>
      <c r="S94" s="31"/>
      <c r="T94" s="31"/>
    </row>
    <row r="95" ht="22.5" customHeight="1">
      <c r="A95" s="23">
        <f t="shared" si="1"/>
        <v>94</v>
      </c>
      <c r="B95" s="24">
        <v>46212.667592592596</v>
      </c>
      <c r="C95" s="25" t="s">
        <v>173</v>
      </c>
      <c r="D95" s="26" t="s">
        <v>36</v>
      </c>
      <c r="E95" s="25" t="s">
        <v>37</v>
      </c>
      <c r="F95" s="27">
        <v>2.0</v>
      </c>
      <c r="G95" s="28">
        <v>86.91</v>
      </c>
      <c r="H95" s="25" t="s">
        <v>1850</v>
      </c>
      <c r="I95" s="27">
        <v>88.2</v>
      </c>
      <c r="J95" s="29"/>
      <c r="K95" s="29"/>
      <c r="L95" s="28">
        <f>IFERROR(__xludf.DUMMYFUNCTION("IF(ISBLANK($C95), """", GOOGLEFINANCE($C95, ""price""))"),87.59)</f>
        <v>87.59</v>
      </c>
      <c r="M95" s="30">
        <f t="shared" si="2"/>
        <v>0.007824185939</v>
      </c>
      <c r="N95" s="30">
        <f>IFERROR(__xludf.DUMMYFUNCTION("IF(OR(ISBLANK($G95), IFERROR(INDEX(GOOGLEFINANCE($C95, ""price"", WORKDAY(INT($B95), 1)), 2, 2), """")=""""), """", IF($D95=""LONG"", (IFERROR(INDEX(GOOGLEFINANCE($C95, ""price"", WORKDAY(INT($B95), 1)), 2, 2), """")-$G95)/$G95, ($G95-IFERROR(INDEX(GOOGLE"&amp;"FINANCE($C95, ""price"", WORKDAY(INT($B95), 1)), 2, 2), """"))/$G95))"),0.0028765389483373606)</f>
        <v>0.002876538948</v>
      </c>
      <c r="O95" s="30">
        <f>IFERROR(__xludf.DUMMYFUNCTION("IF(OR(ISBLANK($G95), IFERROR(INDEX(GOOGLEFINANCE($C95, ""price"", WORKDAY(INT($B95), 5)), 2, 2), """")=""""), """", IF($D95=""LONG"", (IFERROR(INDEX(GOOGLEFINANCE($C95, ""price"", WORKDAY(INT($B95), 5)), 2, 2), """")-$G95)/$G95, ($G95-IFERROR(INDEX(GOOGLE"&amp;"FINANCE($C95, ""price"", WORKDAY(INT($B95), 5)), 2, 2), """"))/$G95))"),0.013347140720285314)</f>
        <v>0.01334714072</v>
      </c>
      <c r="P95" s="30">
        <f>IFERROR(__xludf.DUMMYFUNCTION("IF(OR(ISBLANK($G95), IFERROR(INDEX(GOOGLEFINANCE($C95, ""price"", WORKDAY(INT($B95), 20)), 2, 2), """")=""""), """", IF($D95=""LONG"", (IFERROR(INDEX(GOOGLEFINANCE($C95, ""price"", WORKDAY(INT($B95), 20)), 2, 2), """")-$G95)/$G95, ($G95-IFERROR(INDEX(GOOG"&amp;"LEFINANCE($C95, ""price"", WORKDAY(INT($B95), 20)), 2, 2), """"))/$G95))"),0.0078241859394777)</f>
        <v>0.007824185939</v>
      </c>
      <c r="Q95" s="25" t="s">
        <v>1855</v>
      </c>
      <c r="R95" s="31"/>
      <c r="S95" s="31"/>
      <c r="T95" s="31"/>
    </row>
    <row r="96" ht="22.5" customHeight="1">
      <c r="A96" s="23">
        <f t="shared" si="1"/>
        <v>95</v>
      </c>
      <c r="B96" s="24">
        <v>46212.66736111111</v>
      </c>
      <c r="C96" s="25" t="s">
        <v>451</v>
      </c>
      <c r="D96" s="26" t="s">
        <v>36</v>
      </c>
      <c r="E96" s="25" t="s">
        <v>37</v>
      </c>
      <c r="F96" s="27">
        <v>2.0</v>
      </c>
      <c r="G96" s="28">
        <v>46.36</v>
      </c>
      <c r="H96" s="25" t="s">
        <v>1858</v>
      </c>
      <c r="I96" s="27">
        <v>93.6</v>
      </c>
      <c r="J96" s="29"/>
      <c r="K96" s="29"/>
      <c r="L96" s="28">
        <f>IFERROR(__xludf.DUMMYFUNCTION("IF(ISBLANK($C96), """", GOOGLEFINANCE($C96, ""price""))"),50.8)</f>
        <v>50.8</v>
      </c>
      <c r="M96" s="30">
        <f t="shared" si="2"/>
        <v>0.09577221743</v>
      </c>
      <c r="N96" s="30">
        <f>IFERROR(__xludf.DUMMYFUNCTION("IF(OR(ISBLANK($G96), IFERROR(INDEX(GOOGLEFINANCE($C96, ""price"", WORKDAY(INT($B96), 1)), 2, 2), """")=""""), """", IF($D96=""LONG"", (IFERROR(INDEX(GOOGLEFINANCE($C96, ""price"", WORKDAY(INT($B96), 1)), 2, 2), """")-$G96)/$G96, ($G96-IFERROR(INDEX(GOOGLE"&amp;"FINANCE($C96, ""price"", WORKDAY(INT($B96), 1)), 2, 2), """"))/$G96))"),0.0028041415012942743)</f>
        <v>0.002804141501</v>
      </c>
      <c r="O96" s="30">
        <f>IFERROR(__xludf.DUMMYFUNCTION("IF(OR(ISBLANK($G96), IFERROR(INDEX(GOOGLEFINANCE($C96, ""price"", WORKDAY(INT($B96), 5)), 2, 2), """")=""""), """", IF($D96=""LONG"", (IFERROR(INDEX(GOOGLEFINANCE($C96, ""price"", WORKDAY(INT($B96), 5)), 2, 2), """")-$G96)/$G96, ($G96-IFERROR(INDEX(GOOGLE"&amp;"FINANCE($C96, ""price"", WORKDAY(INT($B96), 5)), 2, 2), """"))/$G96))"),0.0066867989646247255)</f>
        <v>0.006686798965</v>
      </c>
      <c r="P96" s="30">
        <f>IFERROR(__xludf.DUMMYFUNCTION("IF(OR(ISBLANK($G96), IFERROR(INDEX(GOOGLEFINANCE($C96, ""price"", WORKDAY(INT($B96), 20)), 2, 2), """")=""""), """", IF($D96=""LONG"", (IFERROR(INDEX(GOOGLEFINANCE($C96, ""price"", WORKDAY(INT($B96), 20)), 2, 2), """")-$G96)/$G96, ($G96-IFERROR(INDEX(GOOG"&amp;"LEFINANCE($C96, ""price"", WORKDAY(INT($B96), 20)), 2, 2), """"))/$G96))"),0.09663503019844702)</f>
        <v>0.0966350302</v>
      </c>
      <c r="Q96" s="25" t="s">
        <v>1865</v>
      </c>
      <c r="R96" s="31"/>
      <c r="S96" s="31"/>
      <c r="T96" s="31"/>
    </row>
    <row r="97" ht="22.5" customHeight="1">
      <c r="A97" s="23">
        <f t="shared" si="1"/>
        <v>96</v>
      </c>
      <c r="B97" s="24">
        <v>46212.66758101852</v>
      </c>
      <c r="C97" s="25" t="s">
        <v>226</v>
      </c>
      <c r="D97" s="26" t="s">
        <v>36</v>
      </c>
      <c r="E97" s="25" t="s">
        <v>37</v>
      </c>
      <c r="F97" s="27">
        <v>2.0</v>
      </c>
      <c r="G97" s="28">
        <v>21.59</v>
      </c>
      <c r="H97" s="25" t="s">
        <v>1868</v>
      </c>
      <c r="I97" s="27">
        <v>93.2</v>
      </c>
      <c r="J97" s="29"/>
      <c r="K97" s="29"/>
      <c r="L97" s="28">
        <f>IFERROR(__xludf.DUMMYFUNCTION("IF(ISBLANK($C97), """", GOOGLEFINANCE($C97, ""price""))"),21.1)</f>
        <v>21.1</v>
      </c>
      <c r="M97" s="30">
        <f t="shared" si="2"/>
        <v>-0.02269569245</v>
      </c>
      <c r="N97" s="30">
        <f>IFERROR(__xludf.DUMMYFUNCTION("IF(OR(ISBLANK($G97), IFERROR(INDEX(GOOGLEFINANCE($C97, ""price"", WORKDAY(INT($B97), 1)), 2, 2), """")=""""), """", IF($D97=""LONG"", (IFERROR(INDEX(GOOGLEFINANCE($C97, ""price"", WORKDAY(INT($B97), 1)), 2, 2), """")-$G97)/$G97, ($G97-IFERROR(INDEX(GOOGLE"&amp;"FINANCE($C97, ""price"", WORKDAY(INT($B97), 1)), 2, 2), """"))/$G97))"),0.002779064381658116)</f>
        <v>0.002779064382</v>
      </c>
      <c r="O97" s="30">
        <f>IFERROR(__xludf.DUMMYFUNCTION("IF(OR(ISBLANK($G97), IFERROR(INDEX(GOOGLEFINANCE($C97, ""price"", WORKDAY(INT($B97), 5)), 2, 2), """")=""""), """", IF($D97=""LONG"", (IFERROR(INDEX(GOOGLEFINANCE($C97, ""price"", WORKDAY(INT($B97), 5)), 2, 2), """")-$G97)/$G97, ($G97-IFERROR(INDEX(GOOGLE"&amp;"FINANCE($C97, ""price"", WORKDAY(INT($B97), 5)), 2, 2), """"))/$G97))"),0.03427512737378409)</f>
        <v>0.03427512737</v>
      </c>
      <c r="P97" s="30">
        <f>IFERROR(__xludf.DUMMYFUNCTION("IF(OR(ISBLANK($G97), IFERROR(INDEX(GOOGLEFINANCE($C97, ""price"", WORKDAY(INT($B97), 20)), 2, 2), """")=""""), """", IF($D97=""LONG"", (IFERROR(INDEX(GOOGLEFINANCE($C97, ""price"", WORKDAY(INT($B97), 20)), 2, 2), """")-$G97)/$G97, ($G97-IFERROR(INDEX(GOOG"&amp;"LEFINANCE($C97, ""price"", WORKDAY(INT($B97), 20)), 2, 2), """"))/$G97))"),-0.022695692450208357)</f>
        <v>-0.02269569245</v>
      </c>
      <c r="Q97" s="25" t="s">
        <v>1873</v>
      </c>
      <c r="R97" s="31"/>
      <c r="S97" s="31"/>
      <c r="T97" s="31"/>
    </row>
    <row r="98" ht="22.5" customHeight="1">
      <c r="A98" s="23">
        <f t="shared" si="1"/>
        <v>97</v>
      </c>
      <c r="B98" s="24">
        <v>46212.66737268519</v>
      </c>
      <c r="C98" s="25" t="s">
        <v>826</v>
      </c>
      <c r="D98" s="26" t="s">
        <v>36</v>
      </c>
      <c r="E98" s="25" t="s">
        <v>133</v>
      </c>
      <c r="F98" s="27">
        <v>2.0</v>
      </c>
      <c r="G98" s="28">
        <v>348.09</v>
      </c>
      <c r="H98" s="25" t="s">
        <v>1877</v>
      </c>
      <c r="I98" s="27">
        <v>95.8</v>
      </c>
      <c r="J98" s="29"/>
      <c r="K98" s="29"/>
      <c r="L98" s="28">
        <f>IFERROR(__xludf.DUMMYFUNCTION("IF(ISBLANK($C98), """", GOOGLEFINANCE($C98, ""price""))"),370.47)</f>
        <v>370.47</v>
      </c>
      <c r="M98" s="30">
        <f t="shared" si="2"/>
        <v>0.06429371714</v>
      </c>
      <c r="N98" s="30">
        <f>IFERROR(__xludf.DUMMYFUNCTION("IF(OR(ISBLANK($G98), IFERROR(INDEX(GOOGLEFINANCE($C98, ""price"", WORKDAY(INT($B98), 1)), 2, 2), """")=""""), """", IF($D98=""LONG"", (IFERROR(INDEX(GOOGLEFINANCE($C98, ""price"", WORKDAY(INT($B98), 1)), 2, 2), """")-$G98)/$G98, ($G98-IFERROR(INDEX(GOOGLE"&amp;"FINANCE($C98, ""price"", WORKDAY(INT($B98), 1)), 2, 2), """"))/$G98))"),0.0025280818179208033)</f>
        <v>0.002528081818</v>
      </c>
      <c r="O98" s="30">
        <f>IFERROR(__xludf.DUMMYFUNCTION("IF(OR(ISBLANK($G98), IFERROR(INDEX(GOOGLEFINANCE($C98, ""price"", WORKDAY(INT($B98), 5)), 2, 2), """")=""""), """", IF($D98=""LONG"", (IFERROR(INDEX(GOOGLEFINANCE($C98, ""price"", WORKDAY(INT($B98), 5)), 2, 2), """")-$G98)/$G98, ($G98-IFERROR(INDEX(GOOGLE"&amp;"FINANCE($C98, ""price"", WORKDAY(INT($B98), 5)), 2, 2), """"))/$G98))"),0.04898158522221268)</f>
        <v>0.04898158522</v>
      </c>
      <c r="P98" s="30">
        <f>IFERROR(__xludf.DUMMYFUNCTION("IF(OR(ISBLANK($G98), IFERROR(INDEX(GOOGLEFINANCE($C98, ""price"", WORKDAY(INT($B98), 20)), 2, 2), """")=""""), """", IF($D98=""LONG"", (IFERROR(INDEX(GOOGLEFINANCE($C98, ""price"", WORKDAY(INT($B98), 20)), 2, 2), """")-$G98)/$G98, ($G98-IFERROR(INDEX(GOOG"&amp;"LEFINANCE($C98, ""price"", WORKDAY(INT($B98), 20)), 2, 2), """"))/$G98))"),0.06429371714211857)</f>
        <v>0.06429371714</v>
      </c>
      <c r="Q98" s="25" t="s">
        <v>1879</v>
      </c>
      <c r="R98" s="31"/>
      <c r="S98" s="31"/>
      <c r="T98" s="31"/>
    </row>
    <row r="99" ht="22.5" customHeight="1">
      <c r="A99" s="23">
        <f t="shared" si="1"/>
        <v>98</v>
      </c>
      <c r="B99" s="24">
        <v>46212.667766203704</v>
      </c>
      <c r="C99" s="25" t="s">
        <v>312</v>
      </c>
      <c r="D99" s="26" t="s">
        <v>36</v>
      </c>
      <c r="E99" s="25" t="s">
        <v>37</v>
      </c>
      <c r="F99" s="27">
        <v>2.0</v>
      </c>
      <c r="G99" s="28">
        <v>14.75</v>
      </c>
      <c r="H99" s="25" t="s">
        <v>1882</v>
      </c>
      <c r="I99" s="27">
        <v>74.6</v>
      </c>
      <c r="J99" s="29"/>
      <c r="K99" s="29"/>
      <c r="L99" s="28">
        <f>IFERROR(__xludf.DUMMYFUNCTION("IF(ISBLANK($C99), """", GOOGLEFINANCE($C99, ""price""))"),14.7)</f>
        <v>14.7</v>
      </c>
      <c r="M99" s="30">
        <f t="shared" si="2"/>
        <v>-0.003389830508</v>
      </c>
      <c r="N99" s="30">
        <f>IFERROR(__xludf.DUMMYFUNCTION("IF(OR(ISBLANK($G99), IFERROR(INDEX(GOOGLEFINANCE($C99, ""price"", WORKDAY(INT($B99), 1)), 2, 2), """")=""""), """", IF($D99=""LONG"", (IFERROR(INDEX(GOOGLEFINANCE($C99, ""price"", WORKDAY(INT($B99), 1)), 2, 2), """")-$G99)/$G99, ($G99-IFERROR(INDEX(GOOGLE"&amp;"FINANCE($C99, ""price"", WORKDAY(INT($B99), 1)), 2, 2), """"))/$G99))"),0.0020338983050847024)</f>
        <v>0.002033898305</v>
      </c>
      <c r="O99" s="30">
        <f>IFERROR(__xludf.DUMMYFUNCTION("IF(OR(ISBLANK($G99), IFERROR(INDEX(GOOGLEFINANCE($C99, ""price"", WORKDAY(INT($B99), 5)), 2, 2), """")=""""), """", IF($D99=""LONG"", (IFERROR(INDEX(GOOGLEFINANCE($C99, ""price"", WORKDAY(INT($B99), 5)), 2, 2), """")-$G99)/$G99, ($G99-IFERROR(INDEX(GOOGLE"&amp;"FINANCE($C99, ""price"", WORKDAY(INT($B99), 5)), 2, 2), """"))/$G99))"),0.0033898305084746243)</f>
        <v>0.003389830508</v>
      </c>
      <c r="P99" s="30">
        <f>IFERROR(__xludf.DUMMYFUNCTION("IF(OR(ISBLANK($G99), IFERROR(INDEX(GOOGLEFINANCE($C99, ""price"", WORKDAY(INT($B99), 20)), 2, 2), """")=""""), """", IF($D99=""LONG"", (IFERROR(INDEX(GOOGLEFINANCE($C99, ""price"", WORKDAY(INT($B99), 20)), 2, 2), """")-$G99)/$G99, ($G99-IFERROR(INDEX(GOOG"&amp;"LEFINANCE($C99, ""price"", WORKDAY(INT($B99), 20)), 2, 2), """"))/$G99))"),-0.0033898305084746243)</f>
        <v>-0.003389830508</v>
      </c>
      <c r="Q99" s="25" t="s">
        <v>1888</v>
      </c>
      <c r="R99" s="31"/>
      <c r="S99" s="31"/>
      <c r="T99" s="31"/>
    </row>
    <row r="100" ht="22.5" customHeight="1">
      <c r="A100" s="23">
        <f t="shared" si="1"/>
        <v>99</v>
      </c>
      <c r="B100" s="24">
        <v>46212.667546296296</v>
      </c>
      <c r="C100" s="25" t="s">
        <v>41</v>
      </c>
      <c r="D100" s="26" t="s">
        <v>36</v>
      </c>
      <c r="E100" s="25" t="s">
        <v>37</v>
      </c>
      <c r="F100" s="27">
        <v>2.0</v>
      </c>
      <c r="G100" s="28">
        <v>178.8</v>
      </c>
      <c r="H100" s="25" t="s">
        <v>1890</v>
      </c>
      <c r="I100" s="27">
        <v>88.8</v>
      </c>
      <c r="J100" s="29"/>
      <c r="K100" s="29"/>
      <c r="L100" s="28">
        <f>IFERROR(__xludf.DUMMYFUNCTION("IF(ISBLANK($C100), """", GOOGLEFINANCE($C100, ""price""))"),186.02)</f>
        <v>186.02</v>
      </c>
      <c r="M100" s="30">
        <f t="shared" si="2"/>
        <v>0.0403803132</v>
      </c>
      <c r="N100" s="30">
        <f>IFERROR(__xludf.DUMMYFUNCTION("IF(OR(ISBLANK($G100), IFERROR(INDEX(GOOGLEFINANCE($C100, ""price"", WORKDAY(INT($B100), 1)), 2, 2), """")=""""), """", IF($D100=""LONG"", (IFERROR(INDEX(GOOGLEFINANCE($C100, ""price"", WORKDAY(INT($B100), 1)), 2, 2), """")-$G100)/$G100, ($G100-IFERROR(IND"&amp;"EX(GOOGLEFINANCE($C100, ""price"", WORKDAY(INT($B100), 1)), 2, 2), """"))/$G100))"),0.0018456375838925283)</f>
        <v>0.001845637584</v>
      </c>
      <c r="O100" s="30">
        <f>IFERROR(__xludf.DUMMYFUNCTION("IF(OR(ISBLANK($G100), IFERROR(INDEX(GOOGLEFINANCE($C100, ""price"", WORKDAY(INT($B100), 5)), 2, 2), """")=""""), """", IF($D100=""LONG"", (IFERROR(INDEX(GOOGLEFINANCE($C100, ""price"", WORKDAY(INT($B100), 5)), 2, 2), """")-$G100)/$G100, ($G100-IFERROR(IND"&amp;"EX(GOOGLEFINANCE($C100, ""price"", WORKDAY(INT($B100), 5)), 2, 2), """"))/$G100))"),0.03221476510067109)</f>
        <v>0.0322147651</v>
      </c>
      <c r="P100" s="30">
        <f>IFERROR(__xludf.DUMMYFUNCTION("IF(OR(ISBLANK($G100), IFERROR(INDEX(GOOGLEFINANCE($C100, ""price"", WORKDAY(INT($B100), 20)), 2, 2), """")=""""), """", IF($D100=""LONG"", (IFERROR(INDEX(GOOGLEFINANCE($C100, ""price"", WORKDAY(INT($B100), 20)), 2, 2), """")-$G100)/$G100, ($G100-IFERROR(I"&amp;"NDEX(GOOGLEFINANCE($C100, ""price"", WORKDAY(INT($B100), 20)), 2, 2), """"))/$G100))"),0.040380313199105136)</f>
        <v>0.0403803132</v>
      </c>
      <c r="Q100" s="25" t="s">
        <v>1895</v>
      </c>
      <c r="R100" s="31"/>
      <c r="S100" s="31"/>
      <c r="T100" s="31"/>
    </row>
    <row r="101" ht="22.5" customHeight="1">
      <c r="A101" s="23">
        <f t="shared" si="1"/>
        <v>100</v>
      </c>
      <c r="B101" s="24">
        <v>46212.66740740741</v>
      </c>
      <c r="C101" s="25" t="s">
        <v>379</v>
      </c>
      <c r="D101" s="26" t="s">
        <v>36</v>
      </c>
      <c r="E101" s="25" t="s">
        <v>37</v>
      </c>
      <c r="F101" s="27">
        <v>2.0</v>
      </c>
      <c r="G101" s="28">
        <v>49.36</v>
      </c>
      <c r="H101" s="25" t="s">
        <v>1897</v>
      </c>
      <c r="I101" s="27">
        <v>80.1</v>
      </c>
      <c r="J101" s="29"/>
      <c r="K101" s="29"/>
      <c r="L101" s="28">
        <f>IFERROR(__xludf.DUMMYFUNCTION("IF(ISBLANK($C101), """", GOOGLEFINANCE($C101, ""price""))"),50.7)</f>
        <v>50.7</v>
      </c>
      <c r="M101" s="30">
        <f t="shared" si="2"/>
        <v>0.02714748784</v>
      </c>
      <c r="N101" s="30">
        <f>IFERROR(__xludf.DUMMYFUNCTION("IF(OR(ISBLANK($G101), IFERROR(INDEX(GOOGLEFINANCE($C101, ""price"", WORKDAY(INT($B101), 1)), 2, 2), """")=""""), """", IF($D101=""LONG"", (IFERROR(INDEX(GOOGLEFINANCE($C101, ""price"", WORKDAY(INT($B101), 1)), 2, 2), """")-$G101)/$G101, ($G101-IFERROR(IND"&amp;"EX(GOOGLEFINANCE($C101, ""price"", WORKDAY(INT($B101), 1)), 2, 2), """"))/$G101))"),0.0010129659643435406)</f>
        <v>0.001012965964</v>
      </c>
      <c r="O101" s="30">
        <f>IFERROR(__xludf.DUMMYFUNCTION("IF(OR(ISBLANK($G101), IFERROR(INDEX(GOOGLEFINANCE($C101, ""price"", WORKDAY(INT($B101), 5)), 2, 2), """")=""""), """", IF($D101=""LONG"", (IFERROR(INDEX(GOOGLEFINANCE($C101, ""price"", WORKDAY(INT($B101), 5)), 2, 2), """")-$G101)/$G101, ($G101-IFERROR(IND"&amp;"EX(GOOGLEFINANCE($C101, ""price"", WORKDAY(INT($B101), 5)), 2, 2), """"))/$G101))"),0.030996758508914125)</f>
        <v>0.03099675851</v>
      </c>
      <c r="P101" s="30">
        <f>IFERROR(__xludf.DUMMYFUNCTION("IF(OR(ISBLANK($G101), IFERROR(INDEX(GOOGLEFINANCE($C101, ""price"", WORKDAY(INT($B101), 20)), 2, 2), """")=""""), """", IF($D101=""LONG"", (IFERROR(INDEX(GOOGLEFINANCE($C101, ""price"", WORKDAY(INT($B101), 20)), 2, 2), """")-$G101)/$G101, ($G101-IFERROR(I"&amp;"NDEX(GOOGLEFINANCE($C101, ""price"", WORKDAY(INT($B101), 20)), 2, 2), """"))/$G101))"),0.027350081037277176)</f>
        <v>0.02735008104</v>
      </c>
      <c r="Q101" s="25" t="s">
        <v>1900</v>
      </c>
      <c r="R101" s="31"/>
      <c r="S101" s="31"/>
      <c r="T101" s="31"/>
    </row>
    <row r="102" ht="22.5" customHeight="1">
      <c r="A102" s="23">
        <f t="shared" si="1"/>
        <v>101</v>
      </c>
      <c r="B102" s="24">
        <v>46212.66768518519</v>
      </c>
      <c r="C102" s="25" t="s">
        <v>299</v>
      </c>
      <c r="D102" s="26" t="s">
        <v>36</v>
      </c>
      <c r="E102" s="25" t="s">
        <v>37</v>
      </c>
      <c r="F102" s="27">
        <v>2.0</v>
      </c>
      <c r="G102" s="28">
        <v>39.69</v>
      </c>
      <c r="H102" s="25" t="s">
        <v>1901</v>
      </c>
      <c r="I102" s="27">
        <v>94.0</v>
      </c>
      <c r="J102" s="29"/>
      <c r="K102" s="29"/>
      <c r="L102" s="28">
        <f>IFERROR(__xludf.DUMMYFUNCTION("IF(ISBLANK($C102), """", GOOGLEFINANCE($C102, ""price""))"),38.14)</f>
        <v>38.14</v>
      </c>
      <c r="M102" s="30">
        <f t="shared" si="2"/>
        <v>-0.0390526581</v>
      </c>
      <c r="N102" s="30">
        <f>IFERROR(__xludf.DUMMYFUNCTION("IF(OR(ISBLANK($G102), IFERROR(INDEX(GOOGLEFINANCE($C102, ""price"", WORKDAY(INT($B102), 1)), 2, 2), """")=""""), """", IF($D102=""LONG"", (IFERROR(INDEX(GOOGLEFINANCE($C102, ""price"", WORKDAY(INT($B102), 1)), 2, 2), """")-$G102)/$G102, ($G102-IFERROR(IND"&amp;"EX(GOOGLEFINANCE($C102, ""price"", WORKDAY(INT($B102), 1)), 2, 2), """"))/$G102))"),0.001007810531620034)</f>
        <v>0.001007810532</v>
      </c>
      <c r="O102" s="30">
        <f>IFERROR(__xludf.DUMMYFUNCTION("IF(OR(ISBLANK($G102), IFERROR(INDEX(GOOGLEFINANCE($C102, ""price"", WORKDAY(INT($B102), 5)), 2, 2), """")=""""), """", IF($D102=""LONG"", (IFERROR(INDEX(GOOGLEFINANCE($C102, ""price"", WORKDAY(INT($B102), 5)), 2, 2), """")-$G102)/$G102, ($G102-IFERROR(IND"&amp;"EX(GOOGLEFINANCE($C102, ""price"", WORKDAY(INT($B102), 5)), 2, 2), """"))/$G102))"),0.022171831695641284)</f>
        <v>0.0221718317</v>
      </c>
      <c r="P102" s="30">
        <f>IFERROR(__xludf.DUMMYFUNCTION("IF(OR(ISBLANK($G102), IFERROR(INDEX(GOOGLEFINANCE($C102, ""price"", WORKDAY(INT($B102), 20)), 2, 2), """")=""""), """", IF($D102=""LONG"", (IFERROR(INDEX(GOOGLEFINANCE($C102, ""price"", WORKDAY(INT($B102), 20)), 2, 2), """")-$G102)/$G102, ($G102-IFERROR(I"&amp;"NDEX(GOOGLEFINANCE($C102, ""price"", WORKDAY(INT($B102), 20)), 2, 2), """"))/$G102))"),-0.039052658100277075)</f>
        <v>-0.0390526581</v>
      </c>
      <c r="Q102" s="25" t="s">
        <v>1907</v>
      </c>
      <c r="R102" s="31"/>
      <c r="S102" s="31"/>
      <c r="T102" s="31"/>
    </row>
    <row r="103" ht="22.5" customHeight="1">
      <c r="A103" s="23">
        <f t="shared" si="1"/>
        <v>102</v>
      </c>
      <c r="B103" s="24">
        <v>46212.66773148148</v>
      </c>
      <c r="C103" s="25" t="s">
        <v>721</v>
      </c>
      <c r="D103" s="26" t="s">
        <v>36</v>
      </c>
      <c r="E103" s="25" t="s">
        <v>133</v>
      </c>
      <c r="F103" s="27">
        <v>2.0</v>
      </c>
      <c r="G103" s="28">
        <v>430.02</v>
      </c>
      <c r="H103" s="25" t="s">
        <v>1910</v>
      </c>
      <c r="I103" s="27">
        <v>71.8</v>
      </c>
      <c r="J103" s="29"/>
      <c r="K103" s="29"/>
      <c r="L103" s="28">
        <f>IFERROR(__xludf.DUMMYFUNCTION("IF(ISBLANK($C103), """", GOOGLEFINANCE($C103, ""price""))"),413.07)</f>
        <v>413.07</v>
      </c>
      <c r="M103" s="30">
        <f t="shared" si="2"/>
        <v>-0.03941677131</v>
      </c>
      <c r="N103" s="30">
        <f>IFERROR(__xludf.DUMMYFUNCTION("IF(OR(ISBLANK($G103), IFERROR(INDEX(GOOGLEFINANCE($C103, ""price"", WORKDAY(INT($B103), 1)), 2, 2), """")=""""), """", IF($D103=""LONG"", (IFERROR(INDEX(GOOGLEFINANCE($C103, ""price"", WORKDAY(INT($B103), 1)), 2, 2), """")-$G103)/$G103, ($G103-IFERROR(IND"&amp;"EX(GOOGLEFINANCE($C103, ""price"", WORKDAY(INT($B103), 1)), 2, 2), """"))/$G103))"),8.604250965071498E-4)</f>
        <v>0.0008604250965</v>
      </c>
      <c r="O103" s="30">
        <f>IFERROR(__xludf.DUMMYFUNCTION("IF(OR(ISBLANK($G103), IFERROR(INDEX(GOOGLEFINANCE($C103, ""price"", WORKDAY(INT($B103), 5)), 2, 2), """")=""""), """", IF($D103=""LONG"", (IFERROR(INDEX(GOOGLEFINANCE($C103, ""price"", WORKDAY(INT($B103), 5)), 2, 2), """")-$G103)/$G103, ($G103-IFERROR(IND"&amp;"EX(GOOGLEFINANCE($C103, ""price"", WORKDAY(INT($B103), 5)), 2, 2), """"))/$G103))"),-0.06188084275149983)</f>
        <v>-0.06188084275</v>
      </c>
      <c r="P103" s="30">
        <f>IFERROR(__xludf.DUMMYFUNCTION("IF(OR(ISBLANK($G103), IFERROR(INDEX(GOOGLEFINANCE($C103, ""price"", WORKDAY(INT($B103), 20)), 2, 2), """")=""""), """", IF($D103=""LONG"", (IFERROR(INDEX(GOOGLEFINANCE($C103, ""price"", WORKDAY(INT($B103), 20)), 2, 2), """")-$G103)/$G103, ($G103-IFERROR(I"&amp;"NDEX(GOOGLEFINANCE($C103, ""price"", WORKDAY(INT($B103), 20)), 2, 2), """"))/$G103))"),-0.03974233756569456)</f>
        <v>-0.03974233757</v>
      </c>
      <c r="Q103" s="25" t="s">
        <v>1911</v>
      </c>
      <c r="R103" s="31"/>
      <c r="S103" s="31"/>
      <c r="T103" s="31"/>
    </row>
    <row r="104" ht="22.5" customHeight="1">
      <c r="A104" s="23">
        <f t="shared" si="1"/>
        <v>103</v>
      </c>
      <c r="B104" s="24">
        <v>46212.667662037034</v>
      </c>
      <c r="C104" s="25" t="s">
        <v>594</v>
      </c>
      <c r="D104" s="26" t="s">
        <v>36</v>
      </c>
      <c r="E104" s="25" t="s">
        <v>37</v>
      </c>
      <c r="F104" s="27">
        <v>2.0</v>
      </c>
      <c r="G104" s="28">
        <v>79.11</v>
      </c>
      <c r="H104" s="25" t="s">
        <v>1914</v>
      </c>
      <c r="I104" s="27">
        <v>97.0</v>
      </c>
      <c r="J104" s="29"/>
      <c r="K104" s="29"/>
      <c r="L104" s="28">
        <f>IFERROR(__xludf.DUMMYFUNCTION("IF(ISBLANK($C104), """", GOOGLEFINANCE($C104, ""price""))"),79.97)</f>
        <v>79.97</v>
      </c>
      <c r="M104" s="30">
        <f t="shared" si="2"/>
        <v>0.0108709392</v>
      </c>
      <c r="N104" s="30">
        <f>IFERROR(__xludf.DUMMYFUNCTION("IF(OR(ISBLANK($G104), IFERROR(INDEX(GOOGLEFINANCE($C104, ""price"", WORKDAY(INT($B104), 1)), 2, 2), """")=""""), """", IF($D104=""LONG"", (IFERROR(INDEX(GOOGLEFINANCE($C104, ""price"", WORKDAY(INT($B104), 1)), 2, 2), """")-$G104)/$G104, ($G104-IFERROR(IND"&amp;"EX(GOOGLEFINANCE($C104, ""price"", WORKDAY(INT($B104), 1)), 2, 2), """"))/$G104))"),7.584376185059067E-4)</f>
        <v>0.0007584376185</v>
      </c>
      <c r="O104" s="30">
        <f>IFERROR(__xludf.DUMMYFUNCTION("IF(OR(ISBLANK($G104), IFERROR(INDEX(GOOGLEFINANCE($C104, ""price"", WORKDAY(INT($B104), 5)), 2, 2), """")=""""), """", IF($D104=""LONG"", (IFERROR(INDEX(GOOGLEFINANCE($C104, ""price"", WORKDAY(INT($B104), 5)), 2, 2), """")-$G104)/$G104, ($G104-IFERROR(IND"&amp;"EX(GOOGLEFINANCE($C104, ""price"", WORKDAY(INT($B104), 5)), 2, 2), """"))/$G104))"),-0.013651877133105781)</f>
        <v>-0.01365187713</v>
      </c>
      <c r="P104" s="30">
        <f>IFERROR(__xludf.DUMMYFUNCTION("IF(OR(ISBLANK($G104), IFERROR(INDEX(GOOGLEFINANCE($C104, ""price"", WORKDAY(INT($B104), 20)), 2, 2), """")=""""), """", IF($D104=""LONG"", (IFERROR(INDEX(GOOGLEFINANCE($C104, ""price"", WORKDAY(INT($B104), 20)), 2, 2), """")-$G104)/$G104, ($G104-IFERROR(I"&amp;"NDEX(GOOGLEFINANCE($C104, ""price"", WORKDAY(INT($B104), 20)), 2, 2), """"))/$G104))"),0.010870939198584242)</f>
        <v>0.0108709392</v>
      </c>
      <c r="Q104" s="25" t="s">
        <v>1917</v>
      </c>
      <c r="R104" s="31"/>
      <c r="S104" s="31"/>
      <c r="T104" s="31"/>
    </row>
    <row r="105" ht="22.5" customHeight="1">
      <c r="A105" s="23">
        <f t="shared" si="1"/>
        <v>104</v>
      </c>
      <c r="B105" s="24">
        <v>46212.66778935185</v>
      </c>
      <c r="C105" s="25" t="s">
        <v>58</v>
      </c>
      <c r="D105" s="26" t="s">
        <v>36</v>
      </c>
      <c r="E105" s="25" t="s">
        <v>37</v>
      </c>
      <c r="F105" s="27">
        <v>2.0</v>
      </c>
      <c r="G105" s="28">
        <v>359.0</v>
      </c>
      <c r="H105" s="25" t="s">
        <v>1918</v>
      </c>
      <c r="I105" s="27">
        <v>95.1</v>
      </c>
      <c r="J105" s="29"/>
      <c r="K105" s="29"/>
      <c r="L105" s="28">
        <f>IFERROR(__xludf.DUMMYFUNCTION("IF(ISBLANK($C105), """", GOOGLEFINANCE($C105, ""price""))"),374.55)</f>
        <v>374.55</v>
      </c>
      <c r="M105" s="30">
        <f t="shared" si="2"/>
        <v>0.04331476323</v>
      </c>
      <c r="N105" s="30">
        <f>IFERROR(__xludf.DUMMYFUNCTION("IF(OR(ISBLANK($G105), IFERROR(INDEX(GOOGLEFINANCE($C105, ""price"", WORKDAY(INT($B105), 1)), 2, 2), """")=""""), """", IF($D105=""LONG"", (IFERROR(INDEX(GOOGLEFINANCE($C105, ""price"", WORKDAY(INT($B105), 1)), 2, 2), """")-$G105)/$G105, ($G105-IFERROR(IND"&amp;"EX(GOOGLEFINANCE($C105, ""price"", WORKDAY(INT($B105), 1)), 2, 2), """"))/$G105))"),7.520891364902001E-4)</f>
        <v>0.0007520891365</v>
      </c>
      <c r="O105" s="30">
        <f>IFERROR(__xludf.DUMMYFUNCTION("IF(OR(ISBLANK($G105), IFERROR(INDEX(GOOGLEFINANCE($C105, ""price"", WORKDAY(INT($B105), 5)), 2, 2), """")=""""), """", IF($D105=""LONG"", (IFERROR(INDEX(GOOGLEFINANCE($C105, ""price"", WORKDAY(INT($B105), 5)), 2, 2), """")-$G105)/$G105, ($G105-IFERROR(IND"&amp;"EX(GOOGLEFINANCE($C105, ""price"", WORKDAY(INT($B105), 5)), 2, 2), """"))/$G105))"),-0.036963788300835604)</f>
        <v>-0.0369637883</v>
      </c>
      <c r="P105" s="30">
        <f>IFERROR(__xludf.DUMMYFUNCTION("IF(OR(ISBLANK($G105), IFERROR(INDEX(GOOGLEFINANCE($C105, ""price"", WORKDAY(INT($B105), 20)), 2, 2), """")=""""), """", IF($D105=""LONG"", (IFERROR(INDEX(GOOGLEFINANCE($C105, ""price"", WORKDAY(INT($B105), 20)), 2, 2), """")-$G105)/$G105, ($G105-IFERROR(I"&amp;"NDEX(GOOGLEFINANCE($C105, ""price"", WORKDAY(INT($B105), 20)), 2, 2), """"))/$G105))"),0.0433147632311978)</f>
        <v>0.04331476323</v>
      </c>
      <c r="Q105" s="25" t="s">
        <v>1922</v>
      </c>
      <c r="R105" s="31"/>
      <c r="S105" s="31"/>
      <c r="T105" s="31"/>
    </row>
    <row r="106" ht="22.5" customHeight="1">
      <c r="A106" s="23">
        <f t="shared" si="1"/>
        <v>105</v>
      </c>
      <c r="B106" s="24">
        <v>46212.66763888889</v>
      </c>
      <c r="C106" s="25" t="s">
        <v>381</v>
      </c>
      <c r="D106" s="26" t="s">
        <v>36</v>
      </c>
      <c r="E106" s="25" t="s">
        <v>37</v>
      </c>
      <c r="F106" s="27">
        <v>2.0</v>
      </c>
      <c r="G106" s="28">
        <v>222.13</v>
      </c>
      <c r="H106" s="25" t="s">
        <v>1923</v>
      </c>
      <c r="I106" s="27">
        <v>60.4</v>
      </c>
      <c r="J106" s="29"/>
      <c r="K106" s="29"/>
      <c r="L106" s="28">
        <f>IFERROR(__xludf.DUMMYFUNCTION("IF(ISBLANK($C106), """", GOOGLEFINANCE($C106, ""price""))"),213.75)</f>
        <v>213.75</v>
      </c>
      <c r="M106" s="30">
        <f t="shared" si="2"/>
        <v>-0.03772565615</v>
      </c>
      <c r="N106" s="30">
        <f>IFERROR(__xludf.DUMMYFUNCTION("IF(OR(ISBLANK($G106), IFERROR(INDEX(GOOGLEFINANCE($C106, ""price"", WORKDAY(INT($B106), 1)), 2, 2), """")=""""), """", IF($D106=""LONG"", (IFERROR(INDEX(GOOGLEFINANCE($C106, ""price"", WORKDAY(INT($B106), 1)), 2, 2), """")-$G106)/$G106, ($G106-IFERROR(IND"&amp;"EX(GOOGLEFINANCE($C106, ""price"", WORKDAY(INT($B106), 1)), 2, 2), """"))/$G106))"),6.752802413001652E-4)</f>
        <v>0.0006752802413</v>
      </c>
      <c r="O106" s="30">
        <f>IFERROR(__xludf.DUMMYFUNCTION("IF(OR(ISBLANK($G106), IFERROR(INDEX(GOOGLEFINANCE($C106, ""price"", WORKDAY(INT($B106), 5)), 2, 2), """")=""""), """", IF($D106=""LONG"", (IFERROR(INDEX(GOOGLEFINANCE($C106, ""price"", WORKDAY(INT($B106), 5)), 2, 2), """")-$G106)/$G106, ($G106-IFERROR(IND"&amp;"EX(GOOGLEFINANCE($C106, ""price"", WORKDAY(INT($B106), 5)), 2, 2), """"))/$G106))"),-0.01692702471525679)</f>
        <v>-0.01692702472</v>
      </c>
      <c r="P106" s="30">
        <f>IFERROR(__xludf.DUMMYFUNCTION("IF(OR(ISBLANK($G106), IFERROR(INDEX(GOOGLEFINANCE($C106, ""price"", WORKDAY(INT($B106), 20)), 2, 2), """")=""""), """", IF($D106=""LONG"", (IFERROR(INDEX(GOOGLEFINANCE($C106, ""price"", WORKDAY(INT($B106), 20)), 2, 2), """")-$G106)/$G106, ($G106-IFERROR(I"&amp;"NDEX(GOOGLEFINANCE($C106, ""price"", WORKDAY(INT($B106), 20)), 2, 2), """"))/$G106))"),-0.03772565614730111)</f>
        <v>-0.03772565615</v>
      </c>
      <c r="Q106" s="25" t="s">
        <v>1927</v>
      </c>
      <c r="R106" s="31"/>
      <c r="S106" s="31"/>
      <c r="T106" s="31"/>
    </row>
    <row r="107" ht="22.5" customHeight="1">
      <c r="A107" s="35">
        <f t="shared" si="1"/>
        <v>106</v>
      </c>
      <c r="B107" s="36">
        <v>46212.667592592596</v>
      </c>
      <c r="C107" s="37" t="s">
        <v>1929</v>
      </c>
      <c r="D107" s="38" t="s">
        <v>119</v>
      </c>
      <c r="E107" s="37" t="s">
        <v>120</v>
      </c>
      <c r="F107" s="39">
        <v>4.0</v>
      </c>
      <c r="G107" s="40">
        <v>208.59</v>
      </c>
      <c r="H107" s="37" t="s">
        <v>1930</v>
      </c>
      <c r="I107" s="39">
        <v>12.7</v>
      </c>
      <c r="J107" s="41"/>
      <c r="K107" s="37" t="s">
        <v>1931</v>
      </c>
      <c r="L107" s="40">
        <f>IFERROR(__xludf.DUMMYFUNCTION("IF(ISBLANK($C107), """", GOOGLEFINANCE($C107, ""price""))"),242.47)</f>
        <v>242.47</v>
      </c>
      <c r="M107" s="42">
        <f t="shared" si="2"/>
        <v>-0.1624238938</v>
      </c>
      <c r="N107" s="42">
        <f>IFERROR(__xludf.DUMMYFUNCTION("IF(OR(ISBLANK($G107), IFERROR(INDEX(GOOGLEFINANCE($C107, ""price"", WORKDAY(INT($B107), 1)), 2, 2), """")=""""), """", IF($D107=""LONG"", (IFERROR(INDEX(GOOGLEFINANCE($C107, ""price"", WORKDAY(INT($B107), 1)), 2, 2), """")-$G107)/$G107, ($G107-IFERROR(IND"&amp;"EX(GOOGLEFINANCE($C107, ""price"", WORKDAY(INT($B107), 1)), 2, 2), """"))/$G107))"),6.711731147227326E-4)</f>
        <v>0.0006711731147</v>
      </c>
      <c r="O107" s="42">
        <f>IFERROR(__xludf.DUMMYFUNCTION("IF(OR(ISBLANK($G107), IFERROR(INDEX(GOOGLEFINANCE($C107, ""price"", WORKDAY(INT($B107), 5)), 2, 2), """")=""""), """", IF($D107=""LONG"", (IFERROR(INDEX(GOOGLEFINANCE($C107, ""price"", WORKDAY(INT($B107), 5)), 2, 2), """")-$G107)/$G107, ($G107-IFERROR(IND"&amp;"EX(GOOGLEFINANCE($C107, ""price"", WORKDAY(INT($B107), 5)), 2, 2), """"))/$G107))"),-0.040605973440721026)</f>
        <v>-0.04060597344</v>
      </c>
      <c r="P107" s="42">
        <f>IFERROR(__xludf.DUMMYFUNCTION("IF(OR(ISBLANK($G107), IFERROR(INDEX(GOOGLEFINANCE($C107, ""price"", WORKDAY(INT($B107), 20)), 2, 2), """")=""""), """", IF($D107=""LONG"", (IFERROR(INDEX(GOOGLEFINANCE($C107, ""price"", WORKDAY(INT($B107), 20)), 2, 2), """")-$G107)/$G107, ($G107-IFERROR(I"&amp;"NDEX(GOOGLEFINANCE($C107, ""price"", WORKDAY(INT($B107), 20)), 2, 2), """"))/$G107))"),-0.1624238937628841)</f>
        <v>-0.1624238938</v>
      </c>
      <c r="Q107" s="37" t="s">
        <v>1935</v>
      </c>
      <c r="R107" s="31"/>
      <c r="S107" s="31"/>
      <c r="T107" s="31"/>
    </row>
    <row r="108" ht="22.5" customHeight="1">
      <c r="A108" s="23">
        <f t="shared" si="1"/>
        <v>107</v>
      </c>
      <c r="B108" s="24">
        <v>46212.66777777778</v>
      </c>
      <c r="C108" s="25" t="s">
        <v>269</v>
      </c>
      <c r="D108" s="26" t="s">
        <v>36</v>
      </c>
      <c r="E108" s="25" t="s">
        <v>37</v>
      </c>
      <c r="F108" s="27">
        <v>2.0</v>
      </c>
      <c r="G108" s="28">
        <v>180.11</v>
      </c>
      <c r="H108" s="25" t="s">
        <v>1938</v>
      </c>
      <c r="I108" s="27">
        <v>87.1</v>
      </c>
      <c r="J108" s="29"/>
      <c r="K108" s="29"/>
      <c r="L108" s="28">
        <f>IFERROR(__xludf.DUMMYFUNCTION("IF(ISBLANK($C108), """", GOOGLEFINANCE($C108, ""price""))"),184.92)</f>
        <v>184.92</v>
      </c>
      <c r="M108" s="30">
        <f t="shared" si="2"/>
        <v>0.02670590195</v>
      </c>
      <c r="N108" s="30">
        <f>IFERROR(__xludf.DUMMYFUNCTION("IF(OR(ISBLANK($G108), IFERROR(INDEX(GOOGLEFINANCE($C108, ""price"", WORKDAY(INT($B108), 1)), 2, 2), """")=""""), """", IF($D108=""LONG"", (IFERROR(INDEX(GOOGLEFINANCE($C108, ""price"", WORKDAY(INT($B108), 1)), 2, 2), """")-$G108)/$G108, ($G108-IFERROR(IND"&amp;"EX(GOOGLEFINANCE($C108, ""price"", WORKDAY(INT($B108), 1)), 2, 2), """"))/$G108))"),6.107378824051148E-4)</f>
        <v>0.0006107378824</v>
      </c>
      <c r="O108" s="30">
        <f>IFERROR(__xludf.DUMMYFUNCTION("IF(OR(ISBLANK($G108), IFERROR(INDEX(GOOGLEFINANCE($C108, ""price"", WORKDAY(INT($B108), 5)), 2, 2), """")=""""), """", IF($D108=""LONG"", (IFERROR(INDEX(GOOGLEFINANCE($C108, ""price"", WORKDAY(INT($B108), 5)), 2, 2), """")-$G108)/$G108, ($G108-IFERROR(IND"&amp;"EX(GOOGLEFINANCE($C108, ""price"", WORKDAY(INT($B108), 5)), 2, 2), """"))/$G108))"),0.030814502248625742)</f>
        <v>0.03081450225</v>
      </c>
      <c r="P108" s="30">
        <f>IFERROR(__xludf.DUMMYFUNCTION("IF(OR(ISBLANK($G108), IFERROR(INDEX(GOOGLEFINANCE($C108, ""price"", WORKDAY(INT($B108), 20)), 2, 2), """")=""""), """", IF($D108=""LONG"", (IFERROR(INDEX(GOOGLEFINANCE($C108, ""price"", WORKDAY(INT($B108), 20)), 2, 2), """")-$G108)/$G108, ($G108-IFERROR(I"&amp;"NDEX(GOOGLEFINANCE($C108, ""price"", WORKDAY(INT($B108), 20)), 2, 2), """"))/$G108))"),0.026705901948808914)</f>
        <v>0.02670590195</v>
      </c>
      <c r="Q108" s="25" t="s">
        <v>1942</v>
      </c>
      <c r="R108" s="31"/>
      <c r="S108" s="31"/>
      <c r="T108" s="31"/>
    </row>
    <row r="109" ht="22.5" customHeight="1">
      <c r="A109" s="35">
        <f t="shared" si="1"/>
        <v>108</v>
      </c>
      <c r="B109" s="36">
        <v>46212.66763888889</v>
      </c>
      <c r="C109" s="37" t="s">
        <v>1198</v>
      </c>
      <c r="D109" s="38" t="s">
        <v>36</v>
      </c>
      <c r="E109" s="37" t="s">
        <v>37</v>
      </c>
      <c r="F109" s="39">
        <v>2.0</v>
      </c>
      <c r="G109" s="40">
        <v>347.8</v>
      </c>
      <c r="H109" s="37" t="s">
        <v>1944</v>
      </c>
      <c r="I109" s="39">
        <v>95.8</v>
      </c>
      <c r="J109" s="41"/>
      <c r="K109" s="37" t="s">
        <v>1946</v>
      </c>
      <c r="L109" s="40">
        <f>IFERROR(__xludf.DUMMYFUNCTION("IF(ISBLANK($C109), """", GOOGLEFINANCE($C109, ""price""))"),354.03)</f>
        <v>354.03</v>
      </c>
      <c r="M109" s="42">
        <f t="shared" si="2"/>
        <v>0.01791259344</v>
      </c>
      <c r="N109" s="42">
        <f>IFERROR(__xludf.DUMMYFUNCTION("IF(OR(ISBLANK($G109), IFERROR(INDEX(GOOGLEFINANCE($C109, ""price"", WORKDAY(INT($B109), 1)), 2, 2), """")=""""), """", IF($D109=""LONG"", (IFERROR(INDEX(GOOGLEFINANCE($C109, ""price"", WORKDAY(INT($B109), 1)), 2, 2), """")-$G109)/$G109, ($G109-IFERROR(IND"&amp;"EX(GOOGLEFINANCE($C109, ""price"", WORKDAY(INT($B109), 1)), 2, 2), """"))/$G109))"),8.625646923511419E-5)</f>
        <v>0.00008625646924</v>
      </c>
      <c r="O109" s="42">
        <f>IFERROR(__xludf.DUMMYFUNCTION("IF(OR(ISBLANK($G109), IFERROR(INDEX(GOOGLEFINANCE($C109, ""price"", WORKDAY(INT($B109), 5)), 2, 2), """")=""""), """", IF($D109=""LONG"", (IFERROR(INDEX(GOOGLEFINANCE($C109, ""price"", WORKDAY(INT($B109), 5)), 2, 2), """")-$G109)/$G109, ($G109-IFERROR(IND"&amp;"EX(GOOGLEFINANCE($C109, ""price"", WORKDAY(INT($B109), 5)), 2, 2), """"))/$G109))"),-0.011788384128809726)</f>
        <v>-0.01178838413</v>
      </c>
      <c r="P109" s="42">
        <f>IFERROR(__xludf.DUMMYFUNCTION("IF(OR(ISBLANK($G109), IFERROR(INDEX(GOOGLEFINANCE($C109, ""price"", WORKDAY(INT($B109), 20)), 2, 2), """")=""""), """", IF($D109=""LONG"", (IFERROR(INDEX(GOOGLEFINANCE($C109, ""price"", WORKDAY(INT($B109), 20)), 2, 2), """")-$G109)/$G109, ($G109-IFERROR(I"&amp;"NDEX(GOOGLEFINANCE($C109, ""price"", WORKDAY(INT($B109), 20)), 2, 2), """"))/$G109))"),0.017912593444508226)</f>
        <v>0.01791259344</v>
      </c>
      <c r="Q109" s="37" t="s">
        <v>1948</v>
      </c>
      <c r="R109" s="31"/>
      <c r="S109" s="31"/>
      <c r="T109" s="31"/>
    </row>
    <row r="110" ht="22.5" customHeight="1">
      <c r="A110" s="23">
        <f t="shared" si="1"/>
        <v>109</v>
      </c>
      <c r="B110" s="24">
        <v>46212.667546296296</v>
      </c>
      <c r="C110" s="25" t="s">
        <v>1116</v>
      </c>
      <c r="D110" s="26" t="s">
        <v>119</v>
      </c>
      <c r="E110" s="25" t="s">
        <v>120</v>
      </c>
      <c r="F110" s="27">
        <v>4.0</v>
      </c>
      <c r="G110" s="28">
        <v>267.67</v>
      </c>
      <c r="H110" s="25" t="s">
        <v>1950</v>
      </c>
      <c r="I110" s="27">
        <v>3.7</v>
      </c>
      <c r="J110" s="29"/>
      <c r="K110" s="29"/>
      <c r="L110" s="28">
        <f>IFERROR(__xludf.DUMMYFUNCTION("IF(ISBLANK($C110), """", GOOGLEFINANCE($C110, ""price""))"),289.17)</f>
        <v>289.17</v>
      </c>
      <c r="M110" s="30">
        <f t="shared" si="2"/>
        <v>-0.08032278552</v>
      </c>
      <c r="N110" s="30">
        <f>IFERROR(__xludf.DUMMYFUNCTION("IF(OR(ISBLANK($G110), IFERROR(INDEX(GOOGLEFINANCE($C110, ""price"", WORKDAY(INT($B110), 1)), 2, 2), """")=""""), """", IF($D110=""LONG"", (IFERROR(INDEX(GOOGLEFINANCE($C110, ""price"", WORKDAY(INT($B110), 1)), 2, 2), """")-$G110)/$G110, ($G110-IFERROR(IND"&amp;"EX(GOOGLEFINANCE($C110, ""price"", WORKDAY(INT($B110), 1)), 2, 2), """"))/$G110))"),-0.0014943774050135512)</f>
        <v>-0.001494377405</v>
      </c>
      <c r="O110" s="30">
        <f>IFERROR(__xludf.DUMMYFUNCTION("IF(OR(ISBLANK($G110), IFERROR(INDEX(GOOGLEFINANCE($C110, ""price"", WORKDAY(INT($B110), 5)), 2, 2), """")=""""), """", IF($D110=""LONG"", (IFERROR(INDEX(GOOGLEFINANCE($C110, ""price"", WORKDAY(INT($B110), 5)), 2, 2), """")-$G110)/$G110, ($G110-IFERROR(IND"&amp;"EX(GOOGLEFINANCE($C110, ""price"", WORKDAY(INT($B110), 5)), 2, 2), """"))/$G110))"),-0.038181342698098295)</f>
        <v>-0.0381813427</v>
      </c>
      <c r="P110" s="30">
        <f>IFERROR(__xludf.DUMMYFUNCTION("IF(OR(ISBLANK($G110), IFERROR(INDEX(GOOGLEFINANCE($C110, ""price"", WORKDAY(INT($B110), 20)), 2, 2), """")=""""), """", IF($D110=""LONG"", (IFERROR(INDEX(GOOGLEFINANCE($C110, ""price"", WORKDAY(INT($B110), 20)), 2, 2), """")-$G110)/$G110, ($G110-IFERROR(I"&amp;"NDEX(GOOGLEFINANCE($C110, ""price"", WORKDAY(INT($B110), 20)), 2, 2), """"))/$G110))"),-0.08032278551948294)</f>
        <v>-0.08032278552</v>
      </c>
      <c r="Q110" s="25" t="s">
        <v>1955</v>
      </c>
      <c r="R110" s="31"/>
      <c r="S110" s="31"/>
      <c r="T110" s="31"/>
    </row>
    <row r="111" ht="22.5" customHeight="1">
      <c r="A111" s="23">
        <f t="shared" si="1"/>
        <v>110</v>
      </c>
      <c r="B111" s="24">
        <v>46212.66775462963</v>
      </c>
      <c r="C111" s="25" t="s">
        <v>464</v>
      </c>
      <c r="D111" s="26" t="s">
        <v>119</v>
      </c>
      <c r="E111" s="25" t="s">
        <v>120</v>
      </c>
      <c r="F111" s="27">
        <v>4.0</v>
      </c>
      <c r="G111" s="28">
        <v>269.97</v>
      </c>
      <c r="H111" s="25" t="s">
        <v>1957</v>
      </c>
      <c r="I111" s="27">
        <v>7.4</v>
      </c>
      <c r="J111" s="29"/>
      <c r="K111" s="29"/>
      <c r="L111" s="28">
        <f>IFERROR(__xludf.DUMMYFUNCTION("IF(ISBLANK($C111), """", GOOGLEFINANCE($C111, ""price""))"),292.53)</f>
        <v>292.53</v>
      </c>
      <c r="M111" s="30">
        <f t="shared" si="2"/>
        <v>-0.08356484054</v>
      </c>
      <c r="N111" s="30">
        <f>IFERROR(__xludf.DUMMYFUNCTION("IF(OR(ISBLANK($G111), IFERROR(INDEX(GOOGLEFINANCE($C111, ""price"", WORKDAY(INT($B111), 1)), 2, 2), """")=""""), """", IF($D111=""LONG"", (IFERROR(INDEX(GOOGLEFINANCE($C111, ""price"", WORKDAY(INT($B111), 1)), 2, 2), """")-$G111)/$G111, ($G111-IFERROR(IND"&amp;"EX(GOOGLEFINANCE($C111, ""price"", WORKDAY(INT($B111), 1)), 2, 2), """"))/$G111))"),-5.185761380893667E-4)</f>
        <v>-0.0005185761381</v>
      </c>
      <c r="O111" s="30">
        <f>IFERROR(__xludf.DUMMYFUNCTION("IF(OR(ISBLANK($G111), IFERROR(INDEX(GOOGLEFINANCE($C111, ""price"", WORKDAY(INT($B111), 5)), 2, 2), """")=""""), """", IF($D111=""LONG"", (IFERROR(INDEX(GOOGLEFINANCE($C111, ""price"", WORKDAY(INT($B111), 5)), 2, 2), """")-$G111)/$G111, ($G111-IFERROR(IND"&amp;"EX(GOOGLEFINANCE($C111, ""price"", WORKDAY(INT($B111), 5)), 2, 2), """"))/$G111))"),-0.019446605178353147)</f>
        <v>-0.01944660518</v>
      </c>
      <c r="P111" s="30">
        <f>IFERROR(__xludf.DUMMYFUNCTION("IF(OR(ISBLANK($G111), IFERROR(INDEX(GOOGLEFINANCE($C111, ""price"", WORKDAY(INT($B111), 20)), 2, 2), """")=""""), """", IF($D111=""LONG"", (IFERROR(INDEX(GOOGLEFINANCE($C111, ""price"", WORKDAY(INT($B111), 20)), 2, 2), """")-$G111)/$G111, ($G111-IFERROR(I"&amp;"NDEX(GOOGLEFINANCE($C111, ""price"", WORKDAY(INT($B111), 20)), 2, 2), """"))/$G111))"),-0.08356484053783733)</f>
        <v>-0.08356484054</v>
      </c>
      <c r="Q111" s="25" t="s">
        <v>1962</v>
      </c>
      <c r="R111" s="31"/>
      <c r="S111" s="31"/>
      <c r="T111" s="31"/>
    </row>
    <row r="112" ht="22.5" customHeight="1">
      <c r="A112" s="23">
        <f t="shared" si="1"/>
        <v>111</v>
      </c>
      <c r="B112" s="24">
        <v>46212.6675</v>
      </c>
      <c r="C112" s="25" t="s">
        <v>323</v>
      </c>
      <c r="D112" s="26" t="s">
        <v>36</v>
      </c>
      <c r="E112" s="25" t="s">
        <v>37</v>
      </c>
      <c r="F112" s="27">
        <v>2.0</v>
      </c>
      <c r="G112" s="28">
        <v>206.54</v>
      </c>
      <c r="H112" s="25" t="s">
        <v>1964</v>
      </c>
      <c r="I112" s="27">
        <v>91.5</v>
      </c>
      <c r="J112" s="29"/>
      <c r="K112" s="29"/>
      <c r="L112" s="28">
        <f>IFERROR(__xludf.DUMMYFUNCTION("IF(ISBLANK($C112), """", GOOGLEFINANCE($C112, ""price""))"),209.7)</f>
        <v>209.7</v>
      </c>
      <c r="M112" s="30">
        <f t="shared" si="2"/>
        <v>0.01529969982</v>
      </c>
      <c r="N112" s="30">
        <f>IFERROR(__xludf.DUMMYFUNCTION("IF(OR(ISBLANK($G112), IFERROR(INDEX(GOOGLEFINANCE($C112, ""price"", WORKDAY(INT($B112), 1)), 2, 2), """")=""""), """", IF($D112=""LONG"", (IFERROR(INDEX(GOOGLEFINANCE($C112, ""price"", WORKDAY(INT($B112), 1)), 2, 2), """")-$G112)/$G112, ($G112-IFERROR(IND"&amp;"EX(GOOGLEFINANCE($C112, ""price"", WORKDAY(INT($B112), 1)), 2, 2), """"))/$G112))"),-6.294180304057106E-4)</f>
        <v>-0.0006294180304</v>
      </c>
      <c r="O112" s="30">
        <f>IFERROR(__xludf.DUMMYFUNCTION("IF(OR(ISBLANK($G112), IFERROR(INDEX(GOOGLEFINANCE($C112, ""price"", WORKDAY(INT($B112), 5)), 2, 2), """")=""""), """", IF($D112=""LONG"", (IFERROR(INDEX(GOOGLEFINANCE($C112, ""price"", WORKDAY(INT($B112), 5)), 2, 2), """")-$G112)/$G112, ($G112-IFERROR(IND"&amp;"EX(GOOGLEFINANCE($C112, ""price"", WORKDAY(INT($B112), 5)), 2, 2), """"))/$G112))"),0.006294180304057381)</f>
        <v>0.006294180304</v>
      </c>
      <c r="P112" s="30" t="str">
        <f>IFERROR(__xludf.DUMMYFUNCTION("IF(OR(ISBLANK($G112), IFERROR(INDEX(GOOGLEFINANCE($C112, ""price"", WORKDAY(INT($B112), 20)), 2, 2), """")=""""), """", IF($D112=""LONG"", (IFERROR(INDEX(GOOGLEFINANCE($C112, ""price"", WORKDAY(INT($B112), 20)), 2, 2), """")-$G112)/$G112, ($G112-IFERROR(I"&amp;"NDEX(GOOGLEFINANCE($C112, ""price"", WORKDAY(INT($B112), 20)), 2, 2), """"))/$G112))"),"")</f>
        <v/>
      </c>
      <c r="Q112" s="25" t="s">
        <v>1968</v>
      </c>
      <c r="R112" s="31"/>
      <c r="S112" s="31"/>
      <c r="T112" s="31"/>
    </row>
    <row r="113" ht="22.5" customHeight="1">
      <c r="A113" s="23">
        <f t="shared" si="1"/>
        <v>112</v>
      </c>
      <c r="B113" s="24">
        <v>46212.66763888889</v>
      </c>
      <c r="C113" s="25" t="s">
        <v>1735</v>
      </c>
      <c r="D113" s="26" t="s">
        <v>36</v>
      </c>
      <c r="E113" s="25" t="s">
        <v>133</v>
      </c>
      <c r="F113" s="27">
        <v>2.0</v>
      </c>
      <c r="G113" s="28">
        <v>117.28</v>
      </c>
      <c r="H113" s="25" t="s">
        <v>1971</v>
      </c>
      <c r="I113" s="27">
        <v>74.0</v>
      </c>
      <c r="J113" s="29"/>
      <c r="K113" s="29"/>
      <c r="L113" s="28">
        <f>IFERROR(__xludf.DUMMYFUNCTION("IF(ISBLANK($C113), """", GOOGLEFINANCE($C113, ""price""))"),110.14)</f>
        <v>110.14</v>
      </c>
      <c r="M113" s="30">
        <f t="shared" si="2"/>
        <v>-0.06087994543</v>
      </c>
      <c r="N113" s="30">
        <f>IFERROR(__xludf.DUMMYFUNCTION("IF(OR(ISBLANK($G113), IFERROR(INDEX(GOOGLEFINANCE($C113, ""price"", WORKDAY(INT($B113), 1)), 2, 2), """")=""""), """", IF($D113=""LONG"", (IFERROR(INDEX(GOOGLEFINANCE($C113, ""price"", WORKDAY(INT($B113), 1)), 2, 2), """")-$G113)/$G113, ($G113-IFERROR(IND"&amp;"EX(GOOGLEFINANCE($C113, ""price"", WORKDAY(INT($B113), 1)), 2, 2), """"))/$G113))"),-6.82128240109126E-4)</f>
        <v>-0.0006821282401</v>
      </c>
      <c r="O113" s="30">
        <f>IFERROR(__xludf.DUMMYFUNCTION("IF(OR(ISBLANK($G113), IFERROR(INDEX(GOOGLEFINANCE($C113, ""price"", WORKDAY(INT($B113), 5)), 2, 2), """")=""""), """", IF($D113=""LONG"", (IFERROR(INDEX(GOOGLEFINANCE($C113, ""price"", WORKDAY(INT($B113), 5)), 2, 2), """")-$G113)/$G113, ($G113-IFERROR(IND"&amp;"EX(GOOGLEFINANCE($C113, ""price"", WORKDAY(INT($B113), 5)), 2, 2), """"))/$G113))"),-0.05431446111869035)</f>
        <v>-0.05431446112</v>
      </c>
      <c r="P113" s="30">
        <f>IFERROR(__xludf.DUMMYFUNCTION("IF(OR(ISBLANK($G113), IFERROR(INDEX(GOOGLEFINANCE($C113, ""price"", WORKDAY(INT($B113), 20)), 2, 2), """")=""""), """", IF($D113=""LONG"", (IFERROR(INDEX(GOOGLEFINANCE($C113, ""price"", WORKDAY(INT($B113), 20)), 2, 2), """")-$G113)/$G113, ($G113-IFERROR(I"&amp;"NDEX(GOOGLEFINANCE($C113, ""price"", WORKDAY(INT($B113), 20)), 2, 2), """"))/$G113))"),-0.060879945429740796)</f>
        <v>-0.06087994543</v>
      </c>
      <c r="Q113" s="25" t="s">
        <v>1974</v>
      </c>
      <c r="R113" s="31"/>
      <c r="S113" s="31"/>
      <c r="T113" s="31"/>
    </row>
    <row r="114" ht="22.5" customHeight="1">
      <c r="A114" s="23">
        <f t="shared" si="1"/>
        <v>113</v>
      </c>
      <c r="B114" s="24">
        <v>46212.66755787037</v>
      </c>
      <c r="C114" s="25" t="s">
        <v>1977</v>
      </c>
      <c r="D114" s="26" t="s">
        <v>119</v>
      </c>
      <c r="E114" s="25" t="s">
        <v>120</v>
      </c>
      <c r="F114" s="27">
        <v>4.0</v>
      </c>
      <c r="G114" s="28">
        <v>135.12</v>
      </c>
      <c r="H114" s="25" t="s">
        <v>1978</v>
      </c>
      <c r="I114" s="27">
        <v>20.2</v>
      </c>
      <c r="J114" s="29"/>
      <c r="K114" s="29"/>
      <c r="L114" s="28">
        <f>IFERROR(__xludf.DUMMYFUNCTION("IF(ISBLANK($C114), """", GOOGLEFINANCE($C114, ""price""))"),149.75)</f>
        <v>149.75</v>
      </c>
      <c r="M114" s="30">
        <f t="shared" si="2"/>
        <v>-0.1082741267</v>
      </c>
      <c r="N114" s="30">
        <f>IFERROR(__xludf.DUMMYFUNCTION("IF(OR(ISBLANK($G114), IFERROR(INDEX(GOOGLEFINANCE($C114, ""price"", WORKDAY(INT($B114), 1)), 2, 2), """")=""""), """", IF($D114=""LONG"", (IFERROR(INDEX(GOOGLEFINANCE($C114, ""price"", WORKDAY(INT($B114), 1)), 2, 2), """")-$G114)/$G114, ($G114-IFERROR(IND"&amp;"EX(GOOGLEFINANCE($C114, ""price"", WORKDAY(INT($B114), 1)), 2, 2), """"))/$G114))"),-0.0010361160449969386)</f>
        <v>-0.001036116045</v>
      </c>
      <c r="O114" s="30">
        <f>IFERROR(__xludf.DUMMYFUNCTION("IF(OR(ISBLANK($G114), IFERROR(INDEX(GOOGLEFINANCE($C114, ""price"", WORKDAY(INT($B114), 5)), 2, 2), """")=""""), """", IF($D114=""LONG"", (IFERROR(INDEX(GOOGLEFINANCE($C114, ""price"", WORKDAY(INT($B114), 5)), 2, 2), """")-$G114)/$G114, ($G114-IFERROR(IND"&amp;"EX(GOOGLEFINANCE($C114, ""price"", WORKDAY(INT($B114), 5)), 2, 2), """"))/$G114))"),-0.04914150384843092)</f>
        <v>-0.04914150385</v>
      </c>
      <c r="P114" s="30">
        <f>IFERROR(__xludf.DUMMYFUNCTION("IF(OR(ISBLANK($G114), IFERROR(INDEX(GOOGLEFINANCE($C114, ""price"", WORKDAY(INT($B114), 20)), 2, 2), """")=""""), """", IF($D114=""LONG"", (IFERROR(INDEX(GOOGLEFINANCE($C114, ""price"", WORKDAY(INT($B114), 20)), 2, 2), """")-$G114)/$G114, ($G114-IFERROR(I"&amp;"NDEX(GOOGLEFINANCE($C114, ""price"", WORKDAY(INT($B114), 20)), 2, 2), """"))/$G114))"),-0.10827412670219061)</f>
        <v>-0.1082741267</v>
      </c>
      <c r="Q114" s="25" t="s">
        <v>1981</v>
      </c>
      <c r="R114" s="31"/>
      <c r="S114" s="31"/>
      <c r="T114" s="31"/>
    </row>
    <row r="115" ht="22.5" customHeight="1">
      <c r="A115" s="23">
        <f t="shared" si="1"/>
        <v>114</v>
      </c>
      <c r="B115" s="24">
        <v>46212.6675</v>
      </c>
      <c r="C115" s="25" t="s">
        <v>499</v>
      </c>
      <c r="D115" s="26" t="s">
        <v>36</v>
      </c>
      <c r="E115" s="25" t="s">
        <v>37</v>
      </c>
      <c r="F115" s="27">
        <v>2.0</v>
      </c>
      <c r="G115" s="28">
        <v>115.13</v>
      </c>
      <c r="H115" s="25" t="s">
        <v>1984</v>
      </c>
      <c r="I115" s="27">
        <v>90.7</v>
      </c>
      <c r="J115" s="29"/>
      <c r="K115" s="29"/>
      <c r="L115" s="28">
        <f>IFERROR(__xludf.DUMMYFUNCTION("IF(ISBLANK($C115), """", GOOGLEFINANCE($C115, ""price""))"),115.98)</f>
        <v>115.98</v>
      </c>
      <c r="M115" s="30">
        <f t="shared" si="2"/>
        <v>0.007382958395</v>
      </c>
      <c r="N115" s="30">
        <f>IFERROR(__xludf.DUMMYFUNCTION("IF(OR(ISBLANK($G115), IFERROR(INDEX(GOOGLEFINANCE($C115, ""price"", WORKDAY(INT($B115), 1)), 2, 2), """")=""""), """", IF($D115=""LONG"", (IFERROR(INDEX(GOOGLEFINANCE($C115, ""price"", WORKDAY(INT($B115), 1)), 2, 2), """")-$G115)/$G115, ($G115-IFERROR(IND"&amp;"EX(GOOGLEFINANCE($C115, ""price"", WORKDAY(INT($B115), 1)), 2, 2), """"))/$G115))"),-0.001216016676800144)</f>
        <v>-0.001216016677</v>
      </c>
      <c r="O115" s="30">
        <f>IFERROR(__xludf.DUMMYFUNCTION("IF(OR(ISBLANK($G115), IFERROR(INDEX(GOOGLEFINANCE($C115, ""price"", WORKDAY(INT($B115), 5)), 2, 2), """")=""""), """", IF($D115=""LONG"", (IFERROR(INDEX(GOOGLEFINANCE($C115, ""price"", WORKDAY(INT($B115), 5)), 2, 2), """")-$G115)/$G115, ($G115-IFERROR(IND"&amp;"EX(GOOGLEFINANCE($C115, ""price"", WORKDAY(INT($B115), 5)), 2, 2), """"))/$G115))"),-0.010770433423086902)</f>
        <v>-0.01077043342</v>
      </c>
      <c r="P115" s="30">
        <f>IFERROR(__xludf.DUMMYFUNCTION("IF(OR(ISBLANK($G115), IFERROR(INDEX(GOOGLEFINANCE($C115, ""price"", WORKDAY(INT($B115), 20)), 2, 2), """")=""""), """", IF($D115=""LONG"", (IFERROR(INDEX(GOOGLEFINANCE($C115, ""price"", WORKDAY(INT($B115), 20)), 2, 2), """")-$G115)/$G115, ($G115-IFERROR(I"&amp;"NDEX(GOOGLEFINANCE($C115, ""price"", WORKDAY(INT($B115), 20)), 2, 2), """"))/$G115))"),0.007382958394858061)</f>
        <v>0.007382958395</v>
      </c>
      <c r="Q115" s="25" t="s">
        <v>1987</v>
      </c>
      <c r="R115" s="31"/>
      <c r="S115" s="31"/>
      <c r="T115" s="31"/>
    </row>
    <row r="116" ht="22.5" customHeight="1">
      <c r="A116" s="35">
        <f t="shared" si="1"/>
        <v>115</v>
      </c>
      <c r="B116" s="36">
        <v>46212.66741898148</v>
      </c>
      <c r="C116" s="37" t="s">
        <v>66</v>
      </c>
      <c r="D116" s="38" t="s">
        <v>36</v>
      </c>
      <c r="E116" s="37" t="s">
        <v>37</v>
      </c>
      <c r="F116" s="39">
        <v>2.0</v>
      </c>
      <c r="G116" s="40">
        <v>279.25</v>
      </c>
      <c r="H116" s="37" t="s">
        <v>1991</v>
      </c>
      <c r="I116" s="39">
        <v>78.8</v>
      </c>
      <c r="J116" s="41"/>
      <c r="K116" s="37" t="s">
        <v>1992</v>
      </c>
      <c r="L116" s="40">
        <f>IFERROR(__xludf.DUMMYFUNCTION("IF(ISBLANK($C116), """", GOOGLEFINANCE($C116, ""price""))"),296.4)</f>
        <v>296.4</v>
      </c>
      <c r="M116" s="42">
        <f t="shared" si="2"/>
        <v>0.06141450313</v>
      </c>
      <c r="N116" s="42">
        <f>IFERROR(__xludf.DUMMYFUNCTION("IF(OR(ISBLANK($G116), IFERROR(INDEX(GOOGLEFINANCE($C116, ""price"", WORKDAY(INT($B116), 1)), 2, 2), """")=""""), """", IF($D116=""LONG"", (IFERROR(INDEX(GOOGLEFINANCE($C116, ""price"", WORKDAY(INT($B116), 1)), 2, 2), """")-$G116)/$G116, ($G116-IFERROR(IND"&amp;"EX(GOOGLEFINANCE($C116, ""price"", WORKDAY(INT($B116), 1)), 2, 2), """"))/$G116))"),-0.001289167412712672)</f>
        <v>-0.001289167413</v>
      </c>
      <c r="O116" s="42">
        <f>IFERROR(__xludf.DUMMYFUNCTION("IF(OR(ISBLANK($G116), IFERROR(INDEX(GOOGLEFINANCE($C116, ""price"", WORKDAY(INT($B116), 5)), 2, 2), """")=""""), """", IF($D116=""LONG"", (IFERROR(INDEX(GOOGLEFINANCE($C116, ""price"", WORKDAY(INT($B116), 5)), 2, 2), """")-$G116)/$G116, ($G116-IFERROR(IND"&amp;"EX(GOOGLEFINANCE($C116, ""price"", WORKDAY(INT($B116), 5)), 2, 2), """"))/$G116))"),-0.013643688451208603)</f>
        <v>-0.01364368845</v>
      </c>
      <c r="P116" s="42">
        <f>IFERROR(__xludf.DUMMYFUNCTION("IF(OR(ISBLANK($G116), IFERROR(INDEX(GOOGLEFINANCE($C116, ""price"", WORKDAY(INT($B116), 20)), 2, 2), """")=""""), """", IF($D116=""LONG"", (IFERROR(INDEX(GOOGLEFINANCE($C116, ""price"", WORKDAY(INT($B116), 20)), 2, 2), """")-$G116)/$G116, ($G116-IFERROR(I"&amp;"NDEX(GOOGLEFINANCE($C116, ""price"", WORKDAY(INT($B116), 20)), 2, 2), """"))/$G116))"),0.06141450313339294)</f>
        <v>0.06141450313</v>
      </c>
      <c r="Q116" s="37" t="s">
        <v>1995</v>
      </c>
      <c r="R116" s="31"/>
      <c r="S116" s="31"/>
      <c r="T116" s="31"/>
    </row>
    <row r="117" ht="22.5" customHeight="1">
      <c r="A117" s="23">
        <f t="shared" si="1"/>
        <v>116</v>
      </c>
      <c r="B117" s="24">
        <v>46212.66756944444</v>
      </c>
      <c r="C117" s="25" t="s">
        <v>257</v>
      </c>
      <c r="D117" s="26" t="s">
        <v>36</v>
      </c>
      <c r="E117" s="25" t="s">
        <v>37</v>
      </c>
      <c r="F117" s="27">
        <v>2.0</v>
      </c>
      <c r="G117" s="28">
        <v>66.94</v>
      </c>
      <c r="H117" s="25" t="s">
        <v>1996</v>
      </c>
      <c r="I117" s="27">
        <v>94.9</v>
      </c>
      <c r="J117" s="29"/>
      <c r="K117" s="29"/>
      <c r="L117" s="28">
        <f>IFERROR(__xludf.DUMMYFUNCTION("IF(ISBLANK($C117), """", GOOGLEFINANCE($C117, ""price""))"),68.81)</f>
        <v>68.81</v>
      </c>
      <c r="M117" s="30">
        <f t="shared" si="2"/>
        <v>0.0279354646</v>
      </c>
      <c r="N117" s="30">
        <f>IFERROR(__xludf.DUMMYFUNCTION("IF(OR(ISBLANK($G117), IFERROR(INDEX(GOOGLEFINANCE($C117, ""price"", WORKDAY(INT($B117), 1)), 2, 2), """")=""""), """", IF($D117=""LONG"", (IFERROR(INDEX(GOOGLEFINANCE($C117, ""price"", WORKDAY(INT($B117), 1)), 2, 2), """")-$G117)/$G117, ($G117-IFERROR(IND"&amp;"EX(GOOGLEFINANCE($C117, ""price"", WORKDAY(INT($B117), 1)), 2, 2), """"))/$G117))"),-0.0017926501344488282)</f>
        <v>-0.001792650134</v>
      </c>
      <c r="O117" s="30">
        <f>IFERROR(__xludf.DUMMYFUNCTION("IF(OR(ISBLANK($G117), IFERROR(INDEX(GOOGLEFINANCE($C117, ""price"", WORKDAY(INT($B117), 5)), 2, 2), """")=""""), """", IF($D117=""LONG"", (IFERROR(INDEX(GOOGLEFINANCE($C117, ""price"", WORKDAY(INT($B117), 5)), 2, 2), """")-$G117)/$G117, ($G117-IFERROR(IND"&amp;"EX(GOOGLEFINANCE($C117, ""price"", WORKDAY(INT($B117), 5)), 2, 2), """"))/$G117))"),0.05542276665670762)</f>
        <v>0.05542276666</v>
      </c>
      <c r="P117" s="30">
        <f>IFERROR(__xludf.DUMMYFUNCTION("IF(OR(ISBLANK($G117), IFERROR(INDEX(GOOGLEFINANCE($C117, ""price"", WORKDAY(INT($B117), 20)), 2, 2), """")=""""), """", IF($D117=""LONG"", (IFERROR(INDEX(GOOGLEFINANCE($C117, ""price"", WORKDAY(INT($B117), 20)), 2, 2), """")-$G117)/$G117, ($G117-IFERROR(I"&amp;"NDEX(GOOGLEFINANCE($C117, ""price"", WORKDAY(INT($B117), 20)), 2, 2), """"))/$G117))"),0.027935464595159915)</f>
        <v>0.0279354646</v>
      </c>
      <c r="Q117" s="25" t="s">
        <v>1998</v>
      </c>
      <c r="R117" s="31"/>
      <c r="S117" s="31"/>
      <c r="T117" s="31"/>
    </row>
    <row r="118" ht="22.5" customHeight="1">
      <c r="A118" s="23">
        <f t="shared" si="1"/>
        <v>117</v>
      </c>
      <c r="B118" s="24">
        <v>46212.667662037034</v>
      </c>
      <c r="C118" s="25" t="s">
        <v>217</v>
      </c>
      <c r="D118" s="26" t="s">
        <v>36</v>
      </c>
      <c r="E118" s="25" t="s">
        <v>87</v>
      </c>
      <c r="F118" s="27">
        <v>2.0</v>
      </c>
      <c r="G118" s="28">
        <v>377.13</v>
      </c>
      <c r="H118" s="25" t="s">
        <v>2001</v>
      </c>
      <c r="I118" s="27">
        <v>84.6</v>
      </c>
      <c r="J118" s="29"/>
      <c r="K118" s="29"/>
      <c r="L118" s="28">
        <f>IFERROR(__xludf.DUMMYFUNCTION("IF(ISBLANK($C118), """", GOOGLEFINANCE($C118, ""price""))"),399.7)</f>
        <v>399.7</v>
      </c>
      <c r="M118" s="30">
        <f t="shared" si="2"/>
        <v>0.0598467372</v>
      </c>
      <c r="N118" s="30">
        <f>IFERROR(__xludf.DUMMYFUNCTION("IF(OR(ISBLANK($G118), IFERROR(INDEX(GOOGLEFINANCE($C118, ""price"", WORKDAY(INT($B118), 1)), 2, 2), """")=""""), """", IF($D118=""LONG"", (IFERROR(INDEX(GOOGLEFINANCE($C118, ""price"", WORKDAY(INT($B118), 1)), 2, 2), """")-$G118)/$G118, ($G118-IFERROR(IND"&amp;"EX(GOOGLEFINANCE($C118, ""price"", WORKDAY(INT($B118), 1)), 2, 2), """"))/$G118))"),-0.001856123883011133)</f>
        <v>-0.001856123883</v>
      </c>
      <c r="O118" s="30">
        <f>IFERROR(__xludf.DUMMYFUNCTION("IF(OR(ISBLANK($G118), IFERROR(INDEX(GOOGLEFINANCE($C118, ""price"", WORKDAY(INT($B118), 5)), 2, 2), """")=""""), """", IF($D118=""LONG"", (IFERROR(INDEX(GOOGLEFINANCE($C118, ""price"", WORKDAY(INT($B118), 5)), 2, 2), """")-$G118)/$G118, ($G118-IFERROR(IND"&amp;"EX(GOOGLEFINANCE($C118, ""price"", WORKDAY(INT($B118), 5)), 2, 2), """"))/$G118))"),0.002810701879988339)</f>
        <v>0.00281070188</v>
      </c>
      <c r="P118" s="30">
        <f>IFERROR(__xludf.DUMMYFUNCTION("IF(OR(ISBLANK($G118), IFERROR(INDEX(GOOGLEFINANCE($C118, ""price"", WORKDAY(INT($B118), 20)), 2, 2), """")=""""), """", IF($D118=""LONG"", (IFERROR(INDEX(GOOGLEFINANCE($C118, ""price"", WORKDAY(INT($B118), 20)), 2, 2), """")-$G118)/$G118, ($G118-IFERROR(I"&amp;"NDEX(GOOGLEFINANCE($C118, ""price"", WORKDAY(INT($B118), 20)), 2, 2), """"))/$G118))"),0.0598467371993742)</f>
        <v>0.0598467372</v>
      </c>
      <c r="Q118" s="25" t="s">
        <v>2004</v>
      </c>
      <c r="R118" s="31"/>
      <c r="S118" s="31"/>
      <c r="T118" s="31"/>
    </row>
    <row r="119" ht="22.5" customHeight="1">
      <c r="A119" s="23">
        <f t="shared" si="1"/>
        <v>118</v>
      </c>
      <c r="B119" s="24">
        <v>46212.667604166665</v>
      </c>
      <c r="C119" s="25" t="s">
        <v>1171</v>
      </c>
      <c r="D119" s="26" t="s">
        <v>36</v>
      </c>
      <c r="E119" s="25" t="s">
        <v>37</v>
      </c>
      <c r="F119" s="27">
        <v>2.0</v>
      </c>
      <c r="G119" s="28">
        <v>232.09</v>
      </c>
      <c r="H119" s="25" t="s">
        <v>2005</v>
      </c>
      <c r="I119" s="27">
        <v>88.0</v>
      </c>
      <c r="J119" s="29"/>
      <c r="K119" s="29"/>
      <c r="L119" s="28">
        <f>IFERROR(__xludf.DUMMYFUNCTION("IF(ISBLANK($C119), """", GOOGLEFINANCE($C119, ""price""))"),236.0)</f>
        <v>236</v>
      </c>
      <c r="M119" s="30">
        <f t="shared" si="2"/>
        <v>0.01684691284</v>
      </c>
      <c r="N119" s="30">
        <f>IFERROR(__xludf.DUMMYFUNCTION("IF(OR(ISBLANK($G119), IFERROR(INDEX(GOOGLEFINANCE($C119, ""price"", WORKDAY(INT($B119), 1)), 2, 2), """")=""""), """", IF($D119=""LONG"", (IFERROR(INDEX(GOOGLEFINANCE($C119, ""price"", WORKDAY(INT($B119), 1)), 2, 2), """")-$G119)/$G119, ($G119-IFERROR(IND"&amp;"EX(GOOGLEFINANCE($C119, ""price"", WORKDAY(INT($B119), 1)), 2, 2), """"))/$G119))"),-0.002154336679736309)</f>
        <v>-0.00215433668</v>
      </c>
      <c r="O119" s="30">
        <f>IFERROR(__xludf.DUMMYFUNCTION("IF(OR(ISBLANK($G119), IFERROR(INDEX(GOOGLEFINANCE($C119, ""price"", WORKDAY(INT($B119), 5)), 2, 2), """")=""""), """", IF($D119=""LONG"", (IFERROR(INDEX(GOOGLEFINANCE($C119, ""price"", WORKDAY(INT($B119), 5)), 2, 2), """")-$G119)/$G119, ($G119-IFERROR(IND"&amp;"EX(GOOGLEFINANCE($C119, ""price"", WORKDAY(INT($B119), 5)), 2, 2), """"))/$G119))"),0.040501529579042635)</f>
        <v>0.04050152958</v>
      </c>
      <c r="P119" s="30">
        <f>IFERROR(__xludf.DUMMYFUNCTION("IF(OR(ISBLANK($G119), IFERROR(INDEX(GOOGLEFINANCE($C119, ""price"", WORKDAY(INT($B119), 20)), 2, 2), """")=""""), """", IF($D119=""LONG"", (IFERROR(INDEX(GOOGLEFINANCE($C119, ""price"", WORKDAY(INT($B119), 20)), 2, 2), """")-$G119)/$G119, ($G119-IFERROR(I"&amp;"NDEX(GOOGLEFINANCE($C119, ""price"", WORKDAY(INT($B119), 20)), 2, 2), """"))/$G119))"),0.016846912835537922)</f>
        <v>0.01684691284</v>
      </c>
      <c r="Q119" s="25" t="s">
        <v>2008</v>
      </c>
      <c r="R119" s="31"/>
      <c r="S119" s="31"/>
      <c r="T119" s="31"/>
    </row>
    <row r="120" ht="22.5" customHeight="1">
      <c r="A120" s="23">
        <f t="shared" si="1"/>
        <v>119</v>
      </c>
      <c r="B120" s="24">
        <v>46212.66740740741</v>
      </c>
      <c r="C120" s="25" t="s">
        <v>2010</v>
      </c>
      <c r="D120" s="26" t="s">
        <v>119</v>
      </c>
      <c r="E120" s="25" t="s">
        <v>120</v>
      </c>
      <c r="F120" s="27">
        <v>4.0</v>
      </c>
      <c r="G120" s="28">
        <v>384.27</v>
      </c>
      <c r="H120" s="25" t="s">
        <v>2012</v>
      </c>
      <c r="I120" s="27">
        <v>13.9</v>
      </c>
      <c r="J120" s="29"/>
      <c r="K120" s="29"/>
      <c r="L120" s="28">
        <f>IFERROR(__xludf.DUMMYFUNCTION("IF(ISBLANK($C120), """", GOOGLEFINANCE($C120, ""price""))"),499.86)</f>
        <v>499.86</v>
      </c>
      <c r="M120" s="30">
        <f t="shared" si="2"/>
        <v>-0.3008041221</v>
      </c>
      <c r="N120" s="30">
        <f>IFERROR(__xludf.DUMMYFUNCTION("IF(OR(ISBLANK($G120), IFERROR(INDEX(GOOGLEFINANCE($C120, ""price"", WORKDAY(INT($B120), 1)), 2, 2), """")=""""), """", IF($D120=""LONG"", (IFERROR(INDEX(GOOGLEFINANCE($C120, ""price"", WORKDAY(INT($B120), 1)), 2, 2), """")-$G120)/$G120, ($G120-IFERROR(IND"&amp;"EX(GOOGLEFINANCE($C120, ""price"", WORKDAY(INT($B120), 1)), 2, 2), """"))/$G120))"),-0.0021599396257840605)</f>
        <v>-0.002159939626</v>
      </c>
      <c r="O120" s="30">
        <f>IFERROR(__xludf.DUMMYFUNCTION("IF(OR(ISBLANK($G120), IFERROR(INDEX(GOOGLEFINANCE($C120, ""price"", WORKDAY(INT($B120), 5)), 2, 2), """")=""""), """", IF($D120=""LONG"", (IFERROR(INDEX(GOOGLEFINANCE($C120, ""price"", WORKDAY(INT($B120), 5)), 2, 2), """")-$G120)/$G120, ($G120-IFERROR(IND"&amp;"EX(GOOGLEFINANCE($C120, ""price"", WORKDAY(INT($B120), 5)), 2, 2), """"))/$G120))"),-0.04379733000234221)</f>
        <v>-0.04379733</v>
      </c>
      <c r="P120" s="30">
        <f>IFERROR(__xludf.DUMMYFUNCTION("IF(OR(ISBLANK($G120), IFERROR(INDEX(GOOGLEFINANCE($C120, ""price"", WORKDAY(INT($B120), 20)), 2, 2), """")=""""), """", IF($D120=""LONG"", (IFERROR(INDEX(GOOGLEFINANCE($C120, ""price"", WORKDAY(INT($B120), 20)), 2, 2), """")-$G120)/$G120, ($G120-IFERROR(I"&amp;"NDEX(GOOGLEFINANCE($C120, ""price"", WORKDAY(INT($B120), 20)), 2, 2), """"))/$G120))"),-0.30080412210164736)</f>
        <v>-0.3008041221</v>
      </c>
      <c r="Q120" s="25" t="s">
        <v>2015</v>
      </c>
      <c r="R120" s="31"/>
      <c r="S120" s="31"/>
      <c r="T120" s="31"/>
    </row>
    <row r="121" ht="22.5" customHeight="1">
      <c r="A121" s="23">
        <f t="shared" si="1"/>
        <v>120</v>
      </c>
      <c r="B121" s="24">
        <v>46212.66738425926</v>
      </c>
      <c r="C121" s="25" t="s">
        <v>63</v>
      </c>
      <c r="D121" s="26" t="s">
        <v>36</v>
      </c>
      <c r="E121" s="25" t="s">
        <v>37</v>
      </c>
      <c r="F121" s="27">
        <v>2.0</v>
      </c>
      <c r="G121" s="28">
        <v>152.27</v>
      </c>
      <c r="H121" s="25" t="s">
        <v>2018</v>
      </c>
      <c r="I121" s="27">
        <v>85.9</v>
      </c>
      <c r="J121" s="29"/>
      <c r="K121" s="29"/>
      <c r="L121" s="28">
        <f>IFERROR(__xludf.DUMMYFUNCTION("IF(ISBLANK($C121), """", GOOGLEFINANCE($C121, ""price""))"),158.82)</f>
        <v>158.82</v>
      </c>
      <c r="M121" s="30">
        <f t="shared" si="2"/>
        <v>0.0430156958</v>
      </c>
      <c r="N121" s="30">
        <f>IFERROR(__xludf.DUMMYFUNCTION("IF(OR(ISBLANK($G121), IFERROR(INDEX(GOOGLEFINANCE($C121, ""price"", WORKDAY(INT($B121), 1)), 2, 2), """")=""""), """", IF($D121=""LONG"", (IFERROR(INDEX(GOOGLEFINANCE($C121, ""price"", WORKDAY(INT($B121), 1)), 2, 2), """")-$G121)/$G121, ($G121-IFERROR(IND"&amp;"EX(GOOGLEFINANCE($C121, ""price"", WORKDAY(INT($B121), 1)), 2, 2), """"))/$G121))"),-0.0022985486307218936)</f>
        <v>-0.002298548631</v>
      </c>
      <c r="O121" s="30">
        <f>IFERROR(__xludf.DUMMYFUNCTION("IF(OR(ISBLANK($G121), IFERROR(INDEX(GOOGLEFINANCE($C121, ""price"", WORKDAY(INT($B121), 5)), 2, 2), """")=""""), """", IF($D121=""LONG"", (IFERROR(INDEX(GOOGLEFINANCE($C121, ""price"", WORKDAY(INT($B121), 5)), 2, 2), """")-$G121)/$G121, ($G121-IFERROR(IND"&amp;"EX(GOOGLEFINANCE($C121, ""price"", WORKDAY(INT($B121), 5)), 2, 2), """"))/$G121))"),0.056412950679713685)</f>
        <v>0.05641295068</v>
      </c>
      <c r="P121" s="30">
        <f>IFERROR(__xludf.DUMMYFUNCTION("IF(OR(ISBLANK($G121), IFERROR(INDEX(GOOGLEFINANCE($C121, ""price"", WORKDAY(INT($B121), 20)), 2, 2), """")=""""), """", IF($D121=""LONG"", (IFERROR(INDEX(GOOGLEFINANCE($C121, ""price"", WORKDAY(INT($B121), 20)), 2, 2), """")-$G121)/$G121, ($G121-IFERROR(I"&amp;"NDEX(GOOGLEFINANCE($C121, ""price"", WORKDAY(INT($B121), 20)), 2, 2), """"))/$G121))"),0.043015695803506816)</f>
        <v>0.0430156958</v>
      </c>
      <c r="Q121" s="25" t="s">
        <v>2020</v>
      </c>
      <c r="R121" s="31"/>
      <c r="S121" s="31"/>
      <c r="T121" s="31"/>
    </row>
    <row r="122" ht="22.5" customHeight="1">
      <c r="A122" s="23">
        <f t="shared" si="1"/>
        <v>121</v>
      </c>
      <c r="B122" s="24">
        <v>46212.66777777778</v>
      </c>
      <c r="C122" s="25" t="s">
        <v>2022</v>
      </c>
      <c r="D122" s="26" t="s">
        <v>119</v>
      </c>
      <c r="E122" s="25" t="s">
        <v>120</v>
      </c>
      <c r="F122" s="27">
        <v>4.0</v>
      </c>
      <c r="G122" s="28">
        <v>239.71</v>
      </c>
      <c r="H122" s="25" t="s">
        <v>2023</v>
      </c>
      <c r="I122" s="27">
        <v>8.3</v>
      </c>
      <c r="J122" s="29"/>
      <c r="K122" s="29"/>
      <c r="L122" s="28">
        <f>IFERROR(__xludf.DUMMYFUNCTION("IF(ISBLANK($C122), """", GOOGLEFINANCE($C122, ""price""))"),264.32)</f>
        <v>264.32</v>
      </c>
      <c r="M122" s="30">
        <f t="shared" si="2"/>
        <v>-0.1026657211</v>
      </c>
      <c r="N122" s="30">
        <f>IFERROR(__xludf.DUMMYFUNCTION("IF(OR(ISBLANK($G122), IFERROR(INDEX(GOOGLEFINANCE($C122, ""price"", WORKDAY(INT($B122), 1)), 2, 2), """")=""""), """", IF($D122=""LONG"", (IFERROR(INDEX(GOOGLEFINANCE($C122, ""price"", WORKDAY(INT($B122), 1)), 2, 2), """")-$G122)/$G122, ($G122-IFERROR(IND"&amp;"EX(GOOGLEFINANCE($C122, ""price"", WORKDAY(INT($B122), 1)), 2, 2), """"))/$G122))"),-0.002336156188728056)</f>
        <v>-0.002336156189</v>
      </c>
      <c r="O122" s="30">
        <f>IFERROR(__xludf.DUMMYFUNCTION("IF(OR(ISBLANK($G122), IFERROR(INDEX(GOOGLEFINANCE($C122, ""price"", WORKDAY(INT($B122), 5)), 2, 2), """")=""""), """", IF($D122=""LONG"", (IFERROR(INDEX(GOOGLEFINANCE($C122, ""price"", WORKDAY(INT($B122), 5)), 2, 2), """")-$G122)/$G122, ($G122-IFERROR(IND"&amp;"EX(GOOGLEFINANCE($C122, ""price"", WORKDAY(INT($B122), 5)), 2, 2), """"))/$G122))"),-0.027366401067957125)</f>
        <v>-0.02736640107</v>
      </c>
      <c r="P122" s="30">
        <f>IFERROR(__xludf.DUMMYFUNCTION("IF(OR(ISBLANK($G122), IFERROR(INDEX(GOOGLEFINANCE($C122, ""price"", WORKDAY(INT($B122), 20)), 2, 2), """")=""""), """", IF($D122=""LONG"", (IFERROR(INDEX(GOOGLEFINANCE($C122, ""price"", WORKDAY(INT($B122), 20)), 2, 2), """")-$G122)/$G122, ($G122-IFERROR(I"&amp;"NDEX(GOOGLEFINANCE($C122, ""price"", WORKDAY(INT($B122), 20)), 2, 2), """"))/$G122))"),-0.10266572107963783)</f>
        <v>-0.1026657211</v>
      </c>
      <c r="Q122" s="25" t="s">
        <v>2027</v>
      </c>
      <c r="R122" s="31"/>
      <c r="S122" s="31"/>
      <c r="T122" s="31"/>
    </row>
    <row r="123" ht="22.5" customHeight="1">
      <c r="A123" s="23">
        <f t="shared" si="1"/>
        <v>122</v>
      </c>
      <c r="B123" s="24">
        <v>46212.66768518519</v>
      </c>
      <c r="C123" s="25" t="s">
        <v>316</v>
      </c>
      <c r="D123" s="26" t="s">
        <v>36</v>
      </c>
      <c r="E123" s="25" t="s">
        <v>37</v>
      </c>
      <c r="F123" s="27">
        <v>2.0</v>
      </c>
      <c r="G123" s="28">
        <v>113.24</v>
      </c>
      <c r="H123" s="25" t="s">
        <v>2030</v>
      </c>
      <c r="I123" s="27">
        <v>94.2</v>
      </c>
      <c r="J123" s="29"/>
      <c r="K123" s="29"/>
      <c r="L123" s="28">
        <f>IFERROR(__xludf.DUMMYFUNCTION("IF(ISBLANK($C123), """", GOOGLEFINANCE($C123, ""price""))"),110.74)</f>
        <v>110.74</v>
      </c>
      <c r="M123" s="30">
        <f t="shared" si="2"/>
        <v>-0.02207700459</v>
      </c>
      <c r="N123" s="30">
        <f>IFERROR(__xludf.DUMMYFUNCTION("IF(OR(ISBLANK($G123), IFERROR(INDEX(GOOGLEFINANCE($C123, ""price"", WORKDAY(INT($B123), 1)), 2, 2), """")=""""), """", IF($D123=""LONG"", (IFERROR(INDEX(GOOGLEFINANCE($C123, ""price"", WORKDAY(INT($B123), 1)), 2, 2), """")-$G123)/$G123, ($G123-IFERROR(IND"&amp;"EX(GOOGLEFINANCE($C123, ""price"", WORKDAY(INT($B123), 1)), 2, 2), """"))/$G123))"),-0.002472624514305909)</f>
        <v>-0.002472624514</v>
      </c>
      <c r="O123" s="30">
        <f>IFERROR(__xludf.DUMMYFUNCTION("IF(OR(ISBLANK($G123), IFERROR(INDEX(GOOGLEFINANCE($C123, ""price"", WORKDAY(INT($B123), 5)), 2, 2), """")=""""), """", IF($D123=""LONG"", (IFERROR(INDEX(GOOGLEFINANCE($C123, ""price"", WORKDAY(INT($B123), 5)), 2, 2), """")-$G123)/$G123, ($G123-IFERROR(IND"&amp;"EX(GOOGLEFINANCE($C123, ""price"", WORKDAY(INT($B123), 5)), 2, 2), """"))/$G123))"),0.011744966442953005)</f>
        <v>0.01174496644</v>
      </c>
      <c r="P123" s="30">
        <f>IFERROR(__xludf.DUMMYFUNCTION("IF(OR(ISBLANK($G123), IFERROR(INDEX(GOOGLEFINANCE($C123, ""price"", WORKDAY(INT($B123), 20)), 2, 2), """")=""""), """", IF($D123=""LONG"", (IFERROR(INDEX(GOOGLEFINANCE($C123, ""price"", WORKDAY(INT($B123), 20)), 2, 2), """")-$G123)/$G123, ($G123-IFERROR(I"&amp;"NDEX(GOOGLEFINANCE($C123, ""price"", WORKDAY(INT($B123), 20)), 2, 2), """"))/$G123))"),-0.022077004592016957)</f>
        <v>-0.02207700459</v>
      </c>
      <c r="Q123" s="25" t="s">
        <v>2033</v>
      </c>
      <c r="R123" s="31"/>
      <c r="S123" s="31"/>
      <c r="T123" s="31"/>
    </row>
    <row r="124" ht="22.5" customHeight="1">
      <c r="A124" s="23">
        <f t="shared" si="1"/>
        <v>123</v>
      </c>
      <c r="B124" s="24">
        <v>46212.66755787037</v>
      </c>
      <c r="C124" s="25" t="s">
        <v>347</v>
      </c>
      <c r="D124" s="26" t="s">
        <v>36</v>
      </c>
      <c r="E124" s="25" t="s">
        <v>37</v>
      </c>
      <c r="F124" s="27">
        <v>2.0</v>
      </c>
      <c r="G124" s="28">
        <v>277.58</v>
      </c>
      <c r="H124" s="25" t="s">
        <v>2035</v>
      </c>
      <c r="I124" s="27">
        <v>95.5</v>
      </c>
      <c r="J124" s="29"/>
      <c r="K124" s="29"/>
      <c r="L124" s="28">
        <f>IFERROR(__xludf.DUMMYFUNCTION("IF(ISBLANK($C124), """", GOOGLEFINANCE($C124, ""price""))"),316.53)</f>
        <v>316.53</v>
      </c>
      <c r="M124" s="30">
        <f t="shared" si="2"/>
        <v>0.1403199078</v>
      </c>
      <c r="N124" s="30">
        <f>IFERROR(__xludf.DUMMYFUNCTION("IF(OR(ISBLANK($G124), IFERROR(INDEX(GOOGLEFINANCE($C124, ""price"", WORKDAY(INT($B124), 1)), 2, 2), """")=""""), """", IF($D124=""LONG"", (IFERROR(INDEX(GOOGLEFINANCE($C124, ""price"", WORKDAY(INT($B124), 1)), 2, 2), """")-$G124)/$G124, ($G124-IFERROR(IND"&amp;"EX(GOOGLEFINANCE($C124, ""price"", WORKDAY(INT($B124), 1)), 2, 2), """"))/$G124))"),-0.0027739750702499527)</f>
        <v>-0.00277397507</v>
      </c>
      <c r="O124" s="30">
        <f>IFERROR(__xludf.DUMMYFUNCTION("IF(OR(ISBLANK($G124), IFERROR(INDEX(GOOGLEFINANCE($C124, ""price"", WORKDAY(INT($B124), 5)), 2, 2), """")=""""), """", IF($D124=""LONG"", (IFERROR(INDEX(GOOGLEFINANCE($C124, ""price"", WORKDAY(INT($B124), 5)), 2, 2), """")-$G124)/$G124, ($G124-IFERROR(IND"&amp;"EX(GOOGLEFINANCE($C124, ""price"", WORKDAY(INT($B124), 5)), 2, 2), """"))/$G124))"),0.01570718351466249)</f>
        <v>0.01570718351</v>
      </c>
      <c r="P124" s="30">
        <f>IFERROR(__xludf.DUMMYFUNCTION("IF(OR(ISBLANK($G124), IFERROR(INDEX(GOOGLEFINANCE($C124, ""price"", WORKDAY(INT($B124), 20)), 2, 2), """")=""""), """", IF($D124=""LONG"", (IFERROR(INDEX(GOOGLEFINANCE($C124, ""price"", WORKDAY(INT($B124), 20)), 2, 2), """")-$G124)/$G124, ($G124-IFERROR(I"&amp;"NDEX(GOOGLEFINANCE($C124, ""price"", WORKDAY(INT($B124), 20)), 2, 2), """"))/$G124))"),0.14031990777433528)</f>
        <v>0.1403199078</v>
      </c>
      <c r="Q124" s="25" t="s">
        <v>2039</v>
      </c>
      <c r="R124" s="31"/>
      <c r="S124" s="31"/>
      <c r="T124" s="31"/>
    </row>
    <row r="125" ht="22.5" customHeight="1">
      <c r="A125" s="23">
        <f t="shared" si="1"/>
        <v>124</v>
      </c>
      <c r="B125" s="24">
        <v>46212.66755787037</v>
      </c>
      <c r="C125" s="25" t="s">
        <v>1504</v>
      </c>
      <c r="D125" s="26" t="s">
        <v>119</v>
      </c>
      <c r="E125" s="25" t="s">
        <v>120</v>
      </c>
      <c r="F125" s="27">
        <v>4.0</v>
      </c>
      <c r="G125" s="28">
        <v>28.23</v>
      </c>
      <c r="H125" s="25" t="s">
        <v>2040</v>
      </c>
      <c r="I125" s="27">
        <v>16.0</v>
      </c>
      <c r="J125" s="29"/>
      <c r="K125" s="29"/>
      <c r="L125" s="28">
        <f>IFERROR(__xludf.DUMMYFUNCTION("IF(ISBLANK($C125), """", GOOGLEFINANCE($C125, ""price""))"),29.38)</f>
        <v>29.38</v>
      </c>
      <c r="M125" s="30">
        <f t="shared" si="2"/>
        <v>-0.04073680482</v>
      </c>
      <c r="N125" s="30">
        <f>IFERROR(__xludf.DUMMYFUNCTION("IF(OR(ISBLANK($G125), IFERROR(INDEX(GOOGLEFINANCE($C125, ""price"", WORKDAY(INT($B125), 1)), 2, 2), """")=""""), """", IF($D125=""LONG"", (IFERROR(INDEX(GOOGLEFINANCE($C125, ""price"", WORKDAY(INT($B125), 1)), 2, 2), """")-$G125)/$G125, ($G125-IFERROR(IND"&amp;"EX(GOOGLEFINANCE($C125, ""price"", WORKDAY(INT($B125), 1)), 2, 2), """"))/$G125))"),-0.0028338646829613283)</f>
        <v>-0.002833864683</v>
      </c>
      <c r="O125" s="30">
        <f>IFERROR(__xludf.DUMMYFUNCTION("IF(OR(ISBLANK($G125), IFERROR(INDEX(GOOGLEFINANCE($C125, ""price"", WORKDAY(INT($B125), 5)), 2, 2), """")=""""), """", IF($D125=""LONG"", (IFERROR(INDEX(GOOGLEFINANCE($C125, ""price"", WORKDAY(INT($B125), 5)), 2, 2), """")-$G125)/$G125, ($G125-IFERROR(IND"&amp;"EX(GOOGLEFINANCE($C125, ""price"", WORKDAY(INT($B125), 5)), 2, 2), """"))/$G125))"),0.12575274530641165)</f>
        <v>0.1257527453</v>
      </c>
      <c r="P125" s="30">
        <f>IFERROR(__xludf.DUMMYFUNCTION("IF(OR(ISBLANK($G125), IFERROR(INDEX(GOOGLEFINANCE($C125, ""price"", WORKDAY(INT($B125), 20)), 2, 2), """")=""""), """", IF($D125=""LONG"", (IFERROR(INDEX(GOOGLEFINANCE($C125, ""price"", WORKDAY(INT($B125), 20)), 2, 2), """")-$G125)/$G125, ($G125-IFERROR(I"&amp;"NDEX(GOOGLEFINANCE($C125, ""price"", WORKDAY(INT($B125), 20)), 2, 2), """"))/$G125))"),-0.04073680481756991)</f>
        <v>-0.04073680482</v>
      </c>
      <c r="Q125" s="25" t="s">
        <v>2044</v>
      </c>
      <c r="R125" s="31"/>
      <c r="S125" s="31"/>
      <c r="T125" s="31"/>
    </row>
    <row r="126" ht="22.5" customHeight="1">
      <c r="A126" s="23">
        <f t="shared" si="1"/>
        <v>125</v>
      </c>
      <c r="B126" s="24">
        <v>46212.667395833334</v>
      </c>
      <c r="C126" s="25" t="s">
        <v>197</v>
      </c>
      <c r="D126" s="26" t="s">
        <v>36</v>
      </c>
      <c r="E126" s="25" t="s">
        <v>37</v>
      </c>
      <c r="F126" s="27">
        <v>2.0</v>
      </c>
      <c r="G126" s="28">
        <v>208.03</v>
      </c>
      <c r="H126" s="25" t="s">
        <v>2046</v>
      </c>
      <c r="I126" s="27">
        <v>93.4</v>
      </c>
      <c r="J126" s="29"/>
      <c r="K126" s="29"/>
      <c r="L126" s="28">
        <f>IFERROR(__xludf.DUMMYFUNCTION("IF(ISBLANK($C126), """", GOOGLEFINANCE($C126, ""price""))"),238.5)</f>
        <v>238.5</v>
      </c>
      <c r="M126" s="30">
        <f t="shared" si="2"/>
        <v>0.1464692592</v>
      </c>
      <c r="N126" s="30">
        <f>IFERROR(__xludf.DUMMYFUNCTION("IF(OR(ISBLANK($G126), IFERROR(INDEX(GOOGLEFINANCE($C126, ""price"", WORKDAY(INT($B126), 1)), 2, 2), """")=""""), """", IF($D126=""LONG"", (IFERROR(INDEX(GOOGLEFINANCE($C126, ""price"", WORKDAY(INT($B126), 1)), 2, 2), """")-$G126)/$G126, ($G126-IFERROR(IND"&amp;"EX(GOOGLEFINANCE($C126, ""price"", WORKDAY(INT($B126), 1)), 2, 2), """"))/$G126))"),-0.0028361294044128415)</f>
        <v>-0.002836129404</v>
      </c>
      <c r="O126" s="30">
        <f>IFERROR(__xludf.DUMMYFUNCTION("IF(OR(ISBLANK($G126), IFERROR(INDEX(GOOGLEFINANCE($C126, ""price"", WORKDAY(INT($B126), 5)), 2, 2), """")=""""), """", IF($D126=""LONG"", (IFERROR(INDEX(GOOGLEFINANCE($C126, ""price"", WORKDAY(INT($B126), 5)), 2, 2), """")-$G126)/$G126, ($G126-IFERROR(IND"&amp;"EX(GOOGLEFINANCE($C126, ""price"", WORKDAY(INT($B126), 5)), 2, 2), """"))/$G126))"),0.0066336586069316705)</f>
        <v>0.006633658607</v>
      </c>
      <c r="P126" s="30">
        <f>IFERROR(__xludf.DUMMYFUNCTION("IF(OR(ISBLANK($G126), IFERROR(INDEX(GOOGLEFINANCE($C126, ""price"", WORKDAY(INT($B126), 20)), 2, 2), """")=""""), """", IF($D126=""LONG"", (IFERROR(INDEX(GOOGLEFINANCE($C126, ""price"", WORKDAY(INT($B126), 20)), 2, 2), """")-$G126)/$G126, ($G126-IFERROR(I"&amp;"NDEX(GOOGLEFINANCE($C126, ""price"", WORKDAY(INT($B126), 20)), 2, 2), """"))/$G126))"),0.14646925924145554)</f>
        <v>0.1464692592</v>
      </c>
      <c r="Q126" s="25" t="s">
        <v>2051</v>
      </c>
      <c r="R126" s="31"/>
      <c r="S126" s="31"/>
      <c r="T126" s="31"/>
    </row>
    <row r="127" ht="22.5" customHeight="1">
      <c r="A127" s="23">
        <f t="shared" si="1"/>
        <v>126</v>
      </c>
      <c r="B127" s="24">
        <v>46212.66777777778</v>
      </c>
      <c r="C127" s="25" t="s">
        <v>236</v>
      </c>
      <c r="D127" s="26" t="s">
        <v>36</v>
      </c>
      <c r="E127" s="25" t="s">
        <v>37</v>
      </c>
      <c r="F127" s="27">
        <v>2.0</v>
      </c>
      <c r="G127" s="28">
        <v>1295.3</v>
      </c>
      <c r="H127" s="25" t="s">
        <v>2053</v>
      </c>
      <c r="I127" s="27">
        <v>94.8</v>
      </c>
      <c r="J127" s="29"/>
      <c r="K127" s="29"/>
      <c r="L127" s="28">
        <f>IFERROR(__xludf.DUMMYFUNCTION("IF(ISBLANK($C127), """", GOOGLEFINANCE($C127, ""price""))"),1262.07)</f>
        <v>1262.07</v>
      </c>
      <c r="M127" s="30">
        <f t="shared" si="2"/>
        <v>-0.02565428858</v>
      </c>
      <c r="N127" s="30">
        <f>IFERROR(__xludf.DUMMYFUNCTION("IF(OR(ISBLANK($G127), IFERROR(INDEX(GOOGLEFINANCE($C127, ""price"", WORKDAY(INT($B127), 1)), 2, 2), """")=""""), """", IF($D127=""LONG"", (IFERROR(INDEX(GOOGLEFINANCE($C127, ""price"", WORKDAY(INT($B127), 1)), 2, 2), """")-$G127)/$G127, ($G127-IFERROR(IND"&amp;"EX(GOOGLEFINANCE($C127, ""price"", WORKDAY(INT($B127), 1)), 2, 2), """"))/$G127))"),-0.003049486605419629)</f>
        <v>-0.003049486605</v>
      </c>
      <c r="O127" s="30">
        <f>IFERROR(__xludf.DUMMYFUNCTION("IF(OR(ISBLANK($G127), IFERROR(INDEX(GOOGLEFINANCE($C127, ""price"", WORKDAY(INT($B127), 5)), 2, 2), """")=""""), """", IF($D127=""LONG"", (IFERROR(INDEX(GOOGLEFINANCE($C127, ""price"", WORKDAY(INT($B127), 5)), 2, 2), """")-$G127)/$G127, ($G127-IFERROR(IND"&amp;"EX(GOOGLEFINANCE($C127, ""price"", WORKDAY(INT($B127), 5)), 2, 2), """"))/$G127))"),-0.049556087392882)</f>
        <v>-0.04955608739</v>
      </c>
      <c r="P127" s="30">
        <f>IFERROR(__xludf.DUMMYFUNCTION("IF(OR(ISBLANK($G127), IFERROR(INDEX(GOOGLEFINANCE($C127, ""price"", WORKDAY(INT($B127), 20)), 2, 2), """")=""""), """", IF($D127=""LONG"", (IFERROR(INDEX(GOOGLEFINANCE($C127, ""price"", WORKDAY(INT($B127), 20)), 2, 2), """")-$G127)/$G127, ($G127-IFERROR(I"&amp;"NDEX(GOOGLEFINANCE($C127, ""price"", WORKDAY(INT($B127), 20)), 2, 2), """"))/$G127))"),-0.025654288581795737)</f>
        <v>-0.02565428858</v>
      </c>
      <c r="Q127" s="25" t="s">
        <v>2056</v>
      </c>
      <c r="R127" s="31"/>
      <c r="S127" s="31"/>
      <c r="T127" s="31"/>
    </row>
    <row r="128" ht="22.5" customHeight="1">
      <c r="A128" s="23">
        <f t="shared" si="1"/>
        <v>127</v>
      </c>
      <c r="B128" s="24">
        <v>46212.66762731481</v>
      </c>
      <c r="C128" s="25" t="s">
        <v>372</v>
      </c>
      <c r="D128" s="26" t="s">
        <v>119</v>
      </c>
      <c r="E128" s="25" t="s">
        <v>120</v>
      </c>
      <c r="F128" s="27">
        <v>4.0</v>
      </c>
      <c r="G128" s="28">
        <v>143.35</v>
      </c>
      <c r="H128" s="25" t="s">
        <v>2057</v>
      </c>
      <c r="I128" s="27">
        <v>50.0</v>
      </c>
      <c r="J128" s="29"/>
      <c r="K128" s="29"/>
      <c r="L128" s="28">
        <f>IFERROR(__xludf.DUMMYFUNCTION("IF(ISBLANK($C128), """", GOOGLEFINANCE($C128, ""price""))"),133.37)</f>
        <v>133.37</v>
      </c>
      <c r="M128" s="30">
        <f t="shared" si="2"/>
        <v>0.06961981165</v>
      </c>
      <c r="N128" s="30">
        <f>IFERROR(__xludf.DUMMYFUNCTION("IF(OR(ISBLANK($G128), IFERROR(INDEX(GOOGLEFINANCE($C128, ""price"", WORKDAY(INT($B128), 1)), 2, 2), """")=""""), """", IF($D128=""LONG"", (IFERROR(INDEX(GOOGLEFINANCE($C128, ""price"", WORKDAY(INT($B128), 1)), 2, 2), """")-$G128)/$G128, ($G128-IFERROR(IND"&amp;"EX(GOOGLEFINANCE($C128, ""price"", WORKDAY(INT($B128), 1)), 2, 2), """"))/$G128))"),-0.003139169863969425)</f>
        <v>-0.003139169864</v>
      </c>
      <c r="O128" s="30">
        <f>IFERROR(__xludf.DUMMYFUNCTION("IF(OR(ISBLANK($G128), IFERROR(INDEX(GOOGLEFINANCE($C128, ""price"", WORKDAY(INT($B128), 5)), 2, 2), """")=""""), """", IF($D128=""LONG"", (IFERROR(INDEX(GOOGLEFINANCE($C128, ""price"", WORKDAY(INT($B128), 5)), 2, 2), """")-$G128)/$G128, ($G128-IFERROR(IND"&amp;"EX(GOOGLEFINANCE($C128, ""price"", WORKDAY(INT($B128), 5)), 2, 2), """"))/$G128))"),0.05497035228461804)</f>
        <v>0.05497035228</v>
      </c>
      <c r="P128" s="30">
        <f>IFERROR(__xludf.DUMMYFUNCTION("IF(OR(ISBLANK($G128), IFERROR(INDEX(GOOGLEFINANCE($C128, ""price"", WORKDAY(INT($B128), 20)), 2, 2), """")=""""), """", IF($D128=""LONG"", (IFERROR(INDEX(GOOGLEFINANCE($C128, ""price"", WORKDAY(INT($B128), 20)), 2, 2), """")-$G128)/$G128, ($G128-IFERROR(I"&amp;"NDEX(GOOGLEFINANCE($C128, ""price"", WORKDAY(INT($B128), 20)), 2, 2), """"))/$G128))"),0.0696198116498081)</f>
        <v>0.06961981165</v>
      </c>
      <c r="Q128" s="25" t="s">
        <v>2060</v>
      </c>
      <c r="R128" s="31"/>
      <c r="S128" s="31"/>
      <c r="T128" s="31"/>
    </row>
    <row r="129" ht="22.5" customHeight="1">
      <c r="A129" s="23">
        <f t="shared" si="1"/>
        <v>128</v>
      </c>
      <c r="B129" s="24">
        <v>46212.667858796296</v>
      </c>
      <c r="C129" s="25" t="s">
        <v>400</v>
      </c>
      <c r="D129" s="26" t="s">
        <v>36</v>
      </c>
      <c r="E129" s="25" t="s">
        <v>37</v>
      </c>
      <c r="F129" s="27">
        <v>2.0</v>
      </c>
      <c r="G129" s="28">
        <v>495.38</v>
      </c>
      <c r="H129" s="25" t="s">
        <v>2063</v>
      </c>
      <c r="I129" s="27">
        <v>93.9</v>
      </c>
      <c r="J129" s="29"/>
      <c r="K129" s="29"/>
      <c r="L129" s="28">
        <f>IFERROR(__xludf.DUMMYFUNCTION("IF(ISBLANK($C129), """", GOOGLEFINANCE($C129, ""price""))"),524.61)</f>
        <v>524.61</v>
      </c>
      <c r="M129" s="30">
        <f t="shared" si="2"/>
        <v>0.05900520812</v>
      </c>
      <c r="N129" s="30">
        <f>IFERROR(__xludf.DUMMYFUNCTION("IF(OR(ISBLANK($G129), IFERROR(INDEX(GOOGLEFINANCE($C129, ""price"", WORKDAY(INT($B129), 1)), 2, 2), """")=""""), """", IF($D129=""LONG"", (IFERROR(INDEX(GOOGLEFINANCE($C129, ""price"", WORKDAY(INT($B129), 1)), 2, 2), """")-$G129)/$G129, ($G129-IFERROR(IND"&amp;"EX(GOOGLEFINANCE($C129, ""price"", WORKDAY(INT($B129), 1)), 2, 2), """"))/$G129))"),-0.0033711494206468086)</f>
        <v>-0.003371149421</v>
      </c>
      <c r="O129" s="30">
        <f>IFERROR(__xludf.DUMMYFUNCTION("IF(OR(ISBLANK($G129), IFERROR(INDEX(GOOGLEFINANCE($C129, ""price"", WORKDAY(INT($B129), 5)), 2, 2), """")=""""), """", IF($D129=""LONG"", (IFERROR(INDEX(GOOGLEFINANCE($C129, ""price"", WORKDAY(INT($B129), 5)), 2, 2), """")-$G129)/$G129, ($G129-IFERROR(IND"&amp;"EX(GOOGLEFINANCE($C129, ""price"", WORKDAY(INT($B129), 5)), 2, 2), """"))/$G129))"),-0.004562154305785439)</f>
        <v>-0.004562154306</v>
      </c>
      <c r="P129" s="30">
        <f>IFERROR(__xludf.DUMMYFUNCTION("IF(OR(ISBLANK($G129), IFERROR(INDEX(GOOGLEFINANCE($C129, ""price"", WORKDAY(INT($B129), 20)), 2, 2), """")=""""), """", IF($D129=""LONG"", (IFERROR(INDEX(GOOGLEFINANCE($C129, ""price"", WORKDAY(INT($B129), 20)), 2, 2), """")-$G129)/$G129, ($G129-IFERROR(I"&amp;"NDEX(GOOGLEFINANCE($C129, ""price"", WORKDAY(INT($B129), 20)), 2, 2), """"))/$G129))"),0.05900520812305708)</f>
        <v>0.05900520812</v>
      </c>
      <c r="Q129" s="25" t="s">
        <v>2065</v>
      </c>
      <c r="R129" s="31"/>
      <c r="S129" s="31"/>
      <c r="T129" s="31"/>
    </row>
    <row r="130" ht="22.5" customHeight="1">
      <c r="A130" s="23">
        <f t="shared" si="1"/>
        <v>129</v>
      </c>
      <c r="B130" s="24">
        <v>46212.66741898148</v>
      </c>
      <c r="C130" s="25" t="s">
        <v>539</v>
      </c>
      <c r="D130" s="26" t="s">
        <v>36</v>
      </c>
      <c r="E130" s="25" t="s">
        <v>133</v>
      </c>
      <c r="F130" s="27">
        <v>2.0</v>
      </c>
      <c r="G130" s="28">
        <v>26.0</v>
      </c>
      <c r="H130" s="25" t="s">
        <v>2068</v>
      </c>
      <c r="I130" s="27">
        <v>93.1</v>
      </c>
      <c r="J130" s="29"/>
      <c r="K130" s="29"/>
      <c r="L130" s="28">
        <f>IFERROR(__xludf.DUMMYFUNCTION("IF(ISBLANK($C130), """", GOOGLEFINANCE($C130, ""price""))"),28.1)</f>
        <v>28.1</v>
      </c>
      <c r="M130" s="30">
        <f t="shared" si="2"/>
        <v>0.08076923077</v>
      </c>
      <c r="N130" s="30">
        <f>IFERROR(__xludf.DUMMYFUNCTION("IF(OR(ISBLANK($G130), IFERROR(INDEX(GOOGLEFINANCE($C130, ""price"", WORKDAY(INT($B130), 1)), 2, 2), """")=""""), """", IF($D130=""LONG"", (IFERROR(INDEX(GOOGLEFINANCE($C130, ""price"", WORKDAY(INT($B130), 1)), 2, 2), """")-$G130)/$G130, ($G130-IFERROR(IND"&amp;"EX(GOOGLEFINANCE($C130, ""price"", WORKDAY(INT($B130), 1)), 2, 2), """"))/$G130))"),-0.003461538461538456)</f>
        <v>-0.003461538462</v>
      </c>
      <c r="O130" s="30">
        <f>IFERROR(__xludf.DUMMYFUNCTION("IF(OR(ISBLANK($G130), IFERROR(INDEX(GOOGLEFINANCE($C130, ""price"", WORKDAY(INT($B130), 5)), 2, 2), """")=""""), """", IF($D130=""LONG"", (IFERROR(INDEX(GOOGLEFINANCE($C130, ""price"", WORKDAY(INT($B130), 5)), 2, 2), """")-$G130)/$G130, ($G130-IFERROR(IND"&amp;"EX(GOOGLEFINANCE($C130, ""price"", WORKDAY(INT($B130), 5)), 2, 2), """"))/$G130))"),0.038846153846153905)</f>
        <v>0.03884615385</v>
      </c>
      <c r="P130" s="30">
        <f>IFERROR(__xludf.DUMMYFUNCTION("IF(OR(ISBLANK($G130), IFERROR(INDEX(GOOGLEFINANCE($C130, ""price"", WORKDAY(INT($B130), 20)), 2, 2), """")=""""), """", IF($D130=""LONG"", (IFERROR(INDEX(GOOGLEFINANCE($C130, ""price"", WORKDAY(INT($B130), 20)), 2, 2), """")-$G130)/$G130, ($G130-IFERROR(I"&amp;"NDEX(GOOGLEFINANCE($C130, ""price"", WORKDAY(INT($B130), 20)), 2, 2), """"))/$G130))"),0.08038461538461537)</f>
        <v>0.08038461538</v>
      </c>
      <c r="Q130" s="25" t="s">
        <v>2071</v>
      </c>
      <c r="R130" s="31"/>
      <c r="S130" s="31"/>
      <c r="T130" s="31"/>
    </row>
    <row r="131" ht="22.5" customHeight="1">
      <c r="A131" s="23">
        <f t="shared" si="1"/>
        <v>130</v>
      </c>
      <c r="B131" s="24">
        <v>46212.6675</v>
      </c>
      <c r="C131" s="25" t="s">
        <v>682</v>
      </c>
      <c r="D131" s="26" t="s">
        <v>36</v>
      </c>
      <c r="E131" s="25" t="s">
        <v>133</v>
      </c>
      <c r="F131" s="27">
        <v>2.0</v>
      </c>
      <c r="G131" s="28">
        <v>67.59</v>
      </c>
      <c r="H131" s="25" t="s">
        <v>2073</v>
      </c>
      <c r="I131" s="27">
        <v>64.6</v>
      </c>
      <c r="J131" s="29"/>
      <c r="K131" s="29"/>
      <c r="L131" s="28">
        <f>IFERROR(__xludf.DUMMYFUNCTION("IF(ISBLANK($C131), """", GOOGLEFINANCE($C131, ""price""))"),64.2)</f>
        <v>64.2</v>
      </c>
      <c r="M131" s="30">
        <f t="shared" si="2"/>
        <v>-0.05015534842</v>
      </c>
      <c r="N131" s="30">
        <f>IFERROR(__xludf.DUMMYFUNCTION("IF(OR(ISBLANK($G131), IFERROR(INDEX(GOOGLEFINANCE($C131, ""price"", WORKDAY(INT($B131), 1)), 2, 2), """")=""""), """", IF($D131=""LONG"", (IFERROR(INDEX(GOOGLEFINANCE($C131, ""price"", WORKDAY(INT($B131), 1)), 2, 2), """")-$G131)/$G131, ($G131-IFERROR(IND"&amp;"EX(GOOGLEFINANCE($C131, ""price"", WORKDAY(INT($B131), 1)), 2, 2), """"))/$G131))"),-0.0035508211273858423)</f>
        <v>-0.003550821127</v>
      </c>
      <c r="O131" s="30">
        <f>IFERROR(__xludf.DUMMYFUNCTION("IF(OR(ISBLANK($G131), IFERROR(INDEX(GOOGLEFINANCE($C131, ""price"", WORKDAY(INT($B131), 5)), 2, 2), """")=""""), """", IF($D131=""LONG"", (IFERROR(INDEX(GOOGLEFINANCE($C131, ""price"", WORKDAY(INT($B131), 5)), 2, 2), """")-$G131)/$G131, ($G131-IFERROR(IND"&amp;"EX(GOOGLEFINANCE($C131, ""price"", WORKDAY(INT($B131), 5)), 2, 2), """"))/$G131))"),-0.05474182571386304)</f>
        <v>-0.05474182571</v>
      </c>
      <c r="P131" s="30">
        <f>IFERROR(__xludf.DUMMYFUNCTION("IF(OR(ISBLANK($G131), IFERROR(INDEX(GOOGLEFINANCE($C131, ""price"", WORKDAY(INT($B131), 20)), 2, 2), """")=""""), """", IF($D131=""LONG"", (IFERROR(INDEX(GOOGLEFINANCE($C131, ""price"", WORKDAY(INT($B131), 20)), 2, 2), """")-$G131)/$G131, ($G131-IFERROR(I"&amp;"NDEX(GOOGLEFINANCE($C131, ""price"", WORKDAY(INT($B131), 20)), 2, 2), """"))/$G131))"),-0.05015534842432313)</f>
        <v>-0.05015534842</v>
      </c>
      <c r="Q131" s="25" t="s">
        <v>2075</v>
      </c>
      <c r="R131" s="31"/>
      <c r="S131" s="31"/>
      <c r="T131" s="31"/>
    </row>
    <row r="132" ht="22.5" customHeight="1">
      <c r="A132" s="23">
        <f t="shared" si="1"/>
        <v>131</v>
      </c>
      <c r="B132" s="24">
        <v>46212.66778935185</v>
      </c>
      <c r="C132" s="25" t="s">
        <v>142</v>
      </c>
      <c r="D132" s="26" t="s">
        <v>119</v>
      </c>
      <c r="E132" s="25" t="s">
        <v>120</v>
      </c>
      <c r="F132" s="27">
        <v>4.0</v>
      </c>
      <c r="G132" s="28">
        <v>88.24</v>
      </c>
      <c r="H132" s="25" t="s">
        <v>2078</v>
      </c>
      <c r="I132" s="27">
        <v>16.8</v>
      </c>
      <c r="J132" s="29"/>
      <c r="K132" s="29"/>
      <c r="L132" s="28">
        <f>IFERROR(__xludf.DUMMYFUNCTION("IF(ISBLANK($C132), """", GOOGLEFINANCE($C132, ""price""))"),74.36)</f>
        <v>74.36</v>
      </c>
      <c r="M132" s="30">
        <f t="shared" si="2"/>
        <v>0.1572982774</v>
      </c>
      <c r="N132" s="30">
        <f>IFERROR(__xludf.DUMMYFUNCTION("IF(OR(ISBLANK($G132), IFERROR(INDEX(GOOGLEFINANCE($C132, ""price"", WORKDAY(INT($B132), 1)), 2, 2), """")=""""), """", IF($D132=""LONG"", (IFERROR(INDEX(GOOGLEFINANCE($C132, ""price"", WORKDAY(INT($B132), 1)), 2, 2), """")-$G132)/$G132, ($G132-IFERROR(IND"&amp;"EX(GOOGLEFINANCE($C132, ""price"", WORKDAY(INT($B132), 1)), 2, 2), """"))/$G132))"),-0.003966455122393569)</f>
        <v>-0.003966455122</v>
      </c>
      <c r="O132" s="30">
        <f>IFERROR(__xludf.DUMMYFUNCTION("IF(OR(ISBLANK($G132), IFERROR(INDEX(GOOGLEFINANCE($C132, ""price"", WORKDAY(INT($B132), 5)), 2, 2), """")=""""), """", IF($D132=""LONG"", (IFERROR(INDEX(GOOGLEFINANCE($C132, ""price"", WORKDAY(INT($B132), 5)), 2, 2), """")-$G132)/$G132, ($G132-IFERROR(IND"&amp;"EX(GOOGLEFINANCE($C132, ""price"", WORKDAY(INT($B132), 5)), 2, 2), """"))/$G132))"),0.07434270172257466)</f>
        <v>0.07434270172</v>
      </c>
      <c r="P132" s="30">
        <f>IFERROR(__xludf.DUMMYFUNCTION("IF(OR(ISBLANK($G132), IFERROR(INDEX(GOOGLEFINANCE($C132, ""price"", WORKDAY(INT($B132), 20)), 2, 2), """")=""""), """", IF($D132=""LONG"", (IFERROR(INDEX(GOOGLEFINANCE($C132, ""price"", WORKDAY(INT($B132), 20)), 2, 2), """")-$G132)/$G132, ($G132-IFERROR(I"&amp;"NDEX(GOOGLEFINANCE($C132, ""price"", WORKDAY(INT($B132), 20)), 2, 2), """"))/$G132))"),0.15729827742520394)</f>
        <v>0.1572982774</v>
      </c>
      <c r="Q132" s="25" t="s">
        <v>2081</v>
      </c>
      <c r="R132" s="31"/>
      <c r="S132" s="31"/>
      <c r="T132" s="31"/>
    </row>
    <row r="133" ht="22.5" customHeight="1">
      <c r="A133" s="23">
        <f t="shared" si="1"/>
        <v>132</v>
      </c>
      <c r="B133" s="24">
        <v>46212.66740740741</v>
      </c>
      <c r="C133" s="25" t="s">
        <v>388</v>
      </c>
      <c r="D133" s="26" t="s">
        <v>119</v>
      </c>
      <c r="E133" s="25" t="s">
        <v>120</v>
      </c>
      <c r="F133" s="27">
        <v>4.0</v>
      </c>
      <c r="G133" s="28">
        <v>33.3</v>
      </c>
      <c r="H133" s="25" t="s">
        <v>2082</v>
      </c>
      <c r="I133" s="27">
        <v>3.9</v>
      </c>
      <c r="J133" s="29"/>
      <c r="K133" s="29"/>
      <c r="L133" s="28">
        <f>IFERROR(__xludf.DUMMYFUNCTION("IF(ISBLANK($C133), """", GOOGLEFINANCE($C133, ""price""))"),36.53)</f>
        <v>36.53</v>
      </c>
      <c r="M133" s="30">
        <f t="shared" si="2"/>
        <v>-0.096996997</v>
      </c>
      <c r="N133" s="30">
        <f>IFERROR(__xludf.DUMMYFUNCTION("IF(OR(ISBLANK($G133), IFERROR(INDEX(GOOGLEFINANCE($C133, ""price"", WORKDAY(INT($B133), 1)), 2, 2), """")=""""), """", IF($D133=""LONG"", (IFERROR(INDEX(GOOGLEFINANCE($C133, ""price"", WORKDAY(INT($B133), 1)), 2, 2), """")-$G133)/$G133, ($G133-IFERROR(IND"&amp;"EX(GOOGLEFINANCE($C133, ""price"", WORKDAY(INT($B133), 1)), 2, 2), """"))/$G133))"),-0.004204204204204222)</f>
        <v>-0.004204204204</v>
      </c>
      <c r="O133" s="30">
        <f>IFERROR(__xludf.DUMMYFUNCTION("IF(OR(ISBLANK($G133), IFERROR(INDEX(GOOGLEFINANCE($C133, ""price"", WORKDAY(INT($B133), 5)), 2, 2), """")=""""), """", IF($D133=""LONG"", (IFERROR(INDEX(GOOGLEFINANCE($C133, ""price"", WORKDAY(INT($B133), 5)), 2, 2), """")-$G133)/$G133, ($G133-IFERROR(IND"&amp;"EX(GOOGLEFINANCE($C133, ""price"", WORKDAY(INT($B133), 5)), 2, 2), """"))/$G133))"),-0.02942942942942955)</f>
        <v>-0.02942942943</v>
      </c>
      <c r="P133" s="30">
        <f>IFERROR(__xludf.DUMMYFUNCTION("IF(OR(ISBLANK($G133), IFERROR(INDEX(GOOGLEFINANCE($C133, ""price"", WORKDAY(INT($B133), 20)), 2, 2), """")=""""), """", IF($D133=""LONG"", (IFERROR(INDEX(GOOGLEFINANCE($C133, ""price"", WORKDAY(INT($B133), 20)), 2, 2), """")-$G133)/$G133, ($G133-IFERROR(I"&amp;"NDEX(GOOGLEFINANCE($C133, ""price"", WORKDAY(INT($B133), 20)), 2, 2), """"))/$G133))"),-0.09699699699699713)</f>
        <v>-0.096996997</v>
      </c>
      <c r="Q133" s="25" t="s">
        <v>2086</v>
      </c>
      <c r="R133" s="31"/>
      <c r="S133" s="31"/>
      <c r="T133" s="31"/>
    </row>
    <row r="134" ht="22.5" customHeight="1">
      <c r="A134" s="35">
        <f t="shared" si="1"/>
        <v>133</v>
      </c>
      <c r="B134" s="36">
        <v>46212.66740740741</v>
      </c>
      <c r="C134" s="37" t="s">
        <v>834</v>
      </c>
      <c r="D134" s="38" t="s">
        <v>119</v>
      </c>
      <c r="E134" s="37" t="s">
        <v>120</v>
      </c>
      <c r="F134" s="39">
        <v>4.0</v>
      </c>
      <c r="G134" s="40">
        <v>119.83</v>
      </c>
      <c r="H134" s="37" t="s">
        <v>2088</v>
      </c>
      <c r="I134" s="39">
        <v>11.7</v>
      </c>
      <c r="J134" s="41"/>
      <c r="K134" s="37" t="s">
        <v>2089</v>
      </c>
      <c r="L134" s="40">
        <f>IFERROR(__xludf.DUMMYFUNCTION("IF(ISBLANK($C134), """", GOOGLEFINANCE($C134, ""price""))"),127.99)</f>
        <v>127.99</v>
      </c>
      <c r="M134" s="42">
        <f t="shared" si="2"/>
        <v>-0.06809647</v>
      </c>
      <c r="N134" s="42">
        <f>IFERROR(__xludf.DUMMYFUNCTION("IF(OR(ISBLANK($G134), IFERROR(INDEX(GOOGLEFINANCE($C134, ""price"", WORKDAY(INT($B134), 1)), 2, 2), """")=""""), """", IF($D134=""LONG"", (IFERROR(INDEX(GOOGLEFINANCE($C134, ""price"", WORKDAY(INT($B134), 1)), 2, 2), """")-$G134)/$G134, ($G134-IFERROR(IND"&amp;"EX(GOOGLEFINANCE($C134, ""price"", WORKDAY(INT($B134), 1)), 2, 2), """"))/$G134))"),-0.004256029374947886)</f>
        <v>-0.004256029375</v>
      </c>
      <c r="O134" s="42">
        <f>IFERROR(__xludf.DUMMYFUNCTION("IF(OR(ISBLANK($G134), IFERROR(INDEX(GOOGLEFINANCE($C134, ""price"", WORKDAY(INT($B134), 5)), 2, 2), """")=""""), """", IF($D134=""LONG"", (IFERROR(INDEX(GOOGLEFINANCE($C134, ""price"", WORKDAY(INT($B134), 5)), 2, 2), """")-$G134)/$G134, ($G134-IFERROR(IND"&amp;"EX(GOOGLEFINANCE($C134, ""price"", WORKDAY(INT($B134), 5)), 2, 2), """"))/$G134))"),-0.029291496286405785)</f>
        <v>-0.02929149629</v>
      </c>
      <c r="P134" s="42">
        <f>IFERROR(__xludf.DUMMYFUNCTION("IF(OR(ISBLANK($G134), IFERROR(INDEX(GOOGLEFINANCE($C134, ""price"", WORKDAY(INT($B134), 20)), 2, 2), """")=""""), """", IF($D134=""LONG"", (IFERROR(INDEX(GOOGLEFINANCE($C134, ""price"", WORKDAY(INT($B134), 20)), 2, 2), """")-$G134)/$G134, ($G134-IFERROR(I"&amp;"NDEX(GOOGLEFINANCE($C134, ""price"", WORKDAY(INT($B134), 20)), 2, 2), """"))/$G134))"),-0.06809646999916545)</f>
        <v>-0.06809647</v>
      </c>
      <c r="Q134" s="37" t="s">
        <v>2092</v>
      </c>
      <c r="R134" s="31"/>
      <c r="S134" s="31"/>
      <c r="T134" s="31"/>
    </row>
    <row r="135" ht="22.5" customHeight="1">
      <c r="A135" s="23">
        <f t="shared" si="1"/>
        <v>134</v>
      </c>
      <c r="B135" s="24">
        <v>46212.66751157407</v>
      </c>
      <c r="C135" s="25" t="s">
        <v>351</v>
      </c>
      <c r="D135" s="26" t="s">
        <v>36</v>
      </c>
      <c r="E135" s="25" t="s">
        <v>37</v>
      </c>
      <c r="F135" s="27">
        <v>2.0</v>
      </c>
      <c r="G135" s="28">
        <v>219.74</v>
      </c>
      <c r="H135" s="25" t="s">
        <v>2094</v>
      </c>
      <c r="I135" s="27">
        <v>88.9</v>
      </c>
      <c r="J135" s="29"/>
      <c r="K135" s="29"/>
      <c r="L135" s="28">
        <f>IFERROR(__xludf.DUMMYFUNCTION("IF(ISBLANK($C135), """", GOOGLEFINANCE($C135, ""price""))"),221.83)</f>
        <v>221.83</v>
      </c>
      <c r="M135" s="30">
        <f t="shared" si="2"/>
        <v>0.009511240557</v>
      </c>
      <c r="N135" s="30">
        <f>IFERROR(__xludf.DUMMYFUNCTION("IF(OR(ISBLANK($G135), IFERROR(INDEX(GOOGLEFINANCE($C135, ""price"", WORKDAY(INT($B135), 1)), 2, 2), """")=""""), """", IF($D135=""LONG"", (IFERROR(INDEX(GOOGLEFINANCE($C135, ""price"", WORKDAY(INT($B135), 1)), 2, 2), """")-$G135)/$G135, ($G135-IFERROR(IND"&amp;"EX(GOOGLEFINANCE($C135, ""price"", WORKDAY(INT($B135), 1)), 2, 2), """"))/$G135))"),-0.004414307818330749)</f>
        <v>-0.004414307818</v>
      </c>
      <c r="O135" s="30">
        <f>IFERROR(__xludf.DUMMYFUNCTION("IF(OR(ISBLANK($G135), IFERROR(INDEX(GOOGLEFINANCE($C135, ""price"", WORKDAY(INT($B135), 5)), 2, 2), """")=""""), """", IF($D135=""LONG"", (IFERROR(INDEX(GOOGLEFINANCE($C135, ""price"", WORKDAY(INT($B135), 5)), 2, 2), """")-$G135)/$G135, ($G135-IFERROR(IND"&amp;"EX(GOOGLEFINANCE($C135, ""price"", WORKDAY(INT($B135), 5)), 2, 2), """"))/$G135))"),0.039819787021024844)</f>
        <v>0.03981978702</v>
      </c>
      <c r="P135" s="30">
        <f>IFERROR(__xludf.DUMMYFUNCTION("IF(OR(ISBLANK($G135), IFERROR(INDEX(GOOGLEFINANCE($C135, ""price"", WORKDAY(INT($B135), 20)), 2, 2), """")=""""), """", IF($D135=""LONG"", (IFERROR(INDEX(GOOGLEFINANCE($C135, ""price"", WORKDAY(INT($B135), 20)), 2, 2), """")-$G135)/$G135, ($G135-IFERROR(I"&amp;"NDEX(GOOGLEFINANCE($C135, ""price"", WORKDAY(INT($B135), 20)), 2, 2), """"))/$G135))"),0.00951124055702195)</f>
        <v>0.009511240557</v>
      </c>
      <c r="Q135" s="25" t="s">
        <v>2097</v>
      </c>
      <c r="R135" s="31"/>
      <c r="S135" s="31"/>
      <c r="T135" s="31"/>
    </row>
    <row r="136" ht="22.5" customHeight="1">
      <c r="A136" s="23">
        <f t="shared" si="1"/>
        <v>135</v>
      </c>
      <c r="B136" s="24">
        <v>46212.66746527778</v>
      </c>
      <c r="C136" s="25" t="s">
        <v>806</v>
      </c>
      <c r="D136" s="26" t="s">
        <v>119</v>
      </c>
      <c r="E136" s="25" t="s">
        <v>120</v>
      </c>
      <c r="F136" s="27">
        <v>4.0</v>
      </c>
      <c r="G136" s="28">
        <v>132.63</v>
      </c>
      <c r="H136" s="25" t="s">
        <v>2102</v>
      </c>
      <c r="I136" s="27">
        <v>6.9</v>
      </c>
      <c r="J136" s="29"/>
      <c r="K136" s="29"/>
      <c r="L136" s="28">
        <f>IFERROR(__xludf.DUMMYFUNCTION("IF(ISBLANK($C136), """", GOOGLEFINANCE($C136, ""price""))"),184.82)</f>
        <v>184.82</v>
      </c>
      <c r="M136" s="30">
        <f t="shared" si="2"/>
        <v>-0.3935007163</v>
      </c>
      <c r="N136" s="30">
        <f>IFERROR(__xludf.DUMMYFUNCTION("IF(OR(ISBLANK($G136), IFERROR(INDEX(GOOGLEFINANCE($C136, ""price"", WORKDAY(INT($B136), 1)), 2, 2), """")=""""), """", IF($D136=""LONG"", (IFERROR(INDEX(GOOGLEFINANCE($C136, ""price"", WORKDAY(INT($B136), 1)), 2, 2), """")-$G136)/$G136, ($G136-IFERROR(IND"&amp;"EX(GOOGLEFINANCE($C136, ""price"", WORKDAY(INT($B136), 1)), 2, 2), """"))/$G136))"),-0.004599261102314813)</f>
        <v>-0.004599261102</v>
      </c>
      <c r="O136" s="30">
        <f>IFERROR(__xludf.DUMMYFUNCTION("IF(OR(ISBLANK($G136), IFERROR(INDEX(GOOGLEFINANCE($C136, ""price"", WORKDAY(INT($B136), 5)), 2, 2), """")=""""), """", IF($D136=""LONG"", (IFERROR(INDEX(GOOGLEFINANCE($C136, ""price"", WORKDAY(INT($B136), 5)), 2, 2), """")-$G136)/$G136, ($G136-IFERROR(IND"&amp;"EX(GOOGLEFINANCE($C136, ""price"", WORKDAY(INT($B136), 5)), 2, 2), """"))/$G136))"),-0.07735806378647359)</f>
        <v>-0.07735806379</v>
      </c>
      <c r="P136" s="30">
        <f>IFERROR(__xludf.DUMMYFUNCTION("IF(OR(ISBLANK($G136), IFERROR(INDEX(GOOGLEFINANCE($C136, ""price"", WORKDAY(INT($B136), 20)), 2, 2), """")=""""), """", IF($D136=""LONG"", (IFERROR(INDEX(GOOGLEFINANCE($C136, ""price"", WORKDAY(INT($B136), 20)), 2, 2), """")-$G136)/$G136, ($G136-IFERROR(I"&amp;"NDEX(GOOGLEFINANCE($C136, ""price"", WORKDAY(INT($B136), 20)), 2, 2), """"))/$G136))"),-0.3935007162783684)</f>
        <v>-0.3935007163</v>
      </c>
      <c r="Q136" s="25" t="s">
        <v>2108</v>
      </c>
      <c r="R136" s="31"/>
      <c r="S136" s="31"/>
      <c r="T136" s="31"/>
    </row>
    <row r="137" ht="22.5" customHeight="1">
      <c r="A137" s="23">
        <f t="shared" si="1"/>
        <v>136</v>
      </c>
      <c r="B137" s="24">
        <v>46212.667604166665</v>
      </c>
      <c r="C137" s="25" t="s">
        <v>374</v>
      </c>
      <c r="D137" s="26" t="s">
        <v>36</v>
      </c>
      <c r="E137" s="25" t="s">
        <v>37</v>
      </c>
      <c r="F137" s="27">
        <v>2.0</v>
      </c>
      <c r="G137" s="28">
        <v>71.03</v>
      </c>
      <c r="H137" s="25" t="s">
        <v>2110</v>
      </c>
      <c r="I137" s="27">
        <v>96.7</v>
      </c>
      <c r="J137" s="29"/>
      <c r="K137" s="29"/>
      <c r="L137" s="28">
        <f>IFERROR(__xludf.DUMMYFUNCTION("IF(ISBLANK($C137), """", GOOGLEFINANCE($C137, ""price""))"),73.32)</f>
        <v>73.32</v>
      </c>
      <c r="M137" s="30">
        <f t="shared" si="2"/>
        <v>0.03223989863</v>
      </c>
      <c r="N137" s="30">
        <f>IFERROR(__xludf.DUMMYFUNCTION("IF(OR(ISBLANK($G137), IFERROR(INDEX(GOOGLEFINANCE($C137, ""price"", WORKDAY(INT($B137), 1)), 2, 2), """")=""""), """", IF($D137=""LONG"", (IFERROR(INDEX(GOOGLEFINANCE($C137, ""price"", WORKDAY(INT($B137), 1)), 2, 2), """")-$G137)/$G137, ($G137-IFERROR(IND"&amp;"EX(GOOGLEFINANCE($C137, ""price"", WORKDAY(INT($B137), 1)), 2, 2), """"))/$G137))"),-0.004645924257356023)</f>
        <v>-0.004645924257</v>
      </c>
      <c r="O137" s="30">
        <f>IFERROR(__xludf.DUMMYFUNCTION("IF(OR(ISBLANK($G137), IFERROR(INDEX(GOOGLEFINANCE($C137, ""price"", WORKDAY(INT($B137), 5)), 2, 2), """")=""""), """", IF($D137=""LONG"", (IFERROR(INDEX(GOOGLEFINANCE($C137, ""price"", WORKDAY(INT($B137), 5)), 2, 2), """")-$G137)/$G137, ($G137-IFERROR(IND"&amp;"EX(GOOGLEFINANCE($C137, ""price"", WORKDAY(INT($B137), 5)), 2, 2), """"))/$G137))"),0.029142615796142378)</f>
        <v>0.0291426158</v>
      </c>
      <c r="P137" s="30">
        <f>IFERROR(__xludf.DUMMYFUNCTION("IF(OR(ISBLANK($G137), IFERROR(INDEX(GOOGLEFINANCE($C137, ""price"", WORKDAY(INT($B137), 20)), 2, 2), """")=""""), """", IF($D137=""LONG"", (IFERROR(INDEX(GOOGLEFINANCE($C137, ""price"", WORKDAY(INT($B137), 20)), 2, 2), """")-$G137)/$G137, ($G137-IFERROR(I"&amp;"NDEX(GOOGLEFINANCE($C137, ""price"", WORKDAY(INT($B137), 20)), 2, 2), """"))/$G137))"),0.032239898634379725)</f>
        <v>0.03223989863</v>
      </c>
      <c r="Q137" s="25" t="s">
        <v>2113</v>
      </c>
      <c r="R137" s="31"/>
      <c r="S137" s="31"/>
      <c r="T137" s="31"/>
    </row>
    <row r="138" ht="22.5" customHeight="1">
      <c r="A138" s="23">
        <f t="shared" si="1"/>
        <v>137</v>
      </c>
      <c r="B138" s="24">
        <v>46212.6675</v>
      </c>
      <c r="C138" s="25" t="s">
        <v>1321</v>
      </c>
      <c r="D138" s="26" t="s">
        <v>119</v>
      </c>
      <c r="E138" s="25" t="s">
        <v>120</v>
      </c>
      <c r="F138" s="27">
        <v>4.0</v>
      </c>
      <c r="G138" s="28">
        <v>21.03</v>
      </c>
      <c r="H138" s="25" t="s">
        <v>2115</v>
      </c>
      <c r="I138" s="27">
        <v>14.3</v>
      </c>
      <c r="J138" s="29"/>
      <c r="K138" s="29"/>
      <c r="L138" s="28">
        <f>IFERROR(__xludf.DUMMYFUNCTION("IF(ISBLANK($C138), """", GOOGLEFINANCE($C138, ""price""))"),23.71)</f>
        <v>23.71</v>
      </c>
      <c r="M138" s="30">
        <f t="shared" si="2"/>
        <v>-0.1274369948</v>
      </c>
      <c r="N138" s="30">
        <f>IFERROR(__xludf.DUMMYFUNCTION("IF(OR(ISBLANK($G138), IFERROR(INDEX(GOOGLEFINANCE($C138, ""price"", WORKDAY(INT($B138), 1)), 2, 2), """")=""""), """", IF($D138=""LONG"", (IFERROR(INDEX(GOOGLEFINANCE($C138, ""price"", WORKDAY(INT($B138), 1)), 2, 2), """")-$G138)/$G138, ($G138-IFERROR(IND"&amp;"EX(GOOGLEFINANCE($C138, ""price"", WORKDAY(INT($B138), 1)), 2, 2), """"))/$G138))"),-0.004755111745125909)</f>
        <v>-0.004755111745</v>
      </c>
      <c r="O138" s="30">
        <f>IFERROR(__xludf.DUMMYFUNCTION("IF(OR(ISBLANK($G138), IFERROR(INDEX(GOOGLEFINANCE($C138, ""price"", WORKDAY(INT($B138), 5)), 2, 2), """")=""""), """", IF($D138=""LONG"", (IFERROR(INDEX(GOOGLEFINANCE($C138, ""price"", WORKDAY(INT($B138), 5)), 2, 2), """")-$G138)/$G138, ($G138-IFERROR(IND"&amp;"EX(GOOGLEFINANCE($C138, ""price"", WORKDAY(INT($B138), 5)), 2, 2), """"))/$G138))"),-0.04517356157869706)</f>
        <v>-0.04517356158</v>
      </c>
      <c r="P138" s="30">
        <f>IFERROR(__xludf.DUMMYFUNCTION("IF(OR(ISBLANK($G138), IFERROR(INDEX(GOOGLEFINANCE($C138, ""price"", WORKDAY(INT($B138), 20)), 2, 2), """")=""""), """", IF($D138=""LONG"", (IFERROR(INDEX(GOOGLEFINANCE($C138, ""price"", WORKDAY(INT($B138), 20)), 2, 2), """")-$G138)/$G138, ($G138-IFERROR(I"&amp;"NDEX(GOOGLEFINANCE($C138, ""price"", WORKDAY(INT($B138), 20)), 2, 2), """"))/$G138))"),-0.12743699476937706)</f>
        <v>-0.1274369948</v>
      </c>
      <c r="Q138" s="25" t="s">
        <v>2119</v>
      </c>
      <c r="R138" s="31"/>
      <c r="S138" s="31"/>
      <c r="T138" s="31"/>
    </row>
    <row r="139" ht="22.5" customHeight="1">
      <c r="A139" s="23">
        <f t="shared" si="1"/>
        <v>138</v>
      </c>
      <c r="B139" s="24">
        <v>46212.66753472222</v>
      </c>
      <c r="C139" s="25" t="s">
        <v>136</v>
      </c>
      <c r="D139" s="26" t="s">
        <v>36</v>
      </c>
      <c r="E139" s="25" t="s">
        <v>37</v>
      </c>
      <c r="F139" s="27">
        <v>2.0</v>
      </c>
      <c r="G139" s="28">
        <v>135.96</v>
      </c>
      <c r="H139" s="25" t="s">
        <v>2123</v>
      </c>
      <c r="I139" s="27">
        <v>94.0</v>
      </c>
      <c r="J139" s="29"/>
      <c r="K139" s="29"/>
      <c r="L139" s="28">
        <f>IFERROR(__xludf.DUMMYFUNCTION("IF(ISBLANK($C139), """", GOOGLEFINANCE($C139, ""price""))"),133.63)</f>
        <v>133.63</v>
      </c>
      <c r="M139" s="30">
        <f t="shared" si="2"/>
        <v>-0.01713739335</v>
      </c>
      <c r="N139" s="30">
        <f>IFERROR(__xludf.DUMMYFUNCTION("IF(OR(ISBLANK($G139), IFERROR(INDEX(GOOGLEFINANCE($C139, ""price"", WORKDAY(INT($B139), 1)), 2, 2), """")=""""), """", IF($D139=""LONG"", (IFERROR(INDEX(GOOGLEFINANCE($C139, ""price"", WORKDAY(INT($B139), 1)), 2, 2), """")-$G139)/$G139, ($G139-IFERROR(IND"&amp;"EX(GOOGLEFINANCE($C139, ""price"", WORKDAY(INT($B139), 1)), 2, 2), """"))/$G139))"),-0.005222124154163048)</f>
        <v>-0.005222124154</v>
      </c>
      <c r="O139" s="30">
        <f>IFERROR(__xludf.DUMMYFUNCTION("IF(OR(ISBLANK($G139), IFERROR(INDEX(GOOGLEFINANCE($C139, ""price"", WORKDAY(INT($B139), 5)), 2, 2), """")=""""), """", IF($D139=""LONG"", (IFERROR(INDEX(GOOGLEFINANCE($C139, ""price"", WORKDAY(INT($B139), 5)), 2, 2), """")-$G139)/$G139, ($G139-IFERROR(IND"&amp;"EX(GOOGLEFINANCE($C139, ""price"", WORKDAY(INT($B139), 5)), 2, 2), """"))/$G139))"),-0.00809061488673135)</f>
        <v>-0.008090614887</v>
      </c>
      <c r="P139" s="30">
        <f>IFERROR(__xludf.DUMMYFUNCTION("IF(OR(ISBLANK($G139), IFERROR(INDEX(GOOGLEFINANCE($C139, ""price"", WORKDAY(INT($B139), 20)), 2, 2), """")=""""), """", IF($D139=""LONG"", (IFERROR(INDEX(GOOGLEFINANCE($C139, ""price"", WORKDAY(INT($B139), 20)), 2, 2), """")-$G139)/$G139, ($G139-IFERROR(I"&amp;"NDEX(GOOGLEFINANCE($C139, ""price"", WORKDAY(INT($B139), 20)), 2, 2), """"))/$G139))"),-0.017137393350985675)</f>
        <v>-0.01713739335</v>
      </c>
      <c r="Q139" s="25" t="s">
        <v>2126</v>
      </c>
      <c r="R139" s="31"/>
      <c r="S139" s="31"/>
      <c r="T139" s="31"/>
    </row>
    <row r="140" ht="22.5" customHeight="1">
      <c r="A140" s="23">
        <f t="shared" si="1"/>
        <v>139</v>
      </c>
      <c r="B140" s="24">
        <v>46212.66773148148</v>
      </c>
      <c r="C140" s="25" t="s">
        <v>273</v>
      </c>
      <c r="D140" s="26" t="s">
        <v>119</v>
      </c>
      <c r="E140" s="25" t="s">
        <v>120</v>
      </c>
      <c r="F140" s="27">
        <v>4.0</v>
      </c>
      <c r="G140" s="28">
        <v>46.44</v>
      </c>
      <c r="H140" s="25" t="s">
        <v>2129</v>
      </c>
      <c r="I140" s="27">
        <v>14.1</v>
      </c>
      <c r="J140" s="29"/>
      <c r="K140" s="29"/>
      <c r="L140" s="28">
        <f>IFERROR(__xludf.DUMMYFUNCTION("IF(ISBLANK($C140), """", GOOGLEFINANCE($C140, ""price""))"),46.11)</f>
        <v>46.11</v>
      </c>
      <c r="M140" s="30">
        <f t="shared" si="2"/>
        <v>0.007105943152</v>
      </c>
      <c r="N140" s="30">
        <f>IFERROR(__xludf.DUMMYFUNCTION("IF(OR(ISBLANK($G140), IFERROR(INDEX(GOOGLEFINANCE($C140, ""price"", WORKDAY(INT($B140), 1)), 2, 2), """")=""""), """", IF($D140=""LONG"", (IFERROR(INDEX(GOOGLEFINANCE($C140, ""price"", WORKDAY(INT($B140), 1)), 2, 2), """")-$G140)/$G140, ($G140-IFERROR(IND"&amp;"EX(GOOGLEFINANCE($C140, ""price"", WORKDAY(INT($B140), 1)), 2, 2), """"))/$G140))"),-0.005383290267011198)</f>
        <v>-0.005383290267</v>
      </c>
      <c r="O140" s="30">
        <f>IFERROR(__xludf.DUMMYFUNCTION("IF(OR(ISBLANK($G140), IFERROR(INDEX(GOOGLEFINANCE($C140, ""price"", WORKDAY(INT($B140), 5)), 2, 2), """")=""""), """", IF($D140=""LONG"", (IFERROR(INDEX(GOOGLEFINANCE($C140, ""price"", WORKDAY(INT($B140), 5)), 2, 2), """")-$G140)/$G140, ($G140-IFERROR(IND"&amp;"EX(GOOGLEFINANCE($C140, ""price"", WORKDAY(INT($B140), 5)), 2, 2), """"))/$G140))"),0.015934539190353033)</f>
        <v>0.01593453919</v>
      </c>
      <c r="P140" s="30">
        <f>IFERROR(__xludf.DUMMYFUNCTION("IF(OR(ISBLANK($G140), IFERROR(INDEX(GOOGLEFINANCE($C140, ""price"", WORKDAY(INT($B140), 20)), 2, 2), """")=""""), """", IF($D140=""LONG"", (IFERROR(INDEX(GOOGLEFINANCE($C140, ""price"", WORKDAY(INT($B140), 20)), 2, 2), """")-$G140)/$G140, ($G140-IFERROR(I"&amp;"NDEX(GOOGLEFINANCE($C140, ""price"", WORKDAY(INT($B140), 20)), 2, 2), """"))/$G140))"),0.007105943152454744)</f>
        <v>0.007105943152</v>
      </c>
      <c r="Q140" s="25" t="s">
        <v>2133</v>
      </c>
      <c r="R140" s="31"/>
      <c r="S140" s="31"/>
      <c r="T140" s="31"/>
    </row>
    <row r="141" ht="22.5" customHeight="1">
      <c r="A141" s="23">
        <f t="shared" si="1"/>
        <v>140</v>
      </c>
      <c r="B141" s="24">
        <v>46212.66748842593</v>
      </c>
      <c r="C141" s="25" t="s">
        <v>291</v>
      </c>
      <c r="D141" s="26" t="s">
        <v>36</v>
      </c>
      <c r="E141" s="25" t="s">
        <v>37</v>
      </c>
      <c r="F141" s="27">
        <v>2.0</v>
      </c>
      <c r="G141" s="28">
        <v>33.69</v>
      </c>
      <c r="H141" s="25" t="s">
        <v>2134</v>
      </c>
      <c r="I141" s="27">
        <v>85.8</v>
      </c>
      <c r="J141" s="29"/>
      <c r="K141" s="29"/>
      <c r="L141" s="28">
        <f>IFERROR(__xludf.DUMMYFUNCTION("IF(ISBLANK($C141), """", GOOGLEFINANCE($C141, ""price""))"),34.0)</f>
        <v>34</v>
      </c>
      <c r="M141" s="30">
        <f t="shared" si="2"/>
        <v>0.009201543485</v>
      </c>
      <c r="N141" s="30">
        <f>IFERROR(__xludf.DUMMYFUNCTION("IF(OR(ISBLANK($G141), IFERROR(INDEX(GOOGLEFINANCE($C141, ""price"", WORKDAY(INT($B141), 1)), 2, 2), """")=""""), """", IF($D141=""LONG"", (IFERROR(INDEX(GOOGLEFINANCE($C141, ""price"", WORKDAY(INT($B141), 1)), 2, 2), """")-$G141)/$G141, ($G141-IFERROR(IND"&amp;"EX(GOOGLEFINANCE($C141, ""price"", WORKDAY(INT($B141), 1)), 2, 2), """"))/$G141))"),-0.0056396556841792145)</f>
        <v>-0.005639655684</v>
      </c>
      <c r="O141" s="30">
        <f>IFERROR(__xludf.DUMMYFUNCTION("IF(OR(ISBLANK($G141), IFERROR(INDEX(GOOGLEFINANCE($C141, ""price"", WORKDAY(INT($B141), 5)), 2, 2), """")=""""), """", IF($D141=""LONG"", (IFERROR(INDEX(GOOGLEFINANCE($C141, ""price"", WORKDAY(INT($B141), 5)), 2, 2), """")-$G141)/$G141, ($G141-IFERROR(IND"&amp;"EX(GOOGLEFINANCE($C141, ""price"", WORKDAY(INT($B141), 5)), 2, 2), """"))/$G141))"),-0.010685663401602834)</f>
        <v>-0.0106856634</v>
      </c>
      <c r="P141" s="30">
        <f>IFERROR(__xludf.DUMMYFUNCTION("IF(OR(ISBLANK($G141), IFERROR(INDEX(GOOGLEFINANCE($C141, ""price"", WORKDAY(INT($B141), 20)), 2, 2), """")=""""), """", IF($D141=""LONG"", (IFERROR(INDEX(GOOGLEFINANCE($C141, ""price"", WORKDAY(INT($B141), 20)), 2, 2), """")-$G141)/$G141, ($G141-IFERROR(I"&amp;"NDEX(GOOGLEFINANCE($C141, ""price"", WORKDAY(INT($B141), 20)), 2, 2), """"))/$G141))"),0.009201543484713633)</f>
        <v>0.009201543485</v>
      </c>
      <c r="Q141" s="25" t="s">
        <v>2139</v>
      </c>
      <c r="R141" s="31"/>
      <c r="S141" s="31"/>
      <c r="T141" s="31"/>
    </row>
    <row r="142" ht="22.5" customHeight="1">
      <c r="A142" s="23">
        <f t="shared" si="1"/>
        <v>141</v>
      </c>
      <c r="B142" s="24">
        <v>46212.6675</v>
      </c>
      <c r="C142" s="25" t="s">
        <v>434</v>
      </c>
      <c r="D142" s="26" t="s">
        <v>36</v>
      </c>
      <c r="E142" s="25" t="s">
        <v>37</v>
      </c>
      <c r="F142" s="27">
        <v>2.0</v>
      </c>
      <c r="G142" s="28">
        <v>112.94</v>
      </c>
      <c r="H142" s="25" t="s">
        <v>2142</v>
      </c>
      <c r="I142" s="27">
        <v>93.1</v>
      </c>
      <c r="J142" s="29"/>
      <c r="K142" s="29"/>
      <c r="L142" s="28">
        <f>IFERROR(__xludf.DUMMYFUNCTION("IF(ISBLANK($C142), """", GOOGLEFINANCE($C142, ""price""))"),114.24)</f>
        <v>114.24</v>
      </c>
      <c r="M142" s="30">
        <f t="shared" si="2"/>
        <v>0.01151053657</v>
      </c>
      <c r="N142" s="30">
        <f>IFERROR(__xludf.DUMMYFUNCTION("IF(OR(ISBLANK($G142), IFERROR(INDEX(GOOGLEFINANCE($C142, ""price"", WORKDAY(INT($B142), 1)), 2, 2), """")=""""), """", IF($D142=""LONG"", (IFERROR(INDEX(GOOGLEFINANCE($C142, ""price"", WORKDAY(INT($B142), 1)), 2, 2), """")-$G142)/$G142, ($G142-IFERROR(IND"&amp;"EX(GOOGLEFINANCE($C142, ""price"", WORKDAY(INT($B142), 1)), 2, 2), """"))/$G142))"),-0.00575526828404455)</f>
        <v>-0.005755268284</v>
      </c>
      <c r="O142" s="30">
        <f>IFERROR(__xludf.DUMMYFUNCTION("IF(OR(ISBLANK($G142), IFERROR(INDEX(GOOGLEFINANCE($C142, ""price"", WORKDAY(INT($B142), 5)), 2, 2), """")=""""), """", IF($D142=""LONG"", (IFERROR(INDEX(GOOGLEFINANCE($C142, ""price"", WORKDAY(INT($B142), 5)), 2, 2), """")-$G142)/$G142, ($G142-IFERROR(IND"&amp;"EX(GOOGLEFINANCE($C142, ""price"", WORKDAY(INT($B142), 5)), 2, 2), """"))/$G142))"),-0.010979281034177394)</f>
        <v>-0.01097928103</v>
      </c>
      <c r="P142" s="30">
        <f>IFERROR(__xludf.DUMMYFUNCTION("IF(OR(ISBLANK($G142), IFERROR(INDEX(GOOGLEFINANCE($C142, ""price"", WORKDAY(INT($B142), 20)), 2, 2), """")=""""), """", IF($D142=""LONG"", (IFERROR(INDEX(GOOGLEFINANCE($C142, ""price"", WORKDAY(INT($B142), 20)), 2, 2), """")-$G142)/$G142, ($G142-IFERROR(I"&amp;"NDEX(GOOGLEFINANCE($C142, ""price"", WORKDAY(INT($B142), 20)), 2, 2), """"))/$G142))"),0.011510536568089227)</f>
        <v>0.01151053657</v>
      </c>
      <c r="Q142" s="25" t="s">
        <v>2145</v>
      </c>
      <c r="R142" s="31"/>
      <c r="S142" s="31"/>
      <c r="T142" s="31"/>
    </row>
    <row r="143" ht="22.5" customHeight="1">
      <c r="A143" s="23">
        <f t="shared" si="1"/>
        <v>142</v>
      </c>
      <c r="B143" s="24">
        <v>46212.6674537037</v>
      </c>
      <c r="C143" s="25" t="s">
        <v>169</v>
      </c>
      <c r="D143" s="26" t="s">
        <v>119</v>
      </c>
      <c r="E143" s="25" t="s">
        <v>120</v>
      </c>
      <c r="F143" s="27">
        <v>4.0</v>
      </c>
      <c r="G143" s="28">
        <v>290.51</v>
      </c>
      <c r="H143" s="25" t="s">
        <v>2146</v>
      </c>
      <c r="I143" s="27">
        <v>11.2</v>
      </c>
      <c r="J143" s="29"/>
      <c r="K143" s="29"/>
      <c r="L143" s="28">
        <f>IFERROR(__xludf.DUMMYFUNCTION("IF(ISBLANK($C143), """", GOOGLEFINANCE($C143, ""price""))"),231.78)</f>
        <v>231.78</v>
      </c>
      <c r="M143" s="30">
        <f t="shared" si="2"/>
        <v>0.2021617156</v>
      </c>
      <c r="N143" s="30">
        <f>IFERROR(__xludf.DUMMYFUNCTION("IF(OR(ISBLANK($G143), IFERROR(INDEX(GOOGLEFINANCE($C143, ""price"", WORKDAY(INT($B143), 1)), 2, 2), """")=""""), """", IF($D143=""LONG"", (IFERROR(INDEX(GOOGLEFINANCE($C143, ""price"", WORKDAY(INT($B143), 1)), 2, 2), """")-$G143)/$G143, ($G143-IFERROR(IND"&amp;"EX(GOOGLEFINANCE($C143, ""price"", WORKDAY(INT($B143), 1)), 2, 2), """"))/$G143))"),-0.0060238890227530895)</f>
        <v>-0.006023889023</v>
      </c>
      <c r="O143" s="30">
        <f>IFERROR(__xludf.DUMMYFUNCTION("IF(OR(ISBLANK($G143), IFERROR(INDEX(GOOGLEFINANCE($C143, ""price"", WORKDAY(INT($B143), 5)), 2, 2), """")=""""), """", IF($D143=""LONG"", (IFERROR(INDEX(GOOGLEFINANCE($C143, ""price"", WORKDAY(INT($B143), 5)), 2, 2), """")-$G143)/$G143, ($G143-IFERROR(IND"&amp;"EX(GOOGLEFINANCE($C143, ""price"", WORKDAY(INT($B143), 5)), 2, 2), """"))/$G143))"),0.0683281126295135)</f>
        <v>0.06832811263</v>
      </c>
      <c r="P143" s="30">
        <f>IFERROR(__xludf.DUMMYFUNCTION("IF(OR(ISBLANK($G143), IFERROR(INDEX(GOOGLEFINANCE($C143, ""price"", WORKDAY(INT($B143), 20)), 2, 2), """")=""""), """", IF($D143=""LONG"", (IFERROR(INDEX(GOOGLEFINANCE($C143, ""price"", WORKDAY(INT($B143), 20)), 2, 2), """")-$G143)/$G143, ($G143-IFERROR(I"&amp;"NDEX(GOOGLEFINANCE($C143, ""price"", WORKDAY(INT($B143), 20)), 2, 2), """"))/$G143))"),0.20216171560359364)</f>
        <v>0.2021617156</v>
      </c>
      <c r="Q143" s="25" t="s">
        <v>2147</v>
      </c>
      <c r="R143" s="31"/>
      <c r="S143" s="31"/>
      <c r="T143" s="31"/>
    </row>
    <row r="144" ht="22.5" customHeight="1">
      <c r="A144" s="23">
        <f t="shared" si="1"/>
        <v>143</v>
      </c>
      <c r="B144" s="24">
        <v>46212.66773148148</v>
      </c>
      <c r="C144" s="25" t="s">
        <v>129</v>
      </c>
      <c r="D144" s="26" t="s">
        <v>119</v>
      </c>
      <c r="E144" s="25" t="s">
        <v>120</v>
      </c>
      <c r="F144" s="27">
        <v>4.0</v>
      </c>
      <c r="G144" s="28">
        <v>57.2</v>
      </c>
      <c r="H144" s="25" t="s">
        <v>2148</v>
      </c>
      <c r="I144" s="27">
        <v>3.3</v>
      </c>
      <c r="J144" s="29"/>
      <c r="K144" s="29"/>
      <c r="L144" s="28">
        <f>IFERROR(__xludf.DUMMYFUNCTION("IF(ISBLANK($C144), """", GOOGLEFINANCE($C144, ""price""))"),62.75)</f>
        <v>62.75</v>
      </c>
      <c r="M144" s="30">
        <f t="shared" si="2"/>
        <v>-0.09702797203</v>
      </c>
      <c r="N144" s="30">
        <f>IFERROR(__xludf.DUMMYFUNCTION("IF(OR(ISBLANK($G144), IFERROR(INDEX(GOOGLEFINANCE($C144, ""price"", WORKDAY(INT($B144), 1)), 2, 2), """")=""""), """", IF($D144=""LONG"", (IFERROR(INDEX(GOOGLEFINANCE($C144, ""price"", WORKDAY(INT($B144), 1)), 2, 2), """")-$G144)/$G144, ($G144-IFERROR(IND"&amp;"EX(GOOGLEFINANCE($C144, ""price"", WORKDAY(INT($B144), 1)), 2, 2), """"))/$G144))"),-0.006293706293706284)</f>
        <v>-0.006293706294</v>
      </c>
      <c r="O144" s="30">
        <f>IFERROR(__xludf.DUMMYFUNCTION("IF(OR(ISBLANK($G144), IFERROR(INDEX(GOOGLEFINANCE($C144, ""price"", WORKDAY(INT($B144), 5)), 2, 2), """")=""""), """", IF($D144=""LONG"", (IFERROR(INDEX(GOOGLEFINANCE($C144, ""price"", WORKDAY(INT($B144), 5)), 2, 2), """")-$G144)/$G144, ($G144-IFERROR(IND"&amp;"EX(GOOGLEFINANCE($C144, ""price"", WORKDAY(INT($B144), 5)), 2, 2), """"))/$G144))"),0.011538461538461603)</f>
        <v>0.01153846154</v>
      </c>
      <c r="P144" s="30">
        <f>IFERROR(__xludf.DUMMYFUNCTION("IF(OR(ISBLANK($G144), IFERROR(INDEX(GOOGLEFINANCE($C144, ""price"", WORKDAY(INT($B144), 20)), 2, 2), """")=""""), """", IF($D144=""LONG"", (IFERROR(INDEX(GOOGLEFINANCE($C144, ""price"", WORKDAY(INT($B144), 20)), 2, 2), """")-$G144)/$G144, ($G144-IFERROR(I"&amp;"NDEX(GOOGLEFINANCE($C144, ""price"", WORKDAY(INT($B144), 20)), 2, 2), """"))/$G144))"),-0.09702797202797198)</f>
        <v>-0.09702797203</v>
      </c>
      <c r="Q144" s="25" t="s">
        <v>2155</v>
      </c>
      <c r="R144" s="31"/>
      <c r="S144" s="31"/>
      <c r="T144" s="31"/>
    </row>
    <row r="145" ht="22.5" customHeight="1">
      <c r="A145" s="23">
        <f t="shared" si="1"/>
        <v>144</v>
      </c>
      <c r="B145" s="24">
        <v>46212.66738425926</v>
      </c>
      <c r="C145" s="25" t="s">
        <v>2156</v>
      </c>
      <c r="D145" s="26" t="s">
        <v>119</v>
      </c>
      <c r="E145" s="25" t="s">
        <v>120</v>
      </c>
      <c r="F145" s="27">
        <v>4.0</v>
      </c>
      <c r="G145" s="28">
        <v>87.51</v>
      </c>
      <c r="H145" s="25" t="s">
        <v>2157</v>
      </c>
      <c r="I145" s="27">
        <v>8.8</v>
      </c>
      <c r="J145" s="29"/>
      <c r="K145" s="29"/>
      <c r="L145" s="28">
        <f>IFERROR(__xludf.DUMMYFUNCTION("IF(ISBLANK($C145), """", GOOGLEFINANCE($C145, ""price""))"),94.7)</f>
        <v>94.7</v>
      </c>
      <c r="M145" s="30">
        <f t="shared" si="2"/>
        <v>-0.08216203862</v>
      </c>
      <c r="N145" s="30">
        <f>IFERROR(__xludf.DUMMYFUNCTION("IF(OR(ISBLANK($G145), IFERROR(INDEX(GOOGLEFINANCE($C145, ""price"", WORKDAY(INT($B145), 1)), 2, 2), """")=""""), """", IF($D145=""LONG"", (IFERROR(INDEX(GOOGLEFINANCE($C145, ""price"", WORKDAY(INT($B145), 1)), 2, 2), """")-$G145)/$G145, ($G145-IFERROR(IND"&amp;"EX(GOOGLEFINANCE($C145, ""price"", WORKDAY(INT($B145), 1)), 2, 2), """"))/$G145))"),-0.006513541309564543)</f>
        <v>-0.00651354131</v>
      </c>
      <c r="O145" s="30">
        <f>IFERROR(__xludf.DUMMYFUNCTION("IF(OR(ISBLANK($G145), IFERROR(INDEX(GOOGLEFINANCE($C145, ""price"", WORKDAY(INT($B145), 5)), 2, 2), """")=""""), """", IF($D145=""LONG"", (IFERROR(INDEX(GOOGLEFINANCE($C145, ""price"", WORKDAY(INT($B145), 5)), 2, 2), """")-$G145)/$G145, ($G145-IFERROR(IND"&amp;"EX(GOOGLEFINANCE($C145, ""price"", WORKDAY(INT($B145), 5)), 2, 2), """"))/$G145))"),-0.07701976916923774)</f>
        <v>-0.07701976917</v>
      </c>
      <c r="P145" s="30">
        <f>IFERROR(__xludf.DUMMYFUNCTION("IF(OR(ISBLANK($G145), IFERROR(INDEX(GOOGLEFINANCE($C145, ""price"", WORKDAY(INT($B145), 20)), 2, 2), """")=""""), """", IF($D145=""LONG"", (IFERROR(INDEX(GOOGLEFINANCE($C145, ""price"", WORKDAY(INT($B145), 20)), 2, 2), """")-$G145)/$G145, ($G145-IFERROR(I"&amp;"NDEX(GOOGLEFINANCE($C145, ""price"", WORKDAY(INT($B145), 20)), 2, 2), """"))/$G145))"),-0.0821620386241572)</f>
        <v>-0.08216203862</v>
      </c>
      <c r="Q145" s="25" t="s">
        <v>2158</v>
      </c>
      <c r="R145" s="31"/>
      <c r="S145" s="31"/>
      <c r="T145" s="31"/>
    </row>
    <row r="146" ht="22.5" customHeight="1">
      <c r="A146" s="23">
        <f t="shared" si="1"/>
        <v>145</v>
      </c>
      <c r="B146" s="24">
        <v>46212.66753472222</v>
      </c>
      <c r="C146" s="25" t="s">
        <v>156</v>
      </c>
      <c r="D146" s="26" t="s">
        <v>119</v>
      </c>
      <c r="E146" s="25" t="s">
        <v>120</v>
      </c>
      <c r="F146" s="27">
        <v>4.0</v>
      </c>
      <c r="G146" s="28">
        <v>113.58</v>
      </c>
      <c r="H146" s="25" t="s">
        <v>2159</v>
      </c>
      <c r="I146" s="27">
        <v>6.2</v>
      </c>
      <c r="J146" s="29"/>
      <c r="K146" s="29"/>
      <c r="L146" s="28">
        <f>IFERROR(__xludf.DUMMYFUNCTION("IF(ISBLANK($C146), """", GOOGLEFINANCE($C146, ""price""))"),109.0)</f>
        <v>109</v>
      </c>
      <c r="M146" s="30">
        <f t="shared" si="2"/>
        <v>0.0403240007</v>
      </c>
      <c r="N146" s="30">
        <f>IFERROR(__xludf.DUMMYFUNCTION("IF(OR(ISBLANK($G146), IFERROR(INDEX(GOOGLEFINANCE($C146, ""price"", WORKDAY(INT($B146), 1)), 2, 2), """")=""""), """", IF($D146=""LONG"", (IFERROR(INDEX(GOOGLEFINANCE($C146, ""price"", WORKDAY(INT($B146), 1)), 2, 2), """")-$G146)/$G146, ($G146-IFERROR(IND"&amp;"EX(GOOGLEFINANCE($C146, ""price"", WORKDAY(INT($B146), 1)), 2, 2), """"))/$G146))"),-0.006515231554851161)</f>
        <v>-0.006515231555</v>
      </c>
      <c r="O146" s="30">
        <f>IFERROR(__xludf.DUMMYFUNCTION("IF(OR(ISBLANK($G146), IFERROR(INDEX(GOOGLEFINANCE($C146, ""price"", WORKDAY(INT($B146), 5)), 2, 2), """")=""""), """", IF($D146=""LONG"", (IFERROR(INDEX(GOOGLEFINANCE($C146, ""price"", WORKDAY(INT($B146), 5)), 2, 2), """")-$G146)/$G146, ($G146-IFERROR(IND"&amp;"EX(GOOGLEFINANCE($C146, ""price"", WORKDAY(INT($B146), 5)), 2, 2), """"))/$G146))"),-0.019809825673534072)</f>
        <v>-0.01980982567</v>
      </c>
      <c r="P146" s="30">
        <f>IFERROR(__xludf.DUMMYFUNCTION("IF(OR(ISBLANK($G146), IFERROR(INDEX(GOOGLEFINANCE($C146, ""price"", WORKDAY(INT($B146), 20)), 2, 2), """")=""""), """", IF($D146=""LONG"", (IFERROR(INDEX(GOOGLEFINANCE($C146, ""price"", WORKDAY(INT($B146), 20)), 2, 2), """")-$G146)/$G146, ($G146-IFERROR(I"&amp;"NDEX(GOOGLEFINANCE($C146, ""price"", WORKDAY(INT($B146), 20)), 2, 2), """"))/$G146))"),0.04032400070434934)</f>
        <v>0.0403240007</v>
      </c>
      <c r="Q146" s="25" t="s">
        <v>2162</v>
      </c>
      <c r="R146" s="31"/>
      <c r="S146" s="31"/>
      <c r="T146" s="31"/>
    </row>
    <row r="147" ht="22.5" customHeight="1">
      <c r="A147" s="23">
        <f t="shared" si="1"/>
        <v>146</v>
      </c>
      <c r="B147" s="24">
        <v>46212.667719907404</v>
      </c>
      <c r="C147" s="25" t="s">
        <v>556</v>
      </c>
      <c r="D147" s="26" t="s">
        <v>119</v>
      </c>
      <c r="E147" s="25" t="s">
        <v>120</v>
      </c>
      <c r="F147" s="27">
        <v>4.0</v>
      </c>
      <c r="G147" s="28">
        <v>48.43</v>
      </c>
      <c r="H147" s="25" t="s">
        <v>2164</v>
      </c>
      <c r="I147" s="27">
        <v>5.3</v>
      </c>
      <c r="J147" s="29"/>
      <c r="K147" s="29"/>
      <c r="L147" s="28">
        <f>IFERROR(__xludf.DUMMYFUNCTION("IF(ISBLANK($C147), """", GOOGLEFINANCE($C147, ""price""))"),55.37)</f>
        <v>55.37</v>
      </c>
      <c r="M147" s="30">
        <f t="shared" si="2"/>
        <v>-0.1432996077</v>
      </c>
      <c r="N147" s="30">
        <f>IFERROR(__xludf.DUMMYFUNCTION("IF(OR(ISBLANK($G147), IFERROR(INDEX(GOOGLEFINANCE($C147, ""price"", WORKDAY(INT($B147), 1)), 2, 2), """")=""""), """", IF($D147=""LONG"", (IFERROR(INDEX(GOOGLEFINANCE($C147, ""price"", WORKDAY(INT($B147), 1)), 2, 2), """")-$G147)/$G147, ($G147-IFERROR(IND"&amp;"EX(GOOGLEFINANCE($C147, ""price"", WORKDAY(INT($B147), 1)), 2, 2), """"))/$G147))"),-0.006607474705760898)</f>
        <v>-0.006607474706</v>
      </c>
      <c r="O147" s="30">
        <f>IFERROR(__xludf.DUMMYFUNCTION("IF(OR(ISBLANK($G147), IFERROR(INDEX(GOOGLEFINANCE($C147, ""price"", WORKDAY(INT($B147), 5)), 2, 2), """")=""""), """", IF($D147=""LONG"", (IFERROR(INDEX(GOOGLEFINANCE($C147, ""price"", WORKDAY(INT($B147), 5)), 2, 2), """")-$G147)/$G147, ($G147-IFERROR(IND"&amp;"EX(GOOGLEFINANCE($C147, ""price"", WORKDAY(INT($B147), 5)), 2, 2), """"))/$G147))"),-0.05471814990708236)</f>
        <v>-0.05471814991</v>
      </c>
      <c r="P147" s="30">
        <f>IFERROR(__xludf.DUMMYFUNCTION("IF(OR(ISBLANK($G147), IFERROR(INDEX(GOOGLEFINANCE($C147, ""price"", WORKDAY(INT($B147), 20)), 2, 2), """")=""""), """", IF($D147=""LONG"", (IFERROR(INDEX(GOOGLEFINANCE($C147, ""price"", WORKDAY(INT($B147), 20)), 2, 2), """")-$G147)/$G147, ($G147-IFERROR(I"&amp;"NDEX(GOOGLEFINANCE($C147, ""price"", WORKDAY(INT($B147), 20)), 2, 2), """"))/$G147))"),-0.1432996076811893)</f>
        <v>-0.1432996077</v>
      </c>
      <c r="Q147" s="25" t="s">
        <v>2169</v>
      </c>
      <c r="R147" s="31"/>
      <c r="S147" s="31"/>
      <c r="T147" s="31"/>
    </row>
    <row r="148" ht="22.5" customHeight="1">
      <c r="A148" s="23">
        <f t="shared" si="1"/>
        <v>147</v>
      </c>
      <c r="B148" s="24">
        <v>46212.66753472222</v>
      </c>
      <c r="C148" s="25" t="s">
        <v>80</v>
      </c>
      <c r="D148" s="26" t="s">
        <v>36</v>
      </c>
      <c r="E148" s="25" t="s">
        <v>37</v>
      </c>
      <c r="F148" s="27">
        <v>2.0</v>
      </c>
      <c r="G148" s="28">
        <v>249.79</v>
      </c>
      <c r="H148" s="25" t="s">
        <v>2170</v>
      </c>
      <c r="I148" s="27">
        <v>94.5</v>
      </c>
      <c r="J148" s="29"/>
      <c r="K148" s="29"/>
      <c r="L148" s="28">
        <f>IFERROR(__xludf.DUMMYFUNCTION("IF(ISBLANK($C148), """", GOOGLEFINANCE($C148, ""price""))"),243.87)</f>
        <v>243.87</v>
      </c>
      <c r="M148" s="30">
        <f t="shared" si="2"/>
        <v>-0.02369990792</v>
      </c>
      <c r="N148" s="30">
        <f>IFERROR(__xludf.DUMMYFUNCTION("IF(OR(ISBLANK($G148), IFERROR(INDEX(GOOGLEFINANCE($C148, ""price"", WORKDAY(INT($B148), 1)), 2, 2), """")=""""), """", IF($D148=""LONG"", (IFERROR(INDEX(GOOGLEFINANCE($C148, ""price"", WORKDAY(INT($B148), 1)), 2, 2), """")-$G148)/$G148, ($G148-IFERROR(IND"&amp;"EX(GOOGLEFINANCE($C148, ""price"", WORKDAY(INT($B148), 1)), 2, 2), """"))/$G148))"),-0.006845750430361422)</f>
        <v>-0.00684575043</v>
      </c>
      <c r="O148" s="30">
        <f>IFERROR(__xludf.DUMMYFUNCTION("IF(OR(ISBLANK($G148), IFERROR(INDEX(GOOGLEFINANCE($C148, ""price"", WORKDAY(INT($B148), 5)), 2, 2), """")=""""), """", IF($D148=""LONG"", (IFERROR(INDEX(GOOGLEFINANCE($C148, ""price"", WORKDAY(INT($B148), 5)), 2, 2), """")-$G148)/$G148, ($G148-IFERROR(IND"&amp;"EX(GOOGLEFINANCE($C148, ""price"", WORKDAY(INT($B148), 5)), 2, 2), """"))/$G148))"),0.0184154689939549)</f>
        <v>0.01841546899</v>
      </c>
      <c r="P148" s="30">
        <f>IFERROR(__xludf.DUMMYFUNCTION("IF(OR(ISBLANK($G148), IFERROR(INDEX(GOOGLEFINANCE($C148, ""price"", WORKDAY(INT($B148), 20)), 2, 2), """")=""""), """", IF($D148=""LONG"", (IFERROR(INDEX(GOOGLEFINANCE($C148, ""price"", WORKDAY(INT($B148), 20)), 2, 2), """")-$G148)/$G148, ($G148-IFERROR(I"&amp;"NDEX(GOOGLEFINANCE($C148, ""price"", WORKDAY(INT($B148), 20)), 2, 2), """"))/$G148))"),-0.02369990792265498)</f>
        <v>-0.02369990792</v>
      </c>
      <c r="Q148" s="25" t="s">
        <v>2175</v>
      </c>
      <c r="R148" s="31"/>
      <c r="S148" s="31"/>
      <c r="T148" s="31"/>
    </row>
    <row r="149" ht="22.5" customHeight="1">
      <c r="A149" s="23">
        <f t="shared" si="1"/>
        <v>148</v>
      </c>
      <c r="B149" s="24">
        <v>46212.667708333334</v>
      </c>
      <c r="C149" s="25" t="s">
        <v>1022</v>
      </c>
      <c r="D149" s="26" t="s">
        <v>119</v>
      </c>
      <c r="E149" s="25" t="s">
        <v>120</v>
      </c>
      <c r="F149" s="27">
        <v>4.0</v>
      </c>
      <c r="G149" s="28">
        <v>34.12</v>
      </c>
      <c r="H149" s="25" t="s">
        <v>2180</v>
      </c>
      <c r="I149" s="27">
        <v>0.7</v>
      </c>
      <c r="J149" s="29"/>
      <c r="K149" s="29"/>
      <c r="L149" s="28">
        <f>IFERROR(__xludf.DUMMYFUNCTION("IF(ISBLANK($C149), """", GOOGLEFINANCE($C149, ""price""))"),32.51)</f>
        <v>32.51</v>
      </c>
      <c r="M149" s="30">
        <f t="shared" si="2"/>
        <v>0.04718640094</v>
      </c>
      <c r="N149" s="30">
        <f>IFERROR(__xludf.DUMMYFUNCTION("IF(OR(ISBLANK($G149), IFERROR(INDEX(GOOGLEFINANCE($C149, ""price"", WORKDAY(INT($B149), 1)), 2, 2), """")=""""), """", IF($D149=""LONG"", (IFERROR(INDEX(GOOGLEFINANCE($C149, ""price"", WORKDAY(INT($B149), 1)), 2, 2), """")-$G149)/$G149, ($G149-IFERROR(IND"&amp;"EX(GOOGLEFINANCE($C149, ""price"", WORKDAY(INT($B149), 1)), 2, 2), """"))/$G149))"),-0.007913247362250972)</f>
        <v>-0.007913247362</v>
      </c>
      <c r="O149" s="30">
        <f>IFERROR(__xludf.DUMMYFUNCTION("IF(OR(ISBLANK($G149), IFERROR(INDEX(GOOGLEFINANCE($C149, ""price"", WORKDAY(INT($B149), 5)), 2, 2), """")=""""), """", IF($D149=""LONG"", (IFERROR(INDEX(GOOGLEFINANCE($C149, ""price"", WORKDAY(INT($B149), 5)), 2, 2), """")-$G149)/$G149, ($G149-IFERROR(IND"&amp;"EX(GOOGLEFINANCE($C149, ""price"", WORKDAY(INT($B149), 5)), 2, 2), """"))/$G149))"),-0.026963657678780825)</f>
        <v>-0.02696365768</v>
      </c>
      <c r="P149" s="30">
        <f>IFERROR(__xludf.DUMMYFUNCTION("IF(OR(ISBLANK($G149), IFERROR(INDEX(GOOGLEFINANCE($C149, ""price"", WORKDAY(INT($B149), 20)), 2, 2), """")=""""), """", IF($D149=""LONG"", (IFERROR(INDEX(GOOGLEFINANCE($C149, ""price"", WORKDAY(INT($B149), 20)), 2, 2), """")-$G149)/$G149, ($G149-IFERROR(I"&amp;"NDEX(GOOGLEFINANCE($C149, ""price"", WORKDAY(INT($B149), 20)), 2, 2), """"))/$G149))"),0.047186400937866343)</f>
        <v>0.04718640094</v>
      </c>
      <c r="Q149" s="25" t="s">
        <v>2183</v>
      </c>
      <c r="R149" s="31"/>
      <c r="S149" s="31"/>
      <c r="T149" s="31"/>
    </row>
    <row r="150" ht="22.5" customHeight="1">
      <c r="A150" s="23">
        <f t="shared" si="1"/>
        <v>149</v>
      </c>
      <c r="B150" s="24">
        <v>46212.66762731481</v>
      </c>
      <c r="C150" s="25" t="s">
        <v>457</v>
      </c>
      <c r="D150" s="26" t="s">
        <v>119</v>
      </c>
      <c r="E150" s="25" t="s">
        <v>120</v>
      </c>
      <c r="F150" s="27">
        <v>4.0</v>
      </c>
      <c r="G150" s="28">
        <v>181.91</v>
      </c>
      <c r="H150" s="25" t="s">
        <v>2187</v>
      </c>
      <c r="I150" s="27">
        <v>3.8</v>
      </c>
      <c r="J150" s="29"/>
      <c r="K150" s="29"/>
      <c r="L150" s="28">
        <f>IFERROR(__xludf.DUMMYFUNCTION("IF(ISBLANK($C150), """", GOOGLEFINANCE($C150, ""price""))"),189.63)</f>
        <v>189.63</v>
      </c>
      <c r="M150" s="30">
        <f t="shared" si="2"/>
        <v>-0.04243856852</v>
      </c>
      <c r="N150" s="30">
        <f>IFERROR(__xludf.DUMMYFUNCTION("IF(OR(ISBLANK($G150), IFERROR(INDEX(GOOGLEFINANCE($C150, ""price"", WORKDAY(INT($B150), 1)), 2, 2), """")=""""), """", IF($D150=""LONG"", (IFERROR(INDEX(GOOGLEFINANCE($C150, ""price"", WORKDAY(INT($B150), 1)), 2, 2), """")-$G150)/$G150, ($G150-IFERROR(IND"&amp;"EX(GOOGLEFINANCE($C150, ""price"", WORKDAY(INT($B150), 1)), 2, 2), """"))/$G150))"),-0.008135891374855642)</f>
        <v>-0.008135891375</v>
      </c>
      <c r="O150" s="30">
        <f>IFERROR(__xludf.DUMMYFUNCTION("IF(OR(ISBLANK($G150), IFERROR(INDEX(GOOGLEFINANCE($C150, ""price"", WORKDAY(INT($B150), 5)), 2, 2), """")=""""), """", IF($D150=""LONG"", (IFERROR(INDEX(GOOGLEFINANCE($C150, ""price"", WORKDAY(INT($B150), 5)), 2, 2), """")-$G150)/$G150, ($G150-IFERROR(IND"&amp;"EX(GOOGLEFINANCE($C150, ""price"", WORKDAY(INT($B150), 5)), 2, 2), """"))/$G150))"),-0.045187180473860694)</f>
        <v>-0.04518718047</v>
      </c>
      <c r="P150" s="30">
        <f>IFERROR(__xludf.DUMMYFUNCTION("IF(OR(ISBLANK($G150), IFERROR(INDEX(GOOGLEFINANCE($C150, ""price"", WORKDAY(INT($B150), 20)), 2, 2), """")=""""), """", IF($D150=""LONG"", (IFERROR(INDEX(GOOGLEFINANCE($C150, ""price"", WORKDAY(INT($B150), 20)), 2, 2), """")-$G150)/$G150, ($G150-IFERROR(I"&amp;"NDEX(GOOGLEFINANCE($C150, ""price"", WORKDAY(INT($B150), 20)), 2, 2), """"))/$G150))"),-0.04243856852289593)</f>
        <v>-0.04243856852</v>
      </c>
      <c r="Q150" s="25" t="s">
        <v>2190</v>
      </c>
      <c r="R150" s="31"/>
      <c r="S150" s="31"/>
      <c r="T150" s="31"/>
    </row>
    <row r="151" ht="22.5" customHeight="1">
      <c r="A151" s="23">
        <f t="shared" si="1"/>
        <v>150</v>
      </c>
      <c r="B151" s="24">
        <v>46212.66748842593</v>
      </c>
      <c r="C151" s="25" t="s">
        <v>69</v>
      </c>
      <c r="D151" s="26" t="s">
        <v>36</v>
      </c>
      <c r="E151" s="25" t="s">
        <v>37</v>
      </c>
      <c r="F151" s="27">
        <v>2.0</v>
      </c>
      <c r="G151" s="28">
        <v>259.11</v>
      </c>
      <c r="H151" s="25" t="s">
        <v>2193</v>
      </c>
      <c r="I151" s="27">
        <v>95.3</v>
      </c>
      <c r="J151" s="29"/>
      <c r="K151" s="29"/>
      <c r="L151" s="28">
        <f>IFERROR(__xludf.DUMMYFUNCTION("IF(ISBLANK($C151), """", GOOGLEFINANCE($C151, ""price""))"),256.98)</f>
        <v>256.98</v>
      </c>
      <c r="M151" s="30">
        <f t="shared" si="2"/>
        <v>-0.008220446914</v>
      </c>
      <c r="N151" s="30">
        <f>IFERROR(__xludf.DUMMYFUNCTION("IF(OR(ISBLANK($G151), IFERROR(INDEX(GOOGLEFINANCE($C151, ""price"", WORKDAY(INT($B151), 1)), 2, 2), """")=""""), """", IF($D151=""LONG"", (IFERROR(INDEX(GOOGLEFINANCE($C151, ""price"", WORKDAY(INT($B151), 1)), 2, 2), """")-$G151)/$G151, ($G151-IFERROR(IND"&amp;"EX(GOOGLEFINANCE($C151, ""price"", WORKDAY(INT($B151), 1)), 2, 2), """"))/$G151))"),-0.008220446914437865)</f>
        <v>-0.008220446914</v>
      </c>
      <c r="O151" s="30">
        <f>IFERROR(__xludf.DUMMYFUNCTION("IF(OR(ISBLANK($G151), IFERROR(INDEX(GOOGLEFINANCE($C151, ""price"", WORKDAY(INT($B151), 5)), 2, 2), """")=""""), """", IF($D151=""LONG"", (IFERROR(INDEX(GOOGLEFINANCE($C151, ""price"", WORKDAY(INT($B151), 5)), 2, 2), """")-$G151)/$G151, ($G151-IFERROR(IND"&amp;"EX(GOOGLEFINANCE($C151, ""price"", WORKDAY(INT($B151), 5)), 2, 2), """"))/$G151))"),-0.035274593801860266)</f>
        <v>-0.0352745938</v>
      </c>
      <c r="P151" s="30">
        <f>IFERROR(__xludf.DUMMYFUNCTION("IF(OR(ISBLANK($G151), IFERROR(INDEX(GOOGLEFINANCE($C151, ""price"", WORKDAY(INT($B151), 20)), 2, 2), """")=""""), """", IF($D151=""LONG"", (IFERROR(INDEX(GOOGLEFINANCE($C151, ""price"", WORKDAY(INT($B151), 20)), 2, 2), """")-$G151)/$G151, ($G151-IFERROR(I"&amp;"NDEX(GOOGLEFINANCE($C151, ""price"", WORKDAY(INT($B151), 20)), 2, 2), """"))/$G151))"),-0.008220446914437865)</f>
        <v>-0.008220446914</v>
      </c>
      <c r="Q151" s="25" t="s">
        <v>2196</v>
      </c>
      <c r="R151" s="31"/>
      <c r="S151" s="31"/>
      <c r="T151" s="31"/>
    </row>
    <row r="152" ht="22.5" customHeight="1">
      <c r="A152" s="23">
        <f t="shared" si="1"/>
        <v>151</v>
      </c>
      <c r="B152" s="24">
        <v>46212.6678125</v>
      </c>
      <c r="C152" s="25" t="s">
        <v>34</v>
      </c>
      <c r="D152" s="26" t="s">
        <v>36</v>
      </c>
      <c r="E152" s="25" t="s">
        <v>37</v>
      </c>
      <c r="F152" s="27">
        <v>2.0</v>
      </c>
      <c r="G152" s="28">
        <v>187.02</v>
      </c>
      <c r="H152" s="25" t="s">
        <v>2198</v>
      </c>
      <c r="I152" s="27">
        <v>94.8</v>
      </c>
      <c r="J152" s="29"/>
      <c r="K152" s="29"/>
      <c r="L152" s="28">
        <f>IFERROR(__xludf.DUMMYFUNCTION("IF(ISBLANK($C152), """", GOOGLEFINANCE($C152, ""price""))"),189.75)</f>
        <v>189.75</v>
      </c>
      <c r="M152" s="30">
        <f t="shared" si="2"/>
        <v>0.01459736927</v>
      </c>
      <c r="N152" s="30">
        <f>IFERROR(__xludf.DUMMYFUNCTION("IF(OR(ISBLANK($G152), IFERROR(INDEX(GOOGLEFINANCE($C152, ""price"", WORKDAY(INT($B152), 1)), 2, 2), """")=""""), """", IF($D152=""LONG"", (IFERROR(INDEX(GOOGLEFINANCE($C152, ""price"", WORKDAY(INT($B152), 1)), 2, 2), """")-$G152)/$G152, ($G152-IFERROR(IND"&amp;"EX(GOOGLEFINANCE($C152, ""price"", WORKDAY(INT($B152), 1)), 2, 2), """"))/$G152))"),-0.008715645385520393)</f>
        <v>-0.008715645386</v>
      </c>
      <c r="O152" s="30">
        <f>IFERROR(__xludf.DUMMYFUNCTION("IF(OR(ISBLANK($G152), IFERROR(INDEX(GOOGLEFINANCE($C152, ""price"", WORKDAY(INT($B152), 5)), 2, 2), """")=""""), """", IF($D152=""LONG"", (IFERROR(INDEX(GOOGLEFINANCE($C152, ""price"", WORKDAY(INT($B152), 5)), 2, 2), """")-$G152)/$G152, ($G152-IFERROR(IND"&amp;"EX(GOOGLEFINANCE($C152, ""price"", WORKDAY(INT($B152), 5)), 2, 2), """"))/$G152))"),0.07737140412790075)</f>
        <v>0.07737140413</v>
      </c>
      <c r="P152" s="30">
        <f>IFERROR(__xludf.DUMMYFUNCTION("IF(OR(ISBLANK($G152), IFERROR(INDEX(GOOGLEFINANCE($C152, ""price"", WORKDAY(INT($B152), 20)), 2, 2), """")=""""), """", IF($D152=""LONG"", (IFERROR(INDEX(GOOGLEFINANCE($C152, ""price"", WORKDAY(INT($B152), 20)), 2, 2), """")-$G152)/$G152, ($G152-IFERROR(I"&amp;"NDEX(GOOGLEFINANCE($C152, ""price"", WORKDAY(INT($B152), 20)), 2, 2), """"))/$G152))"),0.014811250133675445)</f>
        <v>0.01481125013</v>
      </c>
      <c r="Q152" s="25" t="s">
        <v>2202</v>
      </c>
      <c r="R152" s="31"/>
      <c r="S152" s="31"/>
      <c r="T152" s="31"/>
    </row>
    <row r="153" ht="22.5" customHeight="1">
      <c r="A153" s="23">
        <f t="shared" si="1"/>
        <v>152</v>
      </c>
      <c r="B153" s="24">
        <v>46212.66740740741</v>
      </c>
      <c r="C153" s="25" t="s">
        <v>564</v>
      </c>
      <c r="D153" s="26" t="s">
        <v>36</v>
      </c>
      <c r="E153" s="25" t="s">
        <v>133</v>
      </c>
      <c r="F153" s="27">
        <v>2.0</v>
      </c>
      <c r="G153" s="28">
        <v>420.23</v>
      </c>
      <c r="H153" s="25" t="s">
        <v>2204</v>
      </c>
      <c r="I153" s="27">
        <v>67.7</v>
      </c>
      <c r="J153" s="29"/>
      <c r="K153" s="29"/>
      <c r="L153" s="28">
        <f>IFERROR(__xludf.DUMMYFUNCTION("IF(ISBLANK($C153), """", GOOGLEFINANCE($C153, ""price""))"),391.4)</f>
        <v>391.4</v>
      </c>
      <c r="M153" s="30">
        <f t="shared" si="2"/>
        <v>-0.06860528758</v>
      </c>
      <c r="N153" s="30">
        <f>IFERROR(__xludf.DUMMYFUNCTION("IF(OR(ISBLANK($G153), IFERROR(INDEX(GOOGLEFINANCE($C153, ""price"", WORKDAY(INT($B153), 1)), 2, 2), """")=""""), """", IF($D153=""LONG"", (IFERROR(INDEX(GOOGLEFINANCE($C153, ""price"", WORKDAY(INT($B153), 1)), 2, 2), """")-$G153)/$G153, ($G153-IFERROR(IND"&amp;"EX(GOOGLEFINANCE($C153, ""price"", WORKDAY(INT($B153), 1)), 2, 2), """"))/$G153))"),-0.009518596958808271)</f>
        <v>-0.009518596959</v>
      </c>
      <c r="O153" s="30">
        <f>IFERROR(__xludf.DUMMYFUNCTION("IF(OR(ISBLANK($G153), IFERROR(INDEX(GOOGLEFINANCE($C153, ""price"", WORKDAY(INT($B153), 5)), 2, 2), """")=""""), """", IF($D153=""LONG"", (IFERROR(INDEX(GOOGLEFINANCE($C153, ""price"", WORKDAY(INT($B153), 5)), 2, 2), """")-$G153)/$G153, ($G153-IFERROR(IND"&amp;"EX(GOOGLEFINANCE($C153, ""price"", WORKDAY(INT($B153), 5)), 2, 2), """"))/$G153))"),-0.11274778097708396)</f>
        <v>-0.112747781</v>
      </c>
      <c r="P153" s="30">
        <f>IFERROR(__xludf.DUMMYFUNCTION("IF(OR(ISBLANK($G153), IFERROR(INDEX(GOOGLEFINANCE($C153, ""price"", WORKDAY(INT($B153), 20)), 2, 2), """")=""""), """", IF($D153=""LONG"", (IFERROR(INDEX(GOOGLEFINANCE($C153, ""price"", WORKDAY(INT($B153), 20)), 2, 2), """")-$G153)/$G153, ($G153-IFERROR(I"&amp;"NDEX(GOOGLEFINANCE($C153, ""price"", WORKDAY(INT($B153), 20)), 2, 2), """"))/$G153))"),-0.06860528758061071)</f>
        <v>-0.06860528758</v>
      </c>
      <c r="Q153" s="25" t="s">
        <v>2207</v>
      </c>
      <c r="R153" s="31"/>
      <c r="S153" s="31"/>
      <c r="T153" s="31"/>
    </row>
    <row r="154" ht="22.5" customHeight="1">
      <c r="A154" s="23">
        <f t="shared" si="1"/>
        <v>153</v>
      </c>
      <c r="B154" s="24">
        <v>46212.66741898148</v>
      </c>
      <c r="C154" s="25" t="s">
        <v>540</v>
      </c>
      <c r="D154" s="26" t="s">
        <v>119</v>
      </c>
      <c r="E154" s="25" t="s">
        <v>120</v>
      </c>
      <c r="F154" s="27">
        <v>4.0</v>
      </c>
      <c r="G154" s="28">
        <v>107.97</v>
      </c>
      <c r="H154" s="25" t="s">
        <v>2210</v>
      </c>
      <c r="I154" s="27">
        <v>6.1</v>
      </c>
      <c r="J154" s="29"/>
      <c r="K154" s="29"/>
      <c r="L154" s="28">
        <f>IFERROR(__xludf.DUMMYFUNCTION("IF(ISBLANK($C154), """", GOOGLEFINANCE($C154, ""price""))"),116.76)</f>
        <v>116.76</v>
      </c>
      <c r="M154" s="30">
        <f t="shared" si="2"/>
        <v>-0.0814115032</v>
      </c>
      <c r="N154" s="30">
        <f>IFERROR(__xludf.DUMMYFUNCTION("IF(OR(ISBLANK($G154), IFERROR(INDEX(GOOGLEFINANCE($C154, ""price"", WORKDAY(INT($B154), 1)), 2, 2), """")=""""), """", IF($D154=""LONG"", (IFERROR(INDEX(GOOGLEFINANCE($C154, ""price"", WORKDAY(INT($B154), 1)), 2, 2), """")-$G154)/$G154, ($G154-IFERROR(IND"&amp;"EX(GOOGLEFINANCE($C154, ""price"", WORKDAY(INT($B154), 1)), 2, 2), """"))/$G154))"),-0.009910160229693502)</f>
        <v>-0.00991016023</v>
      </c>
      <c r="O154" s="30">
        <f>IFERROR(__xludf.DUMMYFUNCTION("IF(OR(ISBLANK($G154), IFERROR(INDEX(GOOGLEFINANCE($C154, ""price"", WORKDAY(INT($B154), 5)), 2, 2), """")=""""), """", IF($D154=""LONG"", (IFERROR(INDEX(GOOGLEFINANCE($C154, ""price"", WORKDAY(INT($B154), 5)), 2, 2), """")-$G154)/$G154, ($G154-IFERROR(IND"&amp;"EX(GOOGLEFINANCE($C154, ""price"", WORKDAY(INT($B154), 5)), 2, 2), """"))/$G154))"),-0.045105121793090716)</f>
        <v>-0.04510512179</v>
      </c>
      <c r="P154" s="30">
        <f>IFERROR(__xludf.DUMMYFUNCTION("IF(OR(ISBLANK($G154), IFERROR(INDEX(GOOGLEFINANCE($C154, ""price"", WORKDAY(INT($B154), 20)), 2, 2), """")=""""), """", IF($D154=""LONG"", (IFERROR(INDEX(GOOGLEFINANCE($C154, ""price"", WORKDAY(INT($B154), 20)), 2, 2), """")-$G154)/$G154, ($G154-IFERROR(I"&amp;"NDEX(GOOGLEFINANCE($C154, ""price"", WORKDAY(INT($B154), 20)), 2, 2), """"))/$G154))"),-0.0814115031953321)</f>
        <v>-0.0814115032</v>
      </c>
      <c r="Q154" s="25" t="s">
        <v>2214</v>
      </c>
      <c r="R154" s="31"/>
      <c r="S154" s="31"/>
      <c r="T154" s="31"/>
    </row>
    <row r="155" ht="22.5" customHeight="1">
      <c r="A155" s="23">
        <f t="shared" si="1"/>
        <v>154</v>
      </c>
      <c r="B155" s="24">
        <v>46212.667708333334</v>
      </c>
      <c r="C155" s="25" t="s">
        <v>145</v>
      </c>
      <c r="D155" s="26" t="s">
        <v>36</v>
      </c>
      <c r="E155" s="25" t="s">
        <v>37</v>
      </c>
      <c r="F155" s="27">
        <v>2.0</v>
      </c>
      <c r="G155" s="28">
        <v>592.92</v>
      </c>
      <c r="H155" s="25" t="s">
        <v>2218</v>
      </c>
      <c r="I155" s="27">
        <v>96.3</v>
      </c>
      <c r="J155" s="29"/>
      <c r="K155" s="29"/>
      <c r="L155" s="28">
        <f>IFERROR(__xludf.DUMMYFUNCTION("IF(ISBLANK($C155), """", GOOGLEFINANCE($C155, ""price""))"),614.84)</f>
        <v>614.84</v>
      </c>
      <c r="M155" s="30">
        <f t="shared" si="2"/>
        <v>0.03696957431</v>
      </c>
      <c r="N155" s="30">
        <f>IFERROR(__xludf.DUMMYFUNCTION("IF(OR(ISBLANK($G155), IFERROR(INDEX(GOOGLEFINANCE($C155, ""price"", WORKDAY(INT($B155), 1)), 2, 2), """")=""""), """", IF($D155=""LONG"", (IFERROR(INDEX(GOOGLEFINANCE($C155, ""price"", WORKDAY(INT($B155), 1)), 2, 2), """")-$G155)/$G155, ($G155-IFERROR(IND"&amp;"EX(GOOGLEFINANCE($C155, ""price"", WORKDAY(INT($B155), 1)), 2, 2), """"))/$G155))"),-0.01022060311677789)</f>
        <v>-0.01022060312</v>
      </c>
      <c r="O155" s="30">
        <f>IFERROR(__xludf.DUMMYFUNCTION("IF(OR(ISBLANK($G155), IFERROR(INDEX(GOOGLEFINANCE($C155, ""price"", WORKDAY(INT($B155), 5)), 2, 2), """")=""""), """", IF($D155=""LONG"", (IFERROR(INDEX(GOOGLEFINANCE($C155, ""price"", WORKDAY(INT($B155), 5)), 2, 2), """")-$G155)/$G155, ($G155-IFERROR(IND"&amp;"EX(GOOGLEFINANCE($C155, ""price"", WORKDAY(INT($B155), 5)), 2, 2), """"))/$G155))"),0.010203737435067242)</f>
        <v>0.01020373744</v>
      </c>
      <c r="P155" s="30">
        <f>IFERROR(__xludf.DUMMYFUNCTION("IF(OR(ISBLANK($G155), IFERROR(INDEX(GOOGLEFINANCE($C155, ""price"", WORKDAY(INT($B155), 20)), 2, 2), """")=""""), """", IF($D155=""LONG"", (IFERROR(INDEX(GOOGLEFINANCE($C155, ""price"", WORKDAY(INT($B155), 20)), 2, 2), """")-$G155)/$G155, ($G155-IFERROR(I"&amp;"NDEX(GOOGLEFINANCE($C155, ""price"", WORKDAY(INT($B155), 20)), 2, 2), """"))/$G155))"),0.036969574310193744)</f>
        <v>0.03696957431</v>
      </c>
      <c r="Q155" s="25" t="s">
        <v>2222</v>
      </c>
      <c r="R155" s="31"/>
      <c r="S155" s="31"/>
      <c r="T155" s="31"/>
    </row>
    <row r="156" ht="22.5" customHeight="1">
      <c r="A156" s="23">
        <f t="shared" si="1"/>
        <v>155</v>
      </c>
      <c r="B156" s="24">
        <v>46212.66769675926</v>
      </c>
      <c r="C156" s="25" t="s">
        <v>810</v>
      </c>
      <c r="D156" s="26" t="s">
        <v>36</v>
      </c>
      <c r="E156" s="25" t="s">
        <v>133</v>
      </c>
      <c r="F156" s="27">
        <v>2.0</v>
      </c>
      <c r="G156" s="28">
        <v>141.01</v>
      </c>
      <c r="H156" s="25" t="s">
        <v>2224</v>
      </c>
      <c r="I156" s="27">
        <v>90.9</v>
      </c>
      <c r="J156" s="29"/>
      <c r="K156" s="29"/>
      <c r="L156" s="28">
        <f>IFERROR(__xludf.DUMMYFUNCTION("IF(ISBLANK($C156), """", GOOGLEFINANCE($C156, ""price""))"),147.45)</f>
        <v>147.45</v>
      </c>
      <c r="M156" s="30">
        <f t="shared" si="2"/>
        <v>0.04567051982</v>
      </c>
      <c r="N156" s="30">
        <f>IFERROR(__xludf.DUMMYFUNCTION("IF(OR(ISBLANK($G156), IFERROR(INDEX(GOOGLEFINANCE($C156, ""price"", WORKDAY(INT($B156), 1)), 2, 2), """")=""""), """", IF($D156=""LONG"", (IFERROR(INDEX(GOOGLEFINANCE($C156, ""price"", WORKDAY(INT($B156), 1)), 2, 2), """")-$G156)/$G156, ($G156-IFERROR(IND"&amp;"EX(GOOGLEFINANCE($C156, ""price"", WORKDAY(INT($B156), 1)), 2, 2), """"))/$G156))"),-0.010495709524147152)</f>
        <v>-0.01049570952</v>
      </c>
      <c r="O156" s="30">
        <f>IFERROR(__xludf.DUMMYFUNCTION("IF(OR(ISBLANK($G156), IFERROR(INDEX(GOOGLEFINANCE($C156, ""price"", WORKDAY(INT($B156), 5)), 2, 2), """")=""""), """", IF($D156=""LONG"", (IFERROR(INDEX(GOOGLEFINANCE($C156, ""price"", WORKDAY(INT($B156), 5)), 2, 2), """")-$G156)/$G156, ($G156-IFERROR(IND"&amp;"EX(GOOGLEFINANCE($C156, ""price"", WORKDAY(INT($B156), 5)), 2, 2), """"))/$G156))"),0.019005744273455832)</f>
        <v>0.01900574427</v>
      </c>
      <c r="P156" s="30">
        <f>IFERROR(__xludf.DUMMYFUNCTION("IF(OR(ISBLANK($G156), IFERROR(INDEX(GOOGLEFINANCE($C156, ""price"", WORKDAY(INT($B156), 20)), 2, 2), """")=""""), """", IF($D156=""LONG"", (IFERROR(INDEX(GOOGLEFINANCE($C156, ""price"", WORKDAY(INT($B156), 20)), 2, 2), """")-$G156)/$G156, ($G156-IFERROR(I"&amp;"NDEX(GOOGLEFINANCE($C156, ""price"", WORKDAY(INT($B156), 20)), 2, 2), """"))/$G156))"),0.04567051982128926)</f>
        <v>0.04567051982</v>
      </c>
      <c r="Q156" s="25" t="s">
        <v>2232</v>
      </c>
      <c r="R156" s="31"/>
      <c r="S156" s="31"/>
      <c r="T156" s="31"/>
    </row>
    <row r="157" ht="22.5" customHeight="1">
      <c r="A157" s="23">
        <f t="shared" si="1"/>
        <v>156</v>
      </c>
      <c r="B157" s="24">
        <v>46212.66775462963</v>
      </c>
      <c r="C157" s="25" t="s">
        <v>204</v>
      </c>
      <c r="D157" s="26" t="s">
        <v>36</v>
      </c>
      <c r="E157" s="25" t="s">
        <v>37</v>
      </c>
      <c r="F157" s="27">
        <v>2.0</v>
      </c>
      <c r="G157" s="28">
        <v>357.49</v>
      </c>
      <c r="H157" s="25" t="s">
        <v>2234</v>
      </c>
      <c r="I157" s="27">
        <v>91.0</v>
      </c>
      <c r="J157" s="29"/>
      <c r="K157" s="29"/>
      <c r="L157" s="28">
        <f>IFERROR(__xludf.DUMMYFUNCTION("IF(ISBLANK($C157), """", GOOGLEFINANCE($C157, ""price""))"),348.6)</f>
        <v>348.6</v>
      </c>
      <c r="M157" s="30">
        <f t="shared" si="2"/>
        <v>-0.02486782847</v>
      </c>
      <c r="N157" s="30">
        <f>IFERROR(__xludf.DUMMYFUNCTION("IF(OR(ISBLANK($G157), IFERROR(INDEX(GOOGLEFINANCE($C157, ""price"", WORKDAY(INT($B157), 1)), 2, 2), """")=""""), """", IF($D157=""LONG"", (IFERROR(INDEX(GOOGLEFINANCE($C157, ""price"", WORKDAY(INT($B157), 1)), 2, 2), """")-$G157)/$G157, ($G157-IFERROR(IND"&amp;"EX(GOOGLEFINANCE($C157, ""price"", WORKDAY(INT($B157), 1)), 2, 2), """"))/$G157))"),-0.010573722341883772)</f>
        <v>-0.01057372234</v>
      </c>
      <c r="O157" s="30">
        <f>IFERROR(__xludf.DUMMYFUNCTION("IF(OR(ISBLANK($G157), IFERROR(INDEX(GOOGLEFINANCE($C157, ""price"", WORKDAY(INT($B157), 5)), 2, 2), """")=""""), """", IF($D157=""LONG"", (IFERROR(INDEX(GOOGLEFINANCE($C157, ""price"", WORKDAY(INT($B157), 5)), 2, 2), """")-$G157)/$G157, ($G157-IFERROR(IND"&amp;"EX(GOOGLEFINANCE($C157, ""price"", WORKDAY(INT($B157), 5)), 2, 2), """"))/$G157))"),0.013846541161990513)</f>
        <v>0.01384654116</v>
      </c>
      <c r="P157" s="30">
        <f>IFERROR(__xludf.DUMMYFUNCTION("IF(OR(ISBLANK($G157), IFERROR(INDEX(GOOGLEFINANCE($C157, ""price"", WORKDAY(INT($B157), 20)), 2, 2), """")=""""), """", IF($D157=""LONG"", (IFERROR(INDEX(GOOGLEFINANCE($C157, ""price"", WORKDAY(INT($B157), 20)), 2, 2), """")-$G157)/$G157, ($G157-IFERROR(I"&amp;"NDEX(GOOGLEFINANCE($C157, ""price"", WORKDAY(INT($B157), 20)), 2, 2), """"))/$G157))"),-0.024867828470726414)</f>
        <v>-0.02486782847</v>
      </c>
      <c r="Q157" s="25" t="s">
        <v>2241</v>
      </c>
      <c r="R157" s="31"/>
      <c r="S157" s="31"/>
      <c r="T157" s="31"/>
    </row>
    <row r="158" ht="22.5" customHeight="1">
      <c r="A158" s="23">
        <f t="shared" si="1"/>
        <v>157</v>
      </c>
      <c r="B158" s="24">
        <v>46212.66752314815</v>
      </c>
      <c r="C158" s="25" t="s">
        <v>358</v>
      </c>
      <c r="D158" s="26" t="s">
        <v>119</v>
      </c>
      <c r="E158" s="25" t="s">
        <v>120</v>
      </c>
      <c r="F158" s="27">
        <v>4.0</v>
      </c>
      <c r="G158" s="28">
        <v>47.26</v>
      </c>
      <c r="H158" s="25" t="s">
        <v>2247</v>
      </c>
      <c r="I158" s="27">
        <v>2.5</v>
      </c>
      <c r="J158" s="29"/>
      <c r="K158" s="29"/>
      <c r="L158" s="28">
        <f>IFERROR(__xludf.DUMMYFUNCTION("IF(ISBLANK($C158), """", GOOGLEFINANCE($C158, ""price""))"),51.54)</f>
        <v>51.54</v>
      </c>
      <c r="M158" s="30">
        <f t="shared" si="2"/>
        <v>-0.09056284384</v>
      </c>
      <c r="N158" s="30">
        <f>IFERROR(__xludf.DUMMYFUNCTION("IF(OR(ISBLANK($G158), IFERROR(INDEX(GOOGLEFINANCE($C158, ""price"", WORKDAY(INT($B158), 1)), 2, 2), """")=""""), """", IF($D158=""LONG"", (IFERROR(INDEX(GOOGLEFINANCE($C158, ""price"", WORKDAY(INT($B158), 1)), 2, 2), """")-$G158)/$G158, ($G158-IFERROR(IND"&amp;"EX(GOOGLEFINANCE($C158, ""price"", WORKDAY(INT($B158), 1)), 2, 2), """"))/$G158))"),-0.010579771476936098)</f>
        <v>-0.01057977148</v>
      </c>
      <c r="O158" s="30">
        <f>IFERROR(__xludf.DUMMYFUNCTION("IF(OR(ISBLANK($G158), IFERROR(INDEX(GOOGLEFINANCE($C158, ""price"", WORKDAY(INT($B158), 5)), 2, 2), """")=""""), """", IF($D158=""LONG"", (IFERROR(INDEX(GOOGLEFINANCE($C158, ""price"", WORKDAY(INT($B158), 5)), 2, 2), """")-$G158)/$G158, ($G158-IFERROR(IND"&amp;"EX(GOOGLEFINANCE($C158, ""price"", WORKDAY(INT($B158), 5)), 2, 2), """"))/$G158))"),0.0038087177316969895)</f>
        <v>0.003808717732</v>
      </c>
      <c r="P158" s="30">
        <f>IFERROR(__xludf.DUMMYFUNCTION("IF(OR(ISBLANK($G158), IFERROR(INDEX(GOOGLEFINANCE($C158, ""price"", WORKDAY(INT($B158), 20)), 2, 2), """")=""""), """", IF($D158=""LONG"", (IFERROR(INDEX(GOOGLEFINANCE($C158, ""price"", WORKDAY(INT($B158), 20)), 2, 2), """")-$G158)/$G158, ($G158-IFERROR(I"&amp;"NDEX(GOOGLEFINANCE($C158, ""price"", WORKDAY(INT($B158), 20)), 2, 2), """"))/$G158))"),-0.09056284384257303)</f>
        <v>-0.09056284384</v>
      </c>
      <c r="Q158" s="25" t="s">
        <v>2253</v>
      </c>
      <c r="R158" s="31"/>
      <c r="S158" s="31"/>
      <c r="T158" s="31"/>
    </row>
    <row r="159" ht="22.5" customHeight="1">
      <c r="A159" s="23">
        <f t="shared" si="1"/>
        <v>158</v>
      </c>
      <c r="B159" s="24">
        <v>46212.66746527778</v>
      </c>
      <c r="C159" s="25" t="s">
        <v>431</v>
      </c>
      <c r="D159" s="26" t="s">
        <v>119</v>
      </c>
      <c r="E159" s="25" t="s">
        <v>120</v>
      </c>
      <c r="F159" s="27">
        <v>4.0</v>
      </c>
      <c r="G159" s="28">
        <v>137.37</v>
      </c>
      <c r="H159" s="25" t="s">
        <v>2257</v>
      </c>
      <c r="I159" s="27">
        <v>3.9</v>
      </c>
      <c r="J159" s="29"/>
      <c r="K159" s="29"/>
      <c r="L159" s="28">
        <f>IFERROR(__xludf.DUMMYFUNCTION("IF(ISBLANK($C159), """", GOOGLEFINANCE($C159, ""price""))"),154.84)</f>
        <v>154.84</v>
      </c>
      <c r="M159" s="30">
        <f t="shared" si="2"/>
        <v>-0.1271747834</v>
      </c>
      <c r="N159" s="30">
        <f>IFERROR(__xludf.DUMMYFUNCTION("IF(OR(ISBLANK($G159), IFERROR(INDEX(GOOGLEFINANCE($C159, ""price"", WORKDAY(INT($B159), 1)), 2, 2), """")=""""), """", IF($D159=""LONG"", (IFERROR(INDEX(GOOGLEFINANCE($C159, ""price"", WORKDAY(INT($B159), 1)), 2, 2), """")-$G159)/$G159, ($G159-IFERROR(IND"&amp;"EX(GOOGLEFINANCE($C159, ""price"", WORKDAY(INT($B159), 1)), 2, 2), """"))/$G159))"),-0.010992210817500115)</f>
        <v>-0.01099221082</v>
      </c>
      <c r="O159" s="30">
        <f>IFERROR(__xludf.DUMMYFUNCTION("IF(OR(ISBLANK($G159), IFERROR(INDEX(GOOGLEFINANCE($C159, ""price"", WORKDAY(INT($B159), 5)), 2, 2), """")=""""), """", IF($D159=""LONG"", (IFERROR(INDEX(GOOGLEFINANCE($C159, ""price"", WORKDAY(INT($B159), 5)), 2, 2), """")-$G159)/$G159, ($G159-IFERROR(IND"&amp;"EX(GOOGLEFINANCE($C159, ""price"", WORKDAY(INT($B159), 5)), 2, 2), """"))/$G159))"),-0.06245905219480224)</f>
        <v>-0.06245905219</v>
      </c>
      <c r="P159" s="30">
        <f>IFERROR(__xludf.DUMMYFUNCTION("IF(OR(ISBLANK($G159), IFERROR(INDEX(GOOGLEFINANCE($C159, ""price"", WORKDAY(INT($B159), 20)), 2, 2), """")=""""), """", IF($D159=""LONG"", (IFERROR(INDEX(GOOGLEFINANCE($C159, ""price"", WORKDAY(INT($B159), 20)), 2, 2), """")-$G159)/$G159, ($G159-IFERROR(I"&amp;"NDEX(GOOGLEFINANCE($C159, ""price"", WORKDAY(INT($B159), 20)), 2, 2), """"))/$G159))"),-0.12717478343160804)</f>
        <v>-0.1271747834</v>
      </c>
      <c r="Q159" s="25" t="s">
        <v>2261</v>
      </c>
      <c r="R159" s="31"/>
      <c r="S159" s="31"/>
      <c r="T159" s="31"/>
    </row>
    <row r="160" ht="22.5" customHeight="1">
      <c r="A160" s="23">
        <f t="shared" si="1"/>
        <v>159</v>
      </c>
      <c r="B160" s="24">
        <v>46212.66777777778</v>
      </c>
      <c r="C160" s="25" t="s">
        <v>957</v>
      </c>
      <c r="D160" s="26" t="s">
        <v>119</v>
      </c>
      <c r="E160" s="25" t="s">
        <v>120</v>
      </c>
      <c r="F160" s="27">
        <v>4.0</v>
      </c>
      <c r="G160" s="28">
        <v>52.29</v>
      </c>
      <c r="H160" s="25" t="s">
        <v>2264</v>
      </c>
      <c r="I160" s="27">
        <v>8.3</v>
      </c>
      <c r="J160" s="29"/>
      <c r="K160" s="29"/>
      <c r="L160" s="28">
        <f>IFERROR(__xludf.DUMMYFUNCTION("IF(ISBLANK($C160), """", GOOGLEFINANCE($C160, ""price""))"),56.04)</f>
        <v>56.04</v>
      </c>
      <c r="M160" s="30">
        <f t="shared" si="2"/>
        <v>-0.07171543316</v>
      </c>
      <c r="N160" s="30">
        <f>IFERROR(__xludf.DUMMYFUNCTION("IF(OR(ISBLANK($G160), IFERROR(INDEX(GOOGLEFINANCE($C160, ""price"", WORKDAY(INT($B160), 1)), 2, 2), """")=""""), """", IF($D160=""LONG"", (IFERROR(INDEX(GOOGLEFINANCE($C160, ""price"", WORKDAY(INT($B160), 1)), 2, 2), """")-$G160)/$G160, ($G160-IFERROR(IND"&amp;"EX(GOOGLEFINANCE($C160, ""price"", WORKDAY(INT($B160), 1)), 2, 2), """"))/$G160))"),-0.011474469305794634)</f>
        <v>-0.01147446931</v>
      </c>
      <c r="O160" s="30">
        <f>IFERROR(__xludf.DUMMYFUNCTION("IF(OR(ISBLANK($G160), IFERROR(INDEX(GOOGLEFINANCE($C160, ""price"", WORKDAY(INT($B160), 5)), 2, 2), """")=""""), """", IF($D160=""LONG"", (IFERROR(INDEX(GOOGLEFINANCE($C160, ""price"", WORKDAY(INT($B160), 5)), 2, 2), """")-$G160)/$G160, ($G160-IFERROR(IND"&amp;"EX(GOOGLEFINANCE($C160, ""price"", WORKDAY(INT($B160), 5)), 2, 2), """"))/$G160))"),-0.02600879709313443)</f>
        <v>-0.02600879709</v>
      </c>
      <c r="P160" s="30">
        <f>IFERROR(__xludf.DUMMYFUNCTION("IF(OR(ISBLANK($G160), IFERROR(INDEX(GOOGLEFINANCE($C160, ""price"", WORKDAY(INT($B160), 20)), 2, 2), """")=""""), """", IF($D160=""LONG"", (IFERROR(INDEX(GOOGLEFINANCE($C160, ""price"", WORKDAY(INT($B160), 20)), 2, 2), """")-$G160)/$G160, ($G160-IFERROR(I"&amp;"NDEX(GOOGLEFINANCE($C160, ""price"", WORKDAY(INT($B160), 20)), 2, 2), """"))/$G160))"),-0.0717154331612163)</f>
        <v>-0.07171543316</v>
      </c>
      <c r="Q160" s="25" t="s">
        <v>2275</v>
      </c>
      <c r="R160" s="31"/>
      <c r="S160" s="31"/>
      <c r="T160" s="31"/>
    </row>
    <row r="161" ht="22.5" customHeight="1">
      <c r="A161" s="23">
        <f t="shared" si="1"/>
        <v>160</v>
      </c>
      <c r="B161" s="24">
        <v>46212.66778935185</v>
      </c>
      <c r="C161" s="25" t="s">
        <v>181</v>
      </c>
      <c r="D161" s="26" t="s">
        <v>119</v>
      </c>
      <c r="E161" s="25" t="s">
        <v>120</v>
      </c>
      <c r="F161" s="27">
        <v>4.0</v>
      </c>
      <c r="G161" s="28">
        <v>59.85</v>
      </c>
      <c r="H161" s="25" t="s">
        <v>2277</v>
      </c>
      <c r="I161" s="27">
        <v>14.4</v>
      </c>
      <c r="J161" s="29"/>
      <c r="K161" s="29"/>
      <c r="L161" s="28">
        <f>IFERROR(__xludf.DUMMYFUNCTION("IF(ISBLANK($C161), """", GOOGLEFINANCE($C161, ""price""))"),57.32)</f>
        <v>57.32</v>
      </c>
      <c r="M161" s="30">
        <f t="shared" si="2"/>
        <v>0.04227234754</v>
      </c>
      <c r="N161" s="30">
        <f>IFERROR(__xludf.DUMMYFUNCTION("IF(OR(ISBLANK($G161), IFERROR(INDEX(GOOGLEFINANCE($C161, ""price"", WORKDAY(INT($B161), 1)), 2, 2), """")=""""), """", IF($D161=""LONG"", (IFERROR(INDEX(GOOGLEFINANCE($C161, ""price"", WORKDAY(INT($B161), 1)), 2, 2), """")-$G161)/$G161, ($G161-IFERROR(IND"&amp;"EX(GOOGLEFINANCE($C161, ""price"", WORKDAY(INT($B161), 1)), 2, 2), """"))/$G161))"),-0.011528822055137807)</f>
        <v>-0.01152882206</v>
      </c>
      <c r="O161" s="30">
        <f>IFERROR(__xludf.DUMMYFUNCTION("IF(OR(ISBLANK($G161), IFERROR(INDEX(GOOGLEFINANCE($C161, ""price"", WORKDAY(INT($B161), 5)), 2, 2), """")=""""), """", IF($D161=""LONG"", (IFERROR(INDEX(GOOGLEFINANCE($C161, ""price"", WORKDAY(INT($B161), 5)), 2, 2), """")-$G161)/$G161, ($G161-IFERROR(IND"&amp;"EX(GOOGLEFINANCE($C161, ""price"", WORKDAY(INT($B161), 5)), 2, 2), """"))/$G161))"),0.020718462823726014)</f>
        <v>0.02071846282</v>
      </c>
      <c r="P161" s="30">
        <f>IFERROR(__xludf.DUMMYFUNCTION("IF(OR(ISBLANK($G161), IFERROR(INDEX(GOOGLEFINANCE($C161, ""price"", WORKDAY(INT($B161), 20)), 2, 2), """")=""""), """", IF($D161=""LONG"", (IFERROR(INDEX(GOOGLEFINANCE($C161, ""price"", WORKDAY(INT($B161), 20)), 2, 2), """")-$G161)/$G161, ($G161-IFERROR(I"&amp;"NDEX(GOOGLEFINANCE($C161, ""price"", WORKDAY(INT($B161), 20)), 2, 2), """"))/$G161))"),0.04227234753550545)</f>
        <v>0.04227234754</v>
      </c>
      <c r="Q161" s="25" t="s">
        <v>2285</v>
      </c>
      <c r="R161" s="31"/>
      <c r="S161" s="31"/>
      <c r="T161" s="31"/>
    </row>
    <row r="162" ht="22.5" customHeight="1">
      <c r="A162" s="23">
        <f t="shared" si="1"/>
        <v>161</v>
      </c>
      <c r="B162" s="24">
        <v>46212.66777777778</v>
      </c>
      <c r="C162" s="25" t="s">
        <v>1226</v>
      </c>
      <c r="D162" s="26" t="s">
        <v>36</v>
      </c>
      <c r="E162" s="25" t="s">
        <v>37</v>
      </c>
      <c r="F162" s="27">
        <v>2.0</v>
      </c>
      <c r="G162" s="28">
        <v>246.08</v>
      </c>
      <c r="H162" s="25" t="s">
        <v>2290</v>
      </c>
      <c r="I162" s="27">
        <v>95.4</v>
      </c>
      <c r="J162" s="29"/>
      <c r="K162" s="29"/>
      <c r="L162" s="28">
        <f>IFERROR(__xludf.DUMMYFUNCTION("IF(ISBLANK($C162), """", GOOGLEFINANCE($C162, ""price""))"),232.47)</f>
        <v>232.47</v>
      </c>
      <c r="M162" s="30">
        <f t="shared" si="2"/>
        <v>-0.05530721717</v>
      </c>
      <c r="N162" s="30">
        <f>IFERROR(__xludf.DUMMYFUNCTION("IF(OR(ISBLANK($G162), IFERROR(INDEX(GOOGLEFINANCE($C162, ""price"", WORKDAY(INT($B162), 1)), 2, 2), """")=""""), """", IF($D162=""LONG"", (IFERROR(INDEX(GOOGLEFINANCE($C162, ""price"", WORKDAY(INT($B162), 1)), 2, 2), """")-$G162)/$G162, ($G162-IFERROR(IND"&amp;"EX(GOOGLEFINANCE($C162, ""price"", WORKDAY(INT($B162), 1)), 2, 2), """"))/$G162))"),-0.011703511053316091)</f>
        <v>-0.01170351105</v>
      </c>
      <c r="O162" s="30">
        <f>IFERROR(__xludf.DUMMYFUNCTION("IF(OR(ISBLANK($G162), IFERROR(INDEX(GOOGLEFINANCE($C162, ""price"", WORKDAY(INT($B162), 5)), 2, 2), """")=""""), """", IF($D162=""LONG"", (IFERROR(INDEX(GOOGLEFINANCE($C162, ""price"", WORKDAY(INT($B162), 5)), 2, 2), """")-$G162)/$G162, ($G162-IFERROR(IND"&amp;"EX(GOOGLEFINANCE($C162, ""price"", WORKDAY(INT($B162), 5)), 2, 2), """"))/$G162))"),-0.026454811443433108)</f>
        <v>-0.02645481144</v>
      </c>
      <c r="P162" s="30">
        <f>IFERROR(__xludf.DUMMYFUNCTION("IF(OR(ISBLANK($G162), IFERROR(INDEX(GOOGLEFINANCE($C162, ""price"", WORKDAY(INT($B162), 20)), 2, 2), """")=""""), """", IF($D162=""LONG"", (IFERROR(INDEX(GOOGLEFINANCE($C162, ""price"", WORKDAY(INT($B162), 20)), 2, 2), """")-$G162)/$G162, ($G162-IFERROR(I"&amp;"NDEX(GOOGLEFINANCE($C162, ""price"", WORKDAY(INT($B162), 20)), 2, 2), """"))/$G162))"),-0.055307217165149594)</f>
        <v>-0.05530721717</v>
      </c>
      <c r="Q162" s="25" t="s">
        <v>2296</v>
      </c>
      <c r="R162" s="31"/>
      <c r="S162" s="31"/>
      <c r="T162" s="31"/>
    </row>
    <row r="163" ht="22.5" customHeight="1">
      <c r="A163" s="23">
        <f t="shared" si="1"/>
        <v>162</v>
      </c>
      <c r="B163" s="24">
        <v>46212.66756944444</v>
      </c>
      <c r="C163" s="25" t="s">
        <v>548</v>
      </c>
      <c r="D163" s="26" t="s">
        <v>36</v>
      </c>
      <c r="E163" s="25" t="s">
        <v>133</v>
      </c>
      <c r="F163" s="27">
        <v>2.0</v>
      </c>
      <c r="G163" s="28">
        <v>91.74</v>
      </c>
      <c r="H163" s="25" t="s">
        <v>2301</v>
      </c>
      <c r="I163" s="27">
        <v>76.6</v>
      </c>
      <c r="J163" s="29"/>
      <c r="K163" s="29"/>
      <c r="L163" s="28">
        <f>IFERROR(__xludf.DUMMYFUNCTION("IF(ISBLANK($C163), """", GOOGLEFINANCE($C163, ""price""))"),92.26)</f>
        <v>92.26</v>
      </c>
      <c r="M163" s="30">
        <f t="shared" si="2"/>
        <v>0.005668192719</v>
      </c>
      <c r="N163" s="30">
        <f>IFERROR(__xludf.DUMMYFUNCTION("IF(OR(ISBLANK($G163), IFERROR(INDEX(GOOGLEFINANCE($C163, ""price"", WORKDAY(INT($B163), 1)), 2, 2), """")=""""), """", IF($D163=""LONG"", (IFERROR(INDEX(GOOGLEFINANCE($C163, ""price"", WORKDAY(INT($B163), 1)), 2, 2), """")-$G163)/$G163, ($G163-IFERROR(IND"&amp;"EX(GOOGLEFINANCE($C163, ""price"", WORKDAY(INT($B163), 1)), 2, 2), """"))/$G163))"),-0.011772400261608877)</f>
        <v>-0.01177240026</v>
      </c>
      <c r="O163" s="30">
        <f>IFERROR(__xludf.DUMMYFUNCTION("IF(OR(ISBLANK($G163), IFERROR(INDEX(GOOGLEFINANCE($C163, ""price"", WORKDAY(INT($B163), 5)), 2, 2), """")=""""), """", IF($D163=""LONG"", (IFERROR(INDEX(GOOGLEFINANCE($C163, ""price"", WORKDAY(INT($B163), 5)), 2, 2), """")-$G163)/$G163, ($G163-IFERROR(IND"&amp;"EX(GOOGLEFINANCE($C163, ""price"", WORKDAY(INT($B163), 5)), 2, 2), """"))/$G163))"),0.03597122302158286)</f>
        <v>0.03597122302</v>
      </c>
      <c r="P163" s="30">
        <f>IFERROR(__xludf.DUMMYFUNCTION("IF(OR(ISBLANK($G163), IFERROR(INDEX(GOOGLEFINANCE($C163, ""price"", WORKDAY(INT($B163), 20)), 2, 2), """")=""""), """", IF($D163=""LONG"", (IFERROR(INDEX(GOOGLEFINANCE($C163, ""price"", WORKDAY(INT($B163), 20)), 2, 2), """")-$G163)/$G163, ($G163-IFERROR(I"&amp;"NDEX(GOOGLEFINANCE($C163, ""price"", WORKDAY(INT($B163), 20)), 2, 2), """"))/$G163))"),0.005668192718552543)</f>
        <v>0.005668192719</v>
      </c>
      <c r="Q163" s="25" t="s">
        <v>2305</v>
      </c>
      <c r="R163" s="31"/>
      <c r="S163" s="31"/>
      <c r="T163" s="31"/>
    </row>
    <row r="164" ht="22.5" customHeight="1">
      <c r="A164" s="23">
        <f t="shared" si="1"/>
        <v>163</v>
      </c>
      <c r="B164" s="24">
        <v>46212.667546296296</v>
      </c>
      <c r="C164" s="25" t="s">
        <v>141</v>
      </c>
      <c r="D164" s="26" t="s">
        <v>36</v>
      </c>
      <c r="E164" s="25" t="s">
        <v>37</v>
      </c>
      <c r="F164" s="27">
        <v>2.0</v>
      </c>
      <c r="G164" s="28">
        <v>125.05</v>
      </c>
      <c r="H164" s="25" t="s">
        <v>2313</v>
      </c>
      <c r="I164" s="27">
        <v>92.1</v>
      </c>
      <c r="J164" s="29"/>
      <c r="K164" s="29"/>
      <c r="L164" s="28">
        <f>IFERROR(__xludf.DUMMYFUNCTION("IF(ISBLANK($C164), """", GOOGLEFINANCE($C164, ""price""))"),128.37)</f>
        <v>128.37</v>
      </c>
      <c r="M164" s="30">
        <f t="shared" si="2"/>
        <v>0.02654938025</v>
      </c>
      <c r="N164" s="30">
        <f>IFERROR(__xludf.DUMMYFUNCTION("IF(OR(ISBLANK($G164), IFERROR(INDEX(GOOGLEFINANCE($C164, ""price"", WORKDAY(INT($B164), 1)), 2, 2), """")=""""), """", IF($D164=""LONG"", (IFERROR(INDEX(GOOGLEFINANCE($C164, ""price"", WORKDAY(INT($B164), 1)), 2, 2), """")-$G164)/$G164, ($G164-IFERROR(IND"&amp;"EX(GOOGLEFINANCE($C164, ""price"", WORKDAY(INT($B164), 1)), 2, 2), """"))/$G164))"),-0.012075169932027117)</f>
        <v>-0.01207516993</v>
      </c>
      <c r="O164" s="30">
        <f>IFERROR(__xludf.DUMMYFUNCTION("IF(OR(ISBLANK($G164), IFERROR(INDEX(GOOGLEFINANCE($C164, ""price"", WORKDAY(INT($B164), 5)), 2, 2), """")=""""), """", IF($D164=""LONG"", (IFERROR(INDEX(GOOGLEFINANCE($C164, ""price"", WORKDAY(INT($B164), 5)), 2, 2), """")-$G164)/$G164, ($G164-IFERROR(IND"&amp;"EX(GOOGLEFINANCE($C164, ""price"", WORKDAY(INT($B164), 5)), 2, 2), """"))/$G164))"),0.020631747301079556)</f>
        <v>0.0206317473</v>
      </c>
      <c r="P164" s="30">
        <f>IFERROR(__xludf.DUMMYFUNCTION("IF(OR(ISBLANK($G164), IFERROR(INDEX(GOOGLEFINANCE($C164, ""price"", WORKDAY(INT($B164), 20)), 2, 2), """")=""""), """", IF($D164=""LONG"", (IFERROR(INDEX(GOOGLEFINANCE($C164, ""price"", WORKDAY(INT($B164), 20)), 2, 2), """")-$G164)/$G164, ($G164-IFERROR(I"&amp;"NDEX(GOOGLEFINANCE($C164, ""price"", WORKDAY(INT($B164), 20)), 2, 2), """"))/$G164))"),0.0265493802479009)</f>
        <v>0.02654938025</v>
      </c>
      <c r="Q164" s="25" t="s">
        <v>2318</v>
      </c>
      <c r="R164" s="31"/>
      <c r="S164" s="31"/>
      <c r="T164" s="31"/>
    </row>
    <row r="165" ht="22.5" customHeight="1">
      <c r="A165" s="23">
        <f t="shared" si="1"/>
        <v>164</v>
      </c>
      <c r="B165" s="24">
        <v>46212.667662037034</v>
      </c>
      <c r="C165" s="25" t="s">
        <v>278</v>
      </c>
      <c r="D165" s="26" t="s">
        <v>36</v>
      </c>
      <c r="E165" s="25" t="s">
        <v>37</v>
      </c>
      <c r="F165" s="27">
        <v>2.0</v>
      </c>
      <c r="G165" s="28">
        <v>78.53</v>
      </c>
      <c r="H165" s="25" t="s">
        <v>2320</v>
      </c>
      <c r="I165" s="27">
        <v>88.9</v>
      </c>
      <c r="J165" s="29"/>
      <c r="K165" s="29"/>
      <c r="L165" s="28">
        <f>IFERROR(__xludf.DUMMYFUNCTION("IF(ISBLANK($C165), """", GOOGLEFINANCE($C165, ""price""))"),84.55)</f>
        <v>84.55</v>
      </c>
      <c r="M165" s="30">
        <f t="shared" si="2"/>
        <v>0.07665860181</v>
      </c>
      <c r="N165" s="30">
        <f>IFERROR(__xludf.DUMMYFUNCTION("IF(OR(ISBLANK($G165), IFERROR(INDEX(GOOGLEFINANCE($C165, ""price"", WORKDAY(INT($B165), 1)), 2, 2), """")=""""), """", IF($D165=""LONG"", (IFERROR(INDEX(GOOGLEFINANCE($C165, ""price"", WORKDAY(INT($B165), 1)), 2, 2), """")-$G165)/$G165, ($G165-IFERROR(IND"&amp;"EX(GOOGLEFINANCE($C165, ""price"", WORKDAY(INT($B165), 1)), 2, 2), """"))/$G165))"),-0.012733987011333249)</f>
        <v>-0.01273398701</v>
      </c>
      <c r="O165" s="30">
        <f>IFERROR(__xludf.DUMMYFUNCTION("IF(OR(ISBLANK($G165), IFERROR(INDEX(GOOGLEFINANCE($C165, ""price"", WORKDAY(INT($B165), 5)), 2, 2), """")=""""), """", IF($D165=""LONG"", (IFERROR(INDEX(GOOGLEFINANCE($C165, ""price"", WORKDAY(INT($B165), 5)), 2, 2), """")-$G165)/$G165, ($G165-IFERROR(IND"&amp;"EX(GOOGLEFINANCE($C165, ""price"", WORKDAY(INT($B165), 5)), 2, 2), """"))/$G165))"),-0.011842607920540009)</f>
        <v>-0.01184260792</v>
      </c>
      <c r="P165" s="30">
        <f>IFERROR(__xludf.DUMMYFUNCTION("IF(OR(ISBLANK($G165), IFERROR(INDEX(GOOGLEFINANCE($C165, ""price"", WORKDAY(INT($B165), 20)), 2, 2), """")=""""), """", IF($D165=""LONG"", (IFERROR(INDEX(GOOGLEFINANCE($C165, ""price"", WORKDAY(INT($B165), 20)), 2, 2), """")-$G165)/$G165, ($G165-IFERROR(I"&amp;"NDEX(GOOGLEFINANCE($C165, ""price"", WORKDAY(INT($B165), 20)), 2, 2), """"))/$G165))"),0.0766586018082261)</f>
        <v>0.07665860181</v>
      </c>
      <c r="Q165" s="25" t="s">
        <v>2325</v>
      </c>
      <c r="R165" s="31"/>
      <c r="S165" s="31"/>
      <c r="T165" s="31"/>
    </row>
    <row r="166" ht="22.5" customHeight="1">
      <c r="A166" s="23">
        <f t="shared" si="1"/>
        <v>165</v>
      </c>
      <c r="B166" s="24">
        <v>46212.6675</v>
      </c>
      <c r="C166" s="25" t="s">
        <v>189</v>
      </c>
      <c r="D166" s="26" t="s">
        <v>119</v>
      </c>
      <c r="E166" s="25" t="s">
        <v>120</v>
      </c>
      <c r="F166" s="27">
        <v>4.0</v>
      </c>
      <c r="G166" s="28">
        <v>174.03</v>
      </c>
      <c r="H166" s="25" t="s">
        <v>2331</v>
      </c>
      <c r="I166" s="27">
        <v>7.8</v>
      </c>
      <c r="J166" s="29"/>
      <c r="K166" s="29"/>
      <c r="L166" s="28">
        <f>IFERROR(__xludf.DUMMYFUNCTION("IF(ISBLANK($C166), """", GOOGLEFINANCE($C166, ""price""))"),189.23)</f>
        <v>189.23</v>
      </c>
      <c r="M166" s="30">
        <f t="shared" si="2"/>
        <v>-0.087341263</v>
      </c>
      <c r="N166" s="30">
        <f>IFERROR(__xludf.DUMMYFUNCTION("IF(OR(ISBLANK($G166), IFERROR(INDEX(GOOGLEFINANCE($C166, ""price"", WORKDAY(INT($B166), 1)), 2, 2), """")=""""), """", IF($D166=""LONG"", (IFERROR(INDEX(GOOGLEFINANCE($C166, ""price"", WORKDAY(INT($B166), 1)), 2, 2), """")-$G166)/$G166, ($G166-IFERROR(IND"&amp;"EX(GOOGLEFINANCE($C166, ""price"", WORKDAY(INT($B166), 1)), 2, 2), """"))/$G166))"),-0.013618341665230158)</f>
        <v>-0.01361834167</v>
      </c>
      <c r="O166" s="30">
        <f>IFERROR(__xludf.DUMMYFUNCTION("IF(OR(ISBLANK($G166), IFERROR(INDEX(GOOGLEFINANCE($C166, ""price"", WORKDAY(INT($B166), 5)), 2, 2), """")=""""), """", IF($D166=""LONG"", (IFERROR(INDEX(GOOGLEFINANCE($C166, ""price"", WORKDAY(INT($B166), 5)), 2, 2), """")-$G166)/$G166, ($G166-IFERROR(IND"&amp;"EX(GOOGLEFINANCE($C166, ""price"", WORKDAY(INT($B166), 5)), 2, 2), """"))/$G166))"),-0.05648451416422463)</f>
        <v>-0.05648451416</v>
      </c>
      <c r="P166" s="30">
        <f>IFERROR(__xludf.DUMMYFUNCTION("IF(OR(ISBLANK($G166), IFERROR(INDEX(GOOGLEFINANCE($C166, ""price"", WORKDAY(INT($B166), 20)), 2, 2), """")=""""), """", IF($D166=""LONG"", (IFERROR(INDEX(GOOGLEFINANCE($C166, ""price"", WORKDAY(INT($B166), 20)), 2, 2), """")-$G166)/$G166, ($G166-IFERROR(I"&amp;"NDEX(GOOGLEFINANCE($C166, ""price"", WORKDAY(INT($B166), 20)), 2, 2), """"))/$G166))"),-0.08734126300063201)</f>
        <v>-0.087341263</v>
      </c>
      <c r="Q166" s="25" t="s">
        <v>2338</v>
      </c>
      <c r="R166" s="31"/>
      <c r="S166" s="31"/>
      <c r="T166" s="31"/>
    </row>
    <row r="167" ht="22.5" customHeight="1">
      <c r="A167" s="23">
        <f t="shared" si="1"/>
        <v>166</v>
      </c>
      <c r="B167" s="24">
        <v>46212.66741898148</v>
      </c>
      <c r="C167" s="25" t="s">
        <v>386</v>
      </c>
      <c r="D167" s="26" t="s">
        <v>36</v>
      </c>
      <c r="E167" s="25" t="s">
        <v>37</v>
      </c>
      <c r="F167" s="27">
        <v>2.0</v>
      </c>
      <c r="G167" s="28">
        <v>397.77</v>
      </c>
      <c r="H167" s="25" t="s">
        <v>2339</v>
      </c>
      <c r="I167" s="27">
        <v>90.8</v>
      </c>
      <c r="J167" s="29"/>
      <c r="K167" s="29"/>
      <c r="L167" s="28">
        <f>IFERROR(__xludf.DUMMYFUNCTION("IF(ISBLANK($C167), """", GOOGLEFINANCE($C167, ""price""))"),367.24)</f>
        <v>367.24</v>
      </c>
      <c r="M167" s="30">
        <f t="shared" si="2"/>
        <v>-0.0767528974</v>
      </c>
      <c r="N167" s="30">
        <f>IFERROR(__xludf.DUMMYFUNCTION("IF(OR(ISBLANK($G167), IFERROR(INDEX(GOOGLEFINANCE($C167, ""price"", WORKDAY(INT($B167), 1)), 2, 2), """")=""""), """", IF($D167=""LONG"", (IFERROR(INDEX(GOOGLEFINANCE($C167, ""price"", WORKDAY(INT($B167), 1)), 2, 2), """")-$G167)/$G167, ($G167-IFERROR(IND"&amp;"EX(GOOGLEFINANCE($C167, ""price"", WORKDAY(INT($B167), 1)), 2, 2), """"))/$G167))"),-0.013952786786333698)</f>
        <v>-0.01395278679</v>
      </c>
      <c r="O167" s="30">
        <f>IFERROR(__xludf.DUMMYFUNCTION("IF(OR(ISBLANK($G167), IFERROR(INDEX(GOOGLEFINANCE($C167, ""price"", WORKDAY(INT($B167), 5)), 2, 2), """")=""""), """", IF($D167=""LONG"", (IFERROR(INDEX(GOOGLEFINANCE($C167, ""price"", WORKDAY(INT($B167), 5)), 2, 2), """")-$G167)/$G167, ($G167-IFERROR(IND"&amp;"EX(GOOGLEFINANCE($C167, ""price"", WORKDAY(INT($B167), 5)), 2, 2), """"))/$G167))"),-0.028383236543731212)</f>
        <v>-0.02838323654</v>
      </c>
      <c r="P167" s="30">
        <f>IFERROR(__xludf.DUMMYFUNCTION("IF(OR(ISBLANK($G167), IFERROR(INDEX(GOOGLEFINANCE($C167, ""price"", WORKDAY(INT($B167), 20)), 2, 2), """")=""""), """", IF($D167=""LONG"", (IFERROR(INDEX(GOOGLEFINANCE($C167, ""price"", WORKDAY(INT($B167), 20)), 2, 2), """")-$G167)/$G167, ($G167-IFERROR(I"&amp;"NDEX(GOOGLEFINANCE($C167, ""price"", WORKDAY(INT($B167), 20)), 2, 2), """"))/$G167))"),-0.07675289740302178)</f>
        <v>-0.0767528974</v>
      </c>
      <c r="Q167" s="25" t="s">
        <v>2347</v>
      </c>
      <c r="R167" s="31"/>
      <c r="S167" s="31"/>
      <c r="T167" s="31"/>
    </row>
    <row r="168" ht="22.5" customHeight="1">
      <c r="A168" s="23">
        <f t="shared" si="1"/>
        <v>167</v>
      </c>
      <c r="B168" s="24">
        <v>46212.66737268519</v>
      </c>
      <c r="C168" s="25" t="s">
        <v>95</v>
      </c>
      <c r="D168" s="26" t="s">
        <v>36</v>
      </c>
      <c r="E168" s="25" t="s">
        <v>37</v>
      </c>
      <c r="F168" s="27">
        <v>2.0</v>
      </c>
      <c r="G168" s="28">
        <v>182.58</v>
      </c>
      <c r="H168" s="25" t="s">
        <v>2349</v>
      </c>
      <c r="I168" s="27">
        <v>91.1</v>
      </c>
      <c r="J168" s="29"/>
      <c r="K168" s="29"/>
      <c r="L168" s="28">
        <f>IFERROR(__xludf.DUMMYFUNCTION("IF(ISBLANK($C168), """", GOOGLEFINANCE($C168, ""price""))"),181.77)</f>
        <v>181.77</v>
      </c>
      <c r="M168" s="30">
        <f t="shared" si="2"/>
        <v>-0.004436411436</v>
      </c>
      <c r="N168" s="30">
        <f>IFERROR(__xludf.DUMMYFUNCTION("IF(OR(ISBLANK($G168), IFERROR(INDEX(GOOGLEFINANCE($C168, ""price"", WORKDAY(INT($B168), 1)), 2, 2), """")=""""), """", IF($D168=""LONG"", (IFERROR(INDEX(GOOGLEFINANCE($C168, ""price"", WORKDAY(INT($B168), 1)), 2, 2), """")-$G168)/$G168, ($G168-IFERROR(IND"&amp;"EX(GOOGLEFINANCE($C168, ""price"", WORKDAY(INT($B168), 1)), 2, 2), """"))/$G168))"),-0.015280972724285356)</f>
        <v>-0.01528097272</v>
      </c>
      <c r="O168" s="30">
        <f>IFERROR(__xludf.DUMMYFUNCTION("IF(OR(ISBLANK($G168), IFERROR(INDEX(GOOGLEFINANCE($C168, ""price"", WORKDAY(INT($B168), 5)), 2, 2), """")=""""), """", IF($D168=""LONG"", (IFERROR(INDEX(GOOGLEFINANCE($C168, ""price"", WORKDAY(INT($B168), 5)), 2, 2), """")-$G168)/$G168, ($G168-IFERROR(IND"&amp;"EX(GOOGLEFINANCE($C168, ""price"", WORKDAY(INT($B168), 5)), 2, 2), """"))/$G168))"),-0.014952349654945876)</f>
        <v>-0.01495234965</v>
      </c>
      <c r="P168" s="30">
        <f>IFERROR(__xludf.DUMMYFUNCTION("IF(OR(ISBLANK($G168), IFERROR(INDEX(GOOGLEFINANCE($C168, ""price"", WORKDAY(INT($B168), 20)), 2, 2), """")=""""), """", IF($D168=""LONG"", (IFERROR(INDEX(GOOGLEFINANCE($C168, ""price"", WORKDAY(INT($B168), 20)), 2, 2), """")-$G168)/$G168, ($G168-IFERROR(I"&amp;"NDEX(GOOGLEFINANCE($C168, ""price"", WORKDAY(INT($B168), 20)), 2, 2), """"))/$G168))"),-0.004436411436082826)</f>
        <v>-0.004436411436</v>
      </c>
      <c r="Q168" s="25" t="s">
        <v>2356</v>
      </c>
      <c r="R168" s="31"/>
      <c r="S168" s="31"/>
      <c r="T168" s="31"/>
    </row>
    <row r="169" ht="22.5" customHeight="1">
      <c r="A169" s="23">
        <f t="shared" si="1"/>
        <v>168</v>
      </c>
      <c r="B169" s="24">
        <v>46212.66774305556</v>
      </c>
      <c r="C169" s="25" t="s">
        <v>162</v>
      </c>
      <c r="D169" s="26" t="s">
        <v>36</v>
      </c>
      <c r="E169" s="25" t="s">
        <v>37</v>
      </c>
      <c r="F169" s="27">
        <v>2.0</v>
      </c>
      <c r="G169" s="28">
        <v>49.21</v>
      </c>
      <c r="H169" s="25" t="s">
        <v>2361</v>
      </c>
      <c r="I169" s="27">
        <v>95.5</v>
      </c>
      <c r="J169" s="29"/>
      <c r="K169" s="29"/>
      <c r="L169" s="28">
        <f>IFERROR(__xludf.DUMMYFUNCTION("IF(ISBLANK($C169), """", GOOGLEFINANCE($C169, ""price""))"),46.94)</f>
        <v>46.94</v>
      </c>
      <c r="M169" s="30">
        <f t="shared" si="2"/>
        <v>-0.0461288356</v>
      </c>
      <c r="N169" s="30">
        <f>IFERROR(__xludf.DUMMYFUNCTION("IF(OR(ISBLANK($G169), IFERROR(INDEX(GOOGLEFINANCE($C169, ""price"", WORKDAY(INT($B169), 1)), 2, 2), """")=""""), """", IF($D169=""LONG"", (IFERROR(INDEX(GOOGLEFINANCE($C169, ""price"", WORKDAY(INT($B169), 1)), 2, 2), """")-$G169)/$G169, ($G169-IFERROR(IND"&amp;"EX(GOOGLEFINANCE($C169, ""price"", WORKDAY(INT($B169), 1)), 2, 2), """"))/$G169))"),-0.015850436903068504)</f>
        <v>-0.0158504369</v>
      </c>
      <c r="O169" s="30">
        <f>IFERROR(__xludf.DUMMYFUNCTION("IF(OR(ISBLANK($G169), IFERROR(INDEX(GOOGLEFINANCE($C169, ""price"", WORKDAY(INT($B169), 5)), 2, 2), """")=""""), """", IF($D169=""LONG"", (IFERROR(INDEX(GOOGLEFINANCE($C169, ""price"", WORKDAY(INT($B169), 5)), 2, 2), """")-$G169)/$G169, ($G169-IFERROR(IND"&amp;"EX(GOOGLEFINANCE($C169, ""price"", WORKDAY(INT($B169), 5)), 2, 2), """"))/$G169))"),0.004470636049583395)</f>
        <v>0.00447063605</v>
      </c>
      <c r="P169" s="30">
        <f>IFERROR(__xludf.DUMMYFUNCTION("IF(OR(ISBLANK($G169), IFERROR(INDEX(GOOGLEFINANCE($C169, ""price"", WORKDAY(INT($B169), 20)), 2, 2), """")=""""), """", IF($D169=""LONG"", (IFERROR(INDEX(GOOGLEFINANCE($C169, ""price"", WORKDAY(INT($B169), 20)), 2, 2), """")-$G169)/$G169, ($G169-IFERROR(I"&amp;"NDEX(GOOGLEFINANCE($C169, ""price"", WORKDAY(INT($B169), 20)), 2, 2), """"))/$G169))"),-0.046128835602519874)</f>
        <v>-0.0461288356</v>
      </c>
      <c r="Q169" s="25" t="s">
        <v>2365</v>
      </c>
      <c r="R169" s="31"/>
      <c r="S169" s="31"/>
      <c r="T169" s="31"/>
    </row>
    <row r="170" ht="22.5" customHeight="1">
      <c r="A170" s="23">
        <f t="shared" si="1"/>
        <v>169</v>
      </c>
      <c r="B170" s="24">
        <v>46212.66753472222</v>
      </c>
      <c r="C170" s="25" t="s">
        <v>180</v>
      </c>
      <c r="D170" s="26" t="s">
        <v>36</v>
      </c>
      <c r="E170" s="25" t="s">
        <v>133</v>
      </c>
      <c r="F170" s="27">
        <v>2.0</v>
      </c>
      <c r="G170" s="28">
        <v>431.6</v>
      </c>
      <c r="H170" s="25" t="s">
        <v>724</v>
      </c>
      <c r="I170" s="27">
        <v>87.0</v>
      </c>
      <c r="J170" s="29"/>
      <c r="K170" s="29"/>
      <c r="L170" s="28">
        <f>IFERROR(__xludf.DUMMYFUNCTION("IF(ISBLANK($C170), """", GOOGLEFINANCE($C170, ""price""))"),403.97)</f>
        <v>403.97</v>
      </c>
      <c r="M170" s="30">
        <f t="shared" si="2"/>
        <v>-0.0640176089</v>
      </c>
      <c r="N170" s="30">
        <f>IFERROR(__xludf.DUMMYFUNCTION("IF(OR(ISBLANK($G170), IFERROR(INDEX(GOOGLEFINANCE($C170, ""price"", WORKDAY(INT($B170), 1)), 2, 2), """")=""""), """", IF($D170=""LONG"", (IFERROR(INDEX(GOOGLEFINANCE($C170, ""price"", WORKDAY(INT($B170), 1)), 2, 2), """")-$G170)/$G170, ($G170-IFERROR(IND"&amp;"EX(GOOGLEFINANCE($C170, ""price"", WORKDAY(INT($B170), 1)), 2, 2), """"))/$G170))"),-0.01617238183503248)</f>
        <v>-0.01617238184</v>
      </c>
      <c r="O170" s="30">
        <f>IFERROR(__xludf.DUMMYFUNCTION("IF(OR(ISBLANK($G170), IFERROR(INDEX(GOOGLEFINANCE($C170, ""price"", WORKDAY(INT($B170), 5)), 2, 2), """")=""""), """", IF($D170=""LONG"", (IFERROR(INDEX(GOOGLEFINANCE($C170, ""price"", WORKDAY(INT($B170), 5)), 2, 2), """")-$G170)/$G170, ($G170-IFERROR(IND"&amp;"EX(GOOGLEFINANCE($C170, ""price"", WORKDAY(INT($B170), 5)), 2, 2), """"))/$G170))"),-0.019045412418906456)</f>
        <v>-0.01904541242</v>
      </c>
      <c r="P170" s="30">
        <f>IFERROR(__xludf.DUMMYFUNCTION("IF(OR(ISBLANK($G170), IFERROR(INDEX(GOOGLEFINANCE($C170, ""price"", WORKDAY(INT($B170), 20)), 2, 2), """")=""""), """", IF($D170=""LONG"", (IFERROR(INDEX(GOOGLEFINANCE($C170, ""price"", WORKDAY(INT($B170), 20)), 2, 2), """")-$G170)/$G170, ($G170-IFERROR(I"&amp;"NDEX(GOOGLEFINANCE($C170, ""price"", WORKDAY(INT($B170), 20)), 2, 2), """"))/$G170))"),-0.06401760889712696)</f>
        <v>-0.0640176089</v>
      </c>
      <c r="Q170" s="25" t="s">
        <v>2372</v>
      </c>
      <c r="R170" s="31"/>
      <c r="S170" s="31"/>
      <c r="T170" s="31"/>
    </row>
    <row r="171" ht="22.5" customHeight="1">
      <c r="A171" s="23">
        <f t="shared" si="1"/>
        <v>170</v>
      </c>
      <c r="B171" s="24">
        <v>46212.66748842593</v>
      </c>
      <c r="C171" s="25" t="s">
        <v>568</v>
      </c>
      <c r="D171" s="26" t="s">
        <v>119</v>
      </c>
      <c r="E171" s="25" t="s">
        <v>120</v>
      </c>
      <c r="F171" s="27">
        <v>4.0</v>
      </c>
      <c r="G171" s="28">
        <v>60.51</v>
      </c>
      <c r="H171" s="25" t="s">
        <v>2376</v>
      </c>
      <c r="I171" s="27">
        <v>14.7</v>
      </c>
      <c r="J171" s="29"/>
      <c r="K171" s="29"/>
      <c r="L171" s="28">
        <f>IFERROR(__xludf.DUMMYFUNCTION("IF(ISBLANK($C171), """", GOOGLEFINANCE($C171, ""price""))"),68.18)</f>
        <v>68.18</v>
      </c>
      <c r="M171" s="30">
        <f t="shared" si="2"/>
        <v>-0.1267559081</v>
      </c>
      <c r="N171" s="30">
        <f>IFERROR(__xludf.DUMMYFUNCTION("IF(OR(ISBLANK($G171), IFERROR(INDEX(GOOGLEFINANCE($C171, ""price"", WORKDAY(INT($B171), 1)), 2, 2), """")=""""), """", IF($D171=""LONG"", (IFERROR(INDEX(GOOGLEFINANCE($C171, ""price"", WORKDAY(INT($B171), 1)), 2, 2), """")-$G171)/$G171, ($G171-IFERROR(IND"&amp;"EX(GOOGLEFINANCE($C171, ""price"", WORKDAY(INT($B171), 1)), 2, 2), """"))/$G171))"),-0.01669145595769303)</f>
        <v>-0.01669145596</v>
      </c>
      <c r="O171" s="30">
        <f>IFERROR(__xludf.DUMMYFUNCTION("IF(OR(ISBLANK($G171), IFERROR(INDEX(GOOGLEFINANCE($C171, ""price"", WORKDAY(INT($B171), 5)), 2, 2), """")=""""), """", IF($D171=""LONG"", (IFERROR(INDEX(GOOGLEFINANCE($C171, ""price"", WORKDAY(INT($B171), 5)), 2, 2), """")-$G171)/$G171, ($G171-IFERROR(IND"&amp;"EX(GOOGLEFINANCE($C171, ""price"", WORKDAY(INT($B171), 5)), 2, 2), """"))/$G171))"),0.03222607833415957)</f>
        <v>0.03222607833</v>
      </c>
      <c r="P171" s="30">
        <f>IFERROR(__xludf.DUMMYFUNCTION("IF(OR(ISBLANK($G171), IFERROR(INDEX(GOOGLEFINANCE($C171, ""price"", WORKDAY(INT($B171), 20)), 2, 2), """")=""""), """", IF($D171=""LONG"", (IFERROR(INDEX(GOOGLEFINANCE($C171, ""price"", WORKDAY(INT($B171), 20)), 2, 2), """")-$G171)/$G171, ($G171-IFERROR(I"&amp;"NDEX(GOOGLEFINANCE($C171, ""price"", WORKDAY(INT($B171), 20)), 2, 2), """"))/$G171))"),-0.1267559081143614)</f>
        <v>-0.1267559081</v>
      </c>
      <c r="Q171" s="25" t="s">
        <v>2379</v>
      </c>
      <c r="R171" s="31"/>
      <c r="S171" s="31"/>
      <c r="T171" s="31"/>
    </row>
    <row r="172" ht="22.5" customHeight="1">
      <c r="A172" s="23">
        <f t="shared" si="1"/>
        <v>171</v>
      </c>
      <c r="B172" s="24">
        <v>46212.66768518519</v>
      </c>
      <c r="C172" s="25" t="s">
        <v>530</v>
      </c>
      <c r="D172" s="26" t="s">
        <v>36</v>
      </c>
      <c r="E172" s="25" t="s">
        <v>70</v>
      </c>
      <c r="F172" s="27">
        <v>2.0</v>
      </c>
      <c r="G172" s="28">
        <v>171.74</v>
      </c>
      <c r="H172" s="25" t="s">
        <v>2382</v>
      </c>
      <c r="I172" s="27">
        <v>65.4</v>
      </c>
      <c r="J172" s="29"/>
      <c r="K172" s="29"/>
      <c r="L172" s="28">
        <f>IFERROR(__xludf.DUMMYFUNCTION("IF(ISBLANK($C172), """", GOOGLEFINANCE($C172, ""price""))"),191.48)</f>
        <v>191.48</v>
      </c>
      <c r="M172" s="30">
        <f t="shared" si="2"/>
        <v>0.1149411902</v>
      </c>
      <c r="N172" s="30">
        <f>IFERROR(__xludf.DUMMYFUNCTION("IF(OR(ISBLANK($G172), IFERROR(INDEX(GOOGLEFINANCE($C172, ""price"", WORKDAY(INT($B172), 1)), 2, 2), """")=""""), """", IF($D172=""LONG"", (IFERROR(INDEX(GOOGLEFINANCE($C172, ""price"", WORKDAY(INT($B172), 1)), 2, 2), """")-$G172)/$G172, ($G172-IFERROR(IND"&amp;"EX(GOOGLEFINANCE($C172, ""price"", WORKDAY(INT($B172), 1)), 2, 2), """"))/$G172))"),-0.016711307790846654)</f>
        <v>-0.01671130779</v>
      </c>
      <c r="O172" s="30">
        <f>IFERROR(__xludf.DUMMYFUNCTION("IF(OR(ISBLANK($G172), IFERROR(INDEX(GOOGLEFINANCE($C172, ""price"", WORKDAY(INT($B172), 5)), 2, 2), """")=""""), """", IF($D172=""LONG"", (IFERROR(INDEX(GOOGLEFINANCE($C172, ""price"", WORKDAY(INT($B172), 5)), 2, 2), """")-$G172)/$G172, ($G172-IFERROR(IND"&amp;"EX(GOOGLEFINANCE($C172, ""price"", WORKDAY(INT($B172), 5)), 2, 2), """"))/$G172))"),-0.07016420170024462)</f>
        <v>-0.0701642017</v>
      </c>
      <c r="P172" s="30">
        <f>IFERROR(__xludf.DUMMYFUNCTION("IF(OR(ISBLANK($G172), IFERROR(INDEX(GOOGLEFINANCE($C172, ""price"", WORKDAY(INT($B172), 20)), 2, 2), """")=""""), """", IF($D172=""LONG"", (IFERROR(INDEX(GOOGLEFINANCE($C172, ""price"", WORKDAY(INT($B172), 20)), 2, 2), """")-$G172)/$G172, ($G172-IFERROR(I"&amp;"NDEX(GOOGLEFINANCE($C172, ""price"", WORKDAY(INT($B172), 20)), 2, 2), """"))/$G172))"),0.11494119017118888)</f>
        <v>0.1149411902</v>
      </c>
      <c r="Q172" s="25" t="s">
        <v>2388</v>
      </c>
      <c r="R172" s="31"/>
      <c r="S172" s="31"/>
      <c r="T172" s="31"/>
    </row>
    <row r="173" ht="22.5" customHeight="1">
      <c r="A173" s="23">
        <f t="shared" si="1"/>
        <v>172</v>
      </c>
      <c r="B173" s="24">
        <v>46212.66758101852</v>
      </c>
      <c r="C173" s="25" t="s">
        <v>757</v>
      </c>
      <c r="D173" s="26" t="s">
        <v>119</v>
      </c>
      <c r="E173" s="25" t="s">
        <v>120</v>
      </c>
      <c r="F173" s="27">
        <v>4.0</v>
      </c>
      <c r="G173" s="28">
        <v>119.47</v>
      </c>
      <c r="H173" s="25" t="s">
        <v>2391</v>
      </c>
      <c r="I173" s="27">
        <v>12.0</v>
      </c>
      <c r="J173" s="29"/>
      <c r="K173" s="29"/>
      <c r="L173" s="28">
        <f>IFERROR(__xludf.DUMMYFUNCTION("IF(ISBLANK($C173), """", GOOGLEFINANCE($C173, ""price""))"),121.96)</f>
        <v>121.96</v>
      </c>
      <c r="M173" s="30">
        <f t="shared" si="2"/>
        <v>-0.0208420524</v>
      </c>
      <c r="N173" s="30">
        <f>IFERROR(__xludf.DUMMYFUNCTION("IF(OR(ISBLANK($G173), IFERROR(INDEX(GOOGLEFINANCE($C173, ""price"", WORKDAY(INT($B173), 1)), 2, 2), """")=""""), """", IF($D173=""LONG"", (IFERROR(INDEX(GOOGLEFINANCE($C173, ""price"", WORKDAY(INT($B173), 1)), 2, 2), """")-$G173)/$G173, ($G173-IFERROR(IND"&amp;"EX(GOOGLEFINANCE($C173, ""price"", WORKDAY(INT($B173), 1)), 2, 2), """"))/$G173))"),-0.017075416422532907)</f>
        <v>-0.01707541642</v>
      </c>
      <c r="O173" s="30">
        <f>IFERROR(__xludf.DUMMYFUNCTION("IF(OR(ISBLANK($G173), IFERROR(INDEX(GOOGLEFINANCE($C173, ""price"", WORKDAY(INT($B173), 5)), 2, 2), """")=""""), """", IF($D173=""LONG"", (IFERROR(INDEX(GOOGLEFINANCE($C173, ""price"", WORKDAY(INT($B173), 5)), 2, 2), """")-$G173)/$G173, ($G173-IFERROR(IND"&amp;"EX(GOOGLEFINANCE($C173, ""price"", WORKDAY(INT($B173), 5)), 2, 2), """"))/$G173))"),-0.018330961747719074)</f>
        <v>-0.01833096175</v>
      </c>
      <c r="P173" s="30">
        <f>IFERROR(__xludf.DUMMYFUNCTION("IF(OR(ISBLANK($G173), IFERROR(INDEX(GOOGLEFINANCE($C173, ""price"", WORKDAY(INT($B173), 20)), 2, 2), """")=""""), """", IF($D173=""LONG"", (IFERROR(INDEX(GOOGLEFINANCE($C173, ""price"", WORKDAY(INT($B173), 20)), 2, 2), """")-$G173)/$G173, ($G173-IFERROR(I"&amp;"NDEX(GOOGLEFINANCE($C173, ""price"", WORKDAY(INT($B173), 20)), 2, 2), """"))/$G173))"),-0.02084205239809153)</f>
        <v>-0.0208420524</v>
      </c>
      <c r="Q173" s="25" t="s">
        <v>2397</v>
      </c>
      <c r="R173" s="31"/>
      <c r="S173" s="31"/>
      <c r="T173" s="31"/>
    </row>
    <row r="174" ht="22.5" customHeight="1">
      <c r="A174" s="23">
        <f t="shared" si="1"/>
        <v>173</v>
      </c>
      <c r="B174" s="24">
        <v>46212.66753472222</v>
      </c>
      <c r="C174" s="25" t="s">
        <v>452</v>
      </c>
      <c r="D174" s="26" t="s">
        <v>119</v>
      </c>
      <c r="E174" s="25" t="s">
        <v>120</v>
      </c>
      <c r="F174" s="27">
        <v>4.0</v>
      </c>
      <c r="G174" s="28">
        <v>55.39</v>
      </c>
      <c r="H174" s="25" t="s">
        <v>2402</v>
      </c>
      <c r="I174" s="27">
        <v>8.8</v>
      </c>
      <c r="J174" s="29"/>
      <c r="K174" s="29"/>
      <c r="L174" s="28">
        <f>IFERROR(__xludf.DUMMYFUNCTION("IF(ISBLANK($C174), """", GOOGLEFINANCE($C174, ""price""))"),61.44)</f>
        <v>61.44</v>
      </c>
      <c r="M174" s="30">
        <f t="shared" si="2"/>
        <v>-0.109225492</v>
      </c>
      <c r="N174" s="30">
        <f>IFERROR(__xludf.DUMMYFUNCTION("IF(OR(ISBLANK($G174), IFERROR(INDEX(GOOGLEFINANCE($C174, ""price"", WORKDAY(INT($B174), 1)), 2, 2), """")=""""), """", IF($D174=""LONG"", (IFERROR(INDEX(GOOGLEFINANCE($C174, ""price"", WORKDAY(INT($B174), 1)), 2, 2), """")-$G174)/$G174, ($G174-IFERROR(IND"&amp;"EX(GOOGLEFINANCE($C174, ""price"", WORKDAY(INT($B174), 1)), 2, 2), """"))/$G174))"),-0.017331648311969684)</f>
        <v>-0.01733164831</v>
      </c>
      <c r="O174" s="30">
        <f>IFERROR(__xludf.DUMMYFUNCTION("IF(OR(ISBLANK($G174), IFERROR(INDEX(GOOGLEFINANCE($C174, ""price"", WORKDAY(INT($B174), 5)), 2, 2), """")=""""), """", IF($D174=""LONG"", (IFERROR(INDEX(GOOGLEFINANCE($C174, ""price"", WORKDAY(INT($B174), 5)), 2, 2), """")-$G174)/$G174, ($G174-IFERROR(IND"&amp;"EX(GOOGLEFINANCE($C174, ""price"", WORKDAY(INT($B174), 5)), 2, 2), """"))/$G174))"),-0.043509658783173796)</f>
        <v>-0.04350965878</v>
      </c>
      <c r="P174" s="30">
        <f>IFERROR(__xludf.DUMMYFUNCTION("IF(OR(ISBLANK($G174), IFERROR(INDEX(GOOGLEFINANCE($C174, ""price"", WORKDAY(INT($B174), 20)), 2, 2), """")=""""), """", IF($D174=""LONG"", (IFERROR(INDEX(GOOGLEFINANCE($C174, ""price"", WORKDAY(INT($B174), 20)), 2, 2), """")-$G174)/$G174, ($G174-IFERROR(I"&amp;"NDEX(GOOGLEFINANCE($C174, ""price"", WORKDAY(INT($B174), 20)), 2, 2), """"))/$G174))"),-0.1092254919660588)</f>
        <v>-0.109225492</v>
      </c>
      <c r="Q174" s="25" t="s">
        <v>2408</v>
      </c>
      <c r="R174" s="31"/>
      <c r="S174" s="31"/>
      <c r="T174" s="31"/>
    </row>
    <row r="175" ht="22.5" customHeight="1">
      <c r="A175" s="23">
        <f t="shared" si="1"/>
        <v>174</v>
      </c>
      <c r="B175" s="24">
        <v>46212.667395833334</v>
      </c>
      <c r="C175" s="25" t="s">
        <v>419</v>
      </c>
      <c r="D175" s="26" t="s">
        <v>36</v>
      </c>
      <c r="E175" s="25" t="s">
        <v>37</v>
      </c>
      <c r="F175" s="27">
        <v>2.0</v>
      </c>
      <c r="G175" s="28">
        <v>88.98</v>
      </c>
      <c r="H175" s="25" t="s">
        <v>2413</v>
      </c>
      <c r="I175" s="27">
        <v>91.3</v>
      </c>
      <c r="J175" s="29"/>
      <c r="K175" s="29"/>
      <c r="L175" s="28">
        <f>IFERROR(__xludf.DUMMYFUNCTION("IF(ISBLANK($C175), """", GOOGLEFINANCE($C175, ""price""))"),91.98)</f>
        <v>91.98</v>
      </c>
      <c r="M175" s="30">
        <f t="shared" si="2"/>
        <v>0.03371544167</v>
      </c>
      <c r="N175" s="30">
        <f>IFERROR(__xludf.DUMMYFUNCTION("IF(OR(ISBLANK($G175), IFERROR(INDEX(GOOGLEFINANCE($C175, ""price"", WORKDAY(INT($B175), 1)), 2, 2), """")=""""), """", IF($D175=""LONG"", (IFERROR(INDEX(GOOGLEFINANCE($C175, ""price"", WORKDAY(INT($B175), 1)), 2, 2), """")-$G175)/$G175, ($G175-IFERROR(IND"&amp;"EX(GOOGLEFINANCE($C175, ""price"", WORKDAY(INT($B175), 1)), 2, 2), """"))/$G175))"),-0.01786918408631157)</f>
        <v>-0.01786918409</v>
      </c>
      <c r="O175" s="30">
        <f>IFERROR(__xludf.DUMMYFUNCTION("IF(OR(ISBLANK($G175), IFERROR(INDEX(GOOGLEFINANCE($C175, ""price"", WORKDAY(INT($B175), 5)), 2, 2), """")=""""), """", IF($D175=""LONG"", (IFERROR(INDEX(GOOGLEFINANCE($C175, ""price"", WORKDAY(INT($B175), 5)), 2, 2), """")-$G175)/$G175, ($G175-IFERROR(IND"&amp;"EX(GOOGLEFINANCE($C175, ""price"", WORKDAY(INT($B175), 5)), 2, 2), """"))/$G175))"),-0.0256237356709373)</f>
        <v>-0.02562373567</v>
      </c>
      <c r="P175" s="30">
        <f>IFERROR(__xludf.DUMMYFUNCTION("IF(OR(ISBLANK($G175), IFERROR(INDEX(GOOGLEFINANCE($C175, ""price"", WORKDAY(INT($B175), 20)), 2, 2), """")=""""), """", IF($D175=""LONG"", (IFERROR(INDEX(GOOGLEFINANCE($C175, ""price"", WORKDAY(INT($B175), 20)), 2, 2), """")-$G175)/$G175, ($G175-IFERROR(I"&amp;"NDEX(GOOGLEFINANCE($C175, ""price"", WORKDAY(INT($B175), 20)), 2, 2), """"))/$G175))"),0.033715441672285906)</f>
        <v>0.03371544167</v>
      </c>
      <c r="Q175" s="25" t="s">
        <v>2417</v>
      </c>
      <c r="R175" s="31"/>
      <c r="S175" s="31"/>
      <c r="T175" s="31"/>
    </row>
    <row r="176" ht="22.5" customHeight="1">
      <c r="A176" s="23">
        <f t="shared" si="1"/>
        <v>175</v>
      </c>
      <c r="B176" s="24">
        <v>46212.66751157407</v>
      </c>
      <c r="C176" s="25" t="s">
        <v>339</v>
      </c>
      <c r="D176" s="26" t="s">
        <v>119</v>
      </c>
      <c r="E176" s="25" t="s">
        <v>120</v>
      </c>
      <c r="F176" s="27">
        <v>4.0</v>
      </c>
      <c r="G176" s="28">
        <v>28.5</v>
      </c>
      <c r="H176" s="25" t="s">
        <v>2422</v>
      </c>
      <c r="I176" s="27">
        <v>5.5</v>
      </c>
      <c r="J176" s="29"/>
      <c r="K176" s="29"/>
      <c r="L176" s="28">
        <f>IFERROR(__xludf.DUMMYFUNCTION("IF(ISBLANK($C176), """", GOOGLEFINANCE($C176, ""price""))"),30.3)</f>
        <v>30.3</v>
      </c>
      <c r="M176" s="30">
        <f t="shared" si="2"/>
        <v>-0.06315789474</v>
      </c>
      <c r="N176" s="30">
        <f>IFERROR(__xludf.DUMMYFUNCTION("IF(OR(ISBLANK($G176), IFERROR(INDEX(GOOGLEFINANCE($C176, ""price"", WORKDAY(INT($B176), 1)), 2, 2), """")=""""), """", IF($D176=""LONG"", (IFERROR(INDEX(GOOGLEFINANCE($C176, ""price"", WORKDAY(INT($B176), 1)), 2, 2), """")-$G176)/$G176, ($G176-IFERROR(IND"&amp;"EX(GOOGLEFINANCE($C176, ""price"", WORKDAY(INT($B176), 1)), 2, 2), """"))/$G176))"),-0.018596491228070215)</f>
        <v>-0.01859649123</v>
      </c>
      <c r="O176" s="30">
        <f>IFERROR(__xludf.DUMMYFUNCTION("IF(OR(ISBLANK($G176), IFERROR(INDEX(GOOGLEFINANCE($C176, ""price"", WORKDAY(INT($B176), 5)), 2, 2), """")=""""), """", IF($D176=""LONG"", (IFERROR(INDEX(GOOGLEFINANCE($C176, ""price"", WORKDAY(INT($B176), 5)), 2, 2), """")-$G176)/$G176, ($G176-IFERROR(IND"&amp;"EX(GOOGLEFINANCE($C176, ""price"", WORKDAY(INT($B176), 5)), 2, 2), """"))/$G176))"),-0.028070175438596516)</f>
        <v>-0.02807017544</v>
      </c>
      <c r="P176" s="30">
        <f>IFERROR(__xludf.DUMMYFUNCTION("IF(OR(ISBLANK($G176), IFERROR(INDEX(GOOGLEFINANCE($C176, ""price"", WORKDAY(INT($B176), 20)), 2, 2), """")=""""), """", IF($D176=""LONG"", (IFERROR(INDEX(GOOGLEFINANCE($C176, ""price"", WORKDAY(INT($B176), 20)), 2, 2), """")-$G176)/$G176, ($G176-IFERROR(I"&amp;"NDEX(GOOGLEFINANCE($C176, ""price"", WORKDAY(INT($B176), 20)), 2, 2), """"))/$G176))"),-0.06315789473684214)</f>
        <v>-0.06315789474</v>
      </c>
      <c r="Q176" s="25" t="s">
        <v>2427</v>
      </c>
      <c r="R176" s="31"/>
      <c r="S176" s="31"/>
      <c r="T176" s="31"/>
    </row>
    <row r="177" ht="22.5" customHeight="1">
      <c r="A177" s="35">
        <f t="shared" si="1"/>
        <v>176</v>
      </c>
      <c r="B177" s="36">
        <v>46212.66773148148</v>
      </c>
      <c r="C177" s="37" t="s">
        <v>82</v>
      </c>
      <c r="D177" s="38" t="s">
        <v>36</v>
      </c>
      <c r="E177" s="37" t="s">
        <v>37</v>
      </c>
      <c r="F177" s="39">
        <v>2.0</v>
      </c>
      <c r="G177" s="40">
        <v>162.2</v>
      </c>
      <c r="H177" s="37" t="s">
        <v>2429</v>
      </c>
      <c r="I177" s="39">
        <v>93.9</v>
      </c>
      <c r="J177" s="41"/>
      <c r="K177" s="37" t="s">
        <v>2433</v>
      </c>
      <c r="L177" s="40">
        <f>IFERROR(__xludf.DUMMYFUNCTION("IF(ISBLANK($C177), """", GOOGLEFINANCE($C177, ""price""))"),170.61)</f>
        <v>170.61</v>
      </c>
      <c r="M177" s="42">
        <f t="shared" si="2"/>
        <v>0.05184956843</v>
      </c>
      <c r="N177" s="42">
        <f>IFERROR(__xludf.DUMMYFUNCTION("IF(OR(ISBLANK($G177), IFERROR(INDEX(GOOGLEFINANCE($C177, ""price"", WORKDAY(INT($B177), 1)), 2, 2), """")=""""), """", IF($D177=""LONG"", (IFERROR(INDEX(GOOGLEFINANCE($C177, ""price"", WORKDAY(INT($B177), 1)), 2, 2), """")-$G177)/$G177, ($G177-IFERROR(IND"&amp;"EX(GOOGLEFINANCE($C177, ""price"", WORKDAY(INT($B177), 1)), 2, 2), """"))/$G177))"),-0.01935881627620214)</f>
        <v>-0.01935881628</v>
      </c>
      <c r="O177" s="42">
        <f>IFERROR(__xludf.DUMMYFUNCTION("IF(OR(ISBLANK($G177), IFERROR(INDEX(GOOGLEFINANCE($C177, ""price"", WORKDAY(INT($B177), 5)), 2, 2), """")=""""), """", IF($D177=""LONG"", (IFERROR(INDEX(GOOGLEFINANCE($C177, ""price"", WORKDAY(INT($B177), 5)), 2, 2), """")-$G177)/$G177, ($G177-IFERROR(IND"&amp;"EX(GOOGLEFINANCE($C177, ""price"", WORKDAY(INT($B177), 5)), 2, 2), """"))/$G177))"),-0.055856966707768206)</f>
        <v>-0.05585696671</v>
      </c>
      <c r="P177" s="42">
        <f>IFERROR(__xludf.DUMMYFUNCTION("IF(OR(ISBLANK($G177), IFERROR(INDEX(GOOGLEFINANCE($C177, ""price"", WORKDAY(INT($B177), 20)), 2, 2), """")=""""), """", IF($D177=""LONG"", (IFERROR(INDEX(GOOGLEFINANCE($C177, ""price"", WORKDAY(INT($B177), 20)), 2, 2), """")-$G177)/$G177, ($G177-IFERROR(I"&amp;"NDEX(GOOGLEFINANCE($C177, ""price"", WORKDAY(INT($B177), 20)), 2, 2), """"))/$G177))"),0.05184956843403222)</f>
        <v>0.05184956843</v>
      </c>
      <c r="Q177" s="37" t="s">
        <v>2439</v>
      </c>
      <c r="R177" s="31"/>
      <c r="S177" s="31"/>
      <c r="T177" s="31"/>
    </row>
    <row r="178" ht="22.5" customHeight="1">
      <c r="A178" s="23">
        <f t="shared" si="1"/>
        <v>177</v>
      </c>
      <c r="B178" s="24">
        <v>46212.66761574074</v>
      </c>
      <c r="C178" s="25" t="s">
        <v>222</v>
      </c>
      <c r="D178" s="26" t="s">
        <v>36</v>
      </c>
      <c r="E178" s="25" t="s">
        <v>37</v>
      </c>
      <c r="F178" s="27">
        <v>2.0</v>
      </c>
      <c r="G178" s="28">
        <v>496.43</v>
      </c>
      <c r="H178" s="25" t="s">
        <v>2444</v>
      </c>
      <c r="I178" s="27">
        <v>94.1</v>
      </c>
      <c r="J178" s="29"/>
      <c r="K178" s="29"/>
      <c r="L178" s="28">
        <f>IFERROR(__xludf.DUMMYFUNCTION("IF(ISBLANK($C178), """", GOOGLEFINANCE($C178, ""price""))"),484.03)</f>
        <v>484.03</v>
      </c>
      <c r="M178" s="30">
        <f t="shared" si="2"/>
        <v>-0.02497834539</v>
      </c>
      <c r="N178" s="30">
        <f>IFERROR(__xludf.DUMMYFUNCTION("IF(OR(ISBLANK($G178), IFERROR(INDEX(GOOGLEFINANCE($C178, ""price"", WORKDAY(INT($B178), 1)), 2, 2), """")=""""), """", IF($D178=""LONG"", (IFERROR(INDEX(GOOGLEFINANCE($C178, ""price"", WORKDAY(INT($B178), 1)), 2, 2), """")-$G178)/$G178, ($G178-IFERROR(IND"&amp;"EX(GOOGLEFINANCE($C178, ""price"", WORKDAY(INT($B178), 1)), 2, 2), """"))/$G178))"),-0.02223878492435997)</f>
        <v>-0.02223878492</v>
      </c>
      <c r="O178" s="30">
        <f>IFERROR(__xludf.DUMMYFUNCTION("IF(OR(ISBLANK($G178), IFERROR(INDEX(GOOGLEFINANCE($C178, ""price"", WORKDAY(INT($B178), 5)), 2, 2), """")=""""), """", IF($D178=""LONG"", (IFERROR(INDEX(GOOGLEFINANCE($C178, ""price"", WORKDAY(INT($B178), 5)), 2, 2), """")-$G178)/$G178, ($G178-IFERROR(IND"&amp;"EX(GOOGLEFINANCE($C178, ""price"", WORKDAY(INT($B178), 5)), 2, 2), """"))/$G178))"),-0.0209495800012087)</f>
        <v>-0.02094958</v>
      </c>
      <c r="P178" s="30">
        <f>IFERROR(__xludf.DUMMYFUNCTION("IF(OR(ISBLANK($G178), IFERROR(INDEX(GOOGLEFINANCE($C178, ""price"", WORKDAY(INT($B178), 20)), 2, 2), """")=""""), """", IF($D178=""LONG"", (IFERROR(INDEX(GOOGLEFINANCE($C178, ""price"", WORKDAY(INT($B178), 20)), 2, 2), """")-$G178)/$G178, ($G178-IFERROR(I"&amp;"NDEX(GOOGLEFINANCE($C178, ""price"", WORKDAY(INT($B178), 20)), 2, 2), """"))/$G178))"),-0.024978345386056512)</f>
        <v>-0.02497834539</v>
      </c>
      <c r="Q178" s="25" t="s">
        <v>2452</v>
      </c>
      <c r="R178" s="31"/>
      <c r="S178" s="31"/>
      <c r="T178" s="31"/>
    </row>
    <row r="179" ht="22.5" customHeight="1">
      <c r="A179" s="23">
        <f t="shared" si="1"/>
        <v>178</v>
      </c>
      <c r="B179" s="24">
        <v>46212.66778935185</v>
      </c>
      <c r="C179" s="25" t="s">
        <v>55</v>
      </c>
      <c r="D179" s="26" t="s">
        <v>36</v>
      </c>
      <c r="E179" s="25" t="s">
        <v>37</v>
      </c>
      <c r="F179" s="27">
        <v>2.0</v>
      </c>
      <c r="G179" s="28">
        <v>1216.67</v>
      </c>
      <c r="H179" s="25" t="s">
        <v>2457</v>
      </c>
      <c r="I179" s="27">
        <v>92.2</v>
      </c>
      <c r="J179" s="29"/>
      <c r="K179" s="29"/>
      <c r="L179" s="28">
        <f>IFERROR(__xludf.DUMMYFUNCTION("IF(ISBLANK($C179), """", GOOGLEFINANCE($C179, ""price""))"),1191.94)</f>
        <v>1191.94</v>
      </c>
      <c r="M179" s="30">
        <f t="shared" si="2"/>
        <v>-0.02032597171</v>
      </c>
      <c r="N179" s="30">
        <f>IFERROR(__xludf.DUMMYFUNCTION("IF(OR(ISBLANK($G179), IFERROR(INDEX(GOOGLEFINANCE($C179, ""price"", WORKDAY(INT($B179), 1)), 2, 2), """")=""""), """", IF($D179=""LONG"", (IFERROR(INDEX(GOOGLEFINANCE($C179, ""price"", WORKDAY(INT($B179), 1)), 2, 2), """")-$G179)/$G179, ($G179-IFERROR(IND"&amp;"EX(GOOGLEFINANCE($C179, ""price"", WORKDAY(INT($B179), 1)), 2, 2), """"))/$G179))"),-0.02308760797915634)</f>
        <v>-0.02308760798</v>
      </c>
      <c r="O179" s="30">
        <f>IFERROR(__xludf.DUMMYFUNCTION("IF(OR(ISBLANK($G179), IFERROR(INDEX(GOOGLEFINANCE($C179, ""price"", WORKDAY(INT($B179), 5)), 2, 2), """")=""""), """", IF($D179=""LONG"", (IFERROR(INDEX(GOOGLEFINANCE($C179, ""price"", WORKDAY(INT($B179), 5)), 2, 2), """")-$G179)/$G179, ($G179-IFERROR(IND"&amp;"EX(GOOGLEFINANCE($C179, ""price"", WORKDAY(INT($B179), 5)), 2, 2), """"))/$G179))"),-0.039040988928797454)</f>
        <v>-0.03904098893</v>
      </c>
      <c r="P179" s="30">
        <f>IFERROR(__xludf.DUMMYFUNCTION("IF(OR(ISBLANK($G179), IFERROR(INDEX(GOOGLEFINANCE($C179, ""price"", WORKDAY(INT($B179), 20)), 2, 2), """")=""""), """", IF($D179=""LONG"", (IFERROR(INDEX(GOOGLEFINANCE($C179, ""price"", WORKDAY(INT($B179), 20)), 2, 2), """")-$G179)/$G179, ($G179-IFERROR(I"&amp;"NDEX(GOOGLEFINANCE($C179, ""price"", WORKDAY(INT($B179), 20)), 2, 2), """"))/$G179))"),-0.020325971709666563)</f>
        <v>-0.02032597171</v>
      </c>
      <c r="Q179" s="25" t="s">
        <v>2462</v>
      </c>
      <c r="R179" s="31"/>
      <c r="S179" s="31"/>
      <c r="T179" s="31"/>
    </row>
    <row r="180" ht="22.5" customHeight="1">
      <c r="A180" s="23">
        <f t="shared" si="1"/>
        <v>179</v>
      </c>
      <c r="B180" s="24">
        <v>46212.66774305556</v>
      </c>
      <c r="C180" s="25" t="s">
        <v>454</v>
      </c>
      <c r="D180" s="26" t="s">
        <v>36</v>
      </c>
      <c r="E180" s="25" t="s">
        <v>37</v>
      </c>
      <c r="F180" s="27">
        <v>2.0</v>
      </c>
      <c r="G180" s="28">
        <v>129.05</v>
      </c>
      <c r="H180" s="25" t="s">
        <v>2466</v>
      </c>
      <c r="I180" s="27">
        <v>92.2</v>
      </c>
      <c r="J180" s="29"/>
      <c r="K180" s="29"/>
      <c r="L180" s="28">
        <f>IFERROR(__xludf.DUMMYFUNCTION("IF(ISBLANK($C180), """", GOOGLEFINANCE($C180, ""price""))"),129.12)</f>
        <v>129.12</v>
      </c>
      <c r="M180" s="30">
        <f t="shared" si="2"/>
        <v>0.0005424254165</v>
      </c>
      <c r="N180" s="30">
        <f>IFERROR(__xludf.DUMMYFUNCTION("IF(OR(ISBLANK($G180), IFERROR(INDEX(GOOGLEFINANCE($C180, ""price"", WORKDAY(INT($B180), 1)), 2, 2), """")=""""), """", IF($D180=""LONG"", (IFERROR(INDEX(GOOGLEFINANCE($C180, ""price"", WORKDAY(INT($B180), 1)), 2, 2), """")-$G180)/$G180, ($G180-IFERROR(IND"&amp;"EX(GOOGLEFINANCE($C180, ""price"", WORKDAY(INT($B180), 1)), 2, 2), """"))/$G180))"),-0.02363425029058513)</f>
        <v>-0.02363425029</v>
      </c>
      <c r="O180" s="30">
        <f>IFERROR(__xludf.DUMMYFUNCTION("IF(OR(ISBLANK($G180), IFERROR(INDEX(GOOGLEFINANCE($C180, ""price"", WORKDAY(INT($B180), 5)), 2, 2), """")=""""), """", IF($D180=""LONG"", (IFERROR(INDEX(GOOGLEFINANCE($C180, ""price"", WORKDAY(INT($B180), 5)), 2, 2), """")-$G180)/$G180, ($G180-IFERROR(IND"&amp;"EX(GOOGLEFINANCE($C180, ""price"", WORKDAY(INT($B180), 5)), 2, 2), """"))/$G180))"),-0.07934908950019379)</f>
        <v>-0.0793490895</v>
      </c>
      <c r="P180" s="30">
        <f>IFERROR(__xludf.DUMMYFUNCTION("IF(OR(ISBLANK($G180), IFERROR(INDEX(GOOGLEFINANCE($C180, ""price"", WORKDAY(INT($B180), 20)), 2, 2), """")=""""), """", IF($D180=""LONG"", (IFERROR(INDEX(GOOGLEFINANCE($C180, ""price"", WORKDAY(INT($B180), 20)), 2, 2), """")-$G180)/$G180, ($G180-IFERROR(I"&amp;"NDEX(GOOGLEFINANCE($C180, ""price"", WORKDAY(INT($B180), 20)), 2, 2), """"))/$G180))"),5.424254165051776E-4)</f>
        <v>0.0005424254165</v>
      </c>
      <c r="Q180" s="25" t="s">
        <v>2473</v>
      </c>
      <c r="R180" s="31"/>
      <c r="S180" s="31"/>
      <c r="T180" s="31"/>
    </row>
    <row r="181" ht="22.5" customHeight="1">
      <c r="A181" s="23">
        <f t="shared" si="1"/>
        <v>180</v>
      </c>
      <c r="B181" s="24">
        <v>46212.66738425926</v>
      </c>
      <c r="C181" s="25" t="s">
        <v>2476</v>
      </c>
      <c r="D181" s="26" t="s">
        <v>119</v>
      </c>
      <c r="E181" s="25" t="s">
        <v>120</v>
      </c>
      <c r="F181" s="27">
        <v>4.0</v>
      </c>
      <c r="G181" s="28">
        <v>114.04</v>
      </c>
      <c r="H181" s="25" t="s">
        <v>2477</v>
      </c>
      <c r="I181" s="27">
        <v>19.6</v>
      </c>
      <c r="J181" s="29"/>
      <c r="K181" s="29"/>
      <c r="L181" s="28">
        <f>IFERROR(__xludf.DUMMYFUNCTION("IF(ISBLANK($C181), """", GOOGLEFINANCE($C181, ""price""))"),116.73)</f>
        <v>116.73</v>
      </c>
      <c r="M181" s="30">
        <f t="shared" si="2"/>
        <v>-0.02358821466</v>
      </c>
      <c r="N181" s="30">
        <f>IFERROR(__xludf.DUMMYFUNCTION("IF(OR(ISBLANK($G181), IFERROR(INDEX(GOOGLEFINANCE($C181, ""price"", WORKDAY(INT($B181), 1)), 2, 2), """")=""""), """", IF($D181=""LONG"", (IFERROR(INDEX(GOOGLEFINANCE($C181, ""price"", WORKDAY(INT($B181), 1)), 2, 2), """")-$G181)/$G181, ($G181-IFERROR(IND"&amp;"EX(GOOGLEFINANCE($C181, ""price"", WORKDAY(INT($B181), 1)), 2, 2), """"))/$G181))"),-0.02525429673798663)</f>
        <v>-0.02525429674</v>
      </c>
      <c r="O181" s="30">
        <f>IFERROR(__xludf.DUMMYFUNCTION("IF(OR(ISBLANK($G181), IFERROR(INDEX(GOOGLEFINANCE($C181, ""price"", WORKDAY(INT($B181), 5)), 2, 2), """")=""""), """", IF($D181=""LONG"", (IFERROR(INDEX(GOOGLEFINANCE($C181, ""price"", WORKDAY(INT($B181), 5)), 2, 2), """")-$G181)/$G181, ($G181-IFERROR(IND"&amp;"EX(GOOGLEFINANCE($C181, ""price"", WORKDAY(INT($B181), 5)), 2, 2), """"))/$G181))"),-0.040512101017186865)</f>
        <v>-0.04051210102</v>
      </c>
      <c r="P181" s="30">
        <f>IFERROR(__xludf.DUMMYFUNCTION("IF(OR(ISBLANK($G181), IFERROR(INDEX(GOOGLEFINANCE($C181, ""price"", WORKDAY(INT($B181), 20)), 2, 2), """")=""""), """", IF($D181=""LONG"", (IFERROR(INDEX(GOOGLEFINANCE($C181, ""price"", WORKDAY(INT($B181), 20)), 2, 2), """")-$G181)/$G181, ($G181-IFERROR(I"&amp;"NDEX(GOOGLEFINANCE($C181, ""price"", WORKDAY(INT($B181), 20)), 2, 2), """"))/$G181))"),-0.023588214661522253)</f>
        <v>-0.02358821466</v>
      </c>
      <c r="Q181" s="25" t="s">
        <v>2484</v>
      </c>
      <c r="R181" s="31"/>
      <c r="S181" s="31"/>
      <c r="T181" s="31"/>
    </row>
    <row r="182" ht="22.5" customHeight="1">
      <c r="A182" s="23">
        <f t="shared" si="1"/>
        <v>181</v>
      </c>
      <c r="B182" s="24">
        <v>46212.66747685185</v>
      </c>
      <c r="C182" s="25" t="s">
        <v>1187</v>
      </c>
      <c r="D182" s="26" t="s">
        <v>119</v>
      </c>
      <c r="E182" s="25" t="s">
        <v>120</v>
      </c>
      <c r="F182" s="27">
        <v>4.0</v>
      </c>
      <c r="G182" s="28">
        <v>118.3</v>
      </c>
      <c r="H182" s="25" t="s">
        <v>2489</v>
      </c>
      <c r="I182" s="27">
        <v>12.0</v>
      </c>
      <c r="J182" s="29"/>
      <c r="K182" s="29"/>
      <c r="L182" s="28">
        <f>IFERROR(__xludf.DUMMYFUNCTION("IF(ISBLANK($C182), """", GOOGLEFINANCE($C182, ""price""))"),120.88)</f>
        <v>120.88</v>
      </c>
      <c r="M182" s="30">
        <f t="shared" si="2"/>
        <v>-0.02180896027</v>
      </c>
      <c r="N182" s="30">
        <f>IFERROR(__xludf.DUMMYFUNCTION("IF(OR(ISBLANK($G182), IFERROR(INDEX(GOOGLEFINANCE($C182, ""price"", WORKDAY(INT($B182), 1)), 2, 2), """")=""""), """", IF($D182=""LONG"", (IFERROR(INDEX(GOOGLEFINANCE($C182, ""price"", WORKDAY(INT($B182), 1)), 2, 2), """")-$G182)/$G182, ($G182-IFERROR(IND"&amp;"EX(GOOGLEFINANCE($C182, ""price"", WORKDAY(INT($B182), 1)), 2, 2), """"))/$G182))"),-0.025443786982248563)</f>
        <v>-0.02544378698</v>
      </c>
      <c r="O182" s="30">
        <f>IFERROR(__xludf.DUMMYFUNCTION("IF(OR(ISBLANK($G182), IFERROR(INDEX(GOOGLEFINANCE($C182, ""price"", WORKDAY(INT($B182), 5)), 2, 2), """")=""""), """", IF($D182=""LONG"", (IFERROR(INDEX(GOOGLEFINANCE($C182, ""price"", WORKDAY(INT($B182), 5)), 2, 2), """")-$G182)/$G182, ($G182-IFERROR(IND"&amp;"EX(GOOGLEFINANCE($C182, ""price"", WORKDAY(INT($B182), 5)), 2, 2), """"))/$G182))"),0.07303465765004227)</f>
        <v>0.07303465765</v>
      </c>
      <c r="P182" s="30">
        <f>IFERROR(__xludf.DUMMYFUNCTION("IF(OR(ISBLANK($G182), IFERROR(INDEX(GOOGLEFINANCE($C182, ""price"", WORKDAY(INT($B182), 20)), 2, 2), """")=""""), """", IF($D182=""LONG"", (IFERROR(INDEX(GOOGLEFINANCE($C182, ""price"", WORKDAY(INT($B182), 20)), 2, 2), """")-$G182)/$G182, ($G182-IFERROR(I"&amp;"NDEX(GOOGLEFINANCE($C182, ""price"", WORKDAY(INT($B182), 20)), 2, 2), """"))/$G182))"),-0.02180896027049872)</f>
        <v>-0.02180896027</v>
      </c>
      <c r="Q182" s="25" t="s">
        <v>2494</v>
      </c>
      <c r="R182" s="31"/>
      <c r="S182" s="31"/>
      <c r="T182" s="31"/>
    </row>
    <row r="183" ht="22.5" customHeight="1">
      <c r="A183" s="23">
        <f t="shared" si="1"/>
        <v>182</v>
      </c>
      <c r="B183" s="24">
        <v>46212.66747685185</v>
      </c>
      <c r="C183" s="25" t="s">
        <v>300</v>
      </c>
      <c r="D183" s="26" t="s">
        <v>36</v>
      </c>
      <c r="E183" s="25" t="s">
        <v>133</v>
      </c>
      <c r="F183" s="27">
        <v>2.0</v>
      </c>
      <c r="G183" s="28">
        <v>295.18</v>
      </c>
      <c r="H183" s="25" t="s">
        <v>2496</v>
      </c>
      <c r="I183" s="27">
        <v>91.5</v>
      </c>
      <c r="J183" s="29"/>
      <c r="K183" s="29"/>
      <c r="L183" s="28">
        <f>IFERROR(__xludf.DUMMYFUNCTION("IF(ISBLANK($C183), """", GOOGLEFINANCE($C183, ""price""))"),233.43)</f>
        <v>233.43</v>
      </c>
      <c r="M183" s="30">
        <f t="shared" si="2"/>
        <v>-0.2091943899</v>
      </c>
      <c r="N183" s="30">
        <f>IFERROR(__xludf.DUMMYFUNCTION("IF(OR(ISBLANK($G183), IFERROR(INDEX(GOOGLEFINANCE($C183, ""price"", WORKDAY(INT($B183), 1)), 2, 2), """")=""""), """", IF($D183=""LONG"", (IFERROR(INDEX(GOOGLEFINANCE($C183, ""price"", WORKDAY(INT($B183), 1)), 2, 2), """")-$G183)/$G183, ($G183-IFERROR(IND"&amp;"EX(GOOGLEFINANCE($C183, ""price"", WORKDAY(INT($B183), 1)), 2, 2), """"))/$G183))"),-0.025814757097364336)</f>
        <v>-0.0258147571</v>
      </c>
      <c r="O183" s="30">
        <f>IFERROR(__xludf.DUMMYFUNCTION("IF(OR(ISBLANK($G183), IFERROR(INDEX(GOOGLEFINANCE($C183, ""price"", WORKDAY(INT($B183), 5)), 2, 2), """")=""""), """", IF($D183=""LONG"", (IFERROR(INDEX(GOOGLEFINANCE($C183, ""price"", WORKDAY(INT($B183), 5)), 2, 2), """")-$G183)/$G183, ($G183-IFERROR(IND"&amp;"EX(GOOGLEFINANCE($C183, ""price"", WORKDAY(INT($B183), 5)), 2, 2), """"))/$G183))"),-0.2579104275357409)</f>
        <v>-0.2579104275</v>
      </c>
      <c r="P183" s="30">
        <f>IFERROR(__xludf.DUMMYFUNCTION("IF(OR(ISBLANK($G183), IFERROR(INDEX(GOOGLEFINANCE($C183, ""price"", WORKDAY(INT($B183), 20)), 2, 2), """")=""""), """", IF($D183=""LONG"", (IFERROR(INDEX(GOOGLEFINANCE($C183, ""price"", WORKDAY(INT($B183), 20)), 2, 2), """")-$G183)/$G183, ($G183-IFERROR(I"&amp;"NDEX(GOOGLEFINANCE($C183, ""price"", WORKDAY(INT($B183), 20)), 2, 2), """"))/$G183))"),-0.20919438986381192)</f>
        <v>-0.2091943899</v>
      </c>
      <c r="Q183" s="25" t="s">
        <v>2505</v>
      </c>
      <c r="R183" s="31"/>
      <c r="S183" s="31"/>
      <c r="T183" s="31"/>
    </row>
    <row r="184" ht="22.5" customHeight="1">
      <c r="A184" s="23">
        <f t="shared" si="1"/>
        <v>183</v>
      </c>
      <c r="B184" s="24">
        <v>46212.66752314815</v>
      </c>
      <c r="C184" s="25" t="s">
        <v>260</v>
      </c>
      <c r="D184" s="26" t="s">
        <v>36</v>
      </c>
      <c r="E184" s="25" t="s">
        <v>37</v>
      </c>
      <c r="F184" s="27">
        <v>2.0</v>
      </c>
      <c r="G184" s="28">
        <v>115.1</v>
      </c>
      <c r="H184" s="25" t="s">
        <v>2510</v>
      </c>
      <c r="I184" s="27">
        <v>91.5</v>
      </c>
      <c r="J184" s="29"/>
      <c r="K184" s="29"/>
      <c r="L184" s="28">
        <f>IFERROR(__xludf.DUMMYFUNCTION("IF(ISBLANK($C184), """", GOOGLEFINANCE($C184, ""price""))"),90.71)</f>
        <v>90.71</v>
      </c>
      <c r="M184" s="30">
        <f t="shared" si="2"/>
        <v>-0.2119026933</v>
      </c>
      <c r="N184" s="30">
        <f>IFERROR(__xludf.DUMMYFUNCTION("IF(OR(ISBLANK($G184), IFERROR(INDEX(GOOGLEFINANCE($C184, ""price"", WORKDAY(INT($B184), 1)), 2, 2), """")=""""), """", IF($D184=""LONG"", (IFERROR(INDEX(GOOGLEFINANCE($C184, ""price"", WORKDAY(INT($B184), 1)), 2, 2), """")-$G184)/$G184, ($G184-IFERROR(IND"&amp;"EX(GOOGLEFINANCE($C184, ""price"", WORKDAY(INT($B184), 1)), 2, 2), """"))/$G184))"),-0.027193744569939147)</f>
        <v>-0.02719374457</v>
      </c>
      <c r="O184" s="30">
        <f>IFERROR(__xludf.DUMMYFUNCTION("IF(OR(ISBLANK($G184), IFERROR(INDEX(GOOGLEFINANCE($C184, ""price"", WORKDAY(INT($B184), 5)), 2, 2), """")=""""), """", IF($D184=""LONG"", (IFERROR(INDEX(GOOGLEFINANCE($C184, ""price"", WORKDAY(INT($B184), 5)), 2, 2), """")-$G184)/$G184, ($G184-IFERROR(IND"&amp;"EX(GOOGLEFINANCE($C184, ""price"", WORKDAY(INT($B184), 5)), 2, 2), """"))/$G184))"),-0.0788879235447437)</f>
        <v>-0.07888792354</v>
      </c>
      <c r="P184" s="30">
        <f>IFERROR(__xludf.DUMMYFUNCTION("IF(OR(ISBLANK($G184), IFERROR(INDEX(GOOGLEFINANCE($C184, ""price"", WORKDAY(INT($B184), 20)), 2, 2), """")=""""), """", IF($D184=""LONG"", (IFERROR(INDEX(GOOGLEFINANCE($C184, ""price"", WORKDAY(INT($B184), 20)), 2, 2), """")-$G184)/$G184, ($G184-IFERROR(I"&amp;"NDEX(GOOGLEFINANCE($C184, ""price"", WORKDAY(INT($B184), 20)), 2, 2), """"))/$G184))"),-0.2119026933101651)</f>
        <v>-0.2119026933</v>
      </c>
      <c r="Q184" s="25" t="s">
        <v>2518</v>
      </c>
      <c r="R184" s="31"/>
      <c r="S184" s="31"/>
      <c r="T184" s="31"/>
    </row>
    <row r="185" ht="22.5" customHeight="1">
      <c r="A185" s="23">
        <f t="shared" si="1"/>
        <v>184</v>
      </c>
      <c r="B185" s="24">
        <v>46212.66744212963</v>
      </c>
      <c r="C185" s="25" t="s">
        <v>415</v>
      </c>
      <c r="D185" s="26" t="s">
        <v>36</v>
      </c>
      <c r="E185" s="25" t="s">
        <v>37</v>
      </c>
      <c r="F185" s="27">
        <v>2.0</v>
      </c>
      <c r="G185" s="28">
        <v>449.95</v>
      </c>
      <c r="H185" s="25" t="s">
        <v>2521</v>
      </c>
      <c r="I185" s="27">
        <v>82.1</v>
      </c>
      <c r="J185" s="29"/>
      <c r="K185" s="29"/>
      <c r="L185" s="28">
        <f>IFERROR(__xludf.DUMMYFUNCTION("IF(ISBLANK($C185), """", GOOGLEFINANCE($C185, ""price""))"),437.65)</f>
        <v>437.65</v>
      </c>
      <c r="M185" s="30">
        <f t="shared" si="2"/>
        <v>-0.02733637071</v>
      </c>
      <c r="N185" s="30">
        <f>IFERROR(__xludf.DUMMYFUNCTION("IF(OR(ISBLANK($G185), IFERROR(INDEX(GOOGLEFINANCE($C185, ""price"", WORKDAY(INT($B185), 1)), 2, 2), """")=""""), """", IF($D185=""LONG"", (IFERROR(INDEX(GOOGLEFINANCE($C185, ""price"", WORKDAY(INT($B185), 1)), 2, 2), """")-$G185)/$G185, ($G185-IFERROR(IND"&amp;"EX(GOOGLEFINANCE($C185, ""price"", WORKDAY(INT($B185), 1)), 2, 2), """"))/$G185))"),-0.03329258806534051)</f>
        <v>-0.03329258807</v>
      </c>
      <c r="O185" s="30">
        <f>IFERROR(__xludf.DUMMYFUNCTION("IF(OR(ISBLANK($G185), IFERROR(INDEX(GOOGLEFINANCE($C185, ""price"", WORKDAY(INT($B185), 5)), 2, 2), """")=""""), """", IF($D185=""LONG"", (IFERROR(INDEX(GOOGLEFINANCE($C185, ""price"", WORKDAY(INT($B185), 5)), 2, 2), """")-$G185)/$G185, ($G185-IFERROR(IND"&amp;"EX(GOOGLEFINANCE($C185, ""price"", WORKDAY(INT($B185), 5)), 2, 2), """"))/$G185))"),-0.13017001889098787)</f>
        <v>-0.1301700189</v>
      </c>
      <c r="P185" s="30">
        <f>IFERROR(__xludf.DUMMYFUNCTION("IF(OR(ISBLANK($G185), IFERROR(INDEX(GOOGLEFINANCE($C185, ""price"", WORKDAY(INT($B185), 20)), 2, 2), """")=""""), """", IF($D185=""LONG"", (IFERROR(INDEX(GOOGLEFINANCE($C185, ""price"", WORKDAY(INT($B185), 20)), 2, 2), """")-$G185)/$G185, ($G185-IFERROR(I"&amp;"NDEX(GOOGLEFINANCE($C185, ""price"", WORKDAY(INT($B185), 20)), 2, 2), """"))/$G185))"),-0.027336370707856453)</f>
        <v>-0.02733637071</v>
      </c>
      <c r="Q185" s="25" t="s">
        <v>2527</v>
      </c>
      <c r="R185" s="31"/>
      <c r="S185" s="31"/>
      <c r="T185" s="31"/>
    </row>
    <row r="186" ht="22.5" customHeight="1">
      <c r="A186" s="23">
        <f t="shared" si="1"/>
        <v>185</v>
      </c>
      <c r="B186" s="24">
        <v>46212.6675</v>
      </c>
      <c r="C186" s="25" t="s">
        <v>264</v>
      </c>
      <c r="D186" s="26" t="s">
        <v>36</v>
      </c>
      <c r="E186" s="25" t="s">
        <v>37</v>
      </c>
      <c r="F186" s="27">
        <v>2.0</v>
      </c>
      <c r="G186" s="28">
        <v>338.36</v>
      </c>
      <c r="H186" s="25" t="s">
        <v>2532</v>
      </c>
      <c r="I186" s="27">
        <v>94.1</v>
      </c>
      <c r="J186" s="29"/>
      <c r="K186" s="29"/>
      <c r="L186" s="28">
        <f>IFERROR(__xludf.DUMMYFUNCTION("IF(ISBLANK($C186), """", GOOGLEFINANCE($C186, ""price""))"),359.49)</f>
        <v>359.49</v>
      </c>
      <c r="M186" s="30">
        <f t="shared" si="2"/>
        <v>0.06244827994</v>
      </c>
      <c r="N186" s="30">
        <f>IFERROR(__xludf.DUMMYFUNCTION("IF(OR(ISBLANK($G186), IFERROR(INDEX(GOOGLEFINANCE($C186, ""price"", WORKDAY(INT($B186), 1)), 2, 2), """")=""""), """", IF($D186=""LONG"", (IFERROR(INDEX(GOOGLEFINANCE($C186, ""price"", WORKDAY(INT($B186), 1)), 2, 2), """")-$G186)/$G186, ($G186-IFERROR(IND"&amp;"EX(GOOGLEFINANCE($C186, ""price"", WORKDAY(INT($B186), 1)), 2, 2), """"))/$G186))"),-0.03679512944792525)</f>
        <v>-0.03679512945</v>
      </c>
      <c r="O186" s="30">
        <f>IFERROR(__xludf.DUMMYFUNCTION("IF(OR(ISBLANK($G186), IFERROR(INDEX(GOOGLEFINANCE($C186, ""price"", WORKDAY(INT($B186), 5)), 2, 2), """")=""""), """", IF($D186=""LONG"", (IFERROR(INDEX(GOOGLEFINANCE($C186, ""price"", WORKDAY(INT($B186), 5)), 2, 2), """")-$G186)/$G186, ($G186-IFERROR(IND"&amp;"EX(GOOGLEFINANCE($C186, ""price"", WORKDAY(INT($B186), 5)), 2, 2), """"))/$G186))"),0.04619340347558812)</f>
        <v>0.04619340348</v>
      </c>
      <c r="P186" s="30">
        <f>IFERROR(__xludf.DUMMYFUNCTION("IF(OR(ISBLANK($G186), IFERROR(INDEX(GOOGLEFINANCE($C186, ""price"", WORKDAY(INT($B186), 20)), 2, 2), """")=""""), """", IF($D186=""LONG"", (IFERROR(INDEX(GOOGLEFINANCE($C186, ""price"", WORKDAY(INT($B186), 20)), 2, 2), """")-$G186)/$G186, ($G186-IFERROR(I"&amp;"NDEX(GOOGLEFINANCE($C186, ""price"", WORKDAY(INT($B186), 20)), 2, 2), """"))/$G186))"),0.062448279938526995)</f>
        <v>0.06244827994</v>
      </c>
      <c r="Q186" s="25" t="s">
        <v>2538</v>
      </c>
      <c r="R186" s="31"/>
      <c r="S186" s="31"/>
      <c r="T186" s="31"/>
    </row>
    <row r="187" ht="22.5" customHeight="1">
      <c r="A187" s="23">
        <f t="shared" si="1"/>
        <v>186</v>
      </c>
      <c r="B187" s="24">
        <v>46212.66740740741</v>
      </c>
      <c r="C187" s="25" t="s">
        <v>154</v>
      </c>
      <c r="D187" s="26" t="s">
        <v>36</v>
      </c>
      <c r="E187" s="25" t="s">
        <v>37</v>
      </c>
      <c r="F187" s="27">
        <v>2.0</v>
      </c>
      <c r="G187" s="28">
        <v>163.74</v>
      </c>
      <c r="H187" s="25" t="s">
        <v>2544</v>
      </c>
      <c r="I187" s="27">
        <v>90.4</v>
      </c>
      <c r="J187" s="29"/>
      <c r="K187" s="29"/>
      <c r="L187" s="28">
        <f>IFERROR(__xludf.DUMMYFUNCTION("IF(ISBLANK($C187), """", GOOGLEFINANCE($C187, ""price""))"),160.11)</f>
        <v>160.11</v>
      </c>
      <c r="M187" s="30">
        <f t="shared" si="2"/>
        <v>-0.02216929278</v>
      </c>
      <c r="N187" s="30">
        <f>IFERROR(__xludf.DUMMYFUNCTION("IF(OR(ISBLANK($G187), IFERROR(INDEX(GOOGLEFINANCE($C187, ""price"", WORKDAY(INT($B187), 1)), 2, 2), """")=""""), """", IF($D187=""LONG"", (IFERROR(INDEX(GOOGLEFINANCE($C187, ""price"", WORKDAY(INT($B187), 1)), 2, 2), """")-$G187)/$G187, ($G187-IFERROR(IND"&amp;"EX(GOOGLEFINANCE($C187, ""price"", WORKDAY(INT($B187), 1)), 2, 2), """"))/$G187))"),-0.03804812507634065)</f>
        <v>-0.03804812508</v>
      </c>
      <c r="O187" s="30">
        <f>IFERROR(__xludf.DUMMYFUNCTION("IF(OR(ISBLANK($G187), IFERROR(INDEX(GOOGLEFINANCE($C187, ""price"", WORKDAY(INT($B187), 5)), 2, 2), """")=""""), """", IF($D187=""LONG"", (IFERROR(INDEX(GOOGLEFINANCE($C187, ""price"", WORKDAY(INT($B187), 5)), 2, 2), """")-$G187)/$G187, ($G187-IFERROR(IND"&amp;"EX(GOOGLEFINANCE($C187, ""price"", WORKDAY(INT($B187), 5)), 2, 2), """"))/$G187))"),-0.018077439843654623)</f>
        <v>-0.01807743984</v>
      </c>
      <c r="P187" s="30">
        <f>IFERROR(__xludf.DUMMYFUNCTION("IF(OR(ISBLANK($G187), IFERROR(INDEX(GOOGLEFINANCE($C187, ""price"", WORKDAY(INT($B187), 20)), 2, 2), """")=""""), """", IF($D187=""LONG"", (IFERROR(INDEX(GOOGLEFINANCE($C187, ""price"", WORKDAY(INT($B187), 20)), 2, 2), """")-$G187)/$G187, ($G187-IFERROR(I"&amp;"NDEX(GOOGLEFINANCE($C187, ""price"", WORKDAY(INT($B187), 20)), 2, 2), """"))/$G187))"),-0.02216929278123852)</f>
        <v>-0.02216929278</v>
      </c>
      <c r="Q187" s="25" t="s">
        <v>2550</v>
      </c>
      <c r="R187" s="31"/>
      <c r="S187" s="31"/>
      <c r="T187" s="31"/>
    </row>
    <row r="188" ht="22.5" customHeight="1">
      <c r="A188" s="23">
        <f t="shared" si="1"/>
        <v>187</v>
      </c>
      <c r="B188" s="24">
        <v>46212.66780092593</v>
      </c>
      <c r="C188" s="25" t="s">
        <v>863</v>
      </c>
      <c r="D188" s="26" t="s">
        <v>119</v>
      </c>
      <c r="E188" s="25" t="s">
        <v>120</v>
      </c>
      <c r="F188" s="27">
        <v>4.0</v>
      </c>
      <c r="G188" s="28">
        <v>182.58</v>
      </c>
      <c r="H188" s="25" t="s">
        <v>2553</v>
      </c>
      <c r="I188" s="27">
        <v>7.4</v>
      </c>
      <c r="J188" s="29"/>
      <c r="K188" s="29"/>
      <c r="L188" s="28">
        <f>IFERROR(__xludf.DUMMYFUNCTION("IF(ISBLANK($C188), """", GOOGLEFINANCE($C188, ""price""))"),182.6)</f>
        <v>182.6</v>
      </c>
      <c r="M188" s="30">
        <f t="shared" si="2"/>
        <v>-0.0001095410231</v>
      </c>
      <c r="N188" s="30">
        <f>IFERROR(__xludf.DUMMYFUNCTION("IF(OR(ISBLANK($G188), IFERROR(INDEX(GOOGLEFINANCE($C188, ""price"", WORKDAY(INT($B188), 1)), 2, 2), """")=""""), """", IF($D188=""LONG"", (IFERROR(INDEX(GOOGLEFINANCE($C188, ""price"", WORKDAY(INT($B188), 1)), 2, 2), """")-$G188)/$G188, ($G188-IFERROR(IND"&amp;"EX(GOOGLEFINANCE($C188, ""price"", WORKDAY(INT($B188), 1)), 2, 2), """"))/$G188))"),-0.0408040311096505)</f>
        <v>-0.04080403111</v>
      </c>
      <c r="O188" s="30">
        <f>IFERROR(__xludf.DUMMYFUNCTION("IF(OR(ISBLANK($G188), IFERROR(INDEX(GOOGLEFINANCE($C188, ""price"", WORKDAY(INT($B188), 5)), 2, 2), """")=""""), """", IF($D188=""LONG"", (IFERROR(INDEX(GOOGLEFINANCE($C188, ""price"", WORKDAY(INT($B188), 5)), 2, 2), """")-$G188)/$G188, ($G188-IFERROR(IND"&amp;"EX(GOOGLEFINANCE($C188, ""price"", WORKDAY(INT($B188), 5)), 2, 2), """"))/$G188))"),-0.01347354584291806)</f>
        <v>-0.01347354584</v>
      </c>
      <c r="P188" s="30">
        <f>IFERROR(__xludf.DUMMYFUNCTION("IF(OR(ISBLANK($G188), IFERROR(INDEX(GOOGLEFINANCE($C188, ""price"", WORKDAY(INT($B188), 20)), 2, 2), """")=""""), """", IF($D188=""LONG"", (IFERROR(INDEX(GOOGLEFINANCE($C188, ""price"", WORKDAY(INT($B188), 20)), 2, 2), """")-$G188)/$G188, ($G188-IFERROR(I"&amp;"NDEX(GOOGLEFINANCE($C188, ""price"", WORKDAY(INT($B188), 20)), 2, 2), """"))/$G188))"),-1.0954102311305624E-4)</f>
        <v>-0.0001095410231</v>
      </c>
      <c r="Q188" s="25" t="s">
        <v>2559</v>
      </c>
      <c r="R188" s="31"/>
      <c r="S188" s="31"/>
      <c r="T188" s="31"/>
    </row>
    <row r="189" ht="22.5" customHeight="1">
      <c r="A189" s="23">
        <f t="shared" si="1"/>
        <v>188</v>
      </c>
      <c r="B189" s="24">
        <v>46212.667592592596</v>
      </c>
      <c r="C189" s="25" t="s">
        <v>43</v>
      </c>
      <c r="D189" s="26" t="s">
        <v>36</v>
      </c>
      <c r="E189" s="25" t="s">
        <v>133</v>
      </c>
      <c r="F189" s="27">
        <v>2.0</v>
      </c>
      <c r="G189" s="28">
        <v>268.96</v>
      </c>
      <c r="H189" s="25" t="s">
        <v>2561</v>
      </c>
      <c r="I189" s="27">
        <v>79.8</v>
      </c>
      <c r="J189" s="29"/>
      <c r="K189" s="29"/>
      <c r="L189" s="28">
        <f>IFERROR(__xludf.DUMMYFUNCTION("IF(ISBLANK($C189), """", GOOGLEFINANCE($C189, ""price""))"),229.29)</f>
        <v>229.29</v>
      </c>
      <c r="M189" s="30">
        <f t="shared" si="2"/>
        <v>-0.1474940512</v>
      </c>
      <c r="N189" s="30">
        <f>IFERROR(__xludf.DUMMYFUNCTION("IF(OR(ISBLANK($G189), IFERROR(INDEX(GOOGLEFINANCE($C189, ""price"", WORKDAY(INT($B189), 1)), 2, 2), """")=""""), """", IF($D189=""LONG"", (IFERROR(INDEX(GOOGLEFINANCE($C189, ""price"", WORKDAY(INT($B189), 1)), 2, 2), """")-$G189)/$G189, ($G189-IFERROR(IND"&amp;"EX(GOOGLEFINANCE($C189, ""price"", WORKDAY(INT($B189), 1)), 2, 2), """"))/$G189))"),-0.04245984533016047)</f>
        <v>-0.04245984533</v>
      </c>
      <c r="O189" s="30">
        <f>IFERROR(__xludf.DUMMYFUNCTION("IF(OR(ISBLANK($G189), IFERROR(INDEX(GOOGLEFINANCE($C189, ""price"", WORKDAY(INT($B189), 5)), 2, 2), """")=""""), """", IF($D189=""LONG"", (IFERROR(INDEX(GOOGLEFINANCE($C189, ""price"", WORKDAY(INT($B189), 5)), 2, 2), """")-$G189)/$G189, ($G189-IFERROR(IND"&amp;"EX(GOOGLEFINANCE($C189, ""price"", WORKDAY(INT($B189), 5)), 2, 2), """"))/$G189))"),-0.024687685901249208)</f>
        <v>-0.0246876859</v>
      </c>
      <c r="P189" s="30">
        <f>IFERROR(__xludf.DUMMYFUNCTION("IF(OR(ISBLANK($G189), IFERROR(INDEX(GOOGLEFINANCE($C189, ""price"", WORKDAY(INT($B189), 20)), 2, 2), """")=""""), """", IF($D189=""LONG"", (IFERROR(INDEX(GOOGLEFINANCE($C189, ""price"", WORKDAY(INT($B189), 20)), 2, 2), """")-$G189)/$G189, ($G189-IFERROR(I"&amp;"NDEX(GOOGLEFINANCE($C189, ""price"", WORKDAY(INT($B189), 20)), 2, 2), """"))/$G189))"),-0.14749405116002376)</f>
        <v>-0.1474940512</v>
      </c>
      <c r="Q189" s="25" t="s">
        <v>2566</v>
      </c>
      <c r="R189" s="31"/>
      <c r="S189" s="31"/>
      <c r="T189" s="31"/>
    </row>
    <row r="190" ht="22.5" customHeight="1">
      <c r="A190" s="23">
        <f t="shared" si="1"/>
        <v>189</v>
      </c>
      <c r="B190" s="24">
        <v>46212.66780092593</v>
      </c>
      <c r="C190" s="25" t="s">
        <v>413</v>
      </c>
      <c r="D190" s="26" t="s">
        <v>36</v>
      </c>
      <c r="E190" s="25" t="s">
        <v>133</v>
      </c>
      <c r="F190" s="27">
        <v>2.0</v>
      </c>
      <c r="G190" s="28">
        <v>198.41</v>
      </c>
      <c r="H190" s="25" t="s">
        <v>2570</v>
      </c>
      <c r="I190" s="27">
        <v>90.0</v>
      </c>
      <c r="J190" s="29"/>
      <c r="K190" s="29"/>
      <c r="L190" s="28">
        <f>IFERROR(__xludf.DUMMYFUNCTION("IF(ISBLANK($C190), """", GOOGLEFINANCE($C190, ""price""))"),207.39)</f>
        <v>207.39</v>
      </c>
      <c r="M190" s="30">
        <f t="shared" si="2"/>
        <v>0.04525981553</v>
      </c>
      <c r="N190" s="30">
        <f>IFERROR(__xludf.DUMMYFUNCTION("IF(OR(ISBLANK($G190), IFERROR(INDEX(GOOGLEFINANCE($C190, ""price"", WORKDAY(INT($B190), 1)), 2, 2), """")=""""), """", IF($D190=""LONG"", (IFERROR(INDEX(GOOGLEFINANCE($C190, ""price"", WORKDAY(INT($B190), 1)), 2, 2), """")-$G190)/$G190, ($G190-IFERROR(IND"&amp;"EX(GOOGLEFINANCE($C190, ""price"", WORKDAY(INT($B190), 1)), 2, 2), """"))/$G190))"),-0.05659996975958868)</f>
        <v>-0.05659996976</v>
      </c>
      <c r="O190" s="30">
        <f>IFERROR(__xludf.DUMMYFUNCTION("IF(OR(ISBLANK($G190), IFERROR(INDEX(GOOGLEFINANCE($C190, ""price"", WORKDAY(INT($B190), 5)), 2, 2), """")=""""), """", IF($D190=""LONG"", (IFERROR(INDEX(GOOGLEFINANCE($C190, ""price"", WORKDAY(INT($B190), 5)), 2, 2), """")-$G190)/$G190, ($G190-IFERROR(IND"&amp;"EX(GOOGLEFINANCE($C190, ""price"", WORKDAY(INT($B190), 5)), 2, 2), """"))/$G190))"),0.0269643667153873)</f>
        <v>0.02696436672</v>
      </c>
      <c r="P190" s="30">
        <f>IFERROR(__xludf.DUMMYFUNCTION("IF(OR(ISBLANK($G190), IFERROR(INDEX(GOOGLEFINANCE($C190, ""price"", WORKDAY(INT($B190), 20)), 2, 2), """")=""""), """", IF($D190=""LONG"", (IFERROR(INDEX(GOOGLEFINANCE($C190, ""price"", WORKDAY(INT($B190), 20)), 2, 2), """")-$G190)/$G190, ($G190-IFERROR(I"&amp;"NDEX(GOOGLEFINANCE($C190, ""price"", WORKDAY(INT($B190), 20)), 2, 2), """"))/$G190))"),0.045259815533491204)</f>
        <v>0.04525981553</v>
      </c>
      <c r="Q190" s="25" t="s">
        <v>2573</v>
      </c>
      <c r="R190" s="31"/>
      <c r="S190" s="31"/>
      <c r="T190" s="31"/>
    </row>
  </sheetData>
  <dataValidations>
    <dataValidation type="list" allowBlank="1" showDropDown="1" showErrorMessage="1" sqref="D2:D190">
      <formula1>"SHORT,LONG"</formula1>
    </dataValidation>
    <dataValidation type="custom" allowBlank="1" showDropDown="1" sqref="B2:B190">
      <formula1>OR(NOT(ISERROR(DATEVALUE(B2))), AND(ISNUMBER(B2), LEFT(CELL("format", B2))="D"))</formula1>
    </dataValidation>
    <dataValidation type="custom" allowBlank="1" showDropDown="1" sqref="A2:A190 F2:G190 I2:I190 L2:M190">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7" max="17" width="38.88"/>
    <col customWidth="1" min="18" max="18" width="24.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19</v>
      </c>
      <c r="T1" s="1" t="s">
        <v>21</v>
      </c>
      <c r="U1" s="1"/>
      <c r="V1" s="1"/>
      <c r="W1" s="1"/>
      <c r="X1" s="1"/>
      <c r="Y1" s="1"/>
      <c r="Z1" s="1"/>
    </row>
    <row r="2">
      <c r="A2" s="3">
        <f t="shared" ref="A2:A189" si="1">ROW()-1</f>
        <v>1</v>
      </c>
      <c r="B2" s="4">
        <v>46213.66736111111</v>
      </c>
      <c r="C2" s="5" t="s">
        <v>34</v>
      </c>
      <c r="D2" s="5" t="s">
        <v>36</v>
      </c>
      <c r="E2" s="5" t="s">
        <v>37</v>
      </c>
      <c r="F2" s="6">
        <v>2.0</v>
      </c>
      <c r="G2" s="7">
        <v>185.38</v>
      </c>
      <c r="H2" s="5" t="s">
        <v>39</v>
      </c>
      <c r="I2" s="5">
        <v>95.1</v>
      </c>
      <c r="J2" s="3"/>
      <c r="K2" s="5" t="s">
        <v>40</v>
      </c>
      <c r="L2" s="8">
        <f>IFERROR(__xludf.DUMMYFUNCTION("IFERROR(GOOGLEFINANCE(C2, ""price""), IFERROR(GOOGLEFINANCE(""NASDAQ:""&amp;C2, ""price""), IFERROR(GOOGLEFINANCE(""NYSE:""&amp;C2, ""price""), """")))"),189.75)</f>
        <v>189.75</v>
      </c>
      <c r="M2" s="12">
        <f t="shared" ref="M2:M57" si="2">IFERROR(IF(OR(ISBLANK($G2), ISBLANK($L2)), "", IF($D2="LONG", ($L2-$G2)/$G2, ($G2-$L2)/$G2)), "")</f>
        <v>0.02357320099</v>
      </c>
      <c r="N2" s="12">
        <f>IFERROR(__xludf.DUMMYFUNCTION("IFERROR(IF(OR(ISBLANK($G2), IFERROR(INDEX(GOOGLEFINANCE($C2, ""price"", WORKDAY(INT($B2), 1)), 2, 2), """")=""""), """", IF($D2=""LONG"", (IFERROR(INDEX(GOOGLEFINANCE($C2, ""price"", WORKDAY(INT($B2), 1)), 2, 2), """")-$G2)/$G2, ($G2-IFERROR(INDEX(GOOGLEF"&amp;"INANCE($C2, ""price"", WORKDAY(INT($B2), 1)), 2, 2), """"))/$G2)), """")"),0.04504261516884235)</f>
        <v>0.04504261517</v>
      </c>
      <c r="O2" s="12">
        <f>IFERROR(__xludf.DUMMYFUNCTION("IFERROR(IF(OR(ISBLANK($G2), IFERROR(INDEX(GOOGLEFINANCE($C2, ""price"", WORKDAY(INT($B2), 5)), 2, 2), """")=""""), """", IF($D2=""LONG"", (IFERROR(INDEX(GOOGLEFINANCE($C2, ""price"", WORKDAY(INT($B2), 5)), 2, 2), """")-$G2)/$G2, ($G2-IFERROR(INDEX(GOOGLEF"&amp;"INANCE($C2, ""price"", WORKDAY(INT($B2), 5)), 2, 2), """"))/$G2)), """")"),0.08253317509979508)</f>
        <v>0.0825331751</v>
      </c>
      <c r="P2" s="12" t="str">
        <f>IFERROR(__xludf.DUMMYFUNCTION("IFERROR(IF(OR(ISBLANK($G2), IFERROR(INDEX(GOOGLEFINANCE($C2, ""price"", WORKDAY(INT($B2), 20)), 2, 2), """")=""""), """", IF($D2=""LONG"", (IFERROR(INDEX(GOOGLEFINANCE($C2, ""price"", WORKDAY(INT($B2), 20)), 2, 2), """")-$G2)/$G2, ($G2-IFERROR(INDEX(GOOGL"&amp;"EFINANCE($C2, ""price"", WORKDAY(INT($B2), 20)), 2, 2), """"))/$G2)), """")"),"")</f>
        <v/>
      </c>
      <c r="Q2" s="5" t="s">
        <v>48</v>
      </c>
      <c r="R2" s="21" t="s">
        <v>49</v>
      </c>
      <c r="S2" s="21" t="s">
        <v>50</v>
      </c>
      <c r="T2" s="21" t="s">
        <v>51</v>
      </c>
      <c r="U2" s="21"/>
      <c r="V2" s="21"/>
      <c r="W2" s="21"/>
      <c r="X2" s="21"/>
      <c r="Y2" s="21"/>
      <c r="Z2" s="21"/>
    </row>
    <row r="3">
      <c r="A3" s="3">
        <f t="shared" si="1"/>
        <v>2</v>
      </c>
      <c r="B3" s="4">
        <v>46213.66737268519</v>
      </c>
      <c r="C3" s="5" t="s">
        <v>52</v>
      </c>
      <c r="D3" s="5" t="s">
        <v>36</v>
      </c>
      <c r="E3" s="5" t="s">
        <v>37</v>
      </c>
      <c r="F3" s="6">
        <v>2.0</v>
      </c>
      <c r="G3" s="7">
        <v>116.73</v>
      </c>
      <c r="H3" s="5" t="s">
        <v>53</v>
      </c>
      <c r="I3" s="5">
        <v>94.8</v>
      </c>
      <c r="J3" s="3"/>
      <c r="K3" s="5" t="s">
        <v>40</v>
      </c>
      <c r="L3" s="8">
        <f>IFERROR(__xludf.DUMMYFUNCTION("IFERROR(GOOGLEFINANCE(C3, ""price""), IFERROR(GOOGLEFINANCE(""NASDAQ:""&amp;C3, ""price""), IFERROR(GOOGLEFINANCE(""NYSE:""&amp;C3, ""price""), """")))"),118.38)</f>
        <v>118.38</v>
      </c>
      <c r="M3" s="12">
        <f t="shared" si="2"/>
        <v>0.01413518376</v>
      </c>
      <c r="N3" s="12">
        <f>IFERROR(__xludf.DUMMYFUNCTION("IFERROR(IF(OR(ISBLANK($G3), IFERROR(INDEX(GOOGLEFINANCE($C3, ""price"", WORKDAY(INT($B3), 1)), 2, 2), """")=""""), """", IF($D3=""LONG"", (IFERROR(INDEX(GOOGLEFINANCE($C3, ""price"", WORKDAY(INT($B3), 1)), 2, 2), """")-$G3)/$G3, ($G3-IFERROR(INDEX(GOOGLEF"&amp;"INANCE($C3, ""price"", WORKDAY(INT($B3), 1)), 2, 2), """"))/$G3)), """")"),-0.021416945086952795)</f>
        <v>-0.02141694509</v>
      </c>
      <c r="O3" s="12">
        <f>IFERROR(__xludf.DUMMYFUNCTION("IFERROR(IF(OR(ISBLANK($G3), IFERROR(INDEX(GOOGLEFINANCE($C3, ""price"", WORKDAY(INT($B3), 5)), 2, 2), """")=""""), """", IF($D3=""LONG"", (IFERROR(INDEX(GOOGLEFINANCE($C3, ""price"", WORKDAY(INT($B3), 5)), 2, 2), """")-$G3)/$G3, ($G3-IFERROR(INDEX(GOOGLEF"&amp;"INANCE($C3, ""price"", WORKDAY(INT($B3), 5)), 2, 2), """"))/$G3)), """")"),0.004454724578086148)</f>
        <v>0.004454724578</v>
      </c>
      <c r="P3" s="12" t="str">
        <f>IFERROR(__xludf.DUMMYFUNCTION("IFERROR(IF(OR(ISBLANK($G3), IFERROR(INDEX(GOOGLEFINANCE($C3, ""price"", WORKDAY(INT($B3), 20)), 2, 2), """")=""""), """", IF($D3=""LONG"", (IFERROR(INDEX(GOOGLEFINANCE($C3, ""price"", WORKDAY(INT($B3), 20)), 2, 2), """")-$G3)/$G3, ($G3-IFERROR(INDEX(GOOGL"&amp;"EFINANCE($C3, ""price"", WORKDAY(INT($B3), 20)), 2, 2), """"))/$G3)), """")"),"")</f>
        <v/>
      </c>
      <c r="Q3" s="5" t="s">
        <v>59</v>
      </c>
      <c r="R3" s="21" t="s">
        <v>49</v>
      </c>
      <c r="S3" s="21" t="s">
        <v>61</v>
      </c>
      <c r="T3" s="21" t="s">
        <v>51</v>
      </c>
      <c r="U3" s="21"/>
      <c r="V3" s="21"/>
      <c r="W3" s="21"/>
      <c r="X3" s="21"/>
      <c r="Y3" s="21"/>
      <c r="Z3" s="21"/>
    </row>
    <row r="4">
      <c r="A4" s="3">
        <f t="shared" si="1"/>
        <v>3</v>
      </c>
      <c r="B4" s="4">
        <v>46213.66743055556</v>
      </c>
      <c r="C4" s="5" t="s">
        <v>63</v>
      </c>
      <c r="D4" s="5" t="s">
        <v>36</v>
      </c>
      <c r="E4" s="5" t="s">
        <v>37</v>
      </c>
      <c r="F4" s="6">
        <v>2.0</v>
      </c>
      <c r="G4" s="7">
        <v>151.91</v>
      </c>
      <c r="H4" s="5" t="s">
        <v>64</v>
      </c>
      <c r="I4" s="5">
        <v>86.3</v>
      </c>
      <c r="J4" s="3"/>
      <c r="K4" s="5" t="s">
        <v>40</v>
      </c>
      <c r="L4" s="8">
        <f>IFERROR(__xludf.DUMMYFUNCTION("IFERROR(GOOGLEFINANCE(C4, ""price""), IFERROR(GOOGLEFINANCE(""NASDAQ:""&amp;C4, ""price""), IFERROR(GOOGLEFINANCE(""NYSE:""&amp;C4, ""price""), """")))"),158.82)</f>
        <v>158.82</v>
      </c>
      <c r="M4" s="12">
        <f t="shared" si="2"/>
        <v>0.04548745968</v>
      </c>
      <c r="N4" s="12">
        <f>IFERROR(__xludf.DUMMYFUNCTION("IFERROR(IF(OR(ISBLANK($G4), IFERROR(INDEX(GOOGLEFINANCE($C4, ""price"", WORKDAY(INT($B4), 1)), 2, 2), """")=""""), """", IF($D4=""LONG"", (IFERROR(INDEX(GOOGLEFINANCE($C4, ""price"", WORKDAY(INT($B4), 1)), 2, 2), """")-$G4)/$G4, ($G4-IFERROR(INDEX(GOOGLEF"&amp;"INANCE($C4, ""price"", WORKDAY(INT($B4), 1)), 2, 2), """"))/$G4)), """")"),-0.004213020867618896)</f>
        <v>-0.004213020868</v>
      </c>
      <c r="O4" s="12">
        <f>IFERROR(__xludf.DUMMYFUNCTION("IFERROR(IF(OR(ISBLANK($G4), IFERROR(INDEX(GOOGLEFINANCE($C4, ""price"", WORKDAY(INT($B4), 5)), 2, 2), """")=""""), """", IF($D4=""LONG"", (IFERROR(INDEX(GOOGLEFINANCE($C4, ""price"", WORKDAY(INT($B4), 5)), 2, 2), """")-$G4)/$G4, ($G4-IFERROR(INDEX(GOOGLEF"&amp;"INANCE($C4, ""price"", WORKDAY(INT($B4), 5)), 2, 2), """"))/$G4)), """")"),0.03436245145151734)</f>
        <v>0.03436245145</v>
      </c>
      <c r="P4" s="12" t="str">
        <f>IFERROR(__xludf.DUMMYFUNCTION("IFERROR(IF(OR(ISBLANK($G4), IFERROR(INDEX(GOOGLEFINANCE($C4, ""price"", WORKDAY(INT($B4), 20)), 2, 2), """")=""""), """", IF($D4=""LONG"", (IFERROR(INDEX(GOOGLEFINANCE($C4, ""price"", WORKDAY(INT($B4), 20)), 2, 2), """")-$G4)/$G4, ($G4-IFERROR(INDEX(GOOGL"&amp;"EFINANCE($C4, ""price"", WORKDAY(INT($B4), 20)), 2, 2), """"))/$G4)), """")"),"")</f>
        <v/>
      </c>
      <c r="Q4" s="5" t="s">
        <v>74</v>
      </c>
      <c r="R4" s="5" t="s">
        <v>49</v>
      </c>
      <c r="S4" s="5" t="s">
        <v>75</v>
      </c>
      <c r="T4" s="5" t="s">
        <v>51</v>
      </c>
      <c r="U4" s="5"/>
      <c r="V4" s="5"/>
      <c r="W4" s="5"/>
      <c r="X4" s="5"/>
      <c r="Y4" s="5"/>
      <c r="Z4" s="5"/>
    </row>
    <row r="5">
      <c r="A5" s="3">
        <f t="shared" si="1"/>
        <v>4</v>
      </c>
      <c r="B5" s="4">
        <v>46213.66768518519</v>
      </c>
      <c r="C5" s="5" t="s">
        <v>77</v>
      </c>
      <c r="D5" s="5" t="s">
        <v>36</v>
      </c>
      <c r="E5" s="5" t="s">
        <v>37</v>
      </c>
      <c r="F5" s="6">
        <v>2.0</v>
      </c>
      <c r="G5" s="7">
        <v>112.94</v>
      </c>
      <c r="H5" s="5" t="s">
        <v>78</v>
      </c>
      <c r="I5" s="5">
        <v>88.6</v>
      </c>
      <c r="J5" s="3"/>
      <c r="K5" s="5" t="s">
        <v>40</v>
      </c>
      <c r="L5" s="8">
        <f>IFERROR(__xludf.DUMMYFUNCTION("IFERROR(GOOGLEFINANCE(C5, ""price""), IFERROR(GOOGLEFINANCE(""NASDAQ:""&amp;C5, ""price""), IFERROR(GOOGLEFINANCE(""NYSE:""&amp;C5, ""price""), """")))"),108.27)</f>
        <v>108.27</v>
      </c>
      <c r="M5" s="12">
        <f t="shared" si="2"/>
        <v>-0.04134938906</v>
      </c>
      <c r="N5" s="12">
        <f>IFERROR(__xludf.DUMMYFUNCTION("IFERROR(IF(OR(ISBLANK($G5), IFERROR(INDEX(GOOGLEFINANCE($C5, ""price"", WORKDAY(INT($B5), 1)), 2, 2), """")=""""), """", IF($D5=""LONG"", (IFERROR(INDEX(GOOGLEFINANCE($C5, ""price"", WORKDAY(INT($B5), 1)), 2, 2), """")-$G5)/$G5, ($G5-IFERROR(INDEX(GOOGLEF"&amp;"INANCE($C5, ""price"", WORKDAY(INT($B5), 1)), 2, 2), """"))/$G5)), """")"),0.004338586860279875)</f>
        <v>0.00433858686</v>
      </c>
      <c r="O5" s="12">
        <f>IFERROR(__xludf.DUMMYFUNCTION("IFERROR(IF(OR(ISBLANK($G5), IFERROR(INDEX(GOOGLEFINANCE($C5, ""price"", WORKDAY(INT($B5), 5)), 2, 2), """")=""""), """", IF($D5=""LONG"", (IFERROR(INDEX(GOOGLEFINANCE($C5, ""price"", WORKDAY(INT($B5), 5)), 2, 2), """")-$G5)/$G5, ($G5-IFERROR(INDEX(GOOGLEF"&amp;"INANCE($C5, ""price"", WORKDAY(INT($B5), 5)), 2, 2), """"))/$G5)), """")"),-0.012307419868956974)</f>
        <v>-0.01230741987</v>
      </c>
      <c r="P5" s="12" t="str">
        <f>IFERROR(__xludf.DUMMYFUNCTION("IFERROR(IF(OR(ISBLANK($G5), IFERROR(INDEX(GOOGLEFINANCE($C5, ""price"", WORKDAY(INT($B5), 20)), 2, 2), """")=""""), """", IF($D5=""LONG"", (IFERROR(INDEX(GOOGLEFINANCE($C5, ""price"", WORKDAY(INT($B5), 20)), 2, 2), """")-$G5)/$G5, ($G5-IFERROR(INDEX(GOOGL"&amp;"EFINANCE($C5, ""price"", WORKDAY(INT($B5), 20)), 2, 2), """"))/$G5)), """")"),"")</f>
        <v/>
      </c>
      <c r="Q5" s="5" t="s">
        <v>83</v>
      </c>
      <c r="R5" s="5" t="s">
        <v>84</v>
      </c>
      <c r="S5" s="5" t="s">
        <v>85</v>
      </c>
      <c r="T5" s="5" t="s">
        <v>51</v>
      </c>
      <c r="U5" s="5"/>
      <c r="V5" s="5"/>
      <c r="W5" s="5"/>
      <c r="X5" s="5"/>
      <c r="Y5" s="5"/>
      <c r="Z5" s="5"/>
    </row>
    <row r="6">
      <c r="A6" s="3">
        <f t="shared" si="1"/>
        <v>5</v>
      </c>
      <c r="B6" s="4">
        <v>46213.66775462963</v>
      </c>
      <c r="C6" s="5" t="s">
        <v>67</v>
      </c>
      <c r="D6" s="5" t="s">
        <v>36</v>
      </c>
      <c r="E6" s="5" t="s">
        <v>87</v>
      </c>
      <c r="F6" s="6">
        <v>2.0</v>
      </c>
      <c r="G6" s="7">
        <v>82.78</v>
      </c>
      <c r="H6" s="5" t="s">
        <v>88</v>
      </c>
      <c r="I6" s="5">
        <v>65.7</v>
      </c>
      <c r="J6" s="3"/>
      <c r="K6" s="5" t="s">
        <v>40</v>
      </c>
      <c r="L6" s="8">
        <f>IFERROR(__xludf.DUMMYFUNCTION("IFERROR(GOOGLEFINANCE(C6, ""price""), IFERROR(GOOGLEFINANCE(""NASDAQ:""&amp;C6, ""price""), IFERROR(GOOGLEFINANCE(""NYSE:""&amp;C6, ""price""), """")))"),80.02)</f>
        <v>80.02</v>
      </c>
      <c r="M6" s="12">
        <f t="shared" si="2"/>
        <v>-0.03334138681</v>
      </c>
      <c r="N6" s="12">
        <f>IFERROR(__xludf.DUMMYFUNCTION("IFERROR(IF(OR(ISBLANK($G6), IFERROR(INDEX(GOOGLEFINANCE($C6, ""price"", WORKDAY(INT($B6), 1)), 2, 2), """")=""""), """", IF($D6=""LONG"", (IFERROR(INDEX(GOOGLEFINANCE($C6, ""price"", WORKDAY(INT($B6), 1)), 2, 2), """")-$G6)/$G6, ($G6-IFERROR(INDEX(GOOGLEF"&amp;"INANCE($C6, ""price"", WORKDAY(INT($B6), 1)), 2, 2), """"))/$G6)), """")"),-0.013650640251268368)</f>
        <v>-0.01365064025</v>
      </c>
      <c r="O6" s="12">
        <f>IFERROR(__xludf.DUMMYFUNCTION("IFERROR(IF(OR(ISBLANK($G6), IFERROR(INDEX(GOOGLEFINANCE($C6, ""price"", WORKDAY(INT($B6), 5)), 2, 2), """")=""""), """", IF($D6=""LONG"", (IFERROR(INDEX(GOOGLEFINANCE($C6, ""price"", WORKDAY(INT($B6), 5)), 2, 2), """")-$G6)/$G6, ($G6-IFERROR(INDEX(GOOGLEF"&amp;"INANCE($C6, ""price"", WORKDAY(INT($B6), 5)), 2, 2), """"))/$G6)), """")"),0.03177095916888132)</f>
        <v>0.03177095917</v>
      </c>
      <c r="P6" s="12" t="str">
        <f>IFERROR(__xludf.DUMMYFUNCTION("IFERROR(IF(OR(ISBLANK($G6), IFERROR(INDEX(GOOGLEFINANCE($C6, ""price"", WORKDAY(INT($B6), 20)), 2, 2), """")=""""), """", IF($D6=""LONG"", (IFERROR(INDEX(GOOGLEFINANCE($C6, ""price"", WORKDAY(INT($B6), 20)), 2, 2), """")-$G6)/$G6, ($G6-IFERROR(INDEX(GOOGL"&amp;"EFINANCE($C6, ""price"", WORKDAY(INT($B6), 20)), 2, 2), """"))/$G6)), """")"),"")</f>
        <v/>
      </c>
      <c r="Q6" s="5" t="s">
        <v>101</v>
      </c>
      <c r="R6" s="21" t="s">
        <v>102</v>
      </c>
      <c r="S6" s="21" t="s">
        <v>103</v>
      </c>
      <c r="T6" s="21" t="s">
        <v>51</v>
      </c>
      <c r="U6" s="21"/>
      <c r="V6" s="21"/>
      <c r="W6" s="21"/>
      <c r="X6" s="21"/>
      <c r="Y6" s="21"/>
      <c r="Z6" s="21"/>
    </row>
    <row r="7">
      <c r="A7" s="3">
        <f t="shared" si="1"/>
        <v>6</v>
      </c>
      <c r="B7" s="4">
        <v>46213.667604166665</v>
      </c>
      <c r="C7" s="5" t="s">
        <v>41</v>
      </c>
      <c r="D7" s="5" t="s">
        <v>36</v>
      </c>
      <c r="E7" s="5" t="s">
        <v>37</v>
      </c>
      <c r="F7" s="6">
        <v>2.0</v>
      </c>
      <c r="G7" s="7">
        <v>179.06</v>
      </c>
      <c r="H7" s="5" t="s">
        <v>105</v>
      </c>
      <c r="I7" s="5">
        <v>87.3</v>
      </c>
      <c r="J7" s="3"/>
      <c r="K7" s="5" t="s">
        <v>40</v>
      </c>
      <c r="L7" s="8">
        <f>IFERROR(__xludf.DUMMYFUNCTION("IFERROR(GOOGLEFINANCE(C7, ""price""), IFERROR(GOOGLEFINANCE(""NASDAQ:""&amp;C7, ""price""), IFERROR(GOOGLEFINANCE(""NYSE:""&amp;C7, ""price""), """")))"),186.02)</f>
        <v>186.02</v>
      </c>
      <c r="M7" s="12">
        <f t="shared" si="2"/>
        <v>0.03886965263</v>
      </c>
      <c r="N7" s="12">
        <f>IFERROR(__xludf.DUMMYFUNCTION("IFERROR(IF(OR(ISBLANK($G7), IFERROR(INDEX(GOOGLEFINANCE($C7, ""price"", WORKDAY(INT($B7), 1)), 2, 2), """")=""""), """", IF($D7=""LONG"", (IFERROR(INDEX(GOOGLEFINANCE($C7, ""price"", WORKDAY(INT($B7), 1)), 2, 2), """")-$G7)/$G7, ($G7-IFERROR(INDEX(GOOGLEF"&amp;"INANCE($C7, ""price"", WORKDAY(INT($B7), 1)), 2, 2), """"))/$G7)), """")"),-0.0024572768904277766)</f>
        <v>-0.00245727689</v>
      </c>
      <c r="O7" s="12">
        <f>IFERROR(__xludf.DUMMYFUNCTION("IFERROR(IF(OR(ISBLANK($G7), IFERROR(INDEX(GOOGLEFINANCE($C7, ""price"", WORKDAY(INT($B7), 5)), 2, 2), """")=""""), """", IF($D7=""LONG"", (IFERROR(INDEX(GOOGLEFINANCE($C7, ""price"", WORKDAY(INT($B7), 5)), 2, 2), """")-$G7)/$G7, ($G7-IFERROR(INDEX(GOOGLEF"&amp;"INANCE($C7, ""price"", WORKDAY(INT($B7), 5)), 2, 2), """"))/$G7)), """")"),0.03183290517145085)</f>
        <v>0.03183290517</v>
      </c>
      <c r="P7" s="12" t="str">
        <f>IFERROR(__xludf.DUMMYFUNCTION("IFERROR(IF(OR(ISBLANK($G7), IFERROR(INDEX(GOOGLEFINANCE($C7, ""price"", WORKDAY(INT($B7), 20)), 2, 2), """")=""""), """", IF($D7=""LONG"", (IFERROR(INDEX(GOOGLEFINANCE($C7, ""price"", WORKDAY(INT($B7), 20)), 2, 2), """")-$G7)/$G7, ($G7-IFERROR(INDEX(GOOGL"&amp;"EFINANCE($C7, ""price"", WORKDAY(INT($B7), 20)), 2, 2), """"))/$G7)), """")"),"")</f>
        <v/>
      </c>
      <c r="Q7" s="5" t="s">
        <v>112</v>
      </c>
      <c r="R7" s="5" t="s">
        <v>102</v>
      </c>
      <c r="S7" s="5" t="s">
        <v>113</v>
      </c>
      <c r="T7" s="5" t="s">
        <v>51</v>
      </c>
      <c r="U7" s="5"/>
      <c r="V7" s="5"/>
      <c r="W7" s="5"/>
      <c r="X7" s="5"/>
      <c r="Y7" s="5"/>
      <c r="Z7" s="5"/>
    </row>
    <row r="8">
      <c r="A8" s="3">
        <f t="shared" si="1"/>
        <v>7</v>
      </c>
      <c r="B8" s="4">
        <v>46213.667546296296</v>
      </c>
      <c r="C8" s="5" t="s">
        <v>58</v>
      </c>
      <c r="D8" s="5" t="s">
        <v>36</v>
      </c>
      <c r="E8" s="5" t="s">
        <v>37</v>
      </c>
      <c r="F8" s="6">
        <v>2.0</v>
      </c>
      <c r="G8" s="7">
        <v>359.27</v>
      </c>
      <c r="H8" s="5" t="s">
        <v>115</v>
      </c>
      <c r="I8" s="5">
        <v>95.2</v>
      </c>
      <c r="J8" s="3"/>
      <c r="K8" s="5" t="s">
        <v>40</v>
      </c>
      <c r="L8" s="8">
        <f>IFERROR(__xludf.DUMMYFUNCTION("IFERROR(GOOGLEFINANCE(C8, ""price""), IFERROR(GOOGLEFINANCE(""NASDAQ:""&amp;C8, ""price""), IFERROR(GOOGLEFINANCE(""NYSE:""&amp;C8, ""price""), """")))"),374.55)</f>
        <v>374.55</v>
      </c>
      <c r="M8" s="12">
        <f t="shared" si="2"/>
        <v>0.04253068723</v>
      </c>
      <c r="N8" s="12">
        <f>IFERROR(__xludf.DUMMYFUNCTION("IFERROR(IF(OR(ISBLANK($G8), IFERROR(INDEX(GOOGLEFINANCE($C8, ""price"", WORKDAY(INT($B8), 1)), 2, 2), """")=""""), """", IF($D8=""LONG"", (IFERROR(INDEX(GOOGLEFINANCE($C8, ""price"", WORKDAY(INT($B8), 1)), 2, 2), """")-$G8)/$G8, ($G8-IFERROR(INDEX(GOOGLEF"&amp;"INANCE($C8, ""price"", WORKDAY(INT($B8), 1)), 2, 2), """"))/$G8)), """")"),-0.016283018342750484)</f>
        <v>-0.01628301834</v>
      </c>
      <c r="O8" s="12">
        <f>IFERROR(__xludf.DUMMYFUNCTION("IFERROR(IF(OR(ISBLANK($G8), IFERROR(INDEX(GOOGLEFINANCE($C8, ""price"", WORKDAY(INT($B8), 5)), 2, 2), """")=""""), """", IF($D8=""LONG"", (IFERROR(INDEX(GOOGLEFINANCE($C8, ""price"", WORKDAY(INT($B8), 5)), 2, 2), """")-$G8)/$G8, ($G8-IFERROR(INDEX(GOOGLEF"&amp;"INANCE($C8, ""price"", WORKDAY(INT($B8), 5)), 2, 2), """"))/$G8)), """")"),-0.02905892504244718)</f>
        <v>-0.02905892504</v>
      </c>
      <c r="P8" s="12" t="str">
        <f>IFERROR(__xludf.DUMMYFUNCTION("IFERROR(IF(OR(ISBLANK($G8), IFERROR(INDEX(GOOGLEFINANCE($C8, ""price"", WORKDAY(INT($B8), 20)), 2, 2), """")=""""), """", IF($D8=""LONG"", (IFERROR(INDEX(GOOGLEFINANCE($C8, ""price"", WORKDAY(INT($B8), 20)), 2, 2), """")-$G8)/$G8, ($G8-IFERROR(INDEX(GOOGL"&amp;"EFINANCE($C8, ""price"", WORKDAY(INT($B8), 20)), 2, 2), """"))/$G8)), """")"),"")</f>
        <v/>
      </c>
      <c r="Q8" s="5" t="s">
        <v>124</v>
      </c>
      <c r="R8" s="21" t="s">
        <v>125</v>
      </c>
      <c r="S8" s="21" t="s">
        <v>127</v>
      </c>
      <c r="T8" s="21" t="s">
        <v>51</v>
      </c>
      <c r="U8" s="21"/>
      <c r="V8" s="21"/>
      <c r="W8" s="21"/>
      <c r="X8" s="21"/>
      <c r="Y8" s="21"/>
      <c r="Z8" s="21"/>
    </row>
    <row r="9">
      <c r="A9" s="3">
        <f t="shared" si="1"/>
        <v>8</v>
      </c>
      <c r="B9" s="4">
        <v>46213.66777777778</v>
      </c>
      <c r="C9" s="5" t="s">
        <v>129</v>
      </c>
      <c r="D9" s="5" t="s">
        <v>119</v>
      </c>
      <c r="E9" s="5" t="s">
        <v>120</v>
      </c>
      <c r="F9" s="6">
        <v>4.0</v>
      </c>
      <c r="G9" s="7">
        <v>57.56</v>
      </c>
      <c r="H9" s="5" t="s">
        <v>132</v>
      </c>
      <c r="I9" s="5">
        <v>3.2</v>
      </c>
      <c r="J9" s="3"/>
      <c r="K9" s="5" t="s">
        <v>40</v>
      </c>
      <c r="L9" s="8">
        <f>IFERROR(__xludf.DUMMYFUNCTION("IFERROR(GOOGLEFINANCE(C9, ""price""), IFERROR(GOOGLEFINANCE(""NASDAQ:""&amp;C9, ""price""), IFERROR(GOOGLEFINANCE(""NYSE:""&amp;C9, ""price""), """")))"),62.75)</f>
        <v>62.75</v>
      </c>
      <c r="M9" s="12">
        <f t="shared" si="2"/>
        <v>-0.09016678249</v>
      </c>
      <c r="N9" s="12">
        <f>IFERROR(__xludf.DUMMYFUNCTION("IFERROR(IF(OR(ISBLANK($G9), IFERROR(INDEX(GOOGLEFINANCE($C9, ""price"", WORKDAY(INT($B9), 1)), 2, 2), """")=""""), """", IF($D9=""LONG"", (IFERROR(INDEX(GOOGLEFINANCE($C9, ""price"", WORKDAY(INT($B9), 1)), 2, 2), """")-$G9)/$G9, ($G9-IFERROR(INDEX(GOOGLEF"&amp;"INANCE($C9, ""price"", WORKDAY(INT($B9), 1)), 2, 2), """"))/$G9)), """")"),-0.0017373175816538275)</f>
        <v>-0.001737317582</v>
      </c>
      <c r="O9" s="12">
        <f>IFERROR(__xludf.DUMMYFUNCTION("IFERROR(IF(OR(ISBLANK($G9), IFERROR(INDEX(GOOGLEFINANCE($C9, ""price"", WORKDAY(INT($B9), 5)), 2, 2), """")=""""), """", IF($D9=""LONG"", (IFERROR(INDEX(GOOGLEFINANCE($C9, ""price"", WORKDAY(INT($B9), 5)), 2, 2), """")-$G9)/$G9, ($G9-IFERROR(INDEX(GOOGLEF"&amp;"INANCE($C9, ""price"", WORKDAY(INT($B9), 5)), 2, 2), """"))/$G9)), """")"),0.027970813064628203)</f>
        <v>0.02797081306</v>
      </c>
      <c r="P9" s="12" t="str">
        <f>IFERROR(__xludf.DUMMYFUNCTION("IFERROR(IF(OR(ISBLANK($G9), IFERROR(INDEX(GOOGLEFINANCE($C9, ""price"", WORKDAY(INT($B9), 20)), 2, 2), """")=""""), """", IF($D9=""LONG"", (IFERROR(INDEX(GOOGLEFINANCE($C9, ""price"", WORKDAY(INT($B9), 20)), 2, 2), """")-$G9)/$G9, ($G9-IFERROR(INDEX(GOOGL"&amp;"EFINANCE($C9, ""price"", WORKDAY(INT($B9), 20)), 2, 2), """"))/$G9)), """")"),"")</f>
        <v/>
      </c>
      <c r="Q9" s="5" t="s">
        <v>137</v>
      </c>
      <c r="R9" s="21" t="s">
        <v>102</v>
      </c>
      <c r="S9" s="21" t="s">
        <v>138</v>
      </c>
      <c r="T9" s="21" t="s">
        <v>51</v>
      </c>
      <c r="U9" s="21"/>
      <c r="V9" s="21"/>
      <c r="W9" s="21"/>
      <c r="X9" s="21"/>
      <c r="Y9" s="21"/>
      <c r="Z9" s="21"/>
    </row>
    <row r="10">
      <c r="A10" s="3">
        <f t="shared" si="1"/>
        <v>9</v>
      </c>
      <c r="B10" s="4">
        <v>46213.66775462963</v>
      </c>
      <c r="C10" s="5" t="s">
        <v>142</v>
      </c>
      <c r="D10" s="5" t="s">
        <v>119</v>
      </c>
      <c r="E10" s="5" t="s">
        <v>120</v>
      </c>
      <c r="F10" s="6">
        <v>4.0</v>
      </c>
      <c r="G10" s="7">
        <v>88.59</v>
      </c>
      <c r="H10" s="5" t="s">
        <v>144</v>
      </c>
      <c r="I10" s="5">
        <v>16.4</v>
      </c>
      <c r="J10" s="3"/>
      <c r="K10" s="5" t="s">
        <v>40</v>
      </c>
      <c r="L10" s="8">
        <f>IFERROR(__xludf.DUMMYFUNCTION("IFERROR(GOOGLEFINANCE(C10, ""price""), IFERROR(GOOGLEFINANCE(""NASDAQ:""&amp;C10, ""price""), IFERROR(GOOGLEFINANCE(""NYSE:""&amp;C10, ""price""), """")))"),74.36)</f>
        <v>74.36</v>
      </c>
      <c r="M10" s="12">
        <f t="shared" si="2"/>
        <v>0.1606276103</v>
      </c>
      <c r="N10" s="12">
        <f>IFERROR(__xludf.DUMMYFUNCTION("IFERROR(IF(OR(ISBLANK($G10), IFERROR(INDEX(GOOGLEFINANCE($C10, ""price"", WORKDAY(INT($B10), 1)), 2, 2), """")=""""), """", IF($D10=""LONG"", (IFERROR(INDEX(GOOGLEFINANCE($C10, ""price"", WORKDAY(INT($B10), 1)), 2, 2), """")-$G10)/$G10, ($G10-IFERROR(INDE"&amp;"X(GOOGLEFINANCE($C10, ""price"", WORKDAY(INT($B10), 1)), 2, 2), """"))/$G10)), """")"),0.04921548707529066)</f>
        <v>0.04921548708</v>
      </c>
      <c r="O10" s="12">
        <f>IFERROR(__xludf.DUMMYFUNCTION("IFERROR(IF(OR(ISBLANK($G10), IFERROR(INDEX(GOOGLEFINANCE($C10, ""price"", WORKDAY(INT($B10), 5)), 2, 2), """")=""""), """", IF($D10=""LONG"", (IFERROR(INDEX(GOOGLEFINANCE($C10, ""price"", WORKDAY(INT($B10), 5)), 2, 2), """")-$G10)/$G10, ($G10-IFERROR(INDE"&amp;"X(GOOGLEFINANCE($C10, ""price"", WORKDAY(INT($B10), 5)), 2, 2), """"))/$G10)), """")"),0.08612710238175877)</f>
        <v>0.08612710238</v>
      </c>
      <c r="P10" s="12" t="str">
        <f>IFERROR(__xludf.DUMMYFUNCTION("IFERROR(IF(OR(ISBLANK($G10), IFERROR(INDEX(GOOGLEFINANCE($C10, ""price"", WORKDAY(INT($B10), 20)), 2, 2), """")=""""), """", IF($D10=""LONG"", (IFERROR(INDEX(GOOGLEFINANCE($C10, ""price"", WORKDAY(INT($B10), 20)), 2, 2), """")-$G10)/$G10, ($G10-IFERROR(IN"&amp;"DEX(GOOGLEFINANCE($C10, ""price"", WORKDAY(INT($B10), 20)), 2, 2), """"))/$G10)), """")"),"")</f>
        <v/>
      </c>
      <c r="Q10" s="5" t="s">
        <v>151</v>
      </c>
      <c r="R10" s="21" t="s">
        <v>102</v>
      </c>
      <c r="S10" s="21" t="s">
        <v>152</v>
      </c>
      <c r="T10" s="21" t="s">
        <v>51</v>
      </c>
      <c r="U10" s="21"/>
      <c r="V10" s="21"/>
      <c r="W10" s="21"/>
      <c r="X10" s="21"/>
      <c r="Y10" s="21"/>
      <c r="Z10" s="21"/>
    </row>
    <row r="11">
      <c r="A11" s="3">
        <f t="shared" si="1"/>
        <v>10</v>
      </c>
      <c r="B11" s="4">
        <v>46213.66780092593</v>
      </c>
      <c r="C11" s="5" t="s">
        <v>156</v>
      </c>
      <c r="D11" s="5" t="s">
        <v>119</v>
      </c>
      <c r="E11" s="5" t="s">
        <v>120</v>
      </c>
      <c r="F11" s="6">
        <v>4.0</v>
      </c>
      <c r="G11" s="7">
        <v>114.28</v>
      </c>
      <c r="H11" s="5" t="s">
        <v>159</v>
      </c>
      <c r="I11" s="5">
        <v>7.0</v>
      </c>
      <c r="J11" s="3"/>
      <c r="K11" s="5" t="s">
        <v>40</v>
      </c>
      <c r="L11" s="8">
        <f>IFERROR(__xludf.DUMMYFUNCTION("IFERROR(GOOGLEFINANCE(C11, ""price""), IFERROR(GOOGLEFINANCE(""NASDAQ:""&amp;C11, ""price""), IFERROR(GOOGLEFINANCE(""NYSE:""&amp;C11, ""price""), """")))"),109.0)</f>
        <v>109</v>
      </c>
      <c r="M11" s="12">
        <f t="shared" si="2"/>
        <v>0.04620231012</v>
      </c>
      <c r="N11" s="12">
        <f>IFERROR(__xludf.DUMMYFUNCTION("IFERROR(IF(OR(ISBLANK($G11), IFERROR(INDEX(GOOGLEFINANCE($C11, ""price"", WORKDAY(INT($B11), 1)), 2, 2), """")=""""), """", IF($D11=""LONG"", (IFERROR(INDEX(GOOGLEFINANCE($C11, ""price"", WORKDAY(INT($B11), 1)), 2, 2), """")-$G11)/$G11, ($G11-IFERROR(INDE"&amp;"X(GOOGLEFINANCE($C11, ""price"", WORKDAY(INT($B11), 1)), 2, 2), """"))/$G11)), """")"),-0.027301365068253453)</f>
        <v>-0.02730136507</v>
      </c>
      <c r="O11" s="12">
        <f>IFERROR(__xludf.DUMMYFUNCTION("IFERROR(IF(OR(ISBLANK($G11), IFERROR(INDEX(GOOGLEFINANCE($C11, ""price"", WORKDAY(INT($B11), 5)), 2, 2), """")=""""), """", IF($D11=""LONG"", (IFERROR(INDEX(GOOGLEFINANCE($C11, ""price"", WORKDAY(INT($B11), 5)), 2, 2), """")-$G11)/$G11, ($G11-IFERROR(INDE"&amp;"X(GOOGLEFINANCE($C11, ""price"", WORKDAY(INT($B11), 5)), 2, 2), """"))/$G11)), """")"),-0.04261463073153662)</f>
        <v>-0.04261463073</v>
      </c>
      <c r="P11" s="12" t="str">
        <f>IFERROR(__xludf.DUMMYFUNCTION("IFERROR(IF(OR(ISBLANK($G11), IFERROR(INDEX(GOOGLEFINANCE($C11, ""price"", WORKDAY(INT($B11), 20)), 2, 2), """")=""""), """", IF($D11=""LONG"", (IFERROR(INDEX(GOOGLEFINANCE($C11, ""price"", WORKDAY(INT($B11), 20)), 2, 2), """")-$G11)/$G11, ($G11-IFERROR(IN"&amp;"DEX(GOOGLEFINANCE($C11, ""price"", WORKDAY(INT($B11), 20)), 2, 2), """"))/$G11)), """")"),"")</f>
        <v/>
      </c>
      <c r="Q11" s="5" t="s">
        <v>165</v>
      </c>
      <c r="R11" s="21" t="s">
        <v>102</v>
      </c>
      <c r="S11" s="21" t="s">
        <v>167</v>
      </c>
      <c r="T11" s="21" t="s">
        <v>51</v>
      </c>
      <c r="U11" s="21"/>
      <c r="V11" s="21"/>
      <c r="W11" s="21"/>
      <c r="X11" s="21"/>
      <c r="Y11" s="21"/>
      <c r="Z11" s="21"/>
    </row>
    <row r="12">
      <c r="A12" s="3">
        <f t="shared" si="1"/>
        <v>11</v>
      </c>
      <c r="B12" s="4">
        <v>46213.667592592596</v>
      </c>
      <c r="C12" s="5" t="s">
        <v>169</v>
      </c>
      <c r="D12" s="5" t="s">
        <v>119</v>
      </c>
      <c r="E12" s="5" t="s">
        <v>120</v>
      </c>
      <c r="F12" s="6">
        <v>4.0</v>
      </c>
      <c r="G12" s="7">
        <v>292.29</v>
      </c>
      <c r="H12" s="5" t="s">
        <v>171</v>
      </c>
      <c r="I12" s="5">
        <v>10.9</v>
      </c>
      <c r="J12" s="3"/>
      <c r="K12" s="5" t="s">
        <v>40</v>
      </c>
      <c r="L12" s="8">
        <f>IFERROR(__xludf.DUMMYFUNCTION("IFERROR(GOOGLEFINANCE(C12, ""price""), IFERROR(GOOGLEFINANCE(""NASDAQ:""&amp;C12, ""price""), IFERROR(GOOGLEFINANCE(""NYSE:""&amp;C12, ""price""), """")))"),231.78)</f>
        <v>231.78</v>
      </c>
      <c r="M12" s="12">
        <f t="shared" si="2"/>
        <v>0.2070204249</v>
      </c>
      <c r="N12" s="12">
        <f>IFERROR(__xludf.DUMMYFUNCTION("IFERROR(IF(OR(ISBLANK($G12), IFERROR(INDEX(GOOGLEFINANCE($C12, ""price"", WORKDAY(INT($B12), 1)), 2, 2), """")=""""), """", IF($D12=""LONG"", (IFERROR(INDEX(GOOGLEFINANCE($C12, ""price"", WORKDAY(INT($B12), 1)), 2, 2), """")-$G12)/$G12, ($G12-IFERROR(INDE"&amp;"X(GOOGLEFINANCE($C12, ""price"", WORKDAY(INT($B12), 1)), 2, 2), """"))/$G12)), """")"),0.047555509938759566)</f>
        <v>0.04755550994</v>
      </c>
      <c r="O12" s="12">
        <f>IFERROR(__xludf.DUMMYFUNCTION("IFERROR(IF(OR(ISBLANK($G12), IFERROR(INDEX(GOOGLEFINANCE($C12, ""price"", WORKDAY(INT($B12), 5)), 2, 2), """")=""""), """", IF($D12=""LONG"", (IFERROR(INDEX(GOOGLEFINANCE($C12, ""price"", WORKDAY(INT($B12), 5)), 2, 2), """")-$G12)/$G12, ($G12-IFERROR(INDE"&amp;"X(GOOGLEFINANCE($C12, ""price"", WORKDAY(INT($B12), 5)), 2, 2), """"))/$G12)), """")"),0.08813165007355724)</f>
        <v>0.08813165007</v>
      </c>
      <c r="P12" s="12" t="str">
        <f>IFERROR(__xludf.DUMMYFUNCTION("IFERROR(IF(OR(ISBLANK($G12), IFERROR(INDEX(GOOGLEFINANCE($C12, ""price"", WORKDAY(INT($B12), 20)), 2, 2), """")=""""), """", IF($D12=""LONG"", (IFERROR(INDEX(GOOGLEFINANCE($C12, ""price"", WORKDAY(INT($B12), 20)), 2, 2), """")-$G12)/$G12, ($G12-IFERROR(IN"&amp;"DEX(GOOGLEFINANCE($C12, ""price"", WORKDAY(INT($B12), 20)), 2, 2), """"))/$G12)), """")"),"")</f>
        <v/>
      </c>
      <c r="Q12" s="5" t="s">
        <v>175</v>
      </c>
      <c r="R12" s="21" t="s">
        <v>176</v>
      </c>
      <c r="S12" s="21" t="s">
        <v>178</v>
      </c>
      <c r="T12" s="21" t="s">
        <v>51</v>
      </c>
      <c r="U12" s="21"/>
      <c r="V12" s="21"/>
      <c r="W12" s="21"/>
      <c r="X12" s="21"/>
      <c r="Y12" s="21"/>
      <c r="Z12" s="21"/>
    </row>
    <row r="13">
      <c r="A13" s="3">
        <f t="shared" si="1"/>
        <v>12</v>
      </c>
      <c r="B13" s="4">
        <v>46213.66782407407</v>
      </c>
      <c r="C13" s="5" t="s">
        <v>181</v>
      </c>
      <c r="D13" s="5" t="s">
        <v>119</v>
      </c>
      <c r="E13" s="5" t="s">
        <v>120</v>
      </c>
      <c r="F13" s="6">
        <v>4.0</v>
      </c>
      <c r="G13" s="7">
        <v>60.55</v>
      </c>
      <c r="H13" s="5" t="s">
        <v>183</v>
      </c>
      <c r="I13" s="5">
        <v>15.5</v>
      </c>
      <c r="J13" s="3"/>
      <c r="K13" s="5" t="s">
        <v>40</v>
      </c>
      <c r="L13" s="8">
        <f>IFERROR(__xludf.DUMMYFUNCTION("IFERROR(GOOGLEFINANCE(C13, ""price""), IFERROR(GOOGLEFINANCE(""NASDAQ:""&amp;C13, ""price""), IFERROR(GOOGLEFINANCE(""NYSE:""&amp;C13, ""price""), """")))"),57.32)</f>
        <v>57.32</v>
      </c>
      <c r="M13" s="12">
        <f t="shared" si="2"/>
        <v>0.05334434352</v>
      </c>
      <c r="N13" s="12">
        <f>IFERROR(__xludf.DUMMYFUNCTION("IFERROR(IF(OR(ISBLANK($G13), IFERROR(INDEX(GOOGLEFINANCE($C13, ""price"", WORKDAY(INT($B13), 1)), 2, 2), """")=""""), """", IF($D13=""LONG"", (IFERROR(INDEX(GOOGLEFINANCE($C13, ""price"", WORKDAY(INT($B13), 1)), 2, 2), """")-$G13)/$G13, ($G13-IFERROR(INDE"&amp;"X(GOOGLEFINANCE($C13, ""price"", WORKDAY(INT($B13), 1)), 2, 2), """"))/$G13)), """")"),0.02047894302229554)</f>
        <v>0.02047894302</v>
      </c>
      <c r="O13" s="12">
        <f>IFERROR(__xludf.DUMMYFUNCTION("IFERROR(IF(OR(ISBLANK($G13), IFERROR(INDEX(GOOGLEFINANCE($C13, ""price"", WORKDAY(INT($B13), 5)), 2, 2), """")=""""), """", IF($D13=""LONG"", (IFERROR(INDEX(GOOGLEFINANCE($C13, ""price"", WORKDAY(INT($B13), 5)), 2, 2), """")-$G13)/$G13, ($G13-IFERROR(INDE"&amp;"X(GOOGLEFINANCE($C13, ""price"", WORKDAY(INT($B13), 5)), 2, 2), """"))/$G13)), """")"),0.028571428571428522)</f>
        <v>0.02857142857</v>
      </c>
      <c r="P13" s="12" t="str">
        <f>IFERROR(__xludf.DUMMYFUNCTION("IFERROR(IF(OR(ISBLANK($G13), IFERROR(INDEX(GOOGLEFINANCE($C13, ""price"", WORKDAY(INT($B13), 20)), 2, 2), """")=""""), """", IF($D13=""LONG"", (IFERROR(INDEX(GOOGLEFINANCE($C13, ""price"", WORKDAY(INT($B13), 20)), 2, 2), """")-$G13)/$G13, ($G13-IFERROR(IN"&amp;"DEX(GOOGLEFINANCE($C13, ""price"", WORKDAY(INT($B13), 20)), 2, 2), """"))/$G13)), """")"),"")</f>
        <v/>
      </c>
      <c r="Q13" s="5" t="s">
        <v>187</v>
      </c>
      <c r="R13" s="21" t="s">
        <v>176</v>
      </c>
      <c r="S13" s="21" t="s">
        <v>188</v>
      </c>
      <c r="T13" s="21" t="s">
        <v>51</v>
      </c>
      <c r="U13" s="21"/>
      <c r="V13" s="21"/>
      <c r="W13" s="21"/>
      <c r="X13" s="21"/>
      <c r="Y13" s="21"/>
      <c r="Z13" s="21"/>
    </row>
    <row r="14">
      <c r="A14" s="3">
        <f t="shared" si="1"/>
        <v>13</v>
      </c>
      <c r="B14" s="4">
        <v>46213.66752314815</v>
      </c>
      <c r="C14" s="5" t="s">
        <v>189</v>
      </c>
      <c r="D14" s="5" t="s">
        <v>119</v>
      </c>
      <c r="E14" s="5" t="s">
        <v>120</v>
      </c>
      <c r="F14" s="6">
        <v>4.0</v>
      </c>
      <c r="G14" s="7">
        <v>176.39</v>
      </c>
      <c r="H14" s="5" t="s">
        <v>190</v>
      </c>
      <c r="I14" s="5">
        <v>8.7</v>
      </c>
      <c r="J14" s="3"/>
      <c r="K14" s="5" t="s">
        <v>40</v>
      </c>
      <c r="L14" s="8">
        <f>IFERROR(__xludf.DUMMYFUNCTION("IFERROR(GOOGLEFINANCE(C14, ""price""), IFERROR(GOOGLEFINANCE(""NASDAQ:""&amp;C14, ""price""), IFERROR(GOOGLEFINANCE(""NYSE:""&amp;C14, ""price""), """")))"),189.23)</f>
        <v>189.23</v>
      </c>
      <c r="M14" s="12">
        <f t="shared" si="2"/>
        <v>-0.07279324225</v>
      </c>
      <c r="N14" s="12">
        <f>IFERROR(__xludf.DUMMYFUNCTION("IFERROR(IF(OR(ISBLANK($G14), IFERROR(INDEX(GOOGLEFINANCE($C14, ""price"", WORKDAY(INT($B14), 1)), 2, 2), """")=""""), """", IF($D14=""LONG"", (IFERROR(INDEX(GOOGLEFINANCE($C14, ""price"", WORKDAY(INT($B14), 1)), 2, 2), """")-$G14)/$G14, ($G14-IFERROR(INDE"&amp;"X(GOOGLEFINANCE($C14, ""price"", WORKDAY(INT($B14), 1)), 2, 2), """"))/$G14)), """")"),-0.032938375191337396)</f>
        <v>-0.03293837519</v>
      </c>
      <c r="O14" s="12">
        <f>IFERROR(__xludf.DUMMYFUNCTION("IFERROR(IF(OR(ISBLANK($G14), IFERROR(INDEX(GOOGLEFINANCE($C14, ""price"", WORKDAY(INT($B14), 5)), 2, 2), """")=""""), """", IF($D14=""LONG"", (IFERROR(INDEX(GOOGLEFINANCE($C14, ""price"", WORKDAY(INT($B14), 5)), 2, 2), """")-$G14)/$G14, ($G14-IFERROR(INDE"&amp;"X(GOOGLEFINANCE($C14, ""price"", WORKDAY(INT($B14), 5)), 2, 2), """"))/$G14)), """")"),-0.062305119337831)</f>
        <v>-0.06230511934</v>
      </c>
      <c r="P14" s="12" t="str">
        <f>IFERROR(__xludf.DUMMYFUNCTION("IFERROR(IF(OR(ISBLANK($G14), IFERROR(INDEX(GOOGLEFINANCE($C14, ""price"", WORKDAY(INT($B14), 20)), 2, 2), """")=""""), """", IF($D14=""LONG"", (IFERROR(INDEX(GOOGLEFINANCE($C14, ""price"", WORKDAY(INT($B14), 20)), 2, 2), """")-$G14)/$G14, ($G14-IFERROR(IN"&amp;"DEX(GOOGLEFINANCE($C14, ""price"", WORKDAY(INT($B14), 20)), 2, 2), """"))/$G14)), """")"),"")</f>
        <v/>
      </c>
      <c r="Q14" s="5" t="s">
        <v>194</v>
      </c>
      <c r="R14" s="21" t="s">
        <v>176</v>
      </c>
      <c r="S14" s="21" t="s">
        <v>195</v>
      </c>
      <c r="T14" s="21" t="s">
        <v>51</v>
      </c>
      <c r="U14" s="21"/>
      <c r="V14" s="21"/>
      <c r="W14" s="21"/>
      <c r="X14" s="21"/>
      <c r="Y14" s="21"/>
      <c r="Z14" s="21"/>
    </row>
    <row r="15">
      <c r="A15" s="3">
        <f t="shared" si="1"/>
        <v>14</v>
      </c>
      <c r="B15" s="4">
        <v>46213.66768518519</v>
      </c>
      <c r="C15" s="5" t="s">
        <v>196</v>
      </c>
      <c r="D15" s="5" t="s">
        <v>36</v>
      </c>
      <c r="E15" s="5" t="s">
        <v>37</v>
      </c>
      <c r="F15" s="6">
        <v>2.0</v>
      </c>
      <c r="G15" s="7">
        <v>394.85</v>
      </c>
      <c r="H15" s="5" t="s">
        <v>198</v>
      </c>
      <c r="I15" s="5">
        <v>83.3</v>
      </c>
      <c r="J15" s="3"/>
      <c r="K15" s="5" t="s">
        <v>40</v>
      </c>
      <c r="L15" s="8">
        <f>IFERROR(__xludf.DUMMYFUNCTION("IFERROR(GOOGLEFINANCE(C15, ""price""), IFERROR(GOOGLEFINANCE(""NASDAQ:""&amp;C15, ""price""), IFERROR(GOOGLEFINANCE(""NYSE:""&amp;C15, ""price""), """")))"),395.83)</f>
        <v>395.83</v>
      </c>
      <c r="M15" s="12">
        <f t="shared" si="2"/>
        <v>0.002481955173</v>
      </c>
      <c r="N15" s="12">
        <f>IFERROR(__xludf.DUMMYFUNCTION("IFERROR(IF(OR(ISBLANK($G15), IFERROR(INDEX(GOOGLEFINANCE($C15, ""price"", WORKDAY(INT($B15), 1)), 2, 2), """")=""""), """", IF($D15=""LONG"", (IFERROR(INDEX(GOOGLEFINANCE($C15, ""price"", WORKDAY(INT($B15), 1)), 2, 2), """")-$G15)/$G15, ($G15-IFERROR(INDE"&amp;"X(GOOGLEFINANCE($C15, ""price"", WORKDAY(INT($B15), 1)), 2, 2), """"))/$G15)), """")"),-0.05156388501962774)</f>
        <v>-0.05156388502</v>
      </c>
      <c r="O15" s="12">
        <f>IFERROR(__xludf.DUMMYFUNCTION("IFERROR(IF(OR(ISBLANK($G15), IFERROR(INDEX(GOOGLEFINANCE($C15, ""price"", WORKDAY(INT($B15), 5)), 2, 2), """")=""""), """", IF($D15=""LONG"", (IFERROR(INDEX(GOOGLEFINANCE($C15, ""price"", WORKDAY(INT($B15), 5)), 2, 2), """")-$G15)/$G15, ($G15-IFERROR(INDE"&amp;"X(GOOGLEFINANCE($C15, ""price"", WORKDAY(INT($B15), 5)), 2, 2), """"))/$G15)), """")"),-0.03646954539698628)</f>
        <v>-0.0364695454</v>
      </c>
      <c r="P15" s="12" t="str">
        <f>IFERROR(__xludf.DUMMYFUNCTION("IFERROR(IF(OR(ISBLANK($G15), IFERROR(INDEX(GOOGLEFINANCE($C15, ""price"", WORKDAY(INT($B15), 20)), 2, 2), """")=""""), """", IF($D15=""LONG"", (IFERROR(INDEX(GOOGLEFINANCE($C15, ""price"", WORKDAY(INT($B15), 20)), 2, 2), """")-$G15)/$G15, ($G15-IFERROR(IN"&amp;"DEX(GOOGLEFINANCE($C15, ""price"", WORKDAY(INT($B15), 20)), 2, 2), """"))/$G15)), """")"),"")</f>
        <v/>
      </c>
      <c r="Q15" s="5" t="s">
        <v>205</v>
      </c>
      <c r="R15" s="21" t="s">
        <v>176</v>
      </c>
      <c r="S15" s="21" t="s">
        <v>206</v>
      </c>
      <c r="T15" s="21" t="s">
        <v>51</v>
      </c>
      <c r="U15" s="21"/>
      <c r="V15" s="21"/>
      <c r="W15" s="21"/>
      <c r="X15" s="21"/>
      <c r="Y15" s="21"/>
      <c r="Z15" s="21"/>
    </row>
    <row r="16">
      <c r="A16" s="3">
        <f t="shared" si="1"/>
        <v>15</v>
      </c>
      <c r="B16" s="4">
        <v>46213.6678125</v>
      </c>
      <c r="C16" s="5" t="s">
        <v>208</v>
      </c>
      <c r="D16" s="5" t="s">
        <v>119</v>
      </c>
      <c r="E16" s="5" t="s">
        <v>120</v>
      </c>
      <c r="F16" s="6">
        <v>4.0</v>
      </c>
      <c r="G16" s="7">
        <v>44.45</v>
      </c>
      <c r="H16" s="5" t="s">
        <v>210</v>
      </c>
      <c r="I16" s="5">
        <v>8.1</v>
      </c>
      <c r="J16" s="3"/>
      <c r="K16" s="5" t="s">
        <v>40</v>
      </c>
      <c r="L16" s="8">
        <f>IFERROR(__xludf.DUMMYFUNCTION("IFERROR(GOOGLEFINANCE(C16, ""price""), IFERROR(GOOGLEFINANCE(""NASDAQ:""&amp;C16, ""price""), IFERROR(GOOGLEFINANCE(""NYSE:""&amp;C16, ""price""), """")))"),36.83)</f>
        <v>36.83</v>
      </c>
      <c r="M16" s="12">
        <f t="shared" si="2"/>
        <v>0.1714285714</v>
      </c>
      <c r="N16" s="12">
        <f>IFERROR(__xludf.DUMMYFUNCTION("IFERROR(IF(OR(ISBLANK($G16), IFERROR(INDEX(GOOGLEFINANCE($C16, ""price"", WORKDAY(INT($B16), 1)), 2, 2), """")=""""), """", IF($D16=""LONG"", (IFERROR(INDEX(GOOGLEFINANCE($C16, ""price"", WORKDAY(INT($B16), 1)), 2, 2), """")-$G16)/$G16, ($G16-IFERROR(INDE"&amp;"X(GOOGLEFINANCE($C16, ""price"", WORKDAY(INT($B16), 1)), 2, 2), """"))/$G16)), """")"),-0.010573678290213696)</f>
        <v>-0.01057367829</v>
      </c>
      <c r="O16" s="12">
        <f>IFERROR(__xludf.DUMMYFUNCTION("IFERROR(IF(OR(ISBLANK($G16), IFERROR(INDEX(GOOGLEFINANCE($C16, ""price"", WORKDAY(INT($B16), 5)), 2, 2), """")=""""), """", IF($D16=""LONG"", (IFERROR(INDEX(GOOGLEFINANCE($C16, ""price"", WORKDAY(INT($B16), 5)), 2, 2), """")-$G16)/$G16, ($G16-IFERROR(INDE"&amp;"X(GOOGLEFINANCE($C16, ""price"", WORKDAY(INT($B16), 5)), 2, 2), """"))/$G16)), """")"),-0.014848143982002172)</f>
        <v>-0.01484814398</v>
      </c>
      <c r="P16" s="12" t="str">
        <f>IFERROR(__xludf.DUMMYFUNCTION("IFERROR(IF(OR(ISBLANK($G16), IFERROR(INDEX(GOOGLEFINANCE($C16, ""price"", WORKDAY(INT($B16), 20)), 2, 2), """")=""""), """", IF($D16=""LONG"", (IFERROR(INDEX(GOOGLEFINANCE($C16, ""price"", WORKDAY(INT($B16), 20)), 2, 2), """")-$G16)/$G16, ($G16-IFERROR(IN"&amp;"DEX(GOOGLEFINANCE($C16, ""price"", WORKDAY(INT($B16), 20)), 2, 2), """"))/$G16)), """")"),"")</f>
        <v/>
      </c>
      <c r="Q16" s="5" t="s">
        <v>218</v>
      </c>
      <c r="R16" s="21" t="s">
        <v>219</v>
      </c>
      <c r="S16" s="21" t="s">
        <v>220</v>
      </c>
      <c r="T16" s="21" t="s">
        <v>51</v>
      </c>
      <c r="U16" s="21"/>
      <c r="V16" s="21"/>
      <c r="W16" s="21"/>
      <c r="X16" s="21"/>
      <c r="Y16" s="21"/>
      <c r="Z16" s="21"/>
    </row>
    <row r="17">
      <c r="A17" s="3">
        <f t="shared" si="1"/>
        <v>16</v>
      </c>
      <c r="B17" s="4">
        <v>46213.667592592596</v>
      </c>
      <c r="C17" s="5" t="s">
        <v>223</v>
      </c>
      <c r="D17" s="5" t="s">
        <v>36</v>
      </c>
      <c r="E17" s="5" t="s">
        <v>37</v>
      </c>
      <c r="F17" s="6">
        <v>2.0</v>
      </c>
      <c r="G17" s="7">
        <v>124.8</v>
      </c>
      <c r="H17" s="5" t="s">
        <v>224</v>
      </c>
      <c r="I17" s="5">
        <v>94.5</v>
      </c>
      <c r="J17" s="3"/>
      <c r="K17" s="5" t="s">
        <v>40</v>
      </c>
      <c r="L17" s="8">
        <f>IFERROR(__xludf.DUMMYFUNCTION("IFERROR(GOOGLEFINANCE(C17, ""price""), IFERROR(GOOGLEFINANCE(""NASDAQ:""&amp;C17, ""price""), IFERROR(GOOGLEFINANCE(""NYSE:""&amp;C17, ""price""), """")))"),129.55)</f>
        <v>129.55</v>
      </c>
      <c r="M17" s="12">
        <f t="shared" si="2"/>
        <v>0.03806089744</v>
      </c>
      <c r="N17" s="12">
        <f>IFERROR(__xludf.DUMMYFUNCTION("IFERROR(IF(OR(ISBLANK($G17), IFERROR(INDEX(GOOGLEFINANCE($C17, ""price"", WORKDAY(INT($B17), 1)), 2, 2), """")=""""), """", IF($D17=""LONG"", (IFERROR(INDEX(GOOGLEFINANCE($C17, ""price"", WORKDAY(INT($B17), 1)), 2, 2), """")-$G17)/$G17, ($G17-IFERROR(INDE"&amp;"X(GOOGLEFINANCE($C17, ""price"", WORKDAY(INT($B17), 1)), 2, 2), """"))/$G17)), """")"),-0.008413461538461516)</f>
        <v>-0.008413461538</v>
      </c>
      <c r="O17" s="12">
        <f>IFERROR(__xludf.DUMMYFUNCTION("IFERROR(IF(OR(ISBLANK($G17), IFERROR(INDEX(GOOGLEFINANCE($C17, ""price"", WORKDAY(INT($B17), 5)), 2, 2), """")=""""), """", IF($D17=""LONG"", (IFERROR(INDEX(GOOGLEFINANCE($C17, ""price"", WORKDAY(INT($B17), 5)), 2, 2), """")-$G17)/$G17, ($G17-IFERROR(INDE"&amp;"X(GOOGLEFINANCE($C17, ""price"", WORKDAY(INT($B17), 5)), 2, 2), """"))/$G17)), """")"),0.010256410256410265)</f>
        <v>0.01025641026</v>
      </c>
      <c r="P17" s="12" t="str">
        <f>IFERROR(__xludf.DUMMYFUNCTION("IFERROR(IF(OR(ISBLANK($G17), IFERROR(INDEX(GOOGLEFINANCE($C17, ""price"", WORKDAY(INT($B17), 20)), 2, 2), """")=""""), """", IF($D17=""LONG"", (IFERROR(INDEX(GOOGLEFINANCE($C17, ""price"", WORKDAY(INT($B17), 20)), 2, 2), """")-$G17)/$G17, ($G17-IFERROR(IN"&amp;"DEX(GOOGLEFINANCE($C17, ""price"", WORKDAY(INT($B17), 20)), 2, 2), """"))/$G17)), """")"),"")</f>
        <v/>
      </c>
      <c r="Q17" s="5" t="s">
        <v>229</v>
      </c>
      <c r="R17" s="21" t="s">
        <v>219</v>
      </c>
      <c r="S17" s="21" t="s">
        <v>230</v>
      </c>
      <c r="T17" s="21" t="s">
        <v>51</v>
      </c>
      <c r="U17" s="21"/>
      <c r="V17" s="21"/>
      <c r="W17" s="21"/>
      <c r="X17" s="21"/>
      <c r="Y17" s="21"/>
      <c r="Z17" s="21"/>
    </row>
    <row r="18">
      <c r="A18" s="3">
        <f t="shared" si="1"/>
        <v>17</v>
      </c>
      <c r="B18" s="4">
        <v>46213.66778935185</v>
      </c>
      <c r="C18" s="5" t="s">
        <v>232</v>
      </c>
      <c r="D18" s="5" t="s">
        <v>119</v>
      </c>
      <c r="E18" s="5" t="s">
        <v>120</v>
      </c>
      <c r="F18" s="6">
        <v>4.0</v>
      </c>
      <c r="G18" s="7">
        <v>79.65</v>
      </c>
      <c r="H18" s="5" t="s">
        <v>235</v>
      </c>
      <c r="I18" s="5">
        <v>7.9</v>
      </c>
      <c r="J18" s="3"/>
      <c r="K18" s="5" t="s">
        <v>40</v>
      </c>
      <c r="L18" s="8">
        <f>IFERROR(__xludf.DUMMYFUNCTION("IFERROR(GOOGLEFINANCE(C18, ""price""), IFERROR(GOOGLEFINANCE(""NASDAQ:""&amp;C18, ""price""), IFERROR(GOOGLEFINANCE(""NYSE:""&amp;C18, ""price""), """")))"),74.92)</f>
        <v>74.92</v>
      </c>
      <c r="M18" s="12">
        <f t="shared" si="2"/>
        <v>0.05938480854</v>
      </c>
      <c r="N18" s="12">
        <f>IFERROR(__xludf.DUMMYFUNCTION("IFERROR(IF(OR(ISBLANK($G18), IFERROR(INDEX(GOOGLEFINANCE($C18, ""price"", WORKDAY(INT($B18), 1)), 2, 2), """")=""""), """", IF($D18=""LONG"", (IFERROR(INDEX(GOOGLEFINANCE($C18, ""price"", WORKDAY(INT($B18), 1)), 2, 2), """")-$G18)/$G18, ($G18-IFERROR(INDE"&amp;"X(GOOGLEFINANCE($C18, ""price"", WORKDAY(INT($B18), 1)), 2, 2), """"))/$G18)), """")"),-0.0023854362837413398)</f>
        <v>-0.002385436284</v>
      </c>
      <c r="O18" s="12">
        <f>IFERROR(__xludf.DUMMYFUNCTION("IFERROR(IF(OR(ISBLANK($G18), IFERROR(INDEX(GOOGLEFINANCE($C18, ""price"", WORKDAY(INT($B18), 5)), 2, 2), """")=""""), """", IF($D18=""LONG"", (IFERROR(INDEX(GOOGLEFINANCE($C18, ""price"", WORKDAY(INT($B18), 5)), 2, 2), """")-$G18)/$G18, ($G18-IFERROR(INDE"&amp;"X(GOOGLEFINANCE($C18, ""price"", WORKDAY(INT($B18), 5)), 2, 2), """"))/$G18)), """")"),0.006026365348399296)</f>
        <v>0.006026365348</v>
      </c>
      <c r="P18" s="12" t="str">
        <f>IFERROR(__xludf.DUMMYFUNCTION("IFERROR(IF(OR(ISBLANK($G18), IFERROR(INDEX(GOOGLEFINANCE($C18, ""price"", WORKDAY(INT($B18), 20)), 2, 2), """")=""""), """", IF($D18=""LONG"", (IFERROR(INDEX(GOOGLEFINANCE($C18, ""price"", WORKDAY(INT($B18), 20)), 2, 2), """")-$G18)/$G18, ($G18-IFERROR(IN"&amp;"DEX(GOOGLEFINANCE($C18, ""price"", WORKDAY(INT($B18), 20)), 2, 2), """"))/$G18)), """")"),"")</f>
        <v/>
      </c>
      <c r="Q18" s="5" t="s">
        <v>239</v>
      </c>
      <c r="R18" s="5" t="s">
        <v>240</v>
      </c>
      <c r="S18" s="5" t="s">
        <v>242</v>
      </c>
      <c r="T18" s="5" t="s">
        <v>51</v>
      </c>
      <c r="U18" s="5"/>
      <c r="V18" s="5"/>
      <c r="W18" s="5"/>
      <c r="X18" s="5"/>
      <c r="Y18" s="5"/>
      <c r="Z18" s="5"/>
    </row>
    <row r="19">
      <c r="A19" s="3">
        <f t="shared" si="1"/>
        <v>18</v>
      </c>
      <c r="B19" s="4">
        <v>46213.66780092593</v>
      </c>
      <c r="C19" s="5" t="s">
        <v>245</v>
      </c>
      <c r="D19" s="5" t="s">
        <v>119</v>
      </c>
      <c r="E19" s="5" t="s">
        <v>120</v>
      </c>
      <c r="F19" s="6">
        <v>4.0</v>
      </c>
      <c r="G19" s="7">
        <v>395.71</v>
      </c>
      <c r="H19" s="5" t="s">
        <v>247</v>
      </c>
      <c r="I19" s="5">
        <v>8.4</v>
      </c>
      <c r="J19" s="3"/>
      <c r="K19" s="5" t="s">
        <v>40</v>
      </c>
      <c r="L19" s="8">
        <f>IFERROR(__xludf.DUMMYFUNCTION("IFERROR(GOOGLEFINANCE(C19, ""price""), IFERROR(GOOGLEFINANCE(""NASDAQ:""&amp;C19, ""price""), IFERROR(GOOGLEFINANCE(""NYSE:""&amp;C19, ""price""), """")))"),377.31)</f>
        <v>377.31</v>
      </c>
      <c r="M19" s="12">
        <f t="shared" si="2"/>
        <v>0.04649869854</v>
      </c>
      <c r="N19" s="12">
        <f>IFERROR(__xludf.DUMMYFUNCTION("IFERROR(IF(OR(ISBLANK($G19), IFERROR(INDEX(GOOGLEFINANCE($C19, ""price"", WORKDAY(INT($B19), 1)), 2, 2), """")=""""), """", IF($D19=""LONG"", (IFERROR(INDEX(GOOGLEFINANCE($C19, ""price"", WORKDAY(INT($B19), 1)), 2, 2), """")-$G19)/$G19, ($G19-IFERROR(INDE"&amp;"X(GOOGLEFINANCE($C19, ""price"", WORKDAY(INT($B19), 1)), 2, 2), """"))/$G19)), """")"),0.024512900861742157)</f>
        <v>0.02451290086</v>
      </c>
      <c r="O19" s="12">
        <f>IFERROR(__xludf.DUMMYFUNCTION("IFERROR(IF(OR(ISBLANK($G19), IFERROR(INDEX(GOOGLEFINANCE($C19, ""price"", WORKDAY(INT($B19), 5)), 2, 2), """")=""""), """", IF($D19=""LONG"", (IFERROR(INDEX(GOOGLEFINANCE($C19, ""price"", WORKDAY(INT($B19), 5)), 2, 2), """")-$G19)/$G19, ($G19-IFERROR(INDE"&amp;"X(GOOGLEFINANCE($C19, ""price"", WORKDAY(INT($B19), 5)), 2, 2), """"))/$G19)), """")"),0.05142654974602605)</f>
        <v>0.05142654975</v>
      </c>
      <c r="P19" s="12" t="str">
        <f>IFERROR(__xludf.DUMMYFUNCTION("IFERROR(IF(OR(ISBLANK($G19), IFERROR(INDEX(GOOGLEFINANCE($C19, ""price"", WORKDAY(INT($B19), 20)), 2, 2), """")=""""), """", IF($D19=""LONG"", (IFERROR(INDEX(GOOGLEFINANCE($C19, ""price"", WORKDAY(INT($B19), 20)), 2, 2), """")-$G19)/$G19, ($G19-IFERROR(IN"&amp;"DEX(GOOGLEFINANCE($C19, ""price"", WORKDAY(INT($B19), 20)), 2, 2), """"))/$G19)), """")"),"")</f>
        <v/>
      </c>
      <c r="Q19" s="5" t="s">
        <v>252</v>
      </c>
      <c r="R19" s="21" t="s">
        <v>219</v>
      </c>
      <c r="S19" s="21" t="s">
        <v>253</v>
      </c>
      <c r="T19" s="21" t="s">
        <v>51</v>
      </c>
      <c r="U19" s="21"/>
      <c r="V19" s="21"/>
      <c r="W19" s="21"/>
      <c r="X19" s="21"/>
      <c r="Y19" s="21"/>
      <c r="Z19" s="21"/>
    </row>
    <row r="20">
      <c r="A20" s="3">
        <f t="shared" si="1"/>
        <v>19</v>
      </c>
      <c r="B20" s="4">
        <v>46213.667604166665</v>
      </c>
      <c r="C20" s="5" t="s">
        <v>254</v>
      </c>
      <c r="D20" s="5" t="s">
        <v>36</v>
      </c>
      <c r="E20" s="5" t="s">
        <v>37</v>
      </c>
      <c r="F20" s="6">
        <v>2.0</v>
      </c>
      <c r="G20" s="7">
        <v>46.87</v>
      </c>
      <c r="H20" s="5" t="s">
        <v>256</v>
      </c>
      <c r="I20" s="5">
        <v>83.4</v>
      </c>
      <c r="J20" s="3"/>
      <c r="K20" s="5" t="s">
        <v>40</v>
      </c>
      <c r="L20" s="8">
        <f>IFERROR(__xludf.DUMMYFUNCTION("IFERROR(GOOGLEFINANCE(C20, ""price""), IFERROR(GOOGLEFINANCE(""NASDAQ:""&amp;C20, ""price""), IFERROR(GOOGLEFINANCE(""NYSE:""&amp;C20, ""price""), """")))"),44.7)</f>
        <v>44.7</v>
      </c>
      <c r="M20" s="12">
        <f t="shared" si="2"/>
        <v>-0.04629827182</v>
      </c>
      <c r="N20" s="12">
        <f>IFERROR(__xludf.DUMMYFUNCTION("IFERROR(IF(OR(ISBLANK($G20), IFERROR(INDEX(GOOGLEFINANCE($C20, ""price"", WORKDAY(INT($B20), 1)), 2, 2), """")=""""), """", IF($D20=""LONG"", (IFERROR(INDEX(GOOGLEFINANCE($C20, ""price"", WORKDAY(INT($B20), 1)), 2, 2), """")-$G20)/$G20, ($G20-IFERROR(INDE"&amp;"X(GOOGLEFINANCE($C20, ""price"", WORKDAY(INT($B20), 1)), 2, 2), """"))/$G20)), """")"),0.00789417537870716)</f>
        <v>0.007894175379</v>
      </c>
      <c r="O20" s="12">
        <f>IFERROR(__xludf.DUMMYFUNCTION("IFERROR(IF(OR(ISBLANK($G20), IFERROR(INDEX(GOOGLEFINANCE($C20, ""price"", WORKDAY(INT($B20), 5)), 2, 2), """")=""""), """", IF($D20=""LONG"", (IFERROR(INDEX(GOOGLEFINANCE($C20, ""price"", WORKDAY(INT($B20), 5)), 2, 2), """")-$G20)/$G20, ($G20-IFERROR(INDE"&amp;"X(GOOGLEFINANCE($C20, ""price"", WORKDAY(INT($B20), 5)), 2, 2), """"))/$G20)), """")"),-0.015788350757414017)</f>
        <v>-0.01578835076</v>
      </c>
      <c r="P20" s="12" t="str">
        <f>IFERROR(__xludf.DUMMYFUNCTION("IFERROR(IF(OR(ISBLANK($G20), IFERROR(INDEX(GOOGLEFINANCE($C20, ""price"", WORKDAY(INT($B20), 20)), 2, 2), """")=""""), """", IF($D20=""LONG"", (IFERROR(INDEX(GOOGLEFINANCE($C20, ""price"", WORKDAY(INT($B20), 20)), 2, 2), """")-$G20)/$G20, ($G20-IFERROR(IN"&amp;"DEX(GOOGLEFINANCE($C20, ""price"", WORKDAY(INT($B20), 20)), 2, 2), """"))/$G20)), """")"),"")</f>
        <v/>
      </c>
      <c r="Q20" s="5" t="s">
        <v>262</v>
      </c>
      <c r="R20" s="21" t="s">
        <v>219</v>
      </c>
      <c r="S20" s="21" t="s">
        <v>263</v>
      </c>
      <c r="T20" s="21" t="s">
        <v>51</v>
      </c>
      <c r="U20" s="21"/>
      <c r="V20" s="21"/>
      <c r="W20" s="21"/>
      <c r="X20" s="21"/>
      <c r="Y20" s="21"/>
      <c r="Z20" s="21"/>
    </row>
    <row r="21">
      <c r="A21" s="3">
        <f t="shared" si="1"/>
        <v>20</v>
      </c>
      <c r="B21" s="4">
        <v>46213.667708333334</v>
      </c>
      <c r="C21" s="5" t="s">
        <v>154</v>
      </c>
      <c r="D21" s="5" t="s">
        <v>36</v>
      </c>
      <c r="E21" s="5" t="s">
        <v>37</v>
      </c>
      <c r="F21" s="6">
        <v>2.0</v>
      </c>
      <c r="G21" s="7">
        <v>157.51</v>
      </c>
      <c r="H21" s="5" t="s">
        <v>265</v>
      </c>
      <c r="I21" s="5">
        <v>92.8</v>
      </c>
      <c r="J21" s="3"/>
      <c r="K21" s="5" t="s">
        <v>40</v>
      </c>
      <c r="L21" s="8">
        <f>IFERROR(__xludf.DUMMYFUNCTION("IFERROR(GOOGLEFINANCE(C21, ""price""), IFERROR(GOOGLEFINANCE(""NASDAQ:""&amp;C21, ""price""), IFERROR(GOOGLEFINANCE(""NYSE:""&amp;C21, ""price""), """")))"),160.11)</f>
        <v>160.11</v>
      </c>
      <c r="M21" s="12">
        <f t="shared" si="2"/>
        <v>0.01650688845</v>
      </c>
      <c r="N21" s="12">
        <f>IFERROR(__xludf.DUMMYFUNCTION("IFERROR(IF(OR(ISBLANK($G21), IFERROR(INDEX(GOOGLEFINANCE($C21, ""price"", WORKDAY(INT($B21), 1)), 2, 2), """")=""""), """", IF($D21=""LONG"", (IFERROR(INDEX(GOOGLEFINANCE($C21, ""price"", WORKDAY(INT($B21), 1)), 2, 2), """")-$G21)/$G21, ($G21-IFERROR(INDE"&amp;"X(GOOGLEFINANCE($C21, ""price"", WORKDAY(INT($B21), 1)), 2, 2), """"))/$G21)), """")"),0.01974477810932648)</f>
        <v>0.01974477811</v>
      </c>
      <c r="O21" s="12">
        <f>IFERROR(__xludf.DUMMYFUNCTION("IFERROR(IF(OR(ISBLANK($G21), IFERROR(INDEX(GOOGLEFINANCE($C21, ""price"", WORKDAY(INT($B21), 5)), 2, 2), """")=""""), """", IF($D21=""LONG"", (IFERROR(INDEX(GOOGLEFINANCE($C21, ""price"", WORKDAY(INT($B21), 5)), 2, 2), """")-$G21)/$G21, ($G21-IFERROR(INDE"&amp;"X(GOOGLEFINANCE($C21, ""price"", WORKDAY(INT($B21), 5)), 2, 2), """"))/$G21)), """")"),0.026030093327407928)</f>
        <v>0.02603009333</v>
      </c>
      <c r="P21" s="12" t="str">
        <f>IFERROR(__xludf.DUMMYFUNCTION("IFERROR(IF(OR(ISBLANK($G21), IFERROR(INDEX(GOOGLEFINANCE($C21, ""price"", WORKDAY(INT($B21), 20)), 2, 2), """")=""""), """", IF($D21=""LONG"", (IFERROR(INDEX(GOOGLEFINANCE($C21, ""price"", WORKDAY(INT($B21), 20)), 2, 2), """")-$G21)/$G21, ($G21-IFERROR(IN"&amp;"DEX(GOOGLEFINANCE($C21, ""price"", WORKDAY(INT($B21), 20)), 2, 2), """"))/$G21)), """")"),"")</f>
        <v/>
      </c>
      <c r="Q21" s="5" t="s">
        <v>270</v>
      </c>
      <c r="R21" s="21" t="s">
        <v>219</v>
      </c>
      <c r="S21" s="21" t="s">
        <v>271</v>
      </c>
      <c r="T21" s="21" t="s">
        <v>51</v>
      </c>
      <c r="U21" s="21"/>
      <c r="V21" s="21"/>
      <c r="W21" s="21"/>
      <c r="X21" s="21"/>
      <c r="Y21" s="21"/>
      <c r="Z21" s="21"/>
    </row>
    <row r="22">
      <c r="A22" s="3">
        <f t="shared" si="1"/>
        <v>21</v>
      </c>
      <c r="B22" s="4">
        <v>46213.66782407407</v>
      </c>
      <c r="C22" s="5" t="s">
        <v>273</v>
      </c>
      <c r="D22" s="5" t="s">
        <v>119</v>
      </c>
      <c r="E22" s="5" t="s">
        <v>120</v>
      </c>
      <c r="F22" s="6">
        <v>4.0</v>
      </c>
      <c r="G22" s="7">
        <v>46.69</v>
      </c>
      <c r="H22" s="5" t="s">
        <v>276</v>
      </c>
      <c r="I22" s="5">
        <v>12.6</v>
      </c>
      <c r="J22" s="3"/>
      <c r="K22" s="5" t="s">
        <v>40</v>
      </c>
      <c r="L22" s="8">
        <f>IFERROR(__xludf.DUMMYFUNCTION("IFERROR(GOOGLEFINANCE(C22, ""price""), IFERROR(GOOGLEFINANCE(""NASDAQ:""&amp;C22, ""price""), IFERROR(GOOGLEFINANCE(""NYSE:""&amp;C22, ""price""), """")))"),46.11)</f>
        <v>46.11</v>
      </c>
      <c r="M22" s="12">
        <f t="shared" si="2"/>
        <v>0.01242236025</v>
      </c>
      <c r="N22" s="12">
        <f>IFERROR(__xludf.DUMMYFUNCTION("IFERROR(IF(OR(ISBLANK($G22), IFERROR(INDEX(GOOGLEFINANCE($C22, ""price"", WORKDAY(INT($B22), 1)), 2, 2), """")=""""), """", IF($D22=""LONG"", (IFERROR(INDEX(GOOGLEFINANCE($C22, ""price"", WORKDAY(INT($B22), 1)), 2, 2), """")-$G22)/$G22, ($G22-IFERROR(INDE"&amp;"X(GOOGLEFINANCE($C22, ""price"", WORKDAY(INT($B22), 1)), 2, 2), """"))/$G22)), """")"),0.016920111372884968)</f>
        <v>0.01692011137</v>
      </c>
      <c r="O22" s="12">
        <f>IFERROR(__xludf.DUMMYFUNCTION("IFERROR(IF(OR(ISBLANK($G22), IFERROR(INDEX(GOOGLEFINANCE($C22, ""price"", WORKDAY(INT($B22), 5)), 2, 2), """")=""""), """", IF($D22=""LONG"", (IFERROR(INDEX(GOOGLEFINANCE($C22, ""price"", WORKDAY(INT($B22), 5)), 2, 2), """")-$G22)/$G22, ($G22-IFERROR(INDE"&amp;"X(GOOGLEFINANCE($C22, ""price"", WORKDAY(INT($B22), 5)), 2, 2), """"))/$G22)), """")"),0.028485757121439245)</f>
        <v>0.02848575712</v>
      </c>
      <c r="P22" s="12" t="str">
        <f>IFERROR(__xludf.DUMMYFUNCTION("IFERROR(IF(OR(ISBLANK($G22), IFERROR(INDEX(GOOGLEFINANCE($C22, ""price"", WORKDAY(INT($B22), 20)), 2, 2), """")=""""), """", IF($D22=""LONG"", (IFERROR(INDEX(GOOGLEFINANCE($C22, ""price"", WORKDAY(INT($B22), 20)), 2, 2), """")-$G22)/$G22, ($G22-IFERROR(IN"&amp;"DEX(GOOGLEFINANCE($C22, ""price"", WORKDAY(INT($B22), 20)), 2, 2), """"))/$G22)), """")"),"")</f>
        <v/>
      </c>
      <c r="Q22" s="5" t="s">
        <v>281</v>
      </c>
      <c r="R22" s="5" t="s">
        <v>219</v>
      </c>
      <c r="S22" s="5" t="s">
        <v>282</v>
      </c>
      <c r="T22" s="5" t="s">
        <v>51</v>
      </c>
      <c r="U22" s="5"/>
      <c r="V22" s="5"/>
      <c r="W22" s="5"/>
      <c r="X22" s="5"/>
      <c r="Y22" s="5"/>
      <c r="Z22" s="5"/>
    </row>
    <row r="23">
      <c r="A23" s="3">
        <f t="shared" si="1"/>
        <v>22</v>
      </c>
      <c r="B23" s="4">
        <v>46213.667592592596</v>
      </c>
      <c r="C23" s="5" t="s">
        <v>197</v>
      </c>
      <c r="D23" s="5" t="s">
        <v>36</v>
      </c>
      <c r="E23" s="5" t="s">
        <v>37</v>
      </c>
      <c r="F23" s="6">
        <v>2.0</v>
      </c>
      <c r="G23" s="7">
        <v>207.5</v>
      </c>
      <c r="H23" s="5" t="s">
        <v>286</v>
      </c>
      <c r="I23" s="5">
        <v>93.4</v>
      </c>
      <c r="J23" s="3"/>
      <c r="K23" s="5" t="s">
        <v>40</v>
      </c>
      <c r="L23" s="8">
        <f>IFERROR(__xludf.DUMMYFUNCTION("IFERROR(GOOGLEFINANCE(C23, ""price""), IFERROR(GOOGLEFINANCE(""NASDAQ:""&amp;C23, ""price""), IFERROR(GOOGLEFINANCE(""NYSE:""&amp;C23, ""price""), """")))"),238.5)</f>
        <v>238.5</v>
      </c>
      <c r="M23" s="12">
        <f t="shared" si="2"/>
        <v>0.1493975904</v>
      </c>
      <c r="N23" s="12">
        <f>IFERROR(__xludf.DUMMYFUNCTION("IFERROR(IF(OR(ISBLANK($G23), IFERROR(INDEX(GOOGLEFINANCE($C23, ""price"", WORKDAY(INT($B23), 1)), 2, 2), """")=""""), """", IF($D23=""LONG"", (IFERROR(INDEX(GOOGLEFINANCE($C23, ""price"", WORKDAY(INT($B23), 1)), 2, 2), """")-$G23)/$G23, ($G23-IFERROR(INDE"&amp;"X(GOOGLEFINANCE($C23, ""price"", WORKDAY(INT($B23), 1)), 2, 2), """"))/$G23)), """")"),-7.228915662650876E-4)</f>
        <v>-0.0007228915663</v>
      </c>
      <c r="O23" s="12">
        <f>IFERROR(__xludf.DUMMYFUNCTION("IFERROR(IF(OR(ISBLANK($G23), IFERROR(INDEX(GOOGLEFINANCE($C23, ""price"", WORKDAY(INT($B23), 5)), 2, 2), """")=""""), """", IF($D23=""LONG"", (IFERROR(INDEX(GOOGLEFINANCE($C23, ""price"", WORKDAY(INT($B23), 5)), 2, 2), """")-$G23)/$G23, ($G23-IFERROR(INDE"&amp;"X(GOOGLEFINANCE($C23, ""price"", WORKDAY(INT($B23), 5)), 2, 2), """"))/$G23)), """")"),0.01532530120481931)</f>
        <v>0.0153253012</v>
      </c>
      <c r="P23" s="12" t="str">
        <f>IFERROR(__xludf.DUMMYFUNCTION("IFERROR(IF(OR(ISBLANK($G23), IFERROR(INDEX(GOOGLEFINANCE($C23, ""price"", WORKDAY(INT($B23), 20)), 2, 2), """")=""""), """", IF($D23=""LONG"", (IFERROR(INDEX(GOOGLEFINANCE($C23, ""price"", WORKDAY(INT($B23), 20)), 2, 2), """")-$G23)/$G23, ($G23-IFERROR(IN"&amp;"DEX(GOOGLEFINANCE($C23, ""price"", WORKDAY(INT($B23), 20)), 2, 2), """"))/$G23)), """")"),"")</f>
        <v/>
      </c>
      <c r="Q23" s="5" t="s">
        <v>292</v>
      </c>
      <c r="R23" s="21" t="s">
        <v>219</v>
      </c>
      <c r="S23" s="21" t="s">
        <v>294</v>
      </c>
      <c r="T23" s="21" t="s">
        <v>51</v>
      </c>
      <c r="U23" s="21"/>
      <c r="V23" s="21"/>
      <c r="W23" s="21"/>
      <c r="X23" s="21"/>
      <c r="Y23" s="21"/>
      <c r="Z23" s="21"/>
    </row>
    <row r="24">
      <c r="A24" s="3">
        <f t="shared" si="1"/>
        <v>23</v>
      </c>
      <c r="B24" s="4">
        <v>46213.667395833334</v>
      </c>
      <c r="C24" s="5" t="s">
        <v>295</v>
      </c>
      <c r="D24" s="5" t="s">
        <v>119</v>
      </c>
      <c r="E24" s="5" t="s">
        <v>120</v>
      </c>
      <c r="F24" s="6">
        <v>4.0</v>
      </c>
      <c r="G24" s="7">
        <v>1351.6</v>
      </c>
      <c r="H24" s="5" t="s">
        <v>297</v>
      </c>
      <c r="I24" s="5">
        <v>4.5</v>
      </c>
      <c r="J24" s="3"/>
      <c r="K24" s="5" t="s">
        <v>40</v>
      </c>
      <c r="L24" s="8">
        <f>IFERROR(__xludf.DUMMYFUNCTION("IFERROR(GOOGLEFINANCE(C24, ""price""), IFERROR(GOOGLEFINANCE(""NASDAQ:""&amp;C24, ""price""), IFERROR(GOOGLEFINANCE(""NYSE:""&amp;C24, ""price""), """")))"),1359.08)</f>
        <v>1359.08</v>
      </c>
      <c r="M24" s="12">
        <f t="shared" si="2"/>
        <v>-0.005534181711</v>
      </c>
      <c r="N24" s="12">
        <f>IFERROR(__xludf.DUMMYFUNCTION("IFERROR(IF(OR(ISBLANK($G24), IFERROR(INDEX(GOOGLEFINANCE($C24, ""price"", WORKDAY(INT($B24), 1)), 2, 2), """")=""""), """", IF($D24=""LONG"", (IFERROR(INDEX(GOOGLEFINANCE($C24, ""price"", WORKDAY(INT($B24), 1)), 2, 2), """")-$G24)/$G24, ($G24-IFERROR(INDE"&amp;"X(GOOGLEFINANCE($C24, ""price"", WORKDAY(INT($B24), 1)), 2, 2), """"))/$G24)), """")"),0.04455460195324046)</f>
        <v>0.04455460195</v>
      </c>
      <c r="O24" s="12">
        <f>IFERROR(__xludf.DUMMYFUNCTION("IFERROR(IF(OR(ISBLANK($G24), IFERROR(INDEX(GOOGLEFINANCE($C24, ""price"", WORKDAY(INT($B24), 5)), 2, 2), """")=""""), """", IF($D24=""LONG"", (IFERROR(INDEX(GOOGLEFINANCE($C24, ""price"", WORKDAY(INT($B24), 5)), 2, 2), """")-$G24)/$G24, ($G24-IFERROR(INDE"&amp;"X(GOOGLEFINANCE($C24, ""price"", WORKDAY(INT($B24), 5)), 2, 2), """"))/$G24)), """")"),0.029298609055933643)</f>
        <v>0.02929860906</v>
      </c>
      <c r="P24" s="12" t="str">
        <f>IFERROR(__xludf.DUMMYFUNCTION("IFERROR(IF(OR(ISBLANK($G24), IFERROR(INDEX(GOOGLEFINANCE($C24, ""price"", WORKDAY(INT($B24), 20)), 2, 2), """")=""""), """", IF($D24=""LONG"", (IFERROR(INDEX(GOOGLEFINANCE($C24, ""price"", WORKDAY(INT($B24), 20)), 2, 2), """")-$G24)/$G24, ($G24-IFERROR(IN"&amp;"DEX(GOOGLEFINANCE($C24, ""price"", WORKDAY(INT($B24), 20)), 2, 2), """"))/$G24)), """")"),"")</f>
        <v/>
      </c>
      <c r="Q24" s="5" t="s">
        <v>304</v>
      </c>
      <c r="R24" s="21" t="s">
        <v>176</v>
      </c>
      <c r="S24" s="21" t="s">
        <v>305</v>
      </c>
      <c r="T24" s="21" t="s">
        <v>51</v>
      </c>
      <c r="U24" s="21"/>
      <c r="V24" s="21"/>
      <c r="W24" s="21"/>
      <c r="X24" s="21"/>
      <c r="Y24" s="21"/>
      <c r="Z24" s="21"/>
    </row>
    <row r="25">
      <c r="A25" s="3">
        <f t="shared" si="1"/>
        <v>24</v>
      </c>
      <c r="B25" s="4">
        <v>46213.66743055556</v>
      </c>
      <c r="C25" s="5" t="s">
        <v>306</v>
      </c>
      <c r="D25" s="5" t="s">
        <v>119</v>
      </c>
      <c r="E25" s="5" t="s">
        <v>120</v>
      </c>
      <c r="F25" s="6">
        <v>4.0</v>
      </c>
      <c r="G25" s="7">
        <v>95.98</v>
      </c>
      <c r="H25" s="5" t="s">
        <v>307</v>
      </c>
      <c r="I25" s="5">
        <v>8.6</v>
      </c>
      <c r="J25" s="3"/>
      <c r="K25" s="5" t="s">
        <v>40</v>
      </c>
      <c r="L25" s="8">
        <f>IFERROR(__xludf.DUMMYFUNCTION("IFERROR(GOOGLEFINANCE(C25, ""price""), IFERROR(GOOGLEFINANCE(""NASDAQ:""&amp;C25, ""price""), IFERROR(GOOGLEFINANCE(""NYSE:""&amp;C25, ""price""), """")))"),87.03)</f>
        <v>87.03</v>
      </c>
      <c r="M25" s="12">
        <f t="shared" si="2"/>
        <v>0.09324859346</v>
      </c>
      <c r="N25" s="12">
        <f>IFERROR(__xludf.DUMMYFUNCTION("IFERROR(IF(OR(ISBLANK($G25), IFERROR(INDEX(GOOGLEFINANCE($C25, ""price"", WORKDAY(INT($B25), 1)), 2, 2), """")=""""), """", IF($D25=""LONG"", (IFERROR(INDEX(GOOGLEFINANCE($C25, ""price"", WORKDAY(INT($B25), 1)), 2, 2), """")-$G25)/$G25, ($G25-IFERROR(INDE"&amp;"X(GOOGLEFINANCE($C25, ""price"", WORKDAY(INT($B25), 1)), 2, 2), """"))/$G25)), """")"),0.032090018753907046)</f>
        <v>0.03209001875</v>
      </c>
      <c r="O25" s="12">
        <f>IFERROR(__xludf.DUMMYFUNCTION("IFERROR(IF(OR(ISBLANK($G25), IFERROR(INDEX(GOOGLEFINANCE($C25, ""price"", WORKDAY(INT($B25), 5)), 2, 2), """")=""""), """", IF($D25=""LONG"", (IFERROR(INDEX(GOOGLEFINANCE($C25, ""price"", WORKDAY(INT($B25), 5)), 2, 2), """")-$G25)/$G25, ($G25-IFERROR(INDE"&amp;"X(GOOGLEFINANCE($C25, ""price"", WORKDAY(INT($B25), 5)), 2, 2), """"))/$G25)), """")"),0.04146697228589293)</f>
        <v>0.04146697229</v>
      </c>
      <c r="P25" s="12" t="str">
        <f>IFERROR(__xludf.DUMMYFUNCTION("IFERROR(IF(OR(ISBLANK($G25), IFERROR(INDEX(GOOGLEFINANCE($C25, ""price"", WORKDAY(INT($B25), 20)), 2, 2), """")=""""), """", IF($D25=""LONG"", (IFERROR(INDEX(GOOGLEFINANCE($C25, ""price"", WORKDAY(INT($B25), 20)), 2, 2), """")-$G25)/$G25, ($G25-IFERROR(IN"&amp;"DEX(GOOGLEFINANCE($C25, ""price"", WORKDAY(INT($B25), 20)), 2, 2), """"))/$G25)), """")"),"")</f>
        <v/>
      </c>
      <c r="Q25" s="5" t="s">
        <v>315</v>
      </c>
      <c r="R25" s="21" t="s">
        <v>219</v>
      </c>
      <c r="S25" s="21" t="s">
        <v>317</v>
      </c>
      <c r="T25" s="21" t="s">
        <v>51</v>
      </c>
      <c r="U25" s="21"/>
      <c r="V25" s="21"/>
      <c r="W25" s="21"/>
      <c r="X25" s="21"/>
      <c r="Y25" s="21"/>
      <c r="Z25" s="21"/>
    </row>
    <row r="26">
      <c r="A26" s="3">
        <f t="shared" si="1"/>
        <v>25</v>
      </c>
      <c r="B26" s="4">
        <v>46213.66743055556</v>
      </c>
      <c r="C26" s="5" t="s">
        <v>104</v>
      </c>
      <c r="D26" s="5" t="s">
        <v>36</v>
      </c>
      <c r="E26" s="5" t="s">
        <v>37</v>
      </c>
      <c r="F26" s="6">
        <v>2.0</v>
      </c>
      <c r="G26" s="7">
        <v>118.89</v>
      </c>
      <c r="H26" s="5" t="s">
        <v>320</v>
      </c>
      <c r="I26" s="5">
        <v>96.9</v>
      </c>
      <c r="J26" s="3"/>
      <c r="K26" s="5" t="s">
        <v>40</v>
      </c>
      <c r="L26" s="8">
        <f>IFERROR(__xludf.DUMMYFUNCTION("IFERROR(GOOGLEFINANCE(C26, ""price""), IFERROR(GOOGLEFINANCE(""NASDAQ:""&amp;C26, ""price""), IFERROR(GOOGLEFINANCE(""NYSE:""&amp;C26, ""price""), """")))"),127.45)</f>
        <v>127.45</v>
      </c>
      <c r="M26" s="12">
        <f t="shared" si="2"/>
        <v>0.07199932711</v>
      </c>
      <c r="N26" s="12">
        <f>IFERROR(__xludf.DUMMYFUNCTION("IFERROR(IF(OR(ISBLANK($G26), IFERROR(INDEX(GOOGLEFINANCE($C26, ""price"", WORKDAY(INT($B26), 1)), 2, 2), """")=""""), """", IF($D26=""LONG"", (IFERROR(INDEX(GOOGLEFINANCE($C26, ""price"", WORKDAY(INT($B26), 1)), 2, 2), """")-$G26)/$G26, ($G26-IFERROR(INDE"&amp;"X(GOOGLEFINANCE($C26, ""price"", WORKDAY(INT($B26), 1)), 2, 2), """"))/$G26)), """")"),0.03827067036756664)</f>
        <v>0.03827067037</v>
      </c>
      <c r="O26" s="12">
        <f>IFERROR(__xludf.DUMMYFUNCTION("IFERROR(IF(OR(ISBLANK($G26), IFERROR(INDEX(GOOGLEFINANCE($C26, ""price"", WORKDAY(INT($B26), 5)), 2, 2), """")=""""), """", IF($D26=""LONG"", (IFERROR(INDEX(GOOGLEFINANCE($C26, ""price"", WORKDAY(INT($B26), 5)), 2, 2), """")-$G26)/$G26, ($G26-IFERROR(INDE"&amp;"X(GOOGLEFINANCE($C26, ""price"", WORKDAY(INT($B26), 5)), 2, 2), """"))/$G26)), """")"),0.05770039532340819)</f>
        <v>0.05770039532</v>
      </c>
      <c r="P26" s="12" t="str">
        <f>IFERROR(__xludf.DUMMYFUNCTION("IFERROR(IF(OR(ISBLANK($G26), IFERROR(INDEX(GOOGLEFINANCE($C26, ""price"", WORKDAY(INT($B26), 20)), 2, 2), """")=""""), """", IF($D26=""LONG"", (IFERROR(INDEX(GOOGLEFINANCE($C26, ""price"", WORKDAY(INT($B26), 20)), 2, 2), """")-$G26)/$G26, ($G26-IFERROR(IN"&amp;"DEX(GOOGLEFINANCE($C26, ""price"", WORKDAY(INT($B26), 20)), 2, 2), """"))/$G26)), """")"),"")</f>
        <v/>
      </c>
      <c r="Q26" s="5" t="s">
        <v>325</v>
      </c>
      <c r="R26" s="21" t="s">
        <v>219</v>
      </c>
      <c r="S26" s="21" t="s">
        <v>326</v>
      </c>
      <c r="T26" s="21" t="s">
        <v>51</v>
      </c>
      <c r="U26" s="21"/>
      <c r="V26" s="21"/>
      <c r="W26" s="21"/>
      <c r="X26" s="21"/>
      <c r="Y26" s="21"/>
      <c r="Z26" s="21"/>
    </row>
    <row r="27">
      <c r="A27" s="3">
        <f t="shared" si="1"/>
        <v>26</v>
      </c>
      <c r="B27" s="4">
        <v>46213.667650462965</v>
      </c>
      <c r="C27" s="5" t="s">
        <v>328</v>
      </c>
      <c r="D27" s="5" t="s">
        <v>36</v>
      </c>
      <c r="E27" s="5" t="s">
        <v>70</v>
      </c>
      <c r="F27" s="6">
        <v>2.0</v>
      </c>
      <c r="G27" s="7">
        <v>140.6</v>
      </c>
      <c r="H27" s="5" t="s">
        <v>329</v>
      </c>
      <c r="I27" s="5">
        <v>69.8</v>
      </c>
      <c r="J27" s="3"/>
      <c r="K27" s="5" t="s">
        <v>40</v>
      </c>
      <c r="L27" s="8">
        <f>IFERROR(__xludf.DUMMYFUNCTION("IFERROR(GOOGLEFINANCE(C27, ""price""), IFERROR(GOOGLEFINANCE(""NASDAQ:""&amp;C27, ""price""), IFERROR(GOOGLEFINANCE(""NYSE:""&amp;C27, ""price""), """")))"),133.82)</f>
        <v>133.82</v>
      </c>
      <c r="M27" s="12">
        <f t="shared" si="2"/>
        <v>-0.04822190612</v>
      </c>
      <c r="N27" s="12">
        <f>IFERROR(__xludf.DUMMYFUNCTION("IFERROR(IF(OR(ISBLANK($G27), IFERROR(INDEX(GOOGLEFINANCE($C27, ""price"", WORKDAY(INT($B27), 1)), 2, 2), """")=""""), """", IF($D27=""LONG"", (IFERROR(INDEX(GOOGLEFINANCE($C27, ""price"", WORKDAY(INT($B27), 1)), 2, 2), """")-$G27)/$G27, ($G27-IFERROR(INDE"&amp;"X(GOOGLEFINANCE($C27, ""price"", WORKDAY(INT($B27), 1)), 2, 2), """"))/$G27)), """")"),7.823613086771952E-4)</f>
        <v>0.0007823613087</v>
      </c>
      <c r="O27" s="12">
        <f>IFERROR(__xludf.DUMMYFUNCTION("IFERROR(IF(OR(ISBLANK($G27), IFERROR(INDEX(GOOGLEFINANCE($C27, ""price"", WORKDAY(INT($B27), 5)), 2, 2), """")=""""), """", IF($D27=""LONG"", (IFERROR(INDEX(GOOGLEFINANCE($C27, ""price"", WORKDAY(INT($B27), 5)), 2, 2), """")-$G27)/$G27, ($G27-IFERROR(INDE"&amp;"X(GOOGLEFINANCE($C27, ""price"", WORKDAY(INT($B27), 5)), 2, 2), """"))/$G27)), """")"),-0.07994310099573244)</f>
        <v>-0.079943101</v>
      </c>
      <c r="P27" s="12" t="str">
        <f>IFERROR(__xludf.DUMMYFUNCTION("IFERROR(IF(OR(ISBLANK($G27), IFERROR(INDEX(GOOGLEFINANCE($C27, ""price"", WORKDAY(INT($B27), 20)), 2, 2), """")=""""), """", IF($D27=""LONG"", (IFERROR(INDEX(GOOGLEFINANCE($C27, ""price"", WORKDAY(INT($B27), 20)), 2, 2), """")-$G27)/$G27, ($G27-IFERROR(IN"&amp;"DEX(GOOGLEFINANCE($C27, ""price"", WORKDAY(INT($B27), 20)), 2, 2), """"))/$G27)), """")"),"")</f>
        <v/>
      </c>
      <c r="Q27" s="5" t="s">
        <v>334</v>
      </c>
      <c r="R27" s="21" t="s">
        <v>219</v>
      </c>
      <c r="S27" s="21" t="s">
        <v>336</v>
      </c>
      <c r="T27" s="21" t="s">
        <v>51</v>
      </c>
      <c r="U27" s="21"/>
      <c r="V27" s="21"/>
      <c r="W27" s="21"/>
      <c r="X27" s="21"/>
      <c r="Y27" s="21"/>
      <c r="Z27" s="21"/>
    </row>
    <row r="28">
      <c r="A28" s="3">
        <f t="shared" si="1"/>
        <v>27</v>
      </c>
      <c r="B28" s="4">
        <v>46213.667719907404</v>
      </c>
      <c r="C28" s="5" t="s">
        <v>339</v>
      </c>
      <c r="D28" s="5" t="s">
        <v>119</v>
      </c>
      <c r="E28" s="5" t="s">
        <v>120</v>
      </c>
      <c r="F28" s="6">
        <v>4.0</v>
      </c>
      <c r="G28" s="7">
        <v>29.03</v>
      </c>
      <c r="H28" s="5" t="s">
        <v>340</v>
      </c>
      <c r="I28" s="5">
        <v>5.7</v>
      </c>
      <c r="J28" s="3"/>
      <c r="K28" s="5" t="s">
        <v>40</v>
      </c>
      <c r="L28" s="8">
        <f>IFERROR(__xludf.DUMMYFUNCTION("IFERROR(GOOGLEFINANCE(C28, ""price""), IFERROR(GOOGLEFINANCE(""NASDAQ:""&amp;C28, ""price""), IFERROR(GOOGLEFINANCE(""NYSE:""&amp;C28, ""price""), """")))"),30.3)</f>
        <v>30.3</v>
      </c>
      <c r="M28" s="12">
        <f t="shared" si="2"/>
        <v>-0.04374784705</v>
      </c>
      <c r="N28" s="12">
        <f>IFERROR(__xludf.DUMMYFUNCTION("IFERROR(IF(OR(ISBLANK($G28), IFERROR(INDEX(GOOGLEFINANCE($C28, ""price"", WORKDAY(INT($B28), 1)), 2, 2), """")=""""), """", IF($D28=""LONG"", (IFERROR(INDEX(GOOGLEFINANCE($C28, ""price"", WORKDAY(INT($B28), 1)), 2, 2), """")-$G28)/$G28, ($G28-IFERROR(INDE"&amp;"X(GOOGLEFINANCE($C28, ""price"", WORKDAY(INT($B28), 1)), 2, 2), """"))/$G28)), """")"),-0.046159145711333095)</f>
        <v>-0.04615914571</v>
      </c>
      <c r="O28" s="12">
        <f>IFERROR(__xludf.DUMMYFUNCTION("IFERROR(IF(OR(ISBLANK($G28), IFERROR(INDEX(GOOGLEFINANCE($C28, ""price"", WORKDAY(INT($B28), 5)), 2, 2), """")=""""), """", IF($D28=""LONG"", (IFERROR(INDEX(GOOGLEFINANCE($C28, ""price"", WORKDAY(INT($B28), 5)), 2, 2), """")-$G28)/$G28, ($G28-IFERROR(INDE"&amp;"X(GOOGLEFINANCE($C28, ""price"", WORKDAY(INT($B28), 5)), 2, 2), """"))/$G28)), """")"),-0.03065794006200484)</f>
        <v>-0.03065794006</v>
      </c>
      <c r="P28" s="12" t="str">
        <f>IFERROR(__xludf.DUMMYFUNCTION("IFERROR(IF(OR(ISBLANK($G28), IFERROR(INDEX(GOOGLEFINANCE($C28, ""price"", WORKDAY(INT($B28), 20)), 2, 2), """")=""""), """", IF($D28=""LONG"", (IFERROR(INDEX(GOOGLEFINANCE($C28, ""price"", WORKDAY(INT($B28), 20)), 2, 2), """")-$G28)/$G28, ($G28-IFERROR(IN"&amp;"DEX(GOOGLEFINANCE($C28, ""price"", WORKDAY(INT($B28), 20)), 2, 2), """"))/$G28)), """")"),"")</f>
        <v/>
      </c>
      <c r="Q28" s="5" t="s">
        <v>344</v>
      </c>
      <c r="R28" s="21" t="s">
        <v>219</v>
      </c>
      <c r="S28" s="21" t="s">
        <v>345</v>
      </c>
      <c r="T28" s="21" t="s">
        <v>51</v>
      </c>
      <c r="U28" s="21"/>
      <c r="V28" s="21"/>
      <c r="W28" s="21"/>
      <c r="X28" s="21"/>
      <c r="Y28" s="21"/>
      <c r="Z28" s="21"/>
    </row>
    <row r="29">
      <c r="A29" s="3">
        <f t="shared" si="1"/>
        <v>28</v>
      </c>
      <c r="B29" s="4">
        <v>46213.66773148148</v>
      </c>
      <c r="C29" s="5" t="s">
        <v>341</v>
      </c>
      <c r="D29" s="5" t="s">
        <v>36</v>
      </c>
      <c r="E29" s="5" t="s">
        <v>37</v>
      </c>
      <c r="F29" s="6">
        <v>2.0</v>
      </c>
      <c r="G29" s="7">
        <v>60.44</v>
      </c>
      <c r="H29" s="5" t="s">
        <v>350</v>
      </c>
      <c r="I29" s="5">
        <v>91.9</v>
      </c>
      <c r="J29" s="3"/>
      <c r="K29" s="5" t="s">
        <v>40</v>
      </c>
      <c r="L29" s="8">
        <f>IFERROR(__xludf.DUMMYFUNCTION("IFERROR(GOOGLEFINANCE(C29, ""price""), IFERROR(GOOGLEFINANCE(""NASDAQ:""&amp;C29, ""price""), IFERROR(GOOGLEFINANCE(""NYSE:""&amp;C29, ""price""), """")))"),62.99)</f>
        <v>62.99</v>
      </c>
      <c r="M29" s="12">
        <f t="shared" si="2"/>
        <v>0.04219060225</v>
      </c>
      <c r="N29" s="12">
        <f>IFERROR(__xludf.DUMMYFUNCTION("IFERROR(IF(OR(ISBLANK($G29), IFERROR(INDEX(GOOGLEFINANCE($C29, ""price"", WORKDAY(INT($B29), 1)), 2, 2), """")=""""), """", IF($D29=""LONG"", (IFERROR(INDEX(GOOGLEFINANCE($C29, ""price"", WORKDAY(INT($B29), 1)), 2, 2), """")-$G29)/$G29, ($G29-IFERROR(INDE"&amp;"X(GOOGLEFINANCE($C29, ""price"", WORKDAY(INT($B29), 1)), 2, 2), """"))/$G29)), """")"),-0.015056254136333498)</f>
        <v>-0.01505625414</v>
      </c>
      <c r="O29" s="12">
        <f>IFERROR(__xludf.DUMMYFUNCTION("IFERROR(IF(OR(ISBLANK($G29), IFERROR(INDEX(GOOGLEFINANCE($C29, ""price"", WORKDAY(INT($B29), 5)), 2, 2), """")=""""), """", IF($D29=""LONG"", (IFERROR(INDEX(GOOGLEFINANCE($C29, ""price"", WORKDAY(INT($B29), 5)), 2, 2), """")-$G29)/$G29, ($G29-IFERROR(INDE"&amp;"X(GOOGLEFINANCE($C29, ""price"", WORKDAY(INT($B29), 5)), 2, 2), """"))/$G29)), """")"),-0.02630708140304428)</f>
        <v>-0.0263070814</v>
      </c>
      <c r="P29" s="12" t="str">
        <f>IFERROR(__xludf.DUMMYFUNCTION("IFERROR(IF(OR(ISBLANK($G29), IFERROR(INDEX(GOOGLEFINANCE($C29, ""price"", WORKDAY(INT($B29), 20)), 2, 2), """")=""""), """", IF($D29=""LONG"", (IFERROR(INDEX(GOOGLEFINANCE($C29, ""price"", WORKDAY(INT($B29), 20)), 2, 2), """")-$G29)/$G29, ($G29-IFERROR(IN"&amp;"DEX(GOOGLEFINANCE($C29, ""price"", WORKDAY(INT($B29), 20)), 2, 2), """"))/$G29)), """")"),"")</f>
        <v/>
      </c>
      <c r="Q29" s="5" t="s">
        <v>352</v>
      </c>
      <c r="R29" s="21" t="s">
        <v>219</v>
      </c>
      <c r="S29" s="21" t="s">
        <v>353</v>
      </c>
      <c r="T29" s="21" t="s">
        <v>51</v>
      </c>
      <c r="U29" s="21"/>
      <c r="V29" s="21"/>
      <c r="W29" s="21"/>
      <c r="X29" s="21"/>
      <c r="Y29" s="21"/>
      <c r="Z29" s="21"/>
    </row>
    <row r="30">
      <c r="A30" s="3">
        <f t="shared" si="1"/>
        <v>29</v>
      </c>
      <c r="B30" s="4">
        <v>46213.667604166665</v>
      </c>
      <c r="C30" s="5" t="s">
        <v>355</v>
      </c>
      <c r="D30" s="5" t="s">
        <v>119</v>
      </c>
      <c r="E30" s="5" t="s">
        <v>120</v>
      </c>
      <c r="F30" s="6">
        <v>4.0</v>
      </c>
      <c r="G30" s="7">
        <v>137.41</v>
      </c>
      <c r="H30" s="5" t="s">
        <v>356</v>
      </c>
      <c r="I30" s="5">
        <v>19.0</v>
      </c>
      <c r="J30" s="3"/>
      <c r="K30" s="5" t="s">
        <v>40</v>
      </c>
      <c r="L30" s="8">
        <f>IFERROR(__xludf.DUMMYFUNCTION("IFERROR(GOOGLEFINANCE(C30, ""price""), IFERROR(GOOGLEFINANCE(""NASDAQ:""&amp;C30, ""price""), IFERROR(GOOGLEFINANCE(""NYSE:""&amp;C30, ""price""), """")))"),138.44)</f>
        <v>138.44</v>
      </c>
      <c r="M30" s="12">
        <f t="shared" si="2"/>
        <v>-0.007495815443</v>
      </c>
      <c r="N30" s="12">
        <f>IFERROR(__xludf.DUMMYFUNCTION("IFERROR(IF(OR(ISBLANK($G30), IFERROR(INDEX(GOOGLEFINANCE($C30, ""price"", WORKDAY(INT($B30), 1)), 2, 2), """")=""""), """", IF($D30=""LONG"", (IFERROR(INDEX(GOOGLEFINANCE($C30, ""price"", WORKDAY(INT($B30), 1)), 2, 2), """")-$G30)/$G30, ($G30-IFERROR(INDE"&amp;"X(GOOGLEFINANCE($C30, ""price"", WORKDAY(INT($B30), 1)), 2, 2), """"))/$G30)), """")"),-0.007859689978895369)</f>
        <v>-0.007859689979</v>
      </c>
      <c r="O30" s="12">
        <f>IFERROR(__xludf.DUMMYFUNCTION("IFERROR(IF(OR(ISBLANK($G30), IFERROR(INDEX(GOOGLEFINANCE($C30, ""price"", WORKDAY(INT($B30), 5)), 2, 2), """")=""""), """", IF($D30=""LONG"", (IFERROR(INDEX(GOOGLEFINANCE($C30, ""price"", WORKDAY(INT($B30), 5)), 2, 2), """")-$G30)/$G30, ($G30-IFERROR(INDE"&amp;"X(GOOGLEFINANCE($C30, ""price"", WORKDAY(INT($B30), 5)), 2, 2), """"))/$G30)), """")"),0.002110472309147748)</f>
        <v>0.002110472309</v>
      </c>
      <c r="P30" s="12" t="str">
        <f>IFERROR(__xludf.DUMMYFUNCTION("IFERROR(IF(OR(ISBLANK($G30), IFERROR(INDEX(GOOGLEFINANCE($C30, ""price"", WORKDAY(INT($B30), 20)), 2, 2), """")=""""), """", IF($D30=""LONG"", (IFERROR(INDEX(GOOGLEFINANCE($C30, ""price"", WORKDAY(INT($B30), 20)), 2, 2), """")-$G30)/$G30, ($G30-IFERROR(IN"&amp;"DEX(GOOGLEFINANCE($C30, ""price"", WORKDAY(INT($B30), 20)), 2, 2), """"))/$G30)), """")"),"")</f>
        <v/>
      </c>
      <c r="Q30" s="5" t="s">
        <v>362</v>
      </c>
      <c r="R30" s="21" t="s">
        <v>219</v>
      </c>
      <c r="S30" s="21" t="s">
        <v>363</v>
      </c>
      <c r="T30" s="21" t="s">
        <v>51</v>
      </c>
      <c r="U30" s="21"/>
      <c r="V30" s="21"/>
      <c r="W30" s="21"/>
      <c r="X30" s="21"/>
      <c r="Y30" s="21"/>
      <c r="Z30" s="21"/>
    </row>
    <row r="31">
      <c r="A31" s="3">
        <f t="shared" si="1"/>
        <v>30</v>
      </c>
      <c r="B31" s="4">
        <v>46213.66775462963</v>
      </c>
      <c r="C31" s="5" t="s">
        <v>118</v>
      </c>
      <c r="D31" s="5" t="s">
        <v>119</v>
      </c>
      <c r="E31" s="5" t="s">
        <v>120</v>
      </c>
      <c r="F31" s="6">
        <v>4.0</v>
      </c>
      <c r="G31" s="7">
        <v>135.22</v>
      </c>
      <c r="H31" s="5" t="s">
        <v>365</v>
      </c>
      <c r="I31" s="5">
        <v>8.9</v>
      </c>
      <c r="J31" s="3"/>
      <c r="K31" s="5" t="s">
        <v>40</v>
      </c>
      <c r="L31" s="8">
        <f>IFERROR(__xludf.DUMMYFUNCTION("IFERROR(GOOGLEFINANCE(C31, ""price""), IFERROR(GOOGLEFINANCE(""NASDAQ:""&amp;C31, ""price""), IFERROR(GOOGLEFINANCE(""NYSE:""&amp;C31, ""price""), """")))"),171.11)</f>
        <v>171.11</v>
      </c>
      <c r="M31" s="12">
        <f t="shared" si="2"/>
        <v>-0.2654193167</v>
      </c>
      <c r="N31" s="12">
        <f>IFERROR(__xludf.DUMMYFUNCTION("IFERROR(IF(OR(ISBLANK($G31), IFERROR(INDEX(GOOGLEFINANCE($C31, ""price"", WORKDAY(INT($B31), 1)), 2, 2), """")=""""), """", IF($D31=""LONG"", (IFERROR(INDEX(GOOGLEFINANCE($C31, ""price"", WORKDAY(INT($B31), 1)), 2, 2), """")-$G31)/$G31, ($G31-IFERROR(INDE"&amp;"X(GOOGLEFINANCE($C31, ""price"", WORKDAY(INT($B31), 1)), 2, 2), """"))/$G31)), """")"),-0.024404673864812983)</f>
        <v>-0.02440467386</v>
      </c>
      <c r="O31" s="12">
        <f>IFERROR(__xludf.DUMMYFUNCTION("IFERROR(IF(OR(ISBLANK($G31), IFERROR(INDEX(GOOGLEFINANCE($C31, ""price"", WORKDAY(INT($B31), 5)), 2, 2), """")=""""), """", IF($D31=""LONG"", (IFERROR(INDEX(GOOGLEFINANCE($C31, ""price"", WORKDAY(INT($B31), 5)), 2, 2), """")-$G31)/$G31, ($G31-IFERROR(INDE"&amp;"X(GOOGLEFINANCE($C31, ""price"", WORKDAY(INT($B31), 5)), 2, 2), """"))/$G31)), """")"),-0.0617512202336932)</f>
        <v>-0.06175122023</v>
      </c>
      <c r="P31" s="12" t="str">
        <f>IFERROR(__xludf.DUMMYFUNCTION("IFERROR(IF(OR(ISBLANK($G31), IFERROR(INDEX(GOOGLEFINANCE($C31, ""price"", WORKDAY(INT($B31), 20)), 2, 2), """")=""""), """", IF($D31=""LONG"", (IFERROR(INDEX(GOOGLEFINANCE($C31, ""price"", WORKDAY(INT($B31), 20)), 2, 2), """")-$G31)/$G31, ($G31-IFERROR(IN"&amp;"DEX(GOOGLEFINANCE($C31, ""price"", WORKDAY(INT($B31), 20)), 2, 2), """"))/$G31)), """")"),"")</f>
        <v/>
      </c>
      <c r="Q31" s="5" t="s">
        <v>369</v>
      </c>
      <c r="R31" s="21" t="s">
        <v>240</v>
      </c>
      <c r="S31" s="21" t="s">
        <v>370</v>
      </c>
      <c r="T31" s="21" t="s">
        <v>51</v>
      </c>
      <c r="U31" s="21"/>
      <c r="V31" s="21"/>
      <c r="W31" s="21"/>
      <c r="X31" s="21"/>
      <c r="Y31" s="21"/>
      <c r="Z31" s="21"/>
    </row>
    <row r="32">
      <c r="A32" s="3">
        <f t="shared" si="1"/>
        <v>31</v>
      </c>
      <c r="B32" s="4">
        <v>46213.66767361111</v>
      </c>
      <c r="C32" s="5" t="s">
        <v>372</v>
      </c>
      <c r="D32" s="5" t="s">
        <v>119</v>
      </c>
      <c r="E32" s="5" t="s">
        <v>120</v>
      </c>
      <c r="F32" s="6">
        <v>4.0</v>
      </c>
      <c r="G32" s="7">
        <v>143.73</v>
      </c>
      <c r="H32" s="5" t="s">
        <v>373</v>
      </c>
      <c r="I32" s="5">
        <v>50.0</v>
      </c>
      <c r="J32" s="3"/>
      <c r="K32" s="5" t="s">
        <v>40</v>
      </c>
      <c r="L32" s="8">
        <f>IFERROR(__xludf.DUMMYFUNCTION("IFERROR(GOOGLEFINANCE(C32, ""price""), IFERROR(GOOGLEFINANCE(""NASDAQ:""&amp;C32, ""price""), IFERROR(GOOGLEFINANCE(""NYSE:""&amp;C32, ""price""), """")))"),133.37)</f>
        <v>133.37</v>
      </c>
      <c r="M32" s="12">
        <f t="shared" si="2"/>
        <v>0.07207959368</v>
      </c>
      <c r="N32" s="12">
        <f>IFERROR(__xludf.DUMMYFUNCTION("IFERROR(IF(OR(ISBLANK($G32), IFERROR(INDEX(GOOGLEFINANCE($C32, ""price"", WORKDAY(INT($B32), 1)), 2, 2), """")=""""), """", IF($D32=""LONG"", (IFERROR(INDEX(GOOGLEFINANCE($C32, ""price"", WORKDAY(INT($B32), 1)), 2, 2), """")-$G32)/$G32, ($G32-IFERROR(INDE"&amp;"X(GOOGLEFINANCE($C32, ""price"", WORKDAY(INT($B32), 1)), 2, 2), """"))/$G32)), """")"),0.019133096778682253)</f>
        <v>0.01913309678</v>
      </c>
      <c r="O32" s="12">
        <f>IFERROR(__xludf.DUMMYFUNCTION("IFERROR(IF(OR(ISBLANK($G32), IFERROR(INDEX(GOOGLEFINANCE($C32, ""price"", WORKDAY(INT($B32), 5)), 2, 2), """")=""""), """", IF($D32=""LONG"", (IFERROR(INDEX(GOOGLEFINANCE($C32, ""price"", WORKDAY(INT($B32), 5)), 2, 2), """")-$G32)/$G32, ($G32-IFERROR(INDE"&amp;"X(GOOGLEFINANCE($C32, ""price"", WORKDAY(INT($B32), 5)), 2, 2), """"))/$G32)), """")"),0.051346274264245435)</f>
        <v>0.05134627426</v>
      </c>
      <c r="P32" s="12" t="str">
        <f>IFERROR(__xludf.DUMMYFUNCTION("IFERROR(IF(OR(ISBLANK($G32), IFERROR(INDEX(GOOGLEFINANCE($C32, ""price"", WORKDAY(INT($B32), 20)), 2, 2), """")=""""), """", IF($D32=""LONG"", (IFERROR(INDEX(GOOGLEFINANCE($C32, ""price"", WORKDAY(INT($B32), 20)), 2, 2), """")-$G32)/$G32, ($G32-IFERROR(IN"&amp;"DEX(GOOGLEFINANCE($C32, ""price"", WORKDAY(INT($B32), 20)), 2, 2), """"))/$G32)), """")"),"")</f>
        <v/>
      </c>
      <c r="Q32" s="5" t="s">
        <v>377</v>
      </c>
      <c r="R32" s="21" t="s">
        <v>219</v>
      </c>
      <c r="S32" s="21" t="s">
        <v>378</v>
      </c>
      <c r="T32" s="21" t="s">
        <v>51</v>
      </c>
      <c r="U32" s="21"/>
      <c r="V32" s="21"/>
      <c r="W32" s="21"/>
      <c r="X32" s="21"/>
      <c r="Y32" s="21"/>
      <c r="Z32" s="21"/>
    </row>
    <row r="33">
      <c r="A33" s="3">
        <f t="shared" si="1"/>
        <v>32</v>
      </c>
      <c r="B33" s="4">
        <v>46213.66744212963</v>
      </c>
      <c r="C33" s="5" t="s">
        <v>379</v>
      </c>
      <c r="D33" s="5" t="s">
        <v>36</v>
      </c>
      <c r="E33" s="5" t="s">
        <v>37</v>
      </c>
      <c r="F33" s="6">
        <v>2.0</v>
      </c>
      <c r="G33" s="7">
        <v>49.42</v>
      </c>
      <c r="H33" s="5" t="s">
        <v>380</v>
      </c>
      <c r="I33" s="5">
        <v>81.4</v>
      </c>
      <c r="J33" s="3"/>
      <c r="K33" s="5" t="s">
        <v>40</v>
      </c>
      <c r="L33" s="8">
        <f>IFERROR(__xludf.DUMMYFUNCTION("IFERROR(GOOGLEFINANCE(C33, ""price""), IFERROR(GOOGLEFINANCE(""NASDAQ:""&amp;C33, ""price""), IFERROR(GOOGLEFINANCE(""NYSE:""&amp;C33, ""price""), """")))"),50.7)</f>
        <v>50.7</v>
      </c>
      <c r="M33" s="12">
        <f t="shared" si="2"/>
        <v>0.02590044516</v>
      </c>
      <c r="N33" s="12">
        <f>IFERROR(__xludf.DUMMYFUNCTION("IFERROR(IF(OR(ISBLANK($G33), IFERROR(INDEX(GOOGLEFINANCE($C33, ""price"", WORKDAY(INT($B33), 1)), 2, 2), """")=""""), """", IF($D33=""LONG"", (IFERROR(INDEX(GOOGLEFINANCE($C33, ""price"", WORKDAY(INT($B33), 1)), 2, 2), """")-$G33)/$G33, ($G33-IFERROR(INDE"&amp;"X(GOOGLEFINANCE($C33, ""price"", WORKDAY(INT($B33), 1)), 2, 2), """"))/$G33)), """")"),0.004451639012545505)</f>
        <v>0.004451639013</v>
      </c>
      <c r="O33" s="12">
        <f>IFERROR(__xludf.DUMMYFUNCTION("IFERROR(IF(OR(ISBLANK($G33), IFERROR(INDEX(GOOGLEFINANCE($C33, ""price"", WORKDAY(INT($B33), 5)), 2, 2), """")=""""), """", IF($D33=""LONG"", (IFERROR(INDEX(GOOGLEFINANCE($C33, ""price"", WORKDAY(INT($B33), 5)), 2, 2), """")-$G33)/$G33, ($G33-IFERROR(INDE"&amp;"X(GOOGLEFINANCE($C33, ""price"", WORKDAY(INT($B33), 5)), 2, 2), """"))/$G33)), """")"),0.026912181303116112)</f>
        <v>0.0269121813</v>
      </c>
      <c r="P33" s="12" t="str">
        <f>IFERROR(__xludf.DUMMYFUNCTION("IFERROR(IF(OR(ISBLANK($G33), IFERROR(INDEX(GOOGLEFINANCE($C33, ""price"", WORKDAY(INT($B33), 20)), 2, 2), """")=""""), """", IF($D33=""LONG"", (IFERROR(INDEX(GOOGLEFINANCE($C33, ""price"", WORKDAY(INT($B33), 20)), 2, 2), """")-$G33)/$G33, ($G33-IFERROR(IN"&amp;"DEX(GOOGLEFINANCE($C33, ""price"", WORKDAY(INT($B33), 20)), 2, 2), """"))/$G33)), """")"),"")</f>
        <v/>
      </c>
      <c r="Q33" s="5" t="s">
        <v>384</v>
      </c>
      <c r="R33" s="21" t="s">
        <v>240</v>
      </c>
      <c r="S33" s="21" t="s">
        <v>385</v>
      </c>
      <c r="T33" s="21" t="s">
        <v>51</v>
      </c>
      <c r="U33" s="21"/>
      <c r="V33" s="21"/>
      <c r="W33" s="21"/>
      <c r="X33" s="21"/>
      <c r="Y33" s="21"/>
      <c r="Z33" s="21"/>
    </row>
    <row r="34">
      <c r="A34" s="3">
        <f t="shared" si="1"/>
        <v>33</v>
      </c>
      <c r="B34" s="4">
        <v>46213.6674537037</v>
      </c>
      <c r="C34" s="5" t="s">
        <v>388</v>
      </c>
      <c r="D34" s="5" t="s">
        <v>119</v>
      </c>
      <c r="E34" s="5" t="s">
        <v>120</v>
      </c>
      <c r="F34" s="6">
        <v>4.0</v>
      </c>
      <c r="G34" s="7">
        <v>33.44</v>
      </c>
      <c r="H34" s="5" t="s">
        <v>389</v>
      </c>
      <c r="I34" s="5">
        <v>4.4</v>
      </c>
      <c r="J34" s="3"/>
      <c r="K34" s="5" t="s">
        <v>40</v>
      </c>
      <c r="L34" s="8">
        <f>IFERROR(__xludf.DUMMYFUNCTION("IFERROR(GOOGLEFINANCE(C34, ""price""), IFERROR(GOOGLEFINANCE(""NASDAQ:""&amp;C34, ""price""), IFERROR(GOOGLEFINANCE(""NYSE:""&amp;C34, ""price""), """")))"),36.53)</f>
        <v>36.53</v>
      </c>
      <c r="M34" s="12">
        <f t="shared" si="2"/>
        <v>-0.09240430622</v>
      </c>
      <c r="N34" s="12">
        <f>IFERROR(__xludf.DUMMYFUNCTION("IFERROR(IF(OR(ISBLANK($G34), IFERROR(INDEX(GOOGLEFINANCE($C34, ""price"", WORKDAY(INT($B34), 1)), 2, 2), """")=""""), """", IF($D34=""LONG"", (IFERROR(INDEX(GOOGLEFINANCE($C34, ""price"", WORKDAY(INT($B34), 1)), 2, 2), """")-$G34)/$G34, ($G34-IFERROR(INDE"&amp;"X(GOOGLEFINANCE($C34, ""price"", WORKDAY(INT($B34), 1)), 2, 2), """"))/$G34)), """")"),-0.036782296650717826)</f>
        <v>-0.03678229665</v>
      </c>
      <c r="O34" s="12">
        <f>IFERROR(__xludf.DUMMYFUNCTION("IFERROR(IF(OR(ISBLANK($G34), IFERROR(INDEX(GOOGLEFINANCE($C34, ""price"", WORKDAY(INT($B34), 5)), 2, 2), """")=""""), """", IF($D34=""LONG"", (IFERROR(INDEX(GOOGLEFINANCE($C34, ""price"", WORKDAY(INT($B34), 5)), 2, 2), """")-$G34)/$G34, ($G34-IFERROR(INDE"&amp;"X(GOOGLEFINANCE($C34, ""price"", WORKDAY(INT($B34), 5)), 2, 2), """"))/$G34)), """")"),-0.05322966507177037)</f>
        <v>-0.05322966507</v>
      </c>
      <c r="P34" s="12" t="str">
        <f>IFERROR(__xludf.DUMMYFUNCTION("IFERROR(IF(OR(ISBLANK($G34), IFERROR(INDEX(GOOGLEFINANCE($C34, ""price"", WORKDAY(INT($B34), 20)), 2, 2), """")=""""), """", IF($D34=""LONG"", (IFERROR(INDEX(GOOGLEFINANCE($C34, ""price"", WORKDAY(INT($B34), 20)), 2, 2), """")-$G34)/$G34, ($G34-IFERROR(IN"&amp;"DEX(GOOGLEFINANCE($C34, ""price"", WORKDAY(INT($B34), 20)), 2, 2), """"))/$G34)), """")"),"")</f>
        <v/>
      </c>
      <c r="Q34" s="5" t="s">
        <v>393</v>
      </c>
      <c r="R34" s="21" t="s">
        <v>219</v>
      </c>
      <c r="S34" s="21" t="s">
        <v>394</v>
      </c>
      <c r="T34" s="21" t="s">
        <v>51</v>
      </c>
      <c r="U34" s="21"/>
      <c r="V34" s="21"/>
      <c r="W34" s="21"/>
      <c r="X34" s="21"/>
      <c r="Y34" s="21"/>
      <c r="Z34" s="21"/>
    </row>
    <row r="35">
      <c r="A35" s="3">
        <f t="shared" si="1"/>
        <v>34</v>
      </c>
      <c r="B35" s="4">
        <v>46213.667719907404</v>
      </c>
      <c r="C35" s="5" t="s">
        <v>43</v>
      </c>
      <c r="D35" s="5" t="s">
        <v>36</v>
      </c>
      <c r="E35" s="5" t="s">
        <v>133</v>
      </c>
      <c r="F35" s="6">
        <v>2.0</v>
      </c>
      <c r="G35" s="7">
        <v>257.48</v>
      </c>
      <c r="H35" s="5" t="s">
        <v>395</v>
      </c>
      <c r="I35" s="5">
        <v>87.4</v>
      </c>
      <c r="J35" s="3"/>
      <c r="K35" s="5" t="s">
        <v>40</v>
      </c>
      <c r="L35" s="8">
        <f>IFERROR(__xludf.DUMMYFUNCTION("IFERROR(GOOGLEFINANCE(C35, ""price""), IFERROR(GOOGLEFINANCE(""NASDAQ:""&amp;C35, ""price""), IFERROR(GOOGLEFINANCE(""NYSE:""&amp;C35, ""price""), """")))"),229.29)</f>
        <v>229.29</v>
      </c>
      <c r="M35" s="12">
        <f t="shared" si="2"/>
        <v>-0.1094842318</v>
      </c>
      <c r="N35" s="12">
        <f>IFERROR(__xludf.DUMMYFUNCTION("IFERROR(IF(OR(ISBLANK($G35), IFERROR(INDEX(GOOGLEFINANCE($C35, ""price"", WORKDAY(INT($B35), 1)), 2, 2), """")=""""), """", IF($D35=""LONG"", (IFERROR(INDEX(GOOGLEFINANCE($C35, ""price"", WORKDAY(INT($B35), 1)), 2, 2), """")-$G35)/$G35, ($G35-IFERROR(INDE"&amp;"X(GOOGLEFINANCE($C35, ""price"", WORKDAY(INT($B35), 1)), 2, 2), """"))/$G35)), """")"),0.01071927916731393)</f>
        <v>0.01071927917</v>
      </c>
      <c r="O35" s="12">
        <f>IFERROR(__xludf.DUMMYFUNCTION("IFERROR(IF(OR(ISBLANK($G35), IFERROR(INDEX(GOOGLEFINANCE($C35, ""price"", WORKDAY(INT($B35), 5)), 2, 2), """")=""""), """", IF($D35=""LONG"", (IFERROR(INDEX(GOOGLEFINANCE($C35, ""price"", WORKDAY(INT($B35), 5)), 2, 2), """")-$G35)/$G35, ($G35-IFERROR(INDE"&amp;"X(GOOGLEFINANCE($C35, ""price"", WORKDAY(INT($B35), 5)), 2, 2), """"))/$G35)), """")"),0.004699394127699159)</f>
        <v>0.004699394128</v>
      </c>
      <c r="P35" s="12" t="str">
        <f>IFERROR(__xludf.DUMMYFUNCTION("IFERROR(IF(OR(ISBLANK($G35), IFERROR(INDEX(GOOGLEFINANCE($C35, ""price"", WORKDAY(INT($B35), 20)), 2, 2), """")=""""), """", IF($D35=""LONG"", (IFERROR(INDEX(GOOGLEFINANCE($C35, ""price"", WORKDAY(INT($B35), 20)), 2, 2), """")-$G35)/$G35, ($G35-IFERROR(IN"&amp;"DEX(GOOGLEFINANCE($C35, ""price"", WORKDAY(INT($B35), 20)), 2, 2), """"))/$G35)), """")"),"")</f>
        <v/>
      </c>
      <c r="Q35" s="5" t="s">
        <v>401</v>
      </c>
      <c r="R35" s="21" t="s">
        <v>402</v>
      </c>
      <c r="S35" s="21" t="s">
        <v>403</v>
      </c>
      <c r="T35" s="21" t="s">
        <v>51</v>
      </c>
      <c r="U35" s="21"/>
      <c r="V35" s="21"/>
      <c r="W35" s="21"/>
      <c r="X35" s="21"/>
      <c r="Y35" s="21"/>
      <c r="Z35" s="21"/>
    </row>
    <row r="36">
      <c r="A36" s="3">
        <f t="shared" si="1"/>
        <v>35</v>
      </c>
      <c r="B36" s="4">
        <v>46213.66777777778</v>
      </c>
      <c r="C36" s="5" t="s">
        <v>123</v>
      </c>
      <c r="D36" s="5" t="s">
        <v>36</v>
      </c>
      <c r="E36" s="5" t="s">
        <v>37</v>
      </c>
      <c r="F36" s="6">
        <v>2.0</v>
      </c>
      <c r="G36" s="7">
        <v>17.87</v>
      </c>
      <c r="H36" s="5" t="s">
        <v>405</v>
      </c>
      <c r="I36" s="5">
        <v>95.1</v>
      </c>
      <c r="J36" s="3"/>
      <c r="K36" s="5" t="s">
        <v>40</v>
      </c>
      <c r="L36" s="8">
        <f>IFERROR(__xludf.DUMMYFUNCTION("IFERROR(GOOGLEFINANCE(C36, ""price""), IFERROR(GOOGLEFINANCE(""NASDAQ:""&amp;C36, ""price""), IFERROR(GOOGLEFINANCE(""NYSE:""&amp;C36, ""price""), """")))"),17.36)</f>
        <v>17.36</v>
      </c>
      <c r="M36" s="12">
        <f t="shared" si="2"/>
        <v>-0.02853945159</v>
      </c>
      <c r="N36" s="12">
        <f>IFERROR(__xludf.DUMMYFUNCTION("IFERROR(IF(OR(ISBLANK($G36), IFERROR(INDEX(GOOGLEFINANCE($C36, ""price"", WORKDAY(INT($B36), 1)), 2, 2), """")=""""), """", IF($D36=""LONG"", (IFERROR(INDEX(GOOGLEFINANCE($C36, ""price"", WORKDAY(INT($B36), 1)), 2, 2), """")-$G36)/$G36, ($G36-IFERROR(INDE"&amp;"X(GOOGLEFINANCE($C36, ""price"", WORKDAY(INT($B36), 1)), 2, 2), """"))/$G36)), """")"),0.003357582540570717)</f>
        <v>0.003357582541</v>
      </c>
      <c r="O36" s="12">
        <f>IFERROR(__xludf.DUMMYFUNCTION("IFERROR(IF(OR(ISBLANK($G36), IFERROR(INDEX(GOOGLEFINANCE($C36, ""price"", WORKDAY(INT($B36), 5)), 2, 2), """")=""""), """", IF($D36=""LONG"", (IFERROR(INDEX(GOOGLEFINANCE($C36, ""price"", WORKDAY(INT($B36), 5)), 2, 2), """")-$G36)/$G36, ($G36-IFERROR(INDE"&amp;"X(GOOGLEFINANCE($C36, ""price"", WORKDAY(INT($B36), 5)), 2, 2), """"))/$G36)), """")"),0.02126468942361494)</f>
        <v>0.02126468942</v>
      </c>
      <c r="P36" s="12" t="str">
        <f>IFERROR(__xludf.DUMMYFUNCTION("IFERROR(IF(OR(ISBLANK($G36), IFERROR(INDEX(GOOGLEFINANCE($C36, ""price"", WORKDAY(INT($B36), 20)), 2, 2), """")=""""), """", IF($D36=""LONG"", (IFERROR(INDEX(GOOGLEFINANCE($C36, ""price"", WORKDAY(INT($B36), 20)), 2, 2), """")-$G36)/$G36, ($G36-IFERROR(IN"&amp;"DEX(GOOGLEFINANCE($C36, ""price"", WORKDAY(INT($B36), 20)), 2, 2), """"))/$G36)), """")"),"")</f>
        <v/>
      </c>
      <c r="Q36" s="5" t="s">
        <v>410</v>
      </c>
      <c r="R36" s="21" t="s">
        <v>240</v>
      </c>
      <c r="S36" s="21" t="s">
        <v>411</v>
      </c>
      <c r="T36" s="21" t="s">
        <v>51</v>
      </c>
      <c r="U36" s="21"/>
      <c r="V36" s="21"/>
      <c r="W36" s="21"/>
      <c r="X36" s="21"/>
      <c r="Y36" s="21"/>
      <c r="Z36" s="21"/>
    </row>
    <row r="37">
      <c r="A37" s="3">
        <f t="shared" si="1"/>
        <v>36</v>
      </c>
      <c r="B37" s="4">
        <v>46213.66783564815</v>
      </c>
      <c r="C37" s="5" t="s">
        <v>413</v>
      </c>
      <c r="D37" s="5" t="s">
        <v>36</v>
      </c>
      <c r="E37" s="5" t="s">
        <v>37</v>
      </c>
      <c r="F37" s="6">
        <v>2.0</v>
      </c>
      <c r="G37" s="7">
        <v>187.18</v>
      </c>
      <c r="H37" s="5" t="s">
        <v>414</v>
      </c>
      <c r="I37" s="5">
        <v>93.4</v>
      </c>
      <c r="J37" s="3"/>
      <c r="K37" s="5" t="s">
        <v>40</v>
      </c>
      <c r="L37" s="8">
        <f>IFERROR(__xludf.DUMMYFUNCTION("IFERROR(GOOGLEFINANCE(C37, ""price""), IFERROR(GOOGLEFINANCE(""NASDAQ:""&amp;C37, ""price""), IFERROR(GOOGLEFINANCE(""NYSE:""&amp;C37, ""price""), """")))"),207.39)</f>
        <v>207.39</v>
      </c>
      <c r="M37" s="12">
        <f t="shared" si="2"/>
        <v>0.1079709371</v>
      </c>
      <c r="N37" s="12">
        <f>IFERROR(__xludf.DUMMYFUNCTION("IFERROR(IF(OR(ISBLANK($G37), IFERROR(INDEX(GOOGLEFINANCE($C37, ""price"", WORKDAY(INT($B37), 1)), 2, 2), """")=""""), """", IF($D37=""LONG"", (IFERROR(INDEX(GOOGLEFINANCE($C37, ""price"", WORKDAY(INT($B37), 1)), 2, 2), """")-$G37)/$G37, ($G37-IFERROR(INDE"&amp;"X(GOOGLEFINANCE($C37, ""price"", WORKDAY(INT($B37), 1)), 2, 2), """"))/$G37)), """")"),0.0038999893150977122)</f>
        <v>0.003899989315</v>
      </c>
      <c r="O37" s="12">
        <f>IFERROR(__xludf.DUMMYFUNCTION("IFERROR(IF(OR(ISBLANK($G37), IFERROR(INDEX(GOOGLEFINANCE($C37, ""price"", WORKDAY(INT($B37), 5)), 2, 2), """")=""""), """", IF($D37=""LONG"", (IFERROR(INDEX(GOOGLEFINANCE($C37, ""price"", WORKDAY(INT($B37), 5)), 2, 2), """")-$G37)/$G37, ($G37-IFERROR(INDE"&amp;"X(GOOGLEFINANCE($C37, ""price"", WORKDAY(INT($B37), 5)), 2, 2), """"))/$G37)), """")"),0.08494497275349933)</f>
        <v>0.08494497275</v>
      </c>
      <c r="P37" s="12" t="str">
        <f>IFERROR(__xludf.DUMMYFUNCTION("IFERROR(IF(OR(ISBLANK($G37), IFERROR(INDEX(GOOGLEFINANCE($C37, ""price"", WORKDAY(INT($B37), 20)), 2, 2), """")=""""), """", IF($D37=""LONG"", (IFERROR(INDEX(GOOGLEFINANCE($C37, ""price"", WORKDAY(INT($B37), 20)), 2, 2), """")-$G37)/$G37, ($G37-IFERROR(IN"&amp;"DEX(GOOGLEFINANCE($C37, ""price"", WORKDAY(INT($B37), 20)), 2, 2), """"))/$G37)), """")"),"")</f>
        <v/>
      </c>
      <c r="Q37" s="5" t="s">
        <v>418</v>
      </c>
      <c r="R37" s="21" t="s">
        <v>219</v>
      </c>
      <c r="S37" s="21" t="s">
        <v>420</v>
      </c>
      <c r="T37" s="21" t="s">
        <v>51</v>
      </c>
      <c r="U37" s="21"/>
      <c r="V37" s="21"/>
      <c r="W37" s="21"/>
      <c r="X37" s="21"/>
      <c r="Y37" s="21"/>
      <c r="Z37" s="21"/>
    </row>
    <row r="38">
      <c r="A38" s="3">
        <f t="shared" si="1"/>
        <v>37</v>
      </c>
      <c r="B38" s="4">
        <v>46213.66746527778</v>
      </c>
      <c r="C38" s="5" t="s">
        <v>422</v>
      </c>
      <c r="D38" s="5" t="s">
        <v>119</v>
      </c>
      <c r="E38" s="5" t="s">
        <v>120</v>
      </c>
      <c r="F38" s="6">
        <v>4.0</v>
      </c>
      <c r="G38" s="7">
        <v>245.36</v>
      </c>
      <c r="H38" s="5" t="s">
        <v>423</v>
      </c>
      <c r="I38" s="5">
        <v>11.1</v>
      </c>
      <c r="J38" s="3"/>
      <c r="K38" s="5" t="s">
        <v>40</v>
      </c>
      <c r="L38" s="8">
        <f>IFERROR(__xludf.DUMMYFUNCTION("IFERROR(GOOGLEFINANCE(C38, ""price""), IFERROR(GOOGLEFINANCE(""NASDAQ:""&amp;C38, ""price""), IFERROR(GOOGLEFINANCE(""NYSE:""&amp;C38, ""price""), """")))"),272.26)</f>
        <v>272.26</v>
      </c>
      <c r="M38" s="12">
        <f t="shared" si="2"/>
        <v>-0.1096348223</v>
      </c>
      <c r="N38" s="12">
        <f>IFERROR(__xludf.DUMMYFUNCTION("IFERROR(IF(OR(ISBLANK($G38), IFERROR(INDEX(GOOGLEFINANCE($C38, ""price"", WORKDAY(INT($B38), 1)), 2, 2), """")=""""), """", IF($D38=""LONG"", (IFERROR(INDEX(GOOGLEFINANCE($C38, ""price"", WORKDAY(INT($B38), 1)), 2, 2), """")-$G38)/$G38, ($G38-IFERROR(INDE"&amp;"X(GOOGLEFINANCE($C38, ""price"", WORKDAY(INT($B38), 1)), 2, 2), """"))/$G38)), """")"),-0.007947505705901485)</f>
        <v>-0.007947505706</v>
      </c>
      <c r="O38" s="12">
        <f>IFERROR(__xludf.DUMMYFUNCTION("IFERROR(IF(OR(ISBLANK($G38), IFERROR(INDEX(GOOGLEFINANCE($C38, ""price"", WORKDAY(INT($B38), 5)), 2, 2), """")=""""), """", IF($D38=""LONG"", (IFERROR(INDEX(GOOGLEFINANCE($C38, ""price"", WORKDAY(INT($B38), 5)), 2, 2), """")-$G38)/$G38, ($G38-IFERROR(INDE"&amp;"X(GOOGLEFINANCE($C38, ""price"", WORKDAY(INT($B38), 5)), 2, 2), """"))/$G38)), """")"),-0.007621454189761885)</f>
        <v>-0.00762145419</v>
      </c>
      <c r="P38" s="12" t="str">
        <f>IFERROR(__xludf.DUMMYFUNCTION("IFERROR(IF(OR(ISBLANK($G38), IFERROR(INDEX(GOOGLEFINANCE($C38, ""price"", WORKDAY(INT($B38), 20)), 2, 2), """")=""""), """", IF($D38=""LONG"", (IFERROR(INDEX(GOOGLEFINANCE($C38, ""price"", WORKDAY(INT($B38), 20)), 2, 2), """")-$G38)/$G38, ($G38-IFERROR(IN"&amp;"DEX(GOOGLEFINANCE($C38, ""price"", WORKDAY(INT($B38), 20)), 2, 2), """"))/$G38)), """")"),"")</f>
        <v/>
      </c>
      <c r="Q38" s="5" t="s">
        <v>427</v>
      </c>
      <c r="R38" s="21" t="s">
        <v>240</v>
      </c>
      <c r="S38" s="21" t="s">
        <v>428</v>
      </c>
      <c r="T38" s="21" t="s">
        <v>51</v>
      </c>
      <c r="U38" s="21"/>
      <c r="V38" s="21"/>
      <c r="W38" s="21"/>
      <c r="X38" s="21"/>
      <c r="Y38" s="21"/>
      <c r="Z38" s="21"/>
    </row>
    <row r="39">
      <c r="A39" s="3">
        <f t="shared" si="1"/>
        <v>38</v>
      </c>
      <c r="B39" s="4">
        <v>46213.667708333334</v>
      </c>
      <c r="C39" s="5" t="s">
        <v>431</v>
      </c>
      <c r="D39" s="5" t="s">
        <v>119</v>
      </c>
      <c r="E39" s="5" t="s">
        <v>120</v>
      </c>
      <c r="F39" s="6">
        <v>4.0</v>
      </c>
      <c r="G39" s="7">
        <v>138.82</v>
      </c>
      <c r="H39" s="5" t="s">
        <v>432</v>
      </c>
      <c r="I39" s="5">
        <v>4.5</v>
      </c>
      <c r="J39" s="3"/>
      <c r="K39" s="5" t="s">
        <v>40</v>
      </c>
      <c r="L39" s="8">
        <f>IFERROR(__xludf.DUMMYFUNCTION("IFERROR(GOOGLEFINANCE(C39, ""price""), IFERROR(GOOGLEFINANCE(""NASDAQ:""&amp;C39, ""price""), IFERROR(GOOGLEFINANCE(""NYSE:""&amp;C39, ""price""), """")))"),154.84)</f>
        <v>154.84</v>
      </c>
      <c r="M39" s="12">
        <f t="shared" si="2"/>
        <v>-0.115401239</v>
      </c>
      <c r="N39" s="12">
        <f>IFERROR(__xludf.DUMMYFUNCTION("IFERROR(IF(OR(ISBLANK($G39), IFERROR(INDEX(GOOGLEFINANCE($C39, ""price"", WORKDAY(INT($B39), 1)), 2, 2), """")=""""), """", IF($D39=""LONG"", (IFERROR(INDEX(GOOGLEFINANCE($C39, ""price"", WORKDAY(INT($B39), 1)), 2, 2), """")-$G39)/$G39, ($G39-IFERROR(INDE"&amp;"X(GOOGLEFINANCE($C39, ""price"", WORKDAY(INT($B39), 1)), 2, 2), """"))/$G39)), """")"),-0.04098833021178503)</f>
        <v>-0.04098833021</v>
      </c>
      <c r="O39" s="12">
        <f>IFERROR(__xludf.DUMMYFUNCTION("IFERROR(IF(OR(ISBLANK($G39), IFERROR(INDEX(GOOGLEFINANCE($C39, ""price"", WORKDAY(INT($B39), 5)), 2, 2), """")=""""), """", IF($D39=""LONG"", (IFERROR(INDEX(GOOGLEFINANCE($C39, ""price"", WORKDAY(INT($B39), 5)), 2, 2), """")-$G39)/$G39, ($G39-IFERROR(INDE"&amp;"X(GOOGLEFINANCE($C39, ""price"", WORKDAY(INT($B39), 5)), 2, 2), """"))/$G39)), """")"),-0.06151851318253869)</f>
        <v>-0.06151851318</v>
      </c>
      <c r="P39" s="12" t="str">
        <f>IFERROR(__xludf.DUMMYFUNCTION("IFERROR(IF(OR(ISBLANK($G39), IFERROR(INDEX(GOOGLEFINANCE($C39, ""price"", WORKDAY(INT($B39), 20)), 2, 2), """")=""""), """", IF($D39=""LONG"", (IFERROR(INDEX(GOOGLEFINANCE($C39, ""price"", WORKDAY(INT($B39), 20)), 2, 2), """")-$G39)/$G39, ($G39-IFERROR(IN"&amp;"DEX(GOOGLEFINANCE($C39, ""price"", WORKDAY(INT($B39), 20)), 2, 2), """"))/$G39)), """")"),"")</f>
        <v/>
      </c>
      <c r="Q39" s="5" t="s">
        <v>439</v>
      </c>
      <c r="R39" s="21" t="s">
        <v>240</v>
      </c>
      <c r="S39" s="21" t="s">
        <v>441</v>
      </c>
      <c r="T39" s="21" t="s">
        <v>51</v>
      </c>
      <c r="U39" s="21"/>
      <c r="V39" s="21"/>
      <c r="W39" s="21"/>
      <c r="X39" s="21"/>
      <c r="Y39" s="21"/>
      <c r="Z39" s="21"/>
    </row>
    <row r="40">
      <c r="A40" s="3">
        <f t="shared" si="1"/>
        <v>39</v>
      </c>
      <c r="B40" s="4">
        <v>46213.667708333334</v>
      </c>
      <c r="C40" s="5" t="s">
        <v>442</v>
      </c>
      <c r="D40" s="5" t="s">
        <v>36</v>
      </c>
      <c r="E40" s="5" t="s">
        <v>133</v>
      </c>
      <c r="F40" s="6">
        <v>2.0</v>
      </c>
      <c r="G40" s="7">
        <v>565.6</v>
      </c>
      <c r="H40" s="5" t="s">
        <v>443</v>
      </c>
      <c r="I40" s="5">
        <v>97.3</v>
      </c>
      <c r="J40" s="3"/>
      <c r="K40" s="5" t="s">
        <v>40</v>
      </c>
      <c r="L40" s="8">
        <f>IFERROR(__xludf.DUMMYFUNCTION("IFERROR(GOOGLEFINANCE(C40, ""price""), IFERROR(GOOGLEFINANCE(""NASDAQ:""&amp;C40, ""price""), IFERROR(GOOGLEFINANCE(""NYSE:""&amp;C40, ""price""), """")))"),522.46)</f>
        <v>522.46</v>
      </c>
      <c r="M40" s="12">
        <f t="shared" si="2"/>
        <v>-0.07627298444</v>
      </c>
      <c r="N40" s="12">
        <f>IFERROR(__xludf.DUMMYFUNCTION("IFERROR(IF(OR(ISBLANK($G40), IFERROR(INDEX(GOOGLEFINANCE($C40, ""price"", WORKDAY(INT($B40), 1)), 2, 2), """")=""""), """", IF($D40=""LONG"", (IFERROR(INDEX(GOOGLEFINANCE($C40, ""price"", WORKDAY(INT($B40), 1)), 2, 2), """")-$G40)/$G40, ($G40-IFERROR(INDE"&amp;"X(GOOGLEFINANCE($C40, ""price"", WORKDAY(INT($B40), 1)), 2, 2), """"))/$G40)), """")"),-0.03283239038189542)</f>
        <v>-0.03283239038</v>
      </c>
      <c r="O40" s="12">
        <f>IFERROR(__xludf.DUMMYFUNCTION("IFERROR(IF(OR(ISBLANK($G40), IFERROR(INDEX(GOOGLEFINANCE($C40, ""price"", WORKDAY(INT($B40), 5)), 2, 2), """")=""""), """", IF($D40=""LONG"", (IFERROR(INDEX(GOOGLEFINANCE($C40, ""price"", WORKDAY(INT($B40), 5)), 2, 2), """")-$G40)/$G40, ($G40-IFERROR(INDE"&amp;"X(GOOGLEFINANCE($C40, ""price"", WORKDAY(INT($B40), 5)), 2, 2), """"))/$G40)), """")"),-0.0978076379066479)</f>
        <v>-0.09780763791</v>
      </c>
      <c r="P40" s="12" t="str">
        <f>IFERROR(__xludf.DUMMYFUNCTION("IFERROR(IF(OR(ISBLANK($G40), IFERROR(INDEX(GOOGLEFINANCE($C40, ""price"", WORKDAY(INT($B40), 20)), 2, 2), """")=""""), """", IF($D40=""LONG"", (IFERROR(INDEX(GOOGLEFINANCE($C40, ""price"", WORKDAY(INT($B40), 20)), 2, 2), """")-$G40)/$G40, ($G40-IFERROR(IN"&amp;"DEX(GOOGLEFINANCE($C40, ""price"", WORKDAY(INT($B40), 20)), 2, 2), """"))/$G40)), """")"),"")</f>
        <v/>
      </c>
      <c r="Q40" s="5" t="s">
        <v>447</v>
      </c>
      <c r="R40" s="21" t="s">
        <v>402</v>
      </c>
      <c r="S40" s="21" t="s">
        <v>448</v>
      </c>
      <c r="T40" s="21" t="s">
        <v>51</v>
      </c>
      <c r="U40" s="21"/>
      <c r="V40" s="21"/>
      <c r="W40" s="21"/>
      <c r="X40" s="21"/>
      <c r="Y40" s="21"/>
      <c r="Z40" s="21"/>
    </row>
    <row r="41">
      <c r="A41" s="3">
        <f t="shared" si="1"/>
        <v>40</v>
      </c>
      <c r="B41" s="4">
        <v>46213.66778935185</v>
      </c>
      <c r="C41" s="5" t="s">
        <v>452</v>
      </c>
      <c r="D41" s="5" t="s">
        <v>119</v>
      </c>
      <c r="E41" s="5" t="s">
        <v>120</v>
      </c>
      <c r="F41" s="6">
        <v>4.0</v>
      </c>
      <c r="G41" s="7">
        <v>56.35</v>
      </c>
      <c r="H41" s="5" t="s">
        <v>453</v>
      </c>
      <c r="I41" s="5">
        <v>8.3</v>
      </c>
      <c r="J41" s="3"/>
      <c r="K41" s="5" t="s">
        <v>40</v>
      </c>
      <c r="L41" s="8">
        <f>IFERROR(__xludf.DUMMYFUNCTION("IFERROR(GOOGLEFINANCE(C41, ""price""), IFERROR(GOOGLEFINANCE(""NASDAQ:""&amp;C41, ""price""), IFERROR(GOOGLEFINANCE(""NYSE:""&amp;C41, ""price""), """")))"),61.44)</f>
        <v>61.44</v>
      </c>
      <c r="M41" s="12">
        <f t="shared" si="2"/>
        <v>-0.09032830524</v>
      </c>
      <c r="N41" s="12">
        <f>IFERROR(__xludf.DUMMYFUNCTION("IFERROR(IF(OR(ISBLANK($G41), IFERROR(INDEX(GOOGLEFINANCE($C41, ""price"", WORKDAY(INT($B41), 1)), 2, 2), """")=""""), """", IF($D41=""LONG"", (IFERROR(INDEX(GOOGLEFINANCE($C41, ""price"", WORKDAY(INT($B41), 1)), 2, 2), """")-$G41)/$G41, ($G41-IFERROR(INDE"&amp;"X(GOOGLEFINANCE($C41, ""price"", WORKDAY(INT($B41), 1)), 2, 2), """"))/$G41)), """")"),-0.03496007098491569)</f>
        <v>-0.03496007098</v>
      </c>
      <c r="O41" s="12">
        <f>IFERROR(__xludf.DUMMYFUNCTION("IFERROR(IF(OR(ISBLANK($G41), IFERROR(INDEX(GOOGLEFINANCE($C41, ""price"", WORKDAY(INT($B41), 5)), 2, 2), """")=""""), """", IF($D41=""LONG"", (IFERROR(INDEX(GOOGLEFINANCE($C41, ""price"", WORKDAY(INT($B41), 5)), 2, 2), """")-$G41)/$G41, ($G41-IFERROR(INDE"&amp;"X(GOOGLEFINANCE($C41, ""price"", WORKDAY(INT($B41), 5)), 2, 2), """"))/$G41)), """")"),-0.05004436557231589)</f>
        <v>-0.05004436557</v>
      </c>
      <c r="P41" s="12" t="str">
        <f>IFERROR(__xludf.DUMMYFUNCTION("IFERROR(IF(OR(ISBLANK($G41), IFERROR(INDEX(GOOGLEFINANCE($C41, ""price"", WORKDAY(INT($B41), 20)), 2, 2), """")=""""), """", IF($D41=""LONG"", (IFERROR(INDEX(GOOGLEFINANCE($C41, ""price"", WORKDAY(INT($B41), 20)), 2, 2), """")-$G41)/$G41, ($G41-IFERROR(IN"&amp;"DEX(GOOGLEFINANCE($C41, ""price"", WORKDAY(INT($B41), 20)), 2, 2), """"))/$G41)), """")"),"")</f>
        <v/>
      </c>
      <c r="Q41" s="5" t="s">
        <v>460</v>
      </c>
      <c r="R41" s="21" t="s">
        <v>240</v>
      </c>
      <c r="S41" s="21" t="s">
        <v>461</v>
      </c>
      <c r="T41" s="21" t="s">
        <v>51</v>
      </c>
      <c r="U41" s="21"/>
      <c r="V41" s="21"/>
      <c r="W41" s="21"/>
      <c r="X41" s="21"/>
      <c r="Y41" s="21"/>
      <c r="Z41" s="21"/>
    </row>
    <row r="42">
      <c r="A42" s="3">
        <f t="shared" si="1"/>
        <v>41</v>
      </c>
      <c r="B42" s="4">
        <v>46213.66773148148</v>
      </c>
      <c r="C42" s="5" t="s">
        <v>236</v>
      </c>
      <c r="D42" s="5" t="s">
        <v>36</v>
      </c>
      <c r="E42" s="5" t="s">
        <v>37</v>
      </c>
      <c r="F42" s="6">
        <v>2.0</v>
      </c>
      <c r="G42" s="7">
        <v>1291.28</v>
      </c>
      <c r="H42" s="5" t="s">
        <v>462</v>
      </c>
      <c r="I42" s="5">
        <v>94.0</v>
      </c>
      <c r="J42" s="3"/>
      <c r="K42" s="5" t="s">
        <v>40</v>
      </c>
      <c r="L42" s="8">
        <f>IFERROR(__xludf.DUMMYFUNCTION("IFERROR(GOOGLEFINANCE(C42, ""price""), IFERROR(GOOGLEFINANCE(""NASDAQ:""&amp;C42, ""price""), IFERROR(GOOGLEFINANCE(""NYSE:""&amp;C42, ""price""), """")))"),1262.07)</f>
        <v>1262.07</v>
      </c>
      <c r="M42" s="12">
        <f t="shared" si="2"/>
        <v>-0.02262096524</v>
      </c>
      <c r="N42" s="12">
        <f>IFERROR(__xludf.DUMMYFUNCTION("IFERROR(IF(OR(ISBLANK($G42), IFERROR(INDEX(GOOGLEFINANCE($C42, ""price"", WORKDAY(INT($B42), 1)), 2, 2), """")=""""), """", IF($D42=""LONG"", (IFERROR(INDEX(GOOGLEFINANCE($C42, ""price"", WORKDAY(INT($B42), 1)), 2, 2), """")-$G42)/$G42, ($G42-IFERROR(INDE"&amp;"X(GOOGLEFINANCE($C42, ""price"", WORKDAY(INT($B42), 1)), 2, 2), """"))/$G42)), """")"),-0.04358466018214483)</f>
        <v>-0.04358466018</v>
      </c>
      <c r="O42" s="12">
        <f>IFERROR(__xludf.DUMMYFUNCTION("IFERROR(IF(OR(ISBLANK($G42), IFERROR(INDEX(GOOGLEFINANCE($C42, ""price"", WORKDAY(INT($B42), 5)), 2, 2), """")=""""), """", IF($D42=""LONG"", (IFERROR(INDEX(GOOGLEFINANCE($C42, ""price"", WORKDAY(INT($B42), 5)), 2, 2), """")-$G42)/$G42, ($G42-IFERROR(INDE"&amp;"X(GOOGLEFINANCE($C42, ""price"", WORKDAY(INT($B42), 5)), 2, 2), """"))/$G42)), """")"),-0.059514590174090755)</f>
        <v>-0.05951459017</v>
      </c>
      <c r="P42" s="12" t="str">
        <f>IFERROR(__xludf.DUMMYFUNCTION("IFERROR(IF(OR(ISBLANK($G42), IFERROR(INDEX(GOOGLEFINANCE($C42, ""price"", WORKDAY(INT($B42), 20)), 2, 2), """")=""""), """", IF($D42=""LONG"", (IFERROR(INDEX(GOOGLEFINANCE($C42, ""price"", WORKDAY(INT($B42), 20)), 2, 2), """")-$G42)/$G42, ($G42-IFERROR(IN"&amp;"DEX(GOOGLEFINANCE($C42, ""price"", WORKDAY(INT($B42), 20)), 2, 2), """"))/$G42)), """")"),"")</f>
        <v/>
      </c>
      <c r="Q42" s="5" t="s">
        <v>467</v>
      </c>
      <c r="R42" s="21" t="s">
        <v>240</v>
      </c>
      <c r="S42" s="21" t="s">
        <v>468</v>
      </c>
      <c r="T42" s="21" t="s">
        <v>51</v>
      </c>
      <c r="U42" s="21"/>
      <c r="V42" s="21"/>
      <c r="W42" s="21"/>
      <c r="X42" s="21"/>
      <c r="Y42" s="21"/>
      <c r="Z42" s="21"/>
    </row>
    <row r="43">
      <c r="A43" s="3">
        <f t="shared" si="1"/>
        <v>42</v>
      </c>
      <c r="B43" s="4">
        <v>46213.667650462965</v>
      </c>
      <c r="C43" s="5" t="s">
        <v>170</v>
      </c>
      <c r="D43" s="5" t="s">
        <v>36</v>
      </c>
      <c r="E43" s="5" t="s">
        <v>37</v>
      </c>
      <c r="F43" s="6">
        <v>2.0</v>
      </c>
      <c r="G43" s="7">
        <v>70.08</v>
      </c>
      <c r="H43" s="5" t="s">
        <v>470</v>
      </c>
      <c r="I43" s="5">
        <v>91.9</v>
      </c>
      <c r="J43" s="3"/>
      <c r="K43" s="5" t="s">
        <v>40</v>
      </c>
      <c r="L43" s="8">
        <f>IFERROR(__xludf.DUMMYFUNCTION("IFERROR(GOOGLEFINANCE(C43, ""price""), IFERROR(GOOGLEFINANCE(""NASDAQ:""&amp;C43, ""price""), IFERROR(GOOGLEFINANCE(""NYSE:""&amp;C43, ""price""), """")))"),66.8)</f>
        <v>66.8</v>
      </c>
      <c r="M43" s="12">
        <f t="shared" si="2"/>
        <v>-0.04680365297</v>
      </c>
      <c r="N43" s="12">
        <f>IFERROR(__xludf.DUMMYFUNCTION("IFERROR(IF(OR(ISBLANK($G43), IFERROR(INDEX(GOOGLEFINANCE($C43, ""price"", WORKDAY(INT($B43), 1)), 2, 2), """")=""""), """", IF($D43=""LONG"", (IFERROR(INDEX(GOOGLEFINANCE($C43, ""price"", WORKDAY(INT($B43), 1)), 2, 2), """")-$G43)/$G43, ($G43-IFERROR(INDE"&amp;"X(GOOGLEFINANCE($C43, ""price"", WORKDAY(INT($B43), 1)), 2, 2), """"))/$G43)), """")"),0.01027397260273971)</f>
        <v>0.0102739726</v>
      </c>
      <c r="O43" s="12">
        <f>IFERROR(__xludf.DUMMYFUNCTION("IFERROR(IF(OR(ISBLANK($G43), IFERROR(INDEX(GOOGLEFINANCE($C43, ""price"", WORKDAY(INT($B43), 5)), 2, 2), """")=""""), """", IF($D43=""LONG"", (IFERROR(INDEX(GOOGLEFINANCE($C43, ""price"", WORKDAY(INT($B43), 5)), 2, 2), """")-$G43)/$G43, ($G43-IFERROR(INDE"&amp;"X(GOOGLEFINANCE($C43, ""price"", WORKDAY(INT($B43), 5)), 2, 2), """"))/$G43)), """")"),0.013698630136986415)</f>
        <v>0.01369863014</v>
      </c>
      <c r="P43" s="12" t="str">
        <f>IFERROR(__xludf.DUMMYFUNCTION("IFERROR(IF(OR(ISBLANK($G43), IFERROR(INDEX(GOOGLEFINANCE($C43, ""price"", WORKDAY(INT($B43), 20)), 2, 2), """")=""""), """", IF($D43=""LONG"", (IFERROR(INDEX(GOOGLEFINANCE($C43, ""price"", WORKDAY(INT($B43), 20)), 2, 2), """")-$G43)/$G43, ($G43-IFERROR(IN"&amp;"DEX(GOOGLEFINANCE($C43, ""price"", WORKDAY(INT($B43), 20)), 2, 2), """"))/$G43)), """")"),"")</f>
        <v/>
      </c>
      <c r="Q43" s="5" t="s">
        <v>476</v>
      </c>
      <c r="R43" s="21" t="s">
        <v>240</v>
      </c>
      <c r="S43" s="21" t="s">
        <v>477</v>
      </c>
      <c r="T43" s="21" t="s">
        <v>51</v>
      </c>
      <c r="U43" s="21"/>
      <c r="V43" s="21"/>
      <c r="W43" s="21"/>
      <c r="X43" s="21"/>
      <c r="Y43" s="21"/>
      <c r="Z43" s="21"/>
    </row>
    <row r="44">
      <c r="A44" s="3">
        <f t="shared" si="1"/>
        <v>43</v>
      </c>
      <c r="B44" s="4">
        <v>46213.66738425926</v>
      </c>
      <c r="C44" s="5" t="s">
        <v>480</v>
      </c>
      <c r="D44" s="5" t="s">
        <v>119</v>
      </c>
      <c r="E44" s="5" t="s">
        <v>120</v>
      </c>
      <c r="F44" s="6">
        <v>4.0</v>
      </c>
      <c r="G44" s="7">
        <v>87.3</v>
      </c>
      <c r="H44" s="5" t="s">
        <v>481</v>
      </c>
      <c r="I44" s="5">
        <v>32.9</v>
      </c>
      <c r="J44" s="3"/>
      <c r="K44" s="5" t="s">
        <v>40</v>
      </c>
      <c r="L44" s="8">
        <f>IFERROR(__xludf.DUMMYFUNCTION("IFERROR(GOOGLEFINANCE(C44, ""price""), IFERROR(GOOGLEFINANCE(""NASDAQ:""&amp;C44, ""price""), IFERROR(GOOGLEFINANCE(""NYSE:""&amp;C44, ""price""), """")))"),91.96)</f>
        <v>91.96</v>
      </c>
      <c r="M44" s="12">
        <f t="shared" si="2"/>
        <v>-0.05337915235</v>
      </c>
      <c r="N44" s="12">
        <f>IFERROR(__xludf.DUMMYFUNCTION("IFERROR(IF(OR(ISBLANK($G44), IFERROR(INDEX(GOOGLEFINANCE($C44, ""price"", WORKDAY(INT($B44), 1)), 2, 2), """")=""""), """", IF($D44=""LONG"", (IFERROR(INDEX(GOOGLEFINANCE($C44, ""price"", WORKDAY(INT($B44), 1)), 2, 2), """")-$G44)/$G44, ($G44-IFERROR(INDE"&amp;"X(GOOGLEFINANCE($C44, ""price"", WORKDAY(INT($B44), 1)), 2, 2), """"))/$G44)), """")"),0.0022909507445590246)</f>
        <v>0.002290950745</v>
      </c>
      <c r="O44" s="12">
        <f>IFERROR(__xludf.DUMMYFUNCTION("IFERROR(IF(OR(ISBLANK($G44), IFERROR(INDEX(GOOGLEFINANCE($C44, ""price"", WORKDAY(INT($B44), 5)), 2, 2), """")=""""), """", IF($D44=""LONG"", (IFERROR(INDEX(GOOGLEFINANCE($C44, ""price"", WORKDAY(INT($B44), 5)), 2, 2), """")-$G44)/$G44, ($G44-IFERROR(INDE"&amp;"X(GOOGLEFINANCE($C44, ""price"", WORKDAY(INT($B44), 5)), 2, 2), """"))/$G44)), """")"),-0.009507445589919797)</f>
        <v>-0.00950744559</v>
      </c>
      <c r="P44" s="12" t="str">
        <f>IFERROR(__xludf.DUMMYFUNCTION("IFERROR(IF(OR(ISBLANK($G44), IFERROR(INDEX(GOOGLEFINANCE($C44, ""price"", WORKDAY(INT($B44), 20)), 2, 2), """")=""""), """", IF($D44=""LONG"", (IFERROR(INDEX(GOOGLEFINANCE($C44, ""price"", WORKDAY(INT($B44), 20)), 2, 2), """")-$G44)/$G44, ($G44-IFERROR(IN"&amp;"DEX(GOOGLEFINANCE($C44, ""price"", WORKDAY(INT($B44), 20)), 2, 2), """"))/$G44)), """")"),"")</f>
        <v/>
      </c>
      <c r="Q44" s="5" t="s">
        <v>486</v>
      </c>
      <c r="R44" s="21" t="s">
        <v>240</v>
      </c>
      <c r="S44" s="21" t="s">
        <v>487</v>
      </c>
      <c r="T44" s="21" t="s">
        <v>51</v>
      </c>
      <c r="U44" s="21"/>
      <c r="V44" s="21"/>
      <c r="W44" s="21"/>
      <c r="X44" s="21"/>
      <c r="Y44" s="21"/>
      <c r="Z44" s="21"/>
    </row>
    <row r="45">
      <c r="A45" s="3">
        <f t="shared" si="1"/>
        <v>44</v>
      </c>
      <c r="B45" s="4">
        <v>46213.66767361111</v>
      </c>
      <c r="C45" s="5" t="s">
        <v>488</v>
      </c>
      <c r="D45" s="5" t="s">
        <v>36</v>
      </c>
      <c r="E45" s="5" t="s">
        <v>37</v>
      </c>
      <c r="F45" s="6">
        <v>2.0</v>
      </c>
      <c r="G45" s="7">
        <v>68.27</v>
      </c>
      <c r="H45" s="5" t="s">
        <v>489</v>
      </c>
      <c r="I45" s="5">
        <v>96.8</v>
      </c>
      <c r="J45" s="3"/>
      <c r="K45" s="5" t="s">
        <v>40</v>
      </c>
      <c r="L45" s="8">
        <f>IFERROR(__xludf.DUMMYFUNCTION("IFERROR(GOOGLEFINANCE(C45, ""price""), IFERROR(GOOGLEFINANCE(""NASDAQ:""&amp;C45, ""price""), IFERROR(GOOGLEFINANCE(""NYSE:""&amp;C45, ""price""), """")))"),53.86)</f>
        <v>53.86</v>
      </c>
      <c r="M45" s="12">
        <f t="shared" si="2"/>
        <v>-0.211073678</v>
      </c>
      <c r="N45" s="12">
        <f>IFERROR(__xludf.DUMMYFUNCTION("IFERROR(IF(OR(ISBLANK($G45), IFERROR(INDEX(GOOGLEFINANCE($C45, ""price"", WORKDAY(INT($B45), 1)), 2, 2), """")=""""), """", IF($D45=""LONG"", (IFERROR(INDEX(GOOGLEFINANCE($C45, ""price"", WORKDAY(INT($B45), 1)), 2, 2), """")-$G45)/$G45, ($G45-IFERROR(INDE"&amp;"X(GOOGLEFINANCE($C45, ""price"", WORKDAY(INT($B45), 1)), 2, 2), """"))/$G45)), """")"),-0.018456130071773706)</f>
        <v>-0.01845613007</v>
      </c>
      <c r="O45" s="12">
        <f>IFERROR(__xludf.DUMMYFUNCTION("IFERROR(IF(OR(ISBLANK($G45), IFERROR(INDEX(GOOGLEFINANCE($C45, ""price"", WORKDAY(INT($B45), 5)), 2, 2), """")=""""), """", IF($D45=""LONG"", (IFERROR(INDEX(GOOGLEFINANCE($C45, ""price"", WORKDAY(INT($B45), 5)), 2, 2), """")-$G45)/$G45, ($G45-IFERROR(INDE"&amp;"X(GOOGLEFINANCE($C45, ""price"", WORKDAY(INT($B45), 5)), 2, 2), """"))/$G45)), """")"),-0.09447780870074697)</f>
        <v>-0.0944778087</v>
      </c>
      <c r="P45" s="12" t="str">
        <f>IFERROR(__xludf.DUMMYFUNCTION("IFERROR(IF(OR(ISBLANK($G45), IFERROR(INDEX(GOOGLEFINANCE($C45, ""price"", WORKDAY(INT($B45), 20)), 2, 2), """")=""""), """", IF($D45=""LONG"", (IFERROR(INDEX(GOOGLEFINANCE($C45, ""price"", WORKDAY(INT($B45), 20)), 2, 2), """")-$G45)/$G45, ($G45-IFERROR(IN"&amp;"DEX(GOOGLEFINANCE($C45, ""price"", WORKDAY(INT($B45), 20)), 2, 2), """"))/$G45)), """")"),"")</f>
        <v/>
      </c>
      <c r="Q45" s="5" t="s">
        <v>496</v>
      </c>
      <c r="R45" s="21" t="s">
        <v>102</v>
      </c>
      <c r="S45" s="21" t="s">
        <v>497</v>
      </c>
      <c r="T45" s="21" t="s">
        <v>51</v>
      </c>
      <c r="U45" s="21"/>
      <c r="V45" s="21"/>
      <c r="W45" s="21"/>
      <c r="X45" s="21"/>
      <c r="Y45" s="21"/>
      <c r="Z45" s="21"/>
    </row>
    <row r="46">
      <c r="A46" s="3">
        <f t="shared" si="1"/>
        <v>45</v>
      </c>
      <c r="B46" s="4">
        <v>46213.66795138889</v>
      </c>
      <c r="C46" s="5" t="s">
        <v>499</v>
      </c>
      <c r="D46" s="5" t="s">
        <v>36</v>
      </c>
      <c r="E46" s="5" t="s">
        <v>37</v>
      </c>
      <c r="F46" s="6">
        <v>2.0</v>
      </c>
      <c r="G46" s="7">
        <v>114.97</v>
      </c>
      <c r="H46" s="5" t="s">
        <v>500</v>
      </c>
      <c r="I46" s="5">
        <v>91.9</v>
      </c>
      <c r="J46" s="3"/>
      <c r="K46" s="5" t="s">
        <v>40</v>
      </c>
      <c r="L46" s="8">
        <f>IFERROR(__xludf.DUMMYFUNCTION("IFERROR(GOOGLEFINANCE(C46, ""price""), IFERROR(GOOGLEFINANCE(""NASDAQ:""&amp;C46, ""price""), IFERROR(GOOGLEFINANCE(""NYSE:""&amp;C46, ""price""), """")))"),115.98)</f>
        <v>115.98</v>
      </c>
      <c r="M46" s="12">
        <f t="shared" si="2"/>
        <v>0.008784900409</v>
      </c>
      <c r="N46" s="12">
        <f>IFERROR(__xludf.DUMMYFUNCTION("IFERROR(IF(OR(ISBLANK($G46), IFERROR(INDEX(GOOGLEFINANCE($C46, ""price"", WORKDAY(INT($B46), 1)), 2, 2), """")=""""), """", IF($D46=""LONG"", (IFERROR(INDEX(GOOGLEFINANCE($C46, ""price"", WORKDAY(INT($B46), 1)), 2, 2), """")-$G46)/$G46, ($G46-IFERROR(INDE"&amp;"X(GOOGLEFINANCE($C46, ""price"", WORKDAY(INT($B46), 1)), 2, 2), """"))/$G46)), """")"),0.013307819431155964)</f>
        <v>0.01330781943</v>
      </c>
      <c r="O46" s="12">
        <f>IFERROR(__xludf.DUMMYFUNCTION("IFERROR(IF(OR(ISBLANK($G46), IFERROR(INDEX(GOOGLEFINANCE($C46, ""price"", WORKDAY(INT($B46), 5)), 2, 2), """")=""""), """", IF($D46=""LONG"", (IFERROR(INDEX(GOOGLEFINANCE($C46, ""price"", WORKDAY(INT($B46), 5)), 2, 2), """")-$G46)/$G46, ($G46-IFERROR(INDE"&amp;"X(GOOGLEFINANCE($C46, ""price"", WORKDAY(INT($B46), 5)), 2, 2), """"))/$G46)), """")"),-0.004522919022353623)</f>
        <v>-0.004522919022</v>
      </c>
      <c r="P46" s="12" t="str">
        <f>IFERROR(__xludf.DUMMYFUNCTION("IFERROR(IF(OR(ISBLANK($G46), IFERROR(INDEX(GOOGLEFINANCE($C46, ""price"", WORKDAY(INT($B46), 20)), 2, 2), """")=""""), """", IF($D46=""LONG"", (IFERROR(INDEX(GOOGLEFINANCE($C46, ""price"", WORKDAY(INT($B46), 20)), 2, 2), """")-$G46)/$G46, ($G46-IFERROR(IN"&amp;"DEX(GOOGLEFINANCE($C46, ""price"", WORKDAY(INT($B46), 20)), 2, 2), """"))/$G46)), """")"),"")</f>
        <v/>
      </c>
      <c r="Q46" s="5" t="s">
        <v>506</v>
      </c>
      <c r="R46" s="21" t="s">
        <v>507</v>
      </c>
      <c r="S46" s="21" t="s">
        <v>508</v>
      </c>
      <c r="T46" s="21" t="s">
        <v>51</v>
      </c>
      <c r="U46" s="21"/>
      <c r="V46" s="21"/>
      <c r="W46" s="21"/>
      <c r="X46" s="21"/>
      <c r="Y46" s="21"/>
      <c r="Z46" s="21"/>
    </row>
    <row r="47">
      <c r="A47" s="3">
        <f t="shared" si="1"/>
        <v>46</v>
      </c>
      <c r="B47" s="4">
        <v>46213.66762731481</v>
      </c>
      <c r="C47" s="5" t="s">
        <v>95</v>
      </c>
      <c r="D47" s="5" t="s">
        <v>36</v>
      </c>
      <c r="E47" s="5" t="s">
        <v>37</v>
      </c>
      <c r="F47" s="6">
        <v>2.0</v>
      </c>
      <c r="G47" s="7">
        <v>179.79</v>
      </c>
      <c r="H47" s="5" t="s">
        <v>510</v>
      </c>
      <c r="I47" s="5">
        <v>91.5</v>
      </c>
      <c r="J47" s="3"/>
      <c r="K47" s="5" t="s">
        <v>40</v>
      </c>
      <c r="L47" s="8">
        <f>IFERROR(__xludf.DUMMYFUNCTION("IFERROR(GOOGLEFINANCE(C47, ""price""), IFERROR(GOOGLEFINANCE(""NASDAQ:""&amp;C47, ""price""), IFERROR(GOOGLEFINANCE(""NYSE:""&amp;C47, ""price""), """")))"),181.77)</f>
        <v>181.77</v>
      </c>
      <c r="M47" s="12">
        <f t="shared" si="2"/>
        <v>0.01101284832</v>
      </c>
      <c r="N47" s="12">
        <f>IFERROR(__xludf.DUMMYFUNCTION("IFERROR(IF(OR(ISBLANK($G47), IFERROR(INDEX(GOOGLEFINANCE($C47, ""price"", WORKDAY(INT($B47), 1)), 2, 2), """")=""""), """", IF($D47=""LONG"", (IFERROR(INDEX(GOOGLEFINANCE($C47, ""price"", WORKDAY(INT($B47), 1)), 2, 2), """")-$G47)/$G47, ($G47-IFERROR(INDE"&amp;"X(GOOGLEFINANCE($C47, ""price"", WORKDAY(INT($B47), 1)), 2, 2), """"))/$G47)), """")"),0.01924467434228827)</f>
        <v>0.01924467434</v>
      </c>
      <c r="O47" s="12">
        <f>IFERROR(__xludf.DUMMYFUNCTION("IFERROR(IF(OR(ISBLANK($G47), IFERROR(INDEX(GOOGLEFINANCE($C47, ""price"", WORKDAY(INT($B47), 5)), 2, 2), """")=""""), """", IF($D47=""LONG"", (IFERROR(INDEX(GOOGLEFINANCE($C47, ""price"", WORKDAY(INT($B47), 5)), 2, 2), """")-$G47)/$G47, ($G47-IFERROR(INDE"&amp;"X(GOOGLEFINANCE($C47, ""price"", WORKDAY(INT($B47), 5)), 2, 2), """"))/$G47)), """")"),0.002391679181267072)</f>
        <v>0.002391679181</v>
      </c>
      <c r="P47" s="12" t="str">
        <f>IFERROR(__xludf.DUMMYFUNCTION("IFERROR(IF(OR(ISBLANK($G47), IFERROR(INDEX(GOOGLEFINANCE($C47, ""price"", WORKDAY(INT($B47), 20)), 2, 2), """")=""""), """", IF($D47=""LONG"", (IFERROR(INDEX(GOOGLEFINANCE($C47, ""price"", WORKDAY(INT($B47), 20)), 2, 2), """")-$G47)/$G47, ($G47-IFERROR(IN"&amp;"DEX(GOOGLEFINANCE($C47, ""price"", WORKDAY(INT($B47), 20)), 2, 2), """"))/$G47)), """")"),"")</f>
        <v/>
      </c>
      <c r="Q47" s="5" t="s">
        <v>516</v>
      </c>
      <c r="R47" s="5" t="s">
        <v>102</v>
      </c>
      <c r="S47" s="5" t="s">
        <v>517</v>
      </c>
      <c r="T47" s="5" t="s">
        <v>51</v>
      </c>
      <c r="U47" s="5"/>
      <c r="V47" s="5"/>
      <c r="W47" s="5"/>
      <c r="X47" s="5"/>
      <c r="Y47" s="5"/>
      <c r="Z47" s="5"/>
    </row>
    <row r="48">
      <c r="A48" s="3">
        <f t="shared" si="1"/>
        <v>47</v>
      </c>
      <c r="B48" s="4">
        <v>46213.66769675926</v>
      </c>
      <c r="C48" s="5" t="s">
        <v>215</v>
      </c>
      <c r="D48" s="5" t="s">
        <v>36</v>
      </c>
      <c r="E48" s="5" t="s">
        <v>37</v>
      </c>
      <c r="F48" s="6">
        <v>2.0</v>
      </c>
      <c r="G48" s="7">
        <v>97.36</v>
      </c>
      <c r="H48" s="5" t="s">
        <v>519</v>
      </c>
      <c r="I48" s="5">
        <v>88.6</v>
      </c>
      <c r="J48" s="3"/>
      <c r="K48" s="5" t="s">
        <v>40</v>
      </c>
      <c r="L48" s="8">
        <f>IFERROR(__xludf.DUMMYFUNCTION("IFERROR(GOOGLEFINANCE(C48, ""price""), IFERROR(GOOGLEFINANCE(""NASDAQ:""&amp;C48, ""price""), IFERROR(GOOGLEFINANCE(""NYSE:""&amp;C48, ""price""), """")))"),94.16)</f>
        <v>94.16</v>
      </c>
      <c r="M48" s="12">
        <f t="shared" si="2"/>
        <v>-0.03286770748</v>
      </c>
      <c r="N48" s="12">
        <f>IFERROR(__xludf.DUMMYFUNCTION("IFERROR(IF(OR(ISBLANK($G48), IFERROR(INDEX(GOOGLEFINANCE($C48, ""price"", WORKDAY(INT($B48), 1)), 2, 2), """")=""""), """", IF($D48=""LONG"", (IFERROR(INDEX(GOOGLEFINANCE($C48, ""price"", WORKDAY(INT($B48), 1)), 2, 2), """")-$G48)/$G48, ($G48-IFERROR(INDE"&amp;"X(GOOGLEFINANCE($C48, ""price"", WORKDAY(INT($B48), 1)), 2, 2), """"))/$G48)), """")"),-0.002978635990139752)</f>
        <v>-0.00297863599</v>
      </c>
      <c r="O48" s="12">
        <f>IFERROR(__xludf.DUMMYFUNCTION("IFERROR(IF(OR(ISBLANK($G48), IFERROR(INDEX(GOOGLEFINANCE($C48, ""price"", WORKDAY(INT($B48), 5)), 2, 2), """")=""""), """", IF($D48=""LONG"", (IFERROR(INDEX(GOOGLEFINANCE($C48, ""price"", WORKDAY(INT($B48), 5)), 2, 2), """")-$G48)/$G48, ($G48-IFERROR(INDE"&amp;"X(GOOGLEFINANCE($C48, ""price"", WORKDAY(INT($B48), 5)), 2, 2), """"))/$G48)), """")"),0.0014379622021364069)</f>
        <v>0.001437962202</v>
      </c>
      <c r="P48" s="12" t="str">
        <f>IFERROR(__xludf.DUMMYFUNCTION("IFERROR(IF(OR(ISBLANK($G48), IFERROR(INDEX(GOOGLEFINANCE($C48, ""price"", WORKDAY(INT($B48), 20)), 2, 2), """")=""""), """", IF($D48=""LONG"", (IFERROR(INDEX(GOOGLEFINANCE($C48, ""price"", WORKDAY(INT($B48), 20)), 2, 2), """")-$G48)/$G48, ($G48-IFERROR(IN"&amp;"DEX(GOOGLEFINANCE($C48, ""price"", WORKDAY(INT($B48), 20)), 2, 2), """"))/$G48)), """")"),"")</f>
        <v/>
      </c>
      <c r="Q48" s="5" t="s">
        <v>524</v>
      </c>
      <c r="R48" s="5" t="s">
        <v>525</v>
      </c>
      <c r="S48" s="5" t="s">
        <v>526</v>
      </c>
      <c r="T48" s="5" t="s">
        <v>51</v>
      </c>
      <c r="U48" s="5"/>
      <c r="V48" s="5"/>
      <c r="W48" s="5"/>
      <c r="X48" s="5"/>
      <c r="Y48" s="5"/>
      <c r="Z48" s="5"/>
    </row>
    <row r="49">
      <c r="A49" s="3">
        <f t="shared" si="1"/>
        <v>48</v>
      </c>
      <c r="B49" s="4">
        <v>46213.6674537037</v>
      </c>
      <c r="C49" s="5" t="s">
        <v>408</v>
      </c>
      <c r="D49" s="5" t="s">
        <v>36</v>
      </c>
      <c r="E49" s="5" t="s">
        <v>37</v>
      </c>
      <c r="F49" s="6">
        <v>2.0</v>
      </c>
      <c r="G49" s="7">
        <v>242.38</v>
      </c>
      <c r="H49" s="5" t="s">
        <v>527</v>
      </c>
      <c r="I49" s="5">
        <v>94.3</v>
      </c>
      <c r="J49" s="3"/>
      <c r="K49" s="5" t="s">
        <v>40</v>
      </c>
      <c r="L49" s="8">
        <f>IFERROR(__xludf.DUMMYFUNCTION("IFERROR(GOOGLEFINANCE(C49, ""price""), IFERROR(GOOGLEFINANCE(""NASDAQ:""&amp;C49, ""price""), IFERROR(GOOGLEFINANCE(""NYSE:""&amp;C49, ""price""), """")))"),250.14)</f>
        <v>250.14</v>
      </c>
      <c r="M49" s="12">
        <f t="shared" si="2"/>
        <v>0.03201584289</v>
      </c>
      <c r="N49" s="12">
        <f>IFERROR(__xludf.DUMMYFUNCTION("IFERROR(IF(OR(ISBLANK($G49), IFERROR(INDEX(GOOGLEFINANCE($C49, ""price"", WORKDAY(INT($B49), 1)), 2, 2), """")=""""), """", IF($D49=""LONG"", (IFERROR(INDEX(GOOGLEFINANCE($C49, ""price"", WORKDAY(INT($B49), 1)), 2, 2), """")-$G49)/$G49, ($G49-IFERROR(INDE"&amp;"X(GOOGLEFINANCE($C49, ""price"", WORKDAY(INT($B49), 1)), 2, 2), """"))/$G49)), """")"),7.013780014853367E-4)</f>
        <v>0.0007013780015</v>
      </c>
      <c r="O49" s="12">
        <f>IFERROR(__xludf.DUMMYFUNCTION("IFERROR(IF(OR(ISBLANK($G49), IFERROR(INDEX(GOOGLEFINANCE($C49, ""price"", WORKDAY(INT($B49), 5)), 2, 2), """")=""""), """", IF($D49=""LONG"", (IFERROR(INDEX(GOOGLEFINANCE($C49, ""price"", WORKDAY(INT($B49), 5)), 2, 2), """")-$G49)/$G49, ($G49-IFERROR(INDE"&amp;"X(GOOGLEFINANCE($C49, ""price"", WORKDAY(INT($B49), 5)), 2, 2), """"))/$G49)), """")"),0.0283026652364057)</f>
        <v>0.02830266524</v>
      </c>
      <c r="P49" s="12" t="str">
        <f>IFERROR(__xludf.DUMMYFUNCTION("IFERROR(IF(OR(ISBLANK($G49), IFERROR(INDEX(GOOGLEFINANCE($C49, ""price"", WORKDAY(INT($B49), 20)), 2, 2), """")=""""), """", IF($D49=""LONG"", (IFERROR(INDEX(GOOGLEFINANCE($C49, ""price"", WORKDAY(INT($B49), 20)), 2, 2), """")-$G49)/$G49, ($G49-IFERROR(IN"&amp;"DEX(GOOGLEFINANCE($C49, ""price"", WORKDAY(INT($B49), 20)), 2, 2), """"))/$G49)), """")"),"")</f>
        <v/>
      </c>
      <c r="Q49" s="5" t="s">
        <v>534</v>
      </c>
      <c r="R49" s="21" t="s">
        <v>176</v>
      </c>
      <c r="S49" s="21" t="s">
        <v>535</v>
      </c>
      <c r="T49" s="21" t="s">
        <v>51</v>
      </c>
      <c r="U49" s="21"/>
      <c r="V49" s="21"/>
      <c r="W49" s="21"/>
      <c r="X49" s="21"/>
      <c r="Y49" s="21"/>
      <c r="Z49" s="21"/>
    </row>
    <row r="50">
      <c r="A50" s="3">
        <f t="shared" si="1"/>
        <v>49</v>
      </c>
      <c r="B50" s="4">
        <v>46213.6675</v>
      </c>
      <c r="C50" s="5" t="s">
        <v>342</v>
      </c>
      <c r="D50" s="5" t="s">
        <v>36</v>
      </c>
      <c r="E50" s="5" t="s">
        <v>37</v>
      </c>
      <c r="F50" s="6">
        <v>2.0</v>
      </c>
      <c r="G50" s="7">
        <v>59.64</v>
      </c>
      <c r="H50" s="5" t="s">
        <v>536</v>
      </c>
      <c r="I50" s="5">
        <v>91.4</v>
      </c>
      <c r="J50" s="3"/>
      <c r="K50" s="5" t="s">
        <v>40</v>
      </c>
      <c r="L50" s="8">
        <f>IFERROR(__xludf.DUMMYFUNCTION("IFERROR(GOOGLEFINANCE(C50, ""price""), IFERROR(GOOGLEFINANCE(""NASDAQ:""&amp;C50, ""price""), IFERROR(GOOGLEFINANCE(""NYSE:""&amp;C50, ""price""), """")))"),63.0)</f>
        <v>63</v>
      </c>
      <c r="M50" s="12">
        <f t="shared" si="2"/>
        <v>0.05633802817</v>
      </c>
      <c r="N50" s="12">
        <f>IFERROR(__xludf.DUMMYFUNCTION("IFERROR(IF(OR(ISBLANK($G50), IFERROR(INDEX(GOOGLEFINANCE($C50, ""price"", WORKDAY(INT($B50), 1)), 2, 2), """")=""""), """", IF($D50=""LONG"", (IFERROR(INDEX(GOOGLEFINANCE($C50, ""price"", WORKDAY(INT($B50), 1)), 2, 2), """")-$G50)/$G50, ($G50-IFERROR(INDE"&amp;"X(GOOGLEFINANCE($C50, ""price"", WORKDAY(INT($B50), 1)), 2, 2), """"))/$G50)), """")"),-0.0023474178403755964)</f>
        <v>-0.00234741784</v>
      </c>
      <c r="O50" s="12">
        <f>IFERROR(__xludf.DUMMYFUNCTION("IFERROR(IF(OR(ISBLANK($G50), IFERROR(INDEX(GOOGLEFINANCE($C50, ""price"", WORKDAY(INT($B50), 5)), 2, 2), """")=""""), """", IF($D50=""LONG"", (IFERROR(INDEX(GOOGLEFINANCE($C50, ""price"", WORKDAY(INT($B50), 5)), 2, 2), """")-$G50)/$G50, ($G50-IFERROR(INDE"&amp;"X(GOOGLEFINANCE($C50, ""price"", WORKDAY(INT($B50), 5)), 2, 2), """"))/$G50)), """")"),0.027330650570087232)</f>
        <v>0.02733065057</v>
      </c>
      <c r="P50" s="12" t="str">
        <f>IFERROR(__xludf.DUMMYFUNCTION("IFERROR(IF(OR(ISBLANK($G50), IFERROR(INDEX(GOOGLEFINANCE($C50, ""price"", WORKDAY(INT($B50), 20)), 2, 2), """")=""""), """", IF($D50=""LONG"", (IFERROR(INDEX(GOOGLEFINANCE($C50, ""price"", WORKDAY(INT($B50), 20)), 2, 2), """")-$G50)/$G50, ($G50-IFERROR(IN"&amp;"DEX(GOOGLEFINANCE($C50, ""price"", WORKDAY(INT($B50), 20)), 2, 2), """"))/$G50)), """")"),"")</f>
        <v/>
      </c>
      <c r="Q50" s="5" t="s">
        <v>544</v>
      </c>
      <c r="R50" s="21" t="s">
        <v>545</v>
      </c>
      <c r="S50" s="21" t="s">
        <v>547</v>
      </c>
      <c r="T50" s="21" t="s">
        <v>51</v>
      </c>
      <c r="U50" s="21"/>
      <c r="V50" s="21"/>
      <c r="W50" s="21"/>
      <c r="X50" s="21"/>
      <c r="Y50" s="21"/>
      <c r="Z50" s="21"/>
    </row>
    <row r="51">
      <c r="A51" s="3">
        <f t="shared" si="1"/>
        <v>50</v>
      </c>
      <c r="B51" s="4">
        <v>46213.66751157407</v>
      </c>
      <c r="C51" s="5" t="s">
        <v>367</v>
      </c>
      <c r="D51" s="5" t="s">
        <v>36</v>
      </c>
      <c r="E51" s="5" t="s">
        <v>37</v>
      </c>
      <c r="F51" s="6">
        <v>2.0</v>
      </c>
      <c r="G51" s="7">
        <v>108.12</v>
      </c>
      <c r="H51" s="5" t="s">
        <v>552</v>
      </c>
      <c r="I51" s="5">
        <v>96.3</v>
      </c>
      <c r="J51" s="3"/>
      <c r="K51" s="5" t="s">
        <v>40</v>
      </c>
      <c r="L51" s="8">
        <f>IFERROR(__xludf.DUMMYFUNCTION("IFERROR(GOOGLEFINANCE(C51, ""price""), IFERROR(GOOGLEFINANCE(""NASDAQ:""&amp;C51, ""price""), IFERROR(GOOGLEFINANCE(""NYSE:""&amp;C51, ""price""), """")))"),100.82)</f>
        <v>100.82</v>
      </c>
      <c r="M51" s="12">
        <f t="shared" si="2"/>
        <v>-0.06751757307</v>
      </c>
      <c r="N51" s="12">
        <f>IFERROR(__xludf.DUMMYFUNCTION("IFERROR(IF(OR(ISBLANK($G51), IFERROR(INDEX(GOOGLEFINANCE($C51, ""price"", WORKDAY(INT($B51), 1)), 2, 2), """")=""""), """", IF($D51=""LONG"", (IFERROR(INDEX(GOOGLEFINANCE($C51, ""price"", WORKDAY(INT($B51), 1)), 2, 2), """")-$G51)/$G51, ($G51-IFERROR(INDE"&amp;"X(GOOGLEFINANCE($C51, ""price"", WORKDAY(INT($B51), 1)), 2, 2), """"))/$G51)), """")"),0.004716981132075387)</f>
        <v>0.004716981132</v>
      </c>
      <c r="O51" s="12">
        <f>IFERROR(__xludf.DUMMYFUNCTION("IFERROR(IF(OR(ISBLANK($G51), IFERROR(INDEX(GOOGLEFINANCE($C51, ""price"", WORKDAY(INT($B51), 5)), 2, 2), """")=""""), """", IF($D51=""LONG"", (IFERROR(INDEX(GOOGLEFINANCE($C51, ""price"", WORKDAY(INT($B51), 5)), 2, 2), """")-$G51)/$G51, ($G51-IFERROR(INDE"&amp;"X(GOOGLEFINANCE($C51, ""price"", WORKDAY(INT($B51), 5)), 2, 2), """"))/$G51)), """")"),-0.003607103218645954)</f>
        <v>-0.003607103219</v>
      </c>
      <c r="P51" s="12" t="str">
        <f>IFERROR(__xludf.DUMMYFUNCTION("IFERROR(IF(OR(ISBLANK($G51), IFERROR(INDEX(GOOGLEFINANCE($C51, ""price"", WORKDAY(INT($B51), 20)), 2, 2), """")=""""), """", IF($D51=""LONG"", (IFERROR(INDEX(GOOGLEFINANCE($C51, ""price"", WORKDAY(INT($B51), 20)), 2, 2), """")-$G51)/$G51, ($G51-IFERROR(IN"&amp;"DEX(GOOGLEFINANCE($C51, ""price"", WORKDAY(INT($B51), 20)), 2, 2), """"))/$G51)), """")"),"")</f>
        <v/>
      </c>
      <c r="Q51" s="5" t="s">
        <v>559</v>
      </c>
      <c r="R51" s="21" t="s">
        <v>525</v>
      </c>
      <c r="S51" s="21" t="s">
        <v>560</v>
      </c>
      <c r="T51" s="21" t="s">
        <v>51</v>
      </c>
      <c r="U51" s="21"/>
      <c r="V51" s="21"/>
      <c r="W51" s="21"/>
      <c r="X51" s="21"/>
      <c r="Y51" s="21"/>
      <c r="Z51" s="21"/>
    </row>
    <row r="52">
      <c r="A52" s="3">
        <f t="shared" si="1"/>
        <v>51</v>
      </c>
      <c r="B52" s="4">
        <v>46213.667546296296</v>
      </c>
      <c r="C52" s="5" t="s">
        <v>280</v>
      </c>
      <c r="D52" s="5" t="s">
        <v>36</v>
      </c>
      <c r="E52" s="5" t="s">
        <v>37</v>
      </c>
      <c r="F52" s="6">
        <v>2.0</v>
      </c>
      <c r="G52" s="7">
        <v>76.4</v>
      </c>
      <c r="H52" s="5" t="s">
        <v>562</v>
      </c>
      <c r="I52" s="5">
        <v>93.6</v>
      </c>
      <c r="J52" s="3"/>
      <c r="K52" s="5" t="s">
        <v>40</v>
      </c>
      <c r="L52" s="8">
        <f>IFERROR(__xludf.DUMMYFUNCTION("IFERROR(GOOGLEFINANCE(C52, ""price""), IFERROR(GOOGLEFINANCE(""NASDAQ:""&amp;C52, ""price""), IFERROR(GOOGLEFINANCE(""NYSE:""&amp;C52, ""price""), """")))"),69.52)</f>
        <v>69.52</v>
      </c>
      <c r="M52" s="12">
        <f t="shared" si="2"/>
        <v>-0.09005235602</v>
      </c>
      <c r="N52" s="12">
        <f>IFERROR(__xludf.DUMMYFUNCTION("IFERROR(IF(OR(ISBLANK($G52), IFERROR(INDEX(GOOGLEFINANCE($C52, ""price"", WORKDAY(INT($B52), 1)), 2, 2), """")=""""), """", IF($D52=""LONG"", (IFERROR(INDEX(GOOGLEFINANCE($C52, ""price"", WORKDAY(INT($B52), 1)), 2, 2), """")-$G52)/$G52, ($G52-IFERROR(INDE"&amp;"X(GOOGLEFINANCE($C52, ""price"", WORKDAY(INT($B52), 1)), 2, 2), """"))/$G52)), """")"),0.0030104712041883475)</f>
        <v>0.003010471204</v>
      </c>
      <c r="O52" s="12">
        <f>IFERROR(__xludf.DUMMYFUNCTION("IFERROR(IF(OR(ISBLANK($G52), IFERROR(INDEX(GOOGLEFINANCE($C52, ""price"", WORKDAY(INT($B52), 5)), 2, 2), """")=""""), """", IF($D52=""LONG"", (IFERROR(INDEX(GOOGLEFINANCE($C52, ""price"", WORKDAY(INT($B52), 5)), 2, 2), """")-$G52)/$G52, ($G52-IFERROR(INDE"&amp;"X(GOOGLEFINANCE($C52, ""price"", WORKDAY(INT($B52), 5)), 2, 2), """"))/$G52)), """")"),-0.02068062827225147)</f>
        <v>-0.02068062827</v>
      </c>
      <c r="P52" s="12" t="str">
        <f>IFERROR(__xludf.DUMMYFUNCTION("IFERROR(IF(OR(ISBLANK($G52), IFERROR(INDEX(GOOGLEFINANCE($C52, ""price"", WORKDAY(INT($B52), 20)), 2, 2), """")=""""), """", IF($D52=""LONG"", (IFERROR(INDEX(GOOGLEFINANCE($C52, ""price"", WORKDAY(INT($B52), 20)), 2, 2), """")-$G52)/$G52, ($G52-IFERROR(IN"&amp;"DEX(GOOGLEFINANCE($C52, ""price"", WORKDAY(INT($B52), 20)), 2, 2), """"))/$G52)), """")"),"")</f>
        <v/>
      </c>
      <c r="Q52" s="5" t="s">
        <v>570</v>
      </c>
      <c r="R52" s="21" t="s">
        <v>525</v>
      </c>
      <c r="S52" s="21" t="s">
        <v>571</v>
      </c>
      <c r="T52" s="21" t="s">
        <v>51</v>
      </c>
      <c r="U52" s="21"/>
      <c r="V52" s="21"/>
      <c r="W52" s="21"/>
      <c r="X52" s="21"/>
      <c r="Y52" s="21"/>
      <c r="Z52" s="21"/>
    </row>
    <row r="53">
      <c r="A53" s="3">
        <f t="shared" si="1"/>
        <v>52</v>
      </c>
      <c r="B53" s="4">
        <v>46213.66774305556</v>
      </c>
      <c r="C53" s="5" t="s">
        <v>383</v>
      </c>
      <c r="D53" s="5" t="s">
        <v>36</v>
      </c>
      <c r="E53" s="5" t="s">
        <v>37</v>
      </c>
      <c r="F53" s="6">
        <v>2.0</v>
      </c>
      <c r="G53" s="7">
        <v>960.72</v>
      </c>
      <c r="H53" s="5" t="s">
        <v>462</v>
      </c>
      <c r="I53" s="5">
        <v>89.4</v>
      </c>
      <c r="J53" s="3"/>
      <c r="K53" s="5" t="s">
        <v>40</v>
      </c>
      <c r="L53" s="8">
        <f>IFERROR(__xludf.DUMMYFUNCTION("IFERROR(GOOGLEFINANCE(C53, ""price""), IFERROR(GOOGLEFINANCE(""NASDAQ:""&amp;C53, ""price""), IFERROR(GOOGLEFINANCE(""NYSE:""&amp;C53, ""price""), """")))"),1069.8)</f>
        <v>1069.8</v>
      </c>
      <c r="M53" s="12">
        <f t="shared" si="2"/>
        <v>0.1135398451</v>
      </c>
      <c r="N53" s="12">
        <f>IFERROR(__xludf.DUMMYFUNCTION("IFERROR(IF(OR(ISBLANK($G53), IFERROR(INDEX(GOOGLEFINANCE($C53, ""price"", WORKDAY(INT($B53), 1)), 2, 2), """")=""""), """", IF($D53=""LONG"", (IFERROR(INDEX(GOOGLEFINANCE($C53, ""price"", WORKDAY(INT($B53), 1)), 2, 2), """")-$G53)/$G53, ($G53-IFERROR(INDE"&amp;"X(GOOGLEFINANCE($C53, ""price"", WORKDAY(INT($B53), 1)), 2, 2), """"))/$G53)), """")"),-0.009846781580481342)</f>
        <v>-0.00984678158</v>
      </c>
      <c r="O53" s="12">
        <f>IFERROR(__xludf.DUMMYFUNCTION("IFERROR(IF(OR(ISBLANK($G53), IFERROR(INDEX(GOOGLEFINANCE($C53, ""price"", WORKDAY(INT($B53), 5)), 2, 2), """")=""""), """", IF($D53=""LONG"", (IFERROR(INDEX(GOOGLEFINANCE($C53, ""price"", WORKDAY(INT($B53), 5)), 2, 2), """")-$G53)/$G53, ($G53-IFERROR(INDE"&amp;"X(GOOGLEFINANCE($C53, ""price"", WORKDAY(INT($B53), 5)), 2, 2), """"))/$G53)), """")"),-0.007817053876259462)</f>
        <v>-0.007817053876</v>
      </c>
      <c r="P53" s="12" t="str">
        <f>IFERROR(__xludf.DUMMYFUNCTION("IFERROR(IF(OR(ISBLANK($G53), IFERROR(INDEX(GOOGLEFINANCE($C53, ""price"", WORKDAY(INT($B53), 20)), 2, 2), """")=""""), """", IF($D53=""LONG"", (IFERROR(INDEX(GOOGLEFINANCE($C53, ""price"", WORKDAY(INT($B53), 20)), 2, 2), """")-$G53)/$G53, ($G53-IFERROR(IN"&amp;"DEX(GOOGLEFINANCE($C53, ""price"", WORKDAY(INT($B53), 20)), 2, 2), """"))/$G53)), """")"),"")</f>
        <v/>
      </c>
      <c r="Q53" s="5" t="s">
        <v>577</v>
      </c>
      <c r="R53" s="21" t="s">
        <v>525</v>
      </c>
      <c r="S53" s="21" t="s">
        <v>578</v>
      </c>
      <c r="T53" s="21" t="s">
        <v>51</v>
      </c>
      <c r="U53" s="21"/>
      <c r="V53" s="21"/>
      <c r="W53" s="21"/>
      <c r="X53" s="21"/>
      <c r="Y53" s="21"/>
      <c r="Z53" s="21"/>
    </row>
    <row r="54">
      <c r="A54" s="3">
        <f t="shared" si="1"/>
        <v>53</v>
      </c>
      <c r="B54" s="4">
        <v>46213.66780092593</v>
      </c>
      <c r="C54" s="5" t="s">
        <v>110</v>
      </c>
      <c r="D54" s="5" t="s">
        <v>36</v>
      </c>
      <c r="E54" s="5" t="s">
        <v>37</v>
      </c>
      <c r="F54" s="6">
        <v>2.0</v>
      </c>
      <c r="G54" s="7">
        <v>201.42</v>
      </c>
      <c r="H54" s="5" t="s">
        <v>579</v>
      </c>
      <c r="I54" s="5">
        <v>97.3</v>
      </c>
      <c r="J54" s="3"/>
      <c r="K54" s="5" t="s">
        <v>40</v>
      </c>
      <c r="L54" s="8">
        <f>IFERROR(__xludf.DUMMYFUNCTION("IFERROR(GOOGLEFINANCE(C54, ""price""), IFERROR(GOOGLEFINANCE(""NASDAQ:""&amp;C54, ""price""), IFERROR(GOOGLEFINANCE(""NYSE:""&amp;C54, ""price""), """")))"),220.0)</f>
        <v>220</v>
      </c>
      <c r="M54" s="12">
        <f t="shared" si="2"/>
        <v>0.09224506007</v>
      </c>
      <c r="N54" s="12">
        <f>IFERROR(__xludf.DUMMYFUNCTION("IFERROR(IF(OR(ISBLANK($G54), IFERROR(INDEX(GOOGLEFINANCE($C54, ""price"", WORKDAY(INT($B54), 1)), 2, 2), """")=""""), """", IF($D54=""LONG"", (IFERROR(INDEX(GOOGLEFINANCE($C54, ""price"", WORKDAY(INT($B54), 1)), 2, 2), """")-$G54)/$G54, ($G54-IFERROR(INDE"&amp;"X(GOOGLEFINANCE($C54, ""price"", WORKDAY(INT($B54), 1)), 2, 2), """"))/$G54)), """")"),0.007943600436898138)</f>
        <v>0.007943600437</v>
      </c>
      <c r="O54" s="12">
        <f>IFERROR(__xludf.DUMMYFUNCTION("IFERROR(IF(OR(ISBLANK($G54), IFERROR(INDEX(GOOGLEFINANCE($C54, ""price"", WORKDAY(INT($B54), 5)), 2, 2), """")=""""), """", IF($D54=""LONG"", (IFERROR(INDEX(GOOGLEFINANCE($C54, ""price"", WORKDAY(INT($B54), 5)), 2, 2), """")-$G54)/$G54, ($G54-IFERROR(INDE"&amp;"X(GOOGLEFINANCE($C54, ""price"", WORKDAY(INT($B54), 5)), 2, 2), """"))/$G54)), """")"),0.03281699930493503)</f>
        <v>0.0328169993</v>
      </c>
      <c r="P54" s="12" t="str">
        <f>IFERROR(__xludf.DUMMYFUNCTION("IFERROR(IF(OR(ISBLANK($G54), IFERROR(INDEX(GOOGLEFINANCE($C54, ""price"", WORKDAY(INT($B54), 20)), 2, 2), """")=""""), """", IF($D54=""LONG"", (IFERROR(INDEX(GOOGLEFINANCE($C54, ""price"", WORKDAY(INT($B54), 20)), 2, 2), """")-$G54)/$G54, ($G54-IFERROR(IN"&amp;"DEX(GOOGLEFINANCE($C54, ""price"", WORKDAY(INT($B54), 20)), 2, 2), """"))/$G54)), """")"),"")</f>
        <v/>
      </c>
      <c r="Q54" s="5" t="s">
        <v>585</v>
      </c>
      <c r="R54" s="21" t="s">
        <v>525</v>
      </c>
      <c r="S54" s="21" t="s">
        <v>587</v>
      </c>
      <c r="T54" s="21" t="s">
        <v>51</v>
      </c>
      <c r="U54" s="21"/>
      <c r="V54" s="21"/>
      <c r="W54" s="21"/>
      <c r="X54" s="21"/>
      <c r="Y54" s="21"/>
      <c r="Z54" s="21"/>
    </row>
    <row r="55">
      <c r="A55" s="3">
        <f t="shared" si="1"/>
        <v>54</v>
      </c>
      <c r="B55" s="4">
        <v>46213.667546296296</v>
      </c>
      <c r="C55" s="5" t="s">
        <v>128</v>
      </c>
      <c r="D55" s="5" t="s">
        <v>36</v>
      </c>
      <c r="E55" s="5" t="s">
        <v>37</v>
      </c>
      <c r="F55" s="6">
        <v>2.0</v>
      </c>
      <c r="G55" s="7">
        <v>402.02</v>
      </c>
      <c r="H55" s="5" t="s">
        <v>591</v>
      </c>
      <c r="I55" s="5">
        <v>89.9</v>
      </c>
      <c r="J55" s="3"/>
      <c r="K55" s="5" t="s">
        <v>40</v>
      </c>
      <c r="L55" s="8">
        <f>IFERROR(__xludf.DUMMYFUNCTION("IFERROR(GOOGLEFINANCE(C55, ""price""), IFERROR(GOOGLEFINANCE(""NASDAQ:""&amp;C55, ""price""), IFERROR(GOOGLEFINANCE(""NYSE:""&amp;C55, ""price""), """")))"),414.68)</f>
        <v>414.68</v>
      </c>
      <c r="M55" s="12">
        <f t="shared" si="2"/>
        <v>0.0314909706</v>
      </c>
      <c r="N55" s="12">
        <f>IFERROR(__xludf.DUMMYFUNCTION("IFERROR(IF(OR(ISBLANK($G55), IFERROR(INDEX(GOOGLEFINANCE($C55, ""price"", WORKDAY(INT($B55), 1)), 2, 2), """")=""""), """", IF($D55=""LONG"", (IFERROR(INDEX(GOOGLEFINANCE($C55, ""price"", WORKDAY(INT($B55), 1)), 2, 2), """")-$G55)/$G55, ($G55-IFERROR(INDE"&amp;"X(GOOGLEFINANCE($C55, ""price"", WORKDAY(INT($B55), 1)), 2, 2), """"))/$G55)), """")"),-0.0022635689766677485)</f>
        <v>-0.002263568977</v>
      </c>
      <c r="O55" s="12">
        <f>IFERROR(__xludf.DUMMYFUNCTION("IFERROR(IF(OR(ISBLANK($G55), IFERROR(INDEX(GOOGLEFINANCE($C55, ""price"", WORKDAY(INT($B55), 5)), 2, 2), """")=""""), """", IF($D55=""LONG"", (IFERROR(INDEX(GOOGLEFINANCE($C55, ""price"", WORKDAY(INT($B55), 5)), 2, 2), """")-$G55)/$G55, ($G55-IFERROR(INDE"&amp;"X(GOOGLEFINANCE($C55, ""price"", WORKDAY(INT($B55), 5)), 2, 2), """"))/$G55)), """")"),0.022312322770011512)</f>
        <v>0.02231232277</v>
      </c>
      <c r="P55" s="12" t="str">
        <f>IFERROR(__xludf.DUMMYFUNCTION("IFERROR(IF(OR(ISBLANK($G55), IFERROR(INDEX(GOOGLEFINANCE($C55, ""price"", WORKDAY(INT($B55), 20)), 2, 2), """")=""""), """", IF($D55=""LONG"", (IFERROR(INDEX(GOOGLEFINANCE($C55, ""price"", WORKDAY(INT($B55), 20)), 2, 2), """")-$G55)/$G55, ($G55-IFERROR(IN"&amp;"DEX(GOOGLEFINANCE($C55, ""price"", WORKDAY(INT($B55), 20)), 2, 2), """"))/$G55)), """")"),"")</f>
        <v/>
      </c>
      <c r="Q55" s="5" t="s">
        <v>596</v>
      </c>
      <c r="R55" s="21" t="s">
        <v>525</v>
      </c>
      <c r="S55" s="21" t="s">
        <v>597</v>
      </c>
      <c r="T55" s="21" t="s">
        <v>51</v>
      </c>
      <c r="U55" s="21"/>
      <c r="V55" s="21"/>
      <c r="W55" s="21"/>
      <c r="X55" s="21"/>
      <c r="Y55" s="21"/>
      <c r="Z55" s="21"/>
    </row>
    <row r="56">
      <c r="A56" s="3">
        <f t="shared" si="1"/>
        <v>55</v>
      </c>
      <c r="B56" s="4">
        <v>46213.66768518519</v>
      </c>
      <c r="C56" s="5" t="s">
        <v>209</v>
      </c>
      <c r="D56" s="5" t="s">
        <v>119</v>
      </c>
      <c r="E56" s="5" t="s">
        <v>120</v>
      </c>
      <c r="F56" s="6">
        <v>4.0</v>
      </c>
      <c r="G56" s="7">
        <v>73.37</v>
      </c>
      <c r="H56" s="5" t="s">
        <v>602</v>
      </c>
      <c r="I56" s="5">
        <v>15.7</v>
      </c>
      <c r="J56" s="3"/>
      <c r="K56" s="5" t="s">
        <v>40</v>
      </c>
      <c r="L56" s="8">
        <f>IFERROR(__xludf.DUMMYFUNCTION("IFERROR(GOOGLEFINANCE(C56, ""price""), IFERROR(GOOGLEFINANCE(""NASDAQ:""&amp;C56, ""price""), IFERROR(GOOGLEFINANCE(""NYSE:""&amp;C56, ""price""), """")))"),73.69)</f>
        <v>73.69</v>
      </c>
      <c r="M56" s="12">
        <f t="shared" si="2"/>
        <v>-0.004361455636</v>
      </c>
      <c r="N56" s="12">
        <f>IFERROR(__xludf.DUMMYFUNCTION("IFERROR(IF(OR(ISBLANK($G56), IFERROR(INDEX(GOOGLEFINANCE($C56, ""price"", WORKDAY(INT($B56), 1)), 2, 2), """")=""""), """", IF($D56=""LONG"", (IFERROR(INDEX(GOOGLEFINANCE($C56, ""price"", WORKDAY(INT($B56), 1)), 2, 2), """")-$G56)/$G56, ($G56-IFERROR(INDE"&amp;"X(GOOGLEFINANCE($C56, ""price"", WORKDAY(INT($B56), 1)), 2, 2), """"))/$G56)), """")"),-0.006269592476488943)</f>
        <v>-0.006269592476</v>
      </c>
      <c r="O56" s="12">
        <f>IFERROR(__xludf.DUMMYFUNCTION("IFERROR(IF(OR(ISBLANK($G56), IFERROR(INDEX(GOOGLEFINANCE($C56, ""price"", WORKDAY(INT($B56), 5)), 2, 2), """")=""""), """", IF($D56=""LONG"", (IFERROR(INDEX(GOOGLEFINANCE($C56, ""price"", WORKDAY(INT($B56), 5)), 2, 2), """")-$G56)/$G56, ($G56-IFERROR(INDE"&amp;"X(GOOGLEFINANCE($C56, ""price"", WORKDAY(INT($B56), 5)), 2, 2), """"))/$G56)), """")"),0.06024260596974242)</f>
        <v>0.06024260597</v>
      </c>
      <c r="P56" s="12" t="str">
        <f>IFERROR(__xludf.DUMMYFUNCTION("IFERROR(IF(OR(ISBLANK($G56), IFERROR(INDEX(GOOGLEFINANCE($C56, ""price"", WORKDAY(INT($B56), 20)), 2, 2), """")=""""), """", IF($D56=""LONG"", (IFERROR(INDEX(GOOGLEFINANCE($C56, ""price"", WORKDAY(INT($B56), 20)), 2, 2), """")-$G56)/$G56, ($G56-IFERROR(IN"&amp;"DEX(GOOGLEFINANCE($C56, ""price"", WORKDAY(INT($B56), 20)), 2, 2), """"))/$G56)), """")"),"")</f>
        <v/>
      </c>
      <c r="Q56" s="5" t="s">
        <v>606</v>
      </c>
      <c r="R56" s="21" t="s">
        <v>507</v>
      </c>
      <c r="S56" s="21" t="s">
        <v>607</v>
      </c>
      <c r="T56" s="21" t="s">
        <v>51</v>
      </c>
      <c r="U56" s="21"/>
      <c r="V56" s="21"/>
      <c r="W56" s="21"/>
      <c r="X56" s="21"/>
      <c r="Y56" s="21"/>
      <c r="Z56" s="21"/>
    </row>
    <row r="57">
      <c r="A57" s="3">
        <f t="shared" si="1"/>
        <v>56</v>
      </c>
      <c r="B57" s="4">
        <v>46213.667395833334</v>
      </c>
      <c r="C57" s="5" t="s">
        <v>426</v>
      </c>
      <c r="D57" s="5" t="s">
        <v>36</v>
      </c>
      <c r="E57" s="5" t="s">
        <v>133</v>
      </c>
      <c r="F57" s="6">
        <v>2.0</v>
      </c>
      <c r="G57" s="7">
        <v>527.07</v>
      </c>
      <c r="H57" s="5" t="s">
        <v>610</v>
      </c>
      <c r="I57" s="5">
        <v>88.8</v>
      </c>
      <c r="J57" s="3"/>
      <c r="K57" s="5" t="s">
        <v>40</v>
      </c>
      <c r="L57" s="8">
        <f>IFERROR(__xludf.DUMMYFUNCTION("IFERROR(GOOGLEFINANCE(C57, ""price""), IFERROR(GOOGLEFINANCE(""NASDAQ:""&amp;C57, ""price""), IFERROR(GOOGLEFINANCE(""NYSE:""&amp;C57, ""price""), """")))"),580.02)</f>
        <v>580.02</v>
      </c>
      <c r="M57" s="12">
        <f t="shared" si="2"/>
        <v>0.1004610393</v>
      </c>
      <c r="N57" s="12">
        <f>IFERROR(__xludf.DUMMYFUNCTION("IFERROR(IF(OR(ISBLANK($G57), IFERROR(INDEX(GOOGLEFINANCE($C57, ""price"", WORKDAY(INT($B57), 1)), 2, 2), """")=""""), """", IF($D57=""LONG"", (IFERROR(INDEX(GOOGLEFINANCE($C57, ""price"", WORKDAY(INT($B57), 1)), 2, 2), """")-$G57)/$G57, ($G57-IFERROR(INDE"&amp;"X(GOOGLEFINANCE($C57, ""price"", WORKDAY(INT($B57), 1)), 2, 2), """"))/$G57)), """")"),0.002732084922306223)</f>
        <v>0.002732084922</v>
      </c>
      <c r="O57" s="12">
        <f>IFERROR(__xludf.DUMMYFUNCTION("IFERROR(IF(OR(ISBLANK($G57), IFERROR(INDEX(GOOGLEFINANCE($C57, ""price"", WORKDAY(INT($B57), 5)), 2, 2), """")=""""), """", IF($D57=""LONG"", (IFERROR(INDEX(GOOGLEFINANCE($C57, ""price"", WORKDAY(INT($B57), 5)), 2, 2), """")-$G57)/$G57, ($G57-IFERROR(INDE"&amp;"X(GOOGLEFINANCE($C57, ""price"", WORKDAY(INT($B57), 5)), 2, 2), """"))/$G57)), """")"),0.010264291270609155)</f>
        <v>0.01026429127</v>
      </c>
      <c r="P57" s="12" t="str">
        <f>IFERROR(__xludf.DUMMYFUNCTION("IFERROR(IF(OR(ISBLANK($G57), IFERROR(INDEX(GOOGLEFINANCE($C57, ""price"", WORKDAY(INT($B57), 20)), 2, 2), """")=""""), """", IF($D57=""LONG"", (IFERROR(INDEX(GOOGLEFINANCE($C57, ""price"", WORKDAY(INT($B57), 20)), 2, 2), """")-$G57)/$G57, ($G57-IFERROR(IN"&amp;"DEX(GOOGLEFINANCE($C57, ""price"", WORKDAY(INT($B57), 20)), 2, 2), """"))/$G57)), """")"),"")</f>
        <v/>
      </c>
      <c r="Q57" s="5" t="s">
        <v>614</v>
      </c>
      <c r="R57" s="21" t="s">
        <v>615</v>
      </c>
      <c r="S57" s="21" t="s">
        <v>616</v>
      </c>
      <c r="T57" s="21" t="s">
        <v>51</v>
      </c>
      <c r="U57" s="21"/>
      <c r="V57" s="21"/>
      <c r="W57" s="21"/>
      <c r="X57" s="21"/>
      <c r="Y57" s="21"/>
      <c r="Z57" s="21"/>
    </row>
    <row r="58">
      <c r="A58" s="3">
        <f t="shared" si="1"/>
        <v>57</v>
      </c>
      <c r="B58" s="4">
        <v>46213.66746527778</v>
      </c>
      <c r="C58" s="5" t="s">
        <v>60</v>
      </c>
      <c r="D58" s="5" t="s">
        <v>36</v>
      </c>
      <c r="E58" s="5" t="s">
        <v>37</v>
      </c>
      <c r="F58" s="6">
        <v>2.0</v>
      </c>
      <c r="G58" s="7">
        <v>43.18</v>
      </c>
      <c r="H58" s="5" t="s">
        <v>619</v>
      </c>
      <c r="I58" s="5">
        <v>94.6</v>
      </c>
      <c r="J58" s="3"/>
      <c r="K58" s="5" t="s">
        <v>40</v>
      </c>
      <c r="L58" s="5" t="s">
        <v>622</v>
      </c>
      <c r="M58" s="33" t="s">
        <v>623</v>
      </c>
      <c r="N58" s="5" t="s">
        <v>626</v>
      </c>
      <c r="O58" s="12">
        <f>IFERROR(__xludf.DUMMYFUNCTION("IFERROR(IF(OR(ISBLANK($G58), IFERROR(INDEX(GOOGLEFINANCE($C58, ""price"", WORKDAY(INT($B58), 5)), 2, 2), """")=""""), """", IF($D58=""LONG"", (IFERROR(INDEX(GOOGLEFINANCE($C58, ""price"", WORKDAY(INT($B58), 5)), 2, 2), """")-$G58)/$G58, ($G58-IFERROR(INDE"&amp;"X(GOOGLEFINANCE($C58, ""price"", WORKDAY(INT($B58), 5)), 2, 2), """"))/$G58)), """")"),0.017600741083835063)</f>
        <v>0.01760074108</v>
      </c>
      <c r="P58" s="12" t="str">
        <f>IFERROR(__xludf.DUMMYFUNCTION("IFERROR(IF(OR(ISBLANK($G58), IFERROR(INDEX(GOOGLEFINANCE($C58, ""price"", WORKDAY(INT($B58), 20)), 2, 2), """")=""""), """", IF($D58=""LONG"", (IFERROR(INDEX(GOOGLEFINANCE($C58, ""price"", WORKDAY(INT($B58), 20)), 2, 2), """")-$G58)/$G58, ($G58-IFERROR(IN"&amp;"DEX(GOOGLEFINANCE($C58, ""price"", WORKDAY(INT($B58), 20)), 2, 2), """"))/$G58)), """")"),"")</f>
        <v/>
      </c>
      <c r="Q58" s="5" t="s">
        <v>627</v>
      </c>
      <c r="R58" s="21" t="s">
        <v>615</v>
      </c>
      <c r="S58" s="21" t="s">
        <v>628</v>
      </c>
      <c r="T58" s="21" t="s">
        <v>51</v>
      </c>
      <c r="U58" s="21"/>
      <c r="V58" s="21"/>
      <c r="W58" s="21"/>
      <c r="X58" s="21"/>
      <c r="Y58" s="21"/>
      <c r="Z58" s="21"/>
    </row>
    <row r="59">
      <c r="A59" s="3">
        <f t="shared" si="1"/>
        <v>58</v>
      </c>
      <c r="B59" s="4">
        <v>46213.667962962965</v>
      </c>
      <c r="C59" s="5" t="s">
        <v>86</v>
      </c>
      <c r="D59" s="5" t="s">
        <v>36</v>
      </c>
      <c r="E59" s="5" t="s">
        <v>37</v>
      </c>
      <c r="F59" s="6">
        <v>2.0</v>
      </c>
      <c r="G59" s="7">
        <v>78.85</v>
      </c>
      <c r="H59" s="5" t="s">
        <v>633</v>
      </c>
      <c r="I59" s="5">
        <v>95.1</v>
      </c>
      <c r="J59" s="3"/>
      <c r="K59" s="5" t="s">
        <v>40</v>
      </c>
      <c r="L59" s="8">
        <f>IFERROR(__xludf.DUMMYFUNCTION("IFERROR(GOOGLEFINANCE(C59, ""price""), IFERROR(GOOGLEFINANCE(""NASDAQ:""&amp;C59, ""price""), IFERROR(GOOGLEFINANCE(""NYSE:""&amp;C59, ""price""), """")))"),88.24)</f>
        <v>88.24</v>
      </c>
      <c r="M59" s="12">
        <f t="shared" ref="M59:M1000" si="3">IFERROR(IF(OR(ISBLANK($G59), ISBLANK($L59)), "", IF($D59="LONG", ($L59-$G59)/$G59, ($G59-$L59)/$G59)), "")</f>
        <v>0.1190868738</v>
      </c>
      <c r="N59" s="12">
        <f>IFERROR(__xludf.DUMMYFUNCTION("IFERROR(IF(OR(ISBLANK($G59), IFERROR(INDEX(GOOGLEFINANCE($C59, ""price"", WORKDAY(INT($B59), 1)), 2, 2), """")=""""), """", IF($D59=""LONG"", (IFERROR(INDEX(GOOGLEFINANCE($C59, ""price"", WORKDAY(INT($B59), 1)), 2, 2), """")-$G59)/$G59, ($G59-IFERROR(INDE"&amp;"X(GOOGLEFINANCE($C59, ""price"", WORKDAY(INT($B59), 1)), 2, 2), """"))/$G59)), """")"),-0.0036778693722256442)</f>
        <v>-0.003677869372</v>
      </c>
      <c r="O59" s="12">
        <f>IFERROR(__xludf.DUMMYFUNCTION("IFERROR(IF(OR(ISBLANK($G59), IFERROR(INDEX(GOOGLEFINANCE($C59, ""price"", WORKDAY(INT($B59), 5)), 2, 2), """")=""""), """", IF($D59=""LONG"", (IFERROR(INDEX(GOOGLEFINANCE($C59, ""price"", WORKDAY(INT($B59), 5)), 2, 2), """")-$G59)/$G59, ($G59-IFERROR(INDE"&amp;"X(GOOGLEFINANCE($C59, ""price"", WORKDAY(INT($B59), 5)), 2, 2), """"))/$G59)), """")"),0.04299302473050096)</f>
        <v>0.04299302473</v>
      </c>
      <c r="P59" s="12" t="str">
        <f>IFERROR(__xludf.DUMMYFUNCTION("IFERROR(IF(OR(ISBLANK($G59), IFERROR(INDEX(GOOGLEFINANCE($C59, ""price"", WORKDAY(INT($B59), 20)), 2, 2), """")=""""), """", IF($D59=""LONG"", (IFERROR(INDEX(GOOGLEFINANCE($C59, ""price"", WORKDAY(INT($B59), 20)), 2, 2), """")-$G59)/$G59, ($G59-IFERROR(IN"&amp;"DEX(GOOGLEFINANCE($C59, ""price"", WORKDAY(INT($B59), 20)), 2, 2), """"))/$G59)), """")"),"")</f>
        <v/>
      </c>
      <c r="Q59" s="5" t="s">
        <v>639</v>
      </c>
      <c r="R59" s="21" t="s">
        <v>545</v>
      </c>
      <c r="S59" s="21" t="s">
        <v>640</v>
      </c>
      <c r="T59" s="21" t="s">
        <v>51</v>
      </c>
      <c r="U59" s="21"/>
      <c r="V59" s="21"/>
      <c r="W59" s="21"/>
      <c r="X59" s="21"/>
      <c r="Y59" s="21"/>
      <c r="Z59" s="21"/>
    </row>
    <row r="60">
      <c r="A60" s="3">
        <f t="shared" si="1"/>
        <v>59</v>
      </c>
      <c r="B60" s="4">
        <v>46213.66774305556</v>
      </c>
      <c r="C60" s="5" t="s">
        <v>641</v>
      </c>
      <c r="D60" s="5" t="s">
        <v>36</v>
      </c>
      <c r="E60" s="5" t="s">
        <v>37</v>
      </c>
      <c r="F60" s="6">
        <v>2.0</v>
      </c>
      <c r="G60" s="7">
        <v>61.7</v>
      </c>
      <c r="H60" s="5" t="s">
        <v>643</v>
      </c>
      <c r="I60" s="5">
        <v>96.5</v>
      </c>
      <c r="J60" s="3"/>
      <c r="K60" s="5" t="s">
        <v>40</v>
      </c>
      <c r="L60" s="8">
        <f>IFERROR(__xludf.DUMMYFUNCTION("IFERROR(GOOGLEFINANCE(C60, ""price""), IFERROR(GOOGLEFINANCE(""NASDAQ:""&amp;C60, ""price""), IFERROR(GOOGLEFINANCE(""NYSE:""&amp;C60, ""price""), """")))"),63.13)</f>
        <v>63.13</v>
      </c>
      <c r="M60" s="12">
        <f t="shared" si="3"/>
        <v>0.02317666126</v>
      </c>
      <c r="N60" s="12">
        <f>IFERROR(__xludf.DUMMYFUNCTION("IFERROR(IF(OR(ISBLANK($G60), IFERROR(INDEX(GOOGLEFINANCE($C60, ""price"", WORKDAY(INT($B60), 1)), 2, 2), """")=""""), """", IF($D60=""LONG"", (IFERROR(INDEX(GOOGLEFINANCE($C60, ""price"", WORKDAY(INT($B60), 1)), 2, 2), """")-$G60)/$G60, ($G60-IFERROR(INDE"&amp;"X(GOOGLEFINANCE($C60, ""price"", WORKDAY(INT($B60), 1)), 2, 2), """"))/$G60)), """")"),-0.006482982171799119)</f>
        <v>-0.006482982172</v>
      </c>
      <c r="O60" s="12">
        <f>IFERROR(__xludf.DUMMYFUNCTION("IFERROR(IF(OR(ISBLANK($G60), IFERROR(INDEX(GOOGLEFINANCE($C60, ""price"", WORKDAY(INT($B60), 5)), 2, 2), """")=""""), """", IF($D60=""LONG"", (IFERROR(INDEX(GOOGLEFINANCE($C60, ""price"", WORKDAY(INT($B60), 5)), 2, 2), """")-$G60)/$G60, ($G60-IFERROR(INDE"&amp;"X(GOOGLEFINANCE($C60, ""price"", WORKDAY(INT($B60), 5)), 2, 2), """"))/$G60)), """")"),0.01636952998379251)</f>
        <v>0.01636952998</v>
      </c>
      <c r="P60" s="12" t="str">
        <f>IFERROR(__xludf.DUMMYFUNCTION("IFERROR(IF(OR(ISBLANK($G60), IFERROR(INDEX(GOOGLEFINANCE($C60, ""price"", WORKDAY(INT($B60), 20)), 2, 2), """")=""""), """", IF($D60=""LONG"", (IFERROR(INDEX(GOOGLEFINANCE($C60, ""price"", WORKDAY(INT($B60), 20)), 2, 2), """")-$G60)/$G60, ($G60-IFERROR(IN"&amp;"DEX(GOOGLEFINANCE($C60, ""price"", WORKDAY(INT($B60), 20)), 2, 2), """"))/$G60)), """")"),"")</f>
        <v/>
      </c>
      <c r="Q60" s="5" t="s">
        <v>646</v>
      </c>
      <c r="R60" s="5" t="s">
        <v>615</v>
      </c>
      <c r="S60" s="5" t="s">
        <v>648</v>
      </c>
      <c r="T60" s="5" t="s">
        <v>51</v>
      </c>
      <c r="U60" s="5"/>
      <c r="V60" s="5"/>
      <c r="W60" s="5"/>
      <c r="X60" s="5"/>
      <c r="Y60" s="5"/>
      <c r="Z60" s="5"/>
    </row>
    <row r="61">
      <c r="A61" s="3">
        <f t="shared" si="1"/>
        <v>60</v>
      </c>
      <c r="B61" s="4">
        <v>46213.66761574074</v>
      </c>
      <c r="C61" s="5" t="s">
        <v>158</v>
      </c>
      <c r="D61" s="5" t="s">
        <v>36</v>
      </c>
      <c r="E61" s="5" t="s">
        <v>37</v>
      </c>
      <c r="F61" s="6">
        <v>2.0</v>
      </c>
      <c r="G61" s="7">
        <v>74.83</v>
      </c>
      <c r="H61" s="5" t="s">
        <v>651</v>
      </c>
      <c r="I61" s="5">
        <v>94.2</v>
      </c>
      <c r="J61" s="3"/>
      <c r="K61" s="5" t="s">
        <v>40</v>
      </c>
      <c r="L61" s="8">
        <f>IFERROR(__xludf.DUMMYFUNCTION("IFERROR(GOOGLEFINANCE(C61, ""price""), IFERROR(GOOGLEFINANCE(""NASDAQ:""&amp;C61, ""price""), IFERROR(GOOGLEFINANCE(""NYSE:""&amp;C61, ""price""), """")))"),72.06)</f>
        <v>72.06</v>
      </c>
      <c r="M61" s="12">
        <f t="shared" si="3"/>
        <v>-0.03701723908</v>
      </c>
      <c r="N61" s="12">
        <f>IFERROR(__xludf.DUMMYFUNCTION("IFERROR(IF(OR(ISBLANK($G61), IFERROR(INDEX(GOOGLEFINANCE($C61, ""price"", WORKDAY(INT($B61), 1)), 2, 2), """")=""""), """", IF($D61=""LONG"", (IFERROR(INDEX(GOOGLEFINANCE($C61, ""price"", WORKDAY(INT($B61), 1)), 2, 2), """")-$G61)/$G61, ($G61-IFERROR(INDE"&amp;"X(GOOGLEFINANCE($C61, ""price"", WORKDAY(INT($B61), 1)), 2, 2), """"))/$G61)), """")"),4.009087264466275E-4)</f>
        <v>0.0004009087264</v>
      </c>
      <c r="O61" s="12">
        <f>IFERROR(__xludf.DUMMYFUNCTION("IFERROR(IF(OR(ISBLANK($G61), IFERROR(INDEX(GOOGLEFINANCE($C61, ""price"", WORKDAY(INT($B61), 5)), 2, 2), """")=""""), """", IF($D61=""LONG"", (IFERROR(INDEX(GOOGLEFINANCE($C61, ""price"", WORKDAY(INT($B61), 5)), 2, 2), """")-$G61)/$G61, ($G61-IFERROR(INDE"&amp;"X(GOOGLEFINANCE($C61, ""price"", WORKDAY(INT($B61), 5)), 2, 2), """"))/$G61)), """")"),-0.002806361085126203)</f>
        <v>-0.002806361085</v>
      </c>
      <c r="P61" s="12" t="str">
        <f>IFERROR(__xludf.DUMMYFUNCTION("IFERROR(IF(OR(ISBLANK($G61), IFERROR(INDEX(GOOGLEFINANCE($C61, ""price"", WORKDAY(INT($B61), 20)), 2, 2), """")=""""), """", IF($D61=""LONG"", (IFERROR(INDEX(GOOGLEFINANCE($C61, ""price"", WORKDAY(INT($B61), 20)), 2, 2), """")-$G61)/$G61, ($G61-IFERROR(IN"&amp;"DEX(GOOGLEFINANCE($C61, ""price"", WORKDAY(INT($B61), 20)), 2, 2), """"))/$G61)), """")"),"")</f>
        <v/>
      </c>
      <c r="Q61" s="5" t="s">
        <v>653</v>
      </c>
      <c r="R61" s="21" t="s">
        <v>525</v>
      </c>
      <c r="S61" s="21" t="s">
        <v>654</v>
      </c>
      <c r="T61" s="21" t="s">
        <v>51</v>
      </c>
      <c r="U61" s="21"/>
      <c r="V61" s="21"/>
      <c r="W61" s="21"/>
      <c r="X61" s="21"/>
      <c r="Y61" s="21"/>
      <c r="Z61" s="21"/>
    </row>
    <row r="62">
      <c r="A62" s="3">
        <f t="shared" si="1"/>
        <v>61</v>
      </c>
      <c r="B62" s="4">
        <v>46213.66737268519</v>
      </c>
      <c r="C62" s="5" t="s">
        <v>451</v>
      </c>
      <c r="D62" s="5" t="s">
        <v>36</v>
      </c>
      <c r="E62" s="5" t="s">
        <v>37</v>
      </c>
      <c r="F62" s="6">
        <v>2.0</v>
      </c>
      <c r="G62" s="7">
        <v>46.49</v>
      </c>
      <c r="H62" s="5" t="s">
        <v>658</v>
      </c>
      <c r="I62" s="5">
        <v>93.6</v>
      </c>
      <c r="J62" s="3"/>
      <c r="K62" s="5" t="s">
        <v>40</v>
      </c>
      <c r="L62" s="8">
        <f>IFERROR(__xludf.DUMMYFUNCTION("IFERROR(GOOGLEFINANCE(C62, ""price""), IFERROR(GOOGLEFINANCE(""NASDAQ:""&amp;C62, ""price""), IFERROR(GOOGLEFINANCE(""NYSE:""&amp;C62, ""price""), """")))"),50.8)</f>
        <v>50.8</v>
      </c>
      <c r="M62" s="12">
        <f t="shared" si="3"/>
        <v>0.09270810927</v>
      </c>
      <c r="N62" s="12">
        <f>IFERROR(__xludf.DUMMYFUNCTION("IFERROR(IF(OR(ISBLANK($G62), IFERROR(INDEX(GOOGLEFINANCE($C62, ""price"", WORKDAY(INT($B62), 1)), 2, 2), """")=""""), """", IF($D62=""LONG"", (IFERROR(INDEX(GOOGLEFINANCE($C62, ""price"", WORKDAY(INT($B62), 1)), 2, 2), """")-$G62)/$G62, ($G62-IFERROR(INDE"&amp;"X(GOOGLEFINANCE($C62, ""price"", WORKDAY(INT($B62), 1)), 2, 2), """"))/$G62)), """")"),0.012045601204560016)</f>
        <v>0.0120456012</v>
      </c>
      <c r="O62" s="12">
        <f>IFERROR(__xludf.DUMMYFUNCTION("IFERROR(IF(OR(ISBLANK($G62), IFERROR(INDEX(GOOGLEFINANCE($C62, ""price"", WORKDAY(INT($B62), 5)), 2, 2), """")=""""), """", IF($D62=""LONG"", (IFERROR(INDEX(GOOGLEFINANCE($C62, ""price"", WORKDAY(INT($B62), 5)), 2, 2), """")-$G62)/$G62, ($G62-IFERROR(INDE"&amp;"X(GOOGLEFINANCE($C62, ""price"", WORKDAY(INT($B62), 5)), 2, 2), """"))/$G62)), """")"),-0.021510002151000213)</f>
        <v>-0.02151000215</v>
      </c>
      <c r="P62" s="12" t="str">
        <f>IFERROR(__xludf.DUMMYFUNCTION("IFERROR(IF(OR(ISBLANK($G62), IFERROR(INDEX(GOOGLEFINANCE($C62, ""price"", WORKDAY(INT($B62), 20)), 2, 2), """")=""""), """", IF($D62=""LONG"", (IFERROR(INDEX(GOOGLEFINANCE($C62, ""price"", WORKDAY(INT($B62), 20)), 2, 2), """")-$G62)/$G62, ($G62-IFERROR(IN"&amp;"DEX(GOOGLEFINANCE($C62, ""price"", WORKDAY(INT($B62), 20)), 2, 2), """"))/$G62)), """")"),"")</f>
        <v/>
      </c>
      <c r="Q62" s="5" t="s">
        <v>661</v>
      </c>
      <c r="R62" s="21" t="s">
        <v>507</v>
      </c>
      <c r="S62" s="21" t="s">
        <v>662</v>
      </c>
      <c r="T62" s="21" t="s">
        <v>51</v>
      </c>
      <c r="U62" s="21"/>
      <c r="V62" s="21"/>
      <c r="W62" s="21"/>
      <c r="X62" s="21"/>
      <c r="Y62" s="21"/>
      <c r="Z62" s="21"/>
    </row>
    <row r="63">
      <c r="A63" s="3">
        <f t="shared" si="1"/>
        <v>62</v>
      </c>
      <c r="B63" s="4">
        <v>46213.66744212963</v>
      </c>
      <c r="C63" s="5" t="s">
        <v>663</v>
      </c>
      <c r="D63" s="5" t="s">
        <v>36</v>
      </c>
      <c r="E63" s="5" t="s">
        <v>37</v>
      </c>
      <c r="F63" s="6">
        <v>2.0</v>
      </c>
      <c r="G63" s="7">
        <v>75.39</v>
      </c>
      <c r="H63" s="5" t="s">
        <v>664</v>
      </c>
      <c r="I63" s="5">
        <v>92.3</v>
      </c>
      <c r="J63" s="3"/>
      <c r="K63" s="5" t="s">
        <v>40</v>
      </c>
      <c r="L63" s="8">
        <f>IFERROR(__xludf.DUMMYFUNCTION("IFERROR(GOOGLEFINANCE(C63, ""price""), IFERROR(GOOGLEFINANCE(""NASDAQ:""&amp;C63, ""price""), IFERROR(GOOGLEFINANCE(""NYSE:""&amp;C63, ""price""), """")))"),71.2)</f>
        <v>71.2</v>
      </c>
      <c r="M63" s="12">
        <f t="shared" si="3"/>
        <v>-0.05557766282</v>
      </c>
      <c r="N63" s="12">
        <f>IFERROR(__xludf.DUMMYFUNCTION("IFERROR(IF(OR(ISBLANK($G63), IFERROR(INDEX(GOOGLEFINANCE($C63, ""price"", WORKDAY(INT($B63), 1)), 2, 2), """")=""""), """", IF($D63=""LONG"", (IFERROR(INDEX(GOOGLEFINANCE($C63, ""price"", WORKDAY(INT($B63), 1)), 2, 2), """")-$G63)/$G63, ($G63-IFERROR(INDE"&amp;"X(GOOGLEFINANCE($C63, ""price"", WORKDAY(INT($B63), 1)), 2, 2), """"))/$G63)), """")"),0.004775169120573013)</f>
        <v>0.004775169121</v>
      </c>
      <c r="O63" s="12">
        <f>IFERROR(__xludf.DUMMYFUNCTION("IFERROR(IF(OR(ISBLANK($G63), IFERROR(INDEX(GOOGLEFINANCE($C63, ""price"", WORKDAY(INT($B63), 5)), 2, 2), """")=""""), """", IF($D63=""LONG"", (IFERROR(INDEX(GOOGLEFINANCE($C63, ""price"", WORKDAY(INT($B63), 5)), 2, 2), """")-$G63)/$G63, ($G63-IFERROR(INDE"&amp;"X(GOOGLEFINANCE($C63, ""price"", WORKDAY(INT($B63), 5)), 2, 2), """"))/$G63)), """")"),-0.02307998408276953)</f>
        <v>-0.02307998408</v>
      </c>
      <c r="P63" s="12" t="str">
        <f>IFERROR(__xludf.DUMMYFUNCTION("IFERROR(IF(OR(ISBLANK($G63), IFERROR(INDEX(GOOGLEFINANCE($C63, ""price"", WORKDAY(INT($B63), 20)), 2, 2), """")=""""), """", IF($D63=""LONG"", (IFERROR(INDEX(GOOGLEFINANCE($C63, ""price"", WORKDAY(INT($B63), 20)), 2, 2), """")-$G63)/$G63, ($G63-IFERROR(IN"&amp;"DEX(GOOGLEFINANCE($C63, ""price"", WORKDAY(INT($B63), 20)), 2, 2), """"))/$G63)), """")"),"")</f>
        <v/>
      </c>
      <c r="Q63" s="5" t="s">
        <v>670</v>
      </c>
      <c r="R63" s="21" t="s">
        <v>545</v>
      </c>
      <c r="S63" s="21" t="s">
        <v>671</v>
      </c>
      <c r="T63" s="21" t="s">
        <v>51</v>
      </c>
      <c r="U63" s="21"/>
      <c r="V63" s="21"/>
      <c r="W63" s="21"/>
      <c r="X63" s="21"/>
      <c r="Y63" s="21"/>
      <c r="Z63" s="21"/>
    </row>
    <row r="64">
      <c r="A64" s="3">
        <f t="shared" si="1"/>
        <v>63</v>
      </c>
      <c r="B64" s="4">
        <v>46213.66768518519</v>
      </c>
      <c r="C64" s="5" t="s">
        <v>556</v>
      </c>
      <c r="D64" s="5" t="s">
        <v>119</v>
      </c>
      <c r="E64" s="5" t="s">
        <v>120</v>
      </c>
      <c r="F64" s="6">
        <v>4.0</v>
      </c>
      <c r="G64" s="7">
        <v>48.74</v>
      </c>
      <c r="H64" s="5" t="s">
        <v>673</v>
      </c>
      <c r="I64" s="5">
        <v>5.7</v>
      </c>
      <c r="J64" s="3"/>
      <c r="K64" s="5" t="s">
        <v>40</v>
      </c>
      <c r="L64" s="8">
        <f>IFERROR(__xludf.DUMMYFUNCTION("IFERROR(GOOGLEFINANCE(C64, ""price""), IFERROR(GOOGLEFINANCE(""NASDAQ:""&amp;C64, ""price""), IFERROR(GOOGLEFINANCE(""NYSE:""&amp;C64, ""price""), """")))"),55.37)</f>
        <v>55.37</v>
      </c>
      <c r="M64" s="12">
        <f t="shared" si="3"/>
        <v>-0.1360279032</v>
      </c>
      <c r="N64" s="12">
        <f>IFERROR(__xludf.DUMMYFUNCTION("IFERROR(IF(OR(ISBLANK($G64), IFERROR(INDEX(GOOGLEFINANCE($C64, ""price"", WORKDAY(INT($B64), 1)), 2, 2), """")=""""), """", IF($D64=""LONG"", (IFERROR(INDEX(GOOGLEFINANCE($C64, ""price"", WORKDAY(INT($B64), 1)), 2, 2), """")-$G64)/$G64, ($G64-IFERROR(INDE"&amp;"X(GOOGLEFINANCE($C64, ""price"", WORKDAY(INT($B64), 1)), 2, 2), """"))/$G64)), """")"),-0.03036520311858836)</f>
        <v>-0.03036520312</v>
      </c>
      <c r="O64" s="12">
        <f>IFERROR(__xludf.DUMMYFUNCTION("IFERROR(IF(OR(ISBLANK($G64), IFERROR(INDEX(GOOGLEFINANCE($C64, ""price"", WORKDAY(INT($B64), 5)), 2, 2), """")=""""), """", IF($D64=""LONG"", (IFERROR(INDEX(GOOGLEFINANCE($C64, ""price"", WORKDAY(INT($B64), 5)), 2, 2), """")-$G64)/$G64, ($G64-IFERROR(INDE"&amp;"X(GOOGLEFINANCE($C64, ""price"", WORKDAY(INT($B64), 5)), 2, 2), """"))/$G64)), """")"),-0.05929421419778417)</f>
        <v>-0.0592942142</v>
      </c>
      <c r="P64" s="12" t="str">
        <f>IFERROR(__xludf.DUMMYFUNCTION("IFERROR(IF(OR(ISBLANK($G64), IFERROR(INDEX(GOOGLEFINANCE($C64, ""price"", WORKDAY(INT($B64), 20)), 2, 2), """")=""""), """", IF($D64=""LONG"", (IFERROR(INDEX(GOOGLEFINANCE($C64, ""price"", WORKDAY(INT($B64), 20)), 2, 2), """")-$G64)/$G64, ($G64-IFERROR(IN"&amp;"DEX(GOOGLEFINANCE($C64, ""price"", WORKDAY(INT($B64), 20)), 2, 2), """"))/$G64)), """")"),"")</f>
        <v/>
      </c>
      <c r="Q64" s="5" t="s">
        <v>678</v>
      </c>
      <c r="R64" s="21" t="s">
        <v>102</v>
      </c>
      <c r="S64" s="21" t="s">
        <v>679</v>
      </c>
      <c r="T64" s="21" t="s">
        <v>51</v>
      </c>
      <c r="U64" s="21"/>
      <c r="V64" s="21"/>
      <c r="W64" s="21"/>
      <c r="X64" s="21"/>
      <c r="Y64" s="21"/>
      <c r="Z64" s="21"/>
    </row>
    <row r="65">
      <c r="A65" s="3">
        <f t="shared" si="1"/>
        <v>64</v>
      </c>
      <c r="B65" s="4">
        <v>46213.66748842593</v>
      </c>
      <c r="C65" s="5" t="s">
        <v>76</v>
      </c>
      <c r="D65" s="5" t="s">
        <v>36</v>
      </c>
      <c r="E65" s="5" t="s">
        <v>37</v>
      </c>
      <c r="F65" s="6">
        <v>2.0</v>
      </c>
      <c r="G65" s="7">
        <v>268.82</v>
      </c>
      <c r="H65" s="5" t="s">
        <v>680</v>
      </c>
      <c r="I65" s="5">
        <v>95.0</v>
      </c>
      <c r="J65" s="3"/>
      <c r="K65" s="5" t="s">
        <v>40</v>
      </c>
      <c r="L65" s="8">
        <f>IFERROR(__xludf.DUMMYFUNCTION("IFERROR(GOOGLEFINANCE(C65, ""price""), IFERROR(GOOGLEFINANCE(""NASDAQ:""&amp;C65, ""price""), IFERROR(GOOGLEFINANCE(""NYSE:""&amp;C65, ""price""), """")))"),294.7)</f>
        <v>294.7</v>
      </c>
      <c r="M65" s="12">
        <f t="shared" si="3"/>
        <v>0.09627259876</v>
      </c>
      <c r="N65" s="12">
        <f>IFERROR(__xludf.DUMMYFUNCTION("IFERROR(IF(OR(ISBLANK($G65), IFERROR(INDEX(GOOGLEFINANCE($C65, ""price"", WORKDAY(INT($B65), 1)), 2, 2), """")=""""), """", IF($D65=""LONG"", (IFERROR(INDEX(GOOGLEFINANCE($C65, ""price"", WORKDAY(INT($B65), 1)), 2, 2), """")-$G65)/$G65, ($G65-IFERROR(INDE"&amp;"X(GOOGLEFINANCE($C65, ""price"", WORKDAY(INT($B65), 1)), 2, 2), """"))/$G65)), """")"),0.009969496317238327)</f>
        <v>0.009969496317</v>
      </c>
      <c r="O65" s="12">
        <f>IFERROR(__xludf.DUMMYFUNCTION("IFERROR(IF(OR(ISBLANK($G65), IFERROR(INDEX(GOOGLEFINANCE($C65, ""price"", WORKDAY(INT($B65), 5)), 2, 2), """")=""""), """", IF($D65=""LONG"", (IFERROR(INDEX(GOOGLEFINANCE($C65, ""price"", WORKDAY(INT($B65), 5)), 2, 2), """")-$G65)/$G65, ($G65-IFERROR(INDE"&amp;"X(GOOGLEFINANCE($C65, ""price"", WORKDAY(INT($B65), 5)), 2, 2), """"))/$G65)), """")"),0.026895320288669065)</f>
        <v>0.02689532029</v>
      </c>
      <c r="P65" s="12" t="str">
        <f>IFERROR(__xludf.DUMMYFUNCTION("IFERROR(IF(OR(ISBLANK($G65), IFERROR(INDEX(GOOGLEFINANCE($C65, ""price"", WORKDAY(INT($B65), 20)), 2, 2), """")=""""), """", IF($D65=""LONG"", (IFERROR(INDEX(GOOGLEFINANCE($C65, ""price"", WORKDAY(INT($B65), 20)), 2, 2), """")-$G65)/$G65, ($G65-IFERROR(IN"&amp;"DEX(GOOGLEFINANCE($C65, ""price"", WORKDAY(INT($B65), 20)), 2, 2), """"))/$G65)), """")"),"")</f>
        <v/>
      </c>
      <c r="Q65" s="5" t="s">
        <v>684</v>
      </c>
      <c r="R65" s="21" t="s">
        <v>507</v>
      </c>
      <c r="S65" s="21" t="s">
        <v>686</v>
      </c>
      <c r="T65" s="21" t="s">
        <v>51</v>
      </c>
      <c r="U65" s="21"/>
      <c r="V65" s="21"/>
      <c r="W65" s="21"/>
      <c r="X65" s="21"/>
      <c r="Y65" s="21"/>
      <c r="Z65" s="21"/>
    </row>
    <row r="66">
      <c r="A66" s="3">
        <f t="shared" si="1"/>
        <v>65</v>
      </c>
      <c r="B66" s="4">
        <v>46213.66777777778</v>
      </c>
      <c r="C66" s="5" t="s">
        <v>288</v>
      </c>
      <c r="D66" s="5" t="s">
        <v>36</v>
      </c>
      <c r="E66" s="5" t="s">
        <v>37</v>
      </c>
      <c r="F66" s="6">
        <v>2.0</v>
      </c>
      <c r="G66" s="7">
        <v>19.48</v>
      </c>
      <c r="H66" s="5" t="s">
        <v>687</v>
      </c>
      <c r="I66" s="5">
        <v>95.8</v>
      </c>
      <c r="J66" s="3"/>
      <c r="K66" s="5" t="s">
        <v>40</v>
      </c>
      <c r="L66" s="8">
        <f>IFERROR(__xludf.DUMMYFUNCTION("IFERROR(GOOGLEFINANCE(C66, ""price""), IFERROR(GOOGLEFINANCE(""NASDAQ:""&amp;C66, ""price""), IFERROR(GOOGLEFINANCE(""NYSE:""&amp;C66, ""price""), """")))"),19.18)</f>
        <v>19.18</v>
      </c>
      <c r="M66" s="12">
        <f t="shared" si="3"/>
        <v>-0.01540041068</v>
      </c>
      <c r="N66" s="12">
        <f>IFERROR(__xludf.DUMMYFUNCTION("IFERROR(IF(OR(ISBLANK($G66), IFERROR(INDEX(GOOGLEFINANCE($C66, ""price"", WORKDAY(INT($B66), 1)), 2, 2), """")=""""), """", IF($D66=""LONG"", (IFERROR(INDEX(GOOGLEFINANCE($C66, ""price"", WORKDAY(INT($B66), 1)), 2, 2), """")-$G66)/$G66, ($G66-IFERROR(INDE"&amp;"X(GOOGLEFINANCE($C66, ""price"", WORKDAY(INT($B66), 1)), 2, 2), """"))/$G66)), """")"),-0.012833675564681724)</f>
        <v>-0.01283367556</v>
      </c>
      <c r="O66" s="12">
        <f>IFERROR(__xludf.DUMMYFUNCTION("IFERROR(IF(OR(ISBLANK($G66), IFERROR(INDEX(GOOGLEFINANCE($C66, ""price"", WORKDAY(INT($B66), 5)), 2, 2), """")=""""), """", IF($D66=""LONG"", (IFERROR(INDEX(GOOGLEFINANCE($C66, ""price"", WORKDAY(INT($B66), 5)), 2, 2), """")-$G66)/$G66, ($G66-IFERROR(INDE"&amp;"X(GOOGLEFINANCE($C66, ""price"", WORKDAY(INT($B66), 5)), 2, 2), """"))/$G66)), """")"),-0.02566735112936345)</f>
        <v>-0.02566735113</v>
      </c>
      <c r="P66" s="12" t="str">
        <f>IFERROR(__xludf.DUMMYFUNCTION("IFERROR(IF(OR(ISBLANK($G66), IFERROR(INDEX(GOOGLEFINANCE($C66, ""price"", WORKDAY(INT($B66), 20)), 2, 2), """")=""""), """", IF($D66=""LONG"", (IFERROR(INDEX(GOOGLEFINANCE($C66, ""price"", WORKDAY(INT($B66), 20)), 2, 2), """")-$G66)/$G66, ($G66-IFERROR(IN"&amp;"DEX(GOOGLEFINANCE($C66, ""price"", WORKDAY(INT($B66), 20)), 2, 2), """"))/$G66)), """")"),"")</f>
        <v/>
      </c>
      <c r="Q66" s="5" t="s">
        <v>694</v>
      </c>
      <c r="R66" s="21" t="s">
        <v>507</v>
      </c>
      <c r="S66" s="21" t="s">
        <v>695</v>
      </c>
      <c r="T66" s="21" t="s">
        <v>51</v>
      </c>
      <c r="U66" s="21"/>
      <c r="V66" s="21"/>
      <c r="W66" s="21"/>
      <c r="X66" s="21"/>
      <c r="Y66" s="21"/>
      <c r="Z66" s="21"/>
    </row>
    <row r="67">
      <c r="A67" s="3">
        <f t="shared" si="1"/>
        <v>66</v>
      </c>
      <c r="B67" s="4">
        <v>46213.6678125</v>
      </c>
      <c r="C67" s="5" t="s">
        <v>696</v>
      </c>
      <c r="D67" s="5" t="s">
        <v>36</v>
      </c>
      <c r="E67" s="5" t="s">
        <v>37</v>
      </c>
      <c r="F67" s="6">
        <v>2.0</v>
      </c>
      <c r="G67" s="7">
        <v>172.0</v>
      </c>
      <c r="H67" s="5" t="s">
        <v>698</v>
      </c>
      <c r="I67" s="5">
        <v>83.0</v>
      </c>
      <c r="J67" s="3"/>
      <c r="K67" s="5" t="s">
        <v>40</v>
      </c>
      <c r="L67" s="8">
        <f>IFERROR(__xludf.DUMMYFUNCTION("IFERROR(GOOGLEFINANCE(C67, ""price""), IFERROR(GOOGLEFINANCE(""NASDAQ:""&amp;C67, ""price""), IFERROR(GOOGLEFINANCE(""NYSE:""&amp;C67, ""price""), """")))"),178.56)</f>
        <v>178.56</v>
      </c>
      <c r="M67" s="12">
        <f t="shared" si="3"/>
        <v>0.03813953488</v>
      </c>
      <c r="N67" s="12">
        <f>IFERROR(__xludf.DUMMYFUNCTION("IFERROR(IF(OR(ISBLANK($G67), IFERROR(INDEX(GOOGLEFINANCE($C67, ""price"", WORKDAY(INT($B67), 1)), 2, 2), """")=""""), """", IF($D67=""LONG"", (IFERROR(INDEX(GOOGLEFINANCE($C67, ""price"", WORKDAY(INT($B67), 1)), 2, 2), """")-$G67)/$G67, ($G67-IFERROR(INDE"&amp;"X(GOOGLEFINANCE($C67, ""price"", WORKDAY(INT($B67), 1)), 2, 2), """"))/$G67)), """")"),0.020348837209302327)</f>
        <v>0.02034883721</v>
      </c>
      <c r="O67" s="12">
        <f>IFERROR(__xludf.DUMMYFUNCTION("IFERROR(IF(OR(ISBLANK($G67), IFERROR(INDEX(GOOGLEFINANCE($C67, ""price"", WORKDAY(INT($B67), 5)), 2, 2), """")=""""), """", IF($D67=""LONG"", (IFERROR(INDEX(GOOGLEFINANCE($C67, ""price"", WORKDAY(INT($B67), 5)), 2, 2), """")-$G67)/$G67, ($G67-IFERROR(INDE"&amp;"X(GOOGLEFINANCE($C67, ""price"", WORKDAY(INT($B67), 5)), 2, 2), """"))/$G67)), """")"),0.06279069767441867)</f>
        <v>0.06279069767</v>
      </c>
      <c r="P67" s="12" t="str">
        <f>IFERROR(__xludf.DUMMYFUNCTION("IFERROR(IF(OR(ISBLANK($G67), IFERROR(INDEX(GOOGLEFINANCE($C67, ""price"", WORKDAY(INT($B67), 20)), 2, 2), """")=""""), """", IF($D67=""LONG"", (IFERROR(INDEX(GOOGLEFINANCE($C67, ""price"", WORKDAY(INT($B67), 20)), 2, 2), """")-$G67)/$G67, ($G67-IFERROR(IN"&amp;"DEX(GOOGLEFINANCE($C67, ""price"", WORKDAY(INT($B67), 20)), 2, 2), """"))/$G67)), """")"),"")</f>
        <v/>
      </c>
      <c r="Q67" s="5" t="s">
        <v>703</v>
      </c>
      <c r="R67" s="21" t="s">
        <v>704</v>
      </c>
      <c r="S67" s="21" t="s">
        <v>705</v>
      </c>
      <c r="T67" s="21" t="s">
        <v>51</v>
      </c>
      <c r="U67" s="21"/>
      <c r="V67" s="21"/>
      <c r="W67" s="21"/>
      <c r="X67" s="21"/>
      <c r="Y67" s="21"/>
      <c r="Z67" s="21"/>
    </row>
    <row r="68">
      <c r="A68" s="3">
        <f t="shared" si="1"/>
        <v>67</v>
      </c>
      <c r="B68" s="4">
        <v>46213.667662037034</v>
      </c>
      <c r="C68" s="5" t="s">
        <v>707</v>
      </c>
      <c r="D68" s="5" t="s">
        <v>36</v>
      </c>
      <c r="E68" s="5" t="s">
        <v>37</v>
      </c>
      <c r="F68" s="6">
        <v>2.0</v>
      </c>
      <c r="G68" s="7">
        <v>111.15</v>
      </c>
      <c r="H68" s="5" t="s">
        <v>708</v>
      </c>
      <c r="I68" s="5">
        <v>92.1</v>
      </c>
      <c r="J68" s="3"/>
      <c r="K68" s="5" t="s">
        <v>40</v>
      </c>
      <c r="L68" s="8">
        <f>IFERROR(__xludf.DUMMYFUNCTION("IFERROR(GOOGLEFINANCE(C68, ""price""), IFERROR(GOOGLEFINANCE(""NASDAQ:""&amp;C68, ""price""), IFERROR(GOOGLEFINANCE(""NYSE:""&amp;C68, ""price""), """")))"),108.95)</f>
        <v>108.95</v>
      </c>
      <c r="M68" s="12">
        <f t="shared" si="3"/>
        <v>-0.01979307242</v>
      </c>
      <c r="N68" s="12">
        <f>IFERROR(__xludf.DUMMYFUNCTION("IFERROR(IF(OR(ISBLANK($G68), IFERROR(INDEX(GOOGLEFINANCE($C68, ""price"", WORKDAY(INT($B68), 1)), 2, 2), """")=""""), """", IF($D68=""LONG"", (IFERROR(INDEX(GOOGLEFINANCE($C68, ""price"", WORKDAY(INT($B68), 1)), 2, 2), """")-$G68)/$G68, ($G68-IFERROR(INDE"&amp;"X(GOOGLEFINANCE($C68, ""price"", WORKDAY(INT($B68), 1)), 2, 2), """"))/$G68)), """")"),0.006027890238416441)</f>
        <v>0.006027890238</v>
      </c>
      <c r="O68" s="12">
        <f>IFERROR(__xludf.DUMMYFUNCTION("IFERROR(IF(OR(ISBLANK($G68), IFERROR(INDEX(GOOGLEFINANCE($C68, ""price"", WORKDAY(INT($B68), 5)), 2, 2), """")=""""), """", IF($D68=""LONG"", (IFERROR(INDEX(GOOGLEFINANCE($C68, ""price"", WORKDAY(INT($B68), 5)), 2, 2), """")-$G68)/$G68, ($G68-IFERROR(INDE"&amp;"X(GOOGLEFINANCE($C68, ""price"", WORKDAY(INT($B68), 5)), 2, 2), """"))/$G68)), """")"),0.010976158344579386)</f>
        <v>0.01097615834</v>
      </c>
      <c r="P68" s="12" t="str">
        <f>IFERROR(__xludf.DUMMYFUNCTION("IFERROR(IF(OR(ISBLANK($G68), IFERROR(INDEX(GOOGLEFINANCE($C68, ""price"", WORKDAY(INT($B68), 20)), 2, 2), """")=""""), """", IF($D68=""LONG"", (IFERROR(INDEX(GOOGLEFINANCE($C68, ""price"", WORKDAY(INT($B68), 20)), 2, 2), """")-$G68)/$G68, ($G68-IFERROR(IN"&amp;"DEX(GOOGLEFINANCE($C68, ""price"", WORKDAY(INT($B68), 20)), 2, 2), """"))/$G68)), """")"),"")</f>
        <v/>
      </c>
      <c r="Q68" s="5" t="s">
        <v>711</v>
      </c>
      <c r="R68" s="21" t="s">
        <v>712</v>
      </c>
      <c r="S68" s="21" t="s">
        <v>713</v>
      </c>
      <c r="T68" s="21" t="s">
        <v>51</v>
      </c>
      <c r="U68" s="21"/>
      <c r="V68" s="21"/>
      <c r="W68" s="21"/>
      <c r="X68" s="21"/>
      <c r="Y68" s="21"/>
      <c r="Z68" s="21"/>
    </row>
    <row r="69">
      <c r="A69" s="3">
        <f t="shared" si="1"/>
        <v>68</v>
      </c>
      <c r="B69" s="4">
        <v>46213.66747685185</v>
      </c>
      <c r="C69" s="5" t="s">
        <v>117</v>
      </c>
      <c r="D69" s="5" t="s">
        <v>36</v>
      </c>
      <c r="E69" s="5" t="s">
        <v>37</v>
      </c>
      <c r="F69" s="6">
        <v>2.0</v>
      </c>
      <c r="G69" s="7">
        <v>23.3</v>
      </c>
      <c r="H69" s="5" t="s">
        <v>715</v>
      </c>
      <c r="I69" s="5">
        <v>92.2</v>
      </c>
      <c r="J69" s="3"/>
      <c r="K69" s="5" t="s">
        <v>40</v>
      </c>
      <c r="L69" s="8">
        <f>IFERROR(__xludf.DUMMYFUNCTION("IFERROR(GOOGLEFINANCE(C69, ""price""), IFERROR(GOOGLEFINANCE(""NASDAQ:""&amp;C69, ""price""), IFERROR(GOOGLEFINANCE(""NYSE:""&amp;C69, ""price""), """")))"),22.66)</f>
        <v>22.66</v>
      </c>
      <c r="M69" s="12">
        <f t="shared" si="3"/>
        <v>-0.02746781116</v>
      </c>
      <c r="N69" s="12">
        <f>IFERROR(__xludf.DUMMYFUNCTION("IFERROR(IF(OR(ISBLANK($G69), IFERROR(INDEX(GOOGLEFINANCE($C69, ""price"", WORKDAY(INT($B69), 1)), 2, 2), """")=""""), """", IF($D69=""LONG"", (IFERROR(INDEX(GOOGLEFINANCE($C69, ""price"", WORKDAY(INT($B69), 1)), 2, 2), """")-$G69)/$G69, ($G69-IFERROR(INDE"&amp;"X(GOOGLEFINANCE($C69, ""price"", WORKDAY(INT($B69), 1)), 2, 2), """"))/$G69)), """")"),-0.0034334763948498646)</f>
        <v>-0.003433476395</v>
      </c>
      <c r="O69" s="12">
        <f>IFERROR(__xludf.DUMMYFUNCTION("IFERROR(IF(OR(ISBLANK($G69), IFERROR(INDEX(GOOGLEFINANCE($C69, ""price"", WORKDAY(INT($B69), 5)), 2, 2), """")=""""), """", IF($D69=""LONG"", (IFERROR(INDEX(GOOGLEFINANCE($C69, ""price"", WORKDAY(INT($B69), 5)), 2, 2), """")-$G69)/$G69, ($G69-IFERROR(INDE"&amp;"X(GOOGLEFINANCE($C69, ""price"", WORKDAY(INT($B69), 5)), 2, 2), """"))/$G69)), """")"),0.01072961373390558)</f>
        <v>0.01072961373</v>
      </c>
      <c r="P69" s="12" t="str">
        <f>IFERROR(__xludf.DUMMYFUNCTION("IFERROR(IF(OR(ISBLANK($G69), IFERROR(INDEX(GOOGLEFINANCE($C69, ""price"", WORKDAY(INT($B69), 20)), 2, 2), """")=""""), """", IF($D69=""LONG"", (IFERROR(INDEX(GOOGLEFINANCE($C69, ""price"", WORKDAY(INT($B69), 20)), 2, 2), """")-$G69)/$G69, ($G69-IFERROR(IN"&amp;"DEX(GOOGLEFINANCE($C69, ""price"", WORKDAY(INT($B69), 20)), 2, 2), """"))/$G69)), """")"),"")</f>
        <v/>
      </c>
      <c r="Q69" s="5" t="s">
        <v>720</v>
      </c>
      <c r="R69" s="21" t="s">
        <v>722</v>
      </c>
      <c r="S69" s="21" t="s">
        <v>723</v>
      </c>
      <c r="T69" s="21" t="s">
        <v>51</v>
      </c>
      <c r="U69" s="21"/>
      <c r="V69" s="21"/>
      <c r="W69" s="21"/>
      <c r="X69" s="21"/>
      <c r="Y69" s="21"/>
      <c r="Z69" s="21"/>
    </row>
    <row r="70">
      <c r="A70" s="3">
        <f t="shared" si="1"/>
        <v>69</v>
      </c>
      <c r="B70" s="4">
        <v>46213.667719907404</v>
      </c>
      <c r="C70" s="5" t="s">
        <v>55</v>
      </c>
      <c r="D70" s="5" t="s">
        <v>36</v>
      </c>
      <c r="E70" s="5" t="s">
        <v>37</v>
      </c>
      <c r="F70" s="6">
        <v>2.0</v>
      </c>
      <c r="G70" s="7">
        <v>1188.53</v>
      </c>
      <c r="H70" s="5" t="s">
        <v>725</v>
      </c>
      <c r="I70" s="5">
        <v>92.8</v>
      </c>
      <c r="J70" s="3"/>
      <c r="K70" s="5" t="s">
        <v>40</v>
      </c>
      <c r="L70" s="8">
        <f>IFERROR(__xludf.DUMMYFUNCTION("IFERROR(GOOGLEFINANCE(C70, ""price""), IFERROR(GOOGLEFINANCE(""NASDAQ:""&amp;C70, ""price""), IFERROR(GOOGLEFINANCE(""NYSE:""&amp;C70, ""price""), """")))"),1191.94)</f>
        <v>1191.94</v>
      </c>
      <c r="M70" s="12">
        <f t="shared" si="3"/>
        <v>0.002869090389</v>
      </c>
      <c r="N70" s="12">
        <f>IFERROR(__xludf.DUMMYFUNCTION("IFERROR(IF(OR(ISBLANK($G70), IFERROR(INDEX(GOOGLEFINANCE($C70, ""price"", WORKDAY(INT($B70), 1)), 2, 2), """")=""""), """", IF($D70=""LONG"", (IFERROR(INDEX(GOOGLEFINANCE($C70, ""price"", WORKDAY(INT($B70), 1)), 2, 2), """")-$G70)/$G70, ($G70-IFERROR(INDE"&amp;"X(GOOGLEFINANCE($C70, ""price"", WORKDAY(INT($B70), 1)), 2, 2), """"))/$G70)), """")"),-0.005603560701034119)</f>
        <v>-0.005603560701</v>
      </c>
      <c r="O70" s="12">
        <f>IFERROR(__xludf.DUMMYFUNCTION("IFERROR(IF(OR(ISBLANK($G70), IFERROR(INDEX(GOOGLEFINANCE($C70, ""price"", WORKDAY(INT($B70), 5)), 2, 2), """")=""""), """", IF($D70=""LONG"", (IFERROR(INDEX(GOOGLEFINANCE($C70, ""price"", WORKDAY(INT($B70), 5)), 2, 2), """")-$G70)/$G70, ($G70-IFERROR(INDE"&amp;"X(GOOGLEFINANCE($C70, ""price"", WORKDAY(INT($B70), 5)), 2, 2), """"))/$G70)), """")"),-0.007925757027588763)</f>
        <v>-0.007925757028</v>
      </c>
      <c r="P70" s="12" t="str">
        <f>IFERROR(__xludf.DUMMYFUNCTION("IFERROR(IF(OR(ISBLANK($G70), IFERROR(INDEX(GOOGLEFINANCE($C70, ""price"", WORKDAY(INT($B70), 20)), 2, 2), """")=""""), """", IF($D70=""LONG"", (IFERROR(INDEX(GOOGLEFINANCE($C70, ""price"", WORKDAY(INT($B70), 20)), 2, 2), """")-$G70)/$G70, ($G70-IFERROR(IN"&amp;"DEX(GOOGLEFINANCE($C70, ""price"", WORKDAY(INT($B70), 20)), 2, 2), """"))/$G70)), """")"),"")</f>
        <v/>
      </c>
      <c r="Q70" s="5" t="s">
        <v>733</v>
      </c>
      <c r="R70" s="21" t="s">
        <v>704</v>
      </c>
      <c r="S70" s="21" t="s">
        <v>734</v>
      </c>
      <c r="T70" s="21" t="s">
        <v>51</v>
      </c>
      <c r="U70" s="21"/>
      <c r="V70" s="21"/>
      <c r="W70" s="21"/>
      <c r="X70" s="21"/>
      <c r="Y70" s="21"/>
      <c r="Z70" s="21"/>
    </row>
    <row r="71">
      <c r="A71" s="3">
        <f t="shared" si="1"/>
        <v>70</v>
      </c>
      <c r="B71" s="4">
        <v>46213.66820601852</v>
      </c>
      <c r="C71" s="5" t="s">
        <v>434</v>
      </c>
      <c r="D71" s="5" t="s">
        <v>36</v>
      </c>
      <c r="E71" s="5" t="s">
        <v>37</v>
      </c>
      <c r="F71" s="6">
        <v>2.0</v>
      </c>
      <c r="G71" s="7">
        <v>112.3</v>
      </c>
      <c r="H71" s="5" t="s">
        <v>735</v>
      </c>
      <c r="I71" s="5">
        <v>93.8</v>
      </c>
      <c r="J71" s="3"/>
      <c r="K71" s="5" t="s">
        <v>40</v>
      </c>
      <c r="L71" s="8">
        <f>IFERROR(__xludf.DUMMYFUNCTION("IFERROR(GOOGLEFINANCE(C71, ""price""), IFERROR(GOOGLEFINANCE(""NASDAQ:""&amp;C71, ""price""), IFERROR(GOOGLEFINANCE(""NYSE:""&amp;C71, ""price""), """")))"),114.24)</f>
        <v>114.24</v>
      </c>
      <c r="M71" s="12">
        <f t="shared" si="3"/>
        <v>0.01727515583</v>
      </c>
      <c r="N71" s="12">
        <f>IFERROR(__xludf.DUMMYFUNCTION("IFERROR(IF(OR(ISBLANK($G71), IFERROR(INDEX(GOOGLEFINANCE($C71, ""price"", WORKDAY(INT($B71), 1)), 2, 2), """")=""""), """", IF($D71=""LONG"", (IFERROR(INDEX(GOOGLEFINANCE($C71, ""price"", WORKDAY(INT($B71), 1)), 2, 2), """")-$G71)/$G71, ($G71-IFERROR(INDE"&amp;"X(GOOGLEFINANCE($C71, ""price"", WORKDAY(INT($B71), 1)), 2, 2), """"))/$G71)), """")"),-0.010596616206589473)</f>
        <v>-0.01059661621</v>
      </c>
      <c r="O71" s="12">
        <f>IFERROR(__xludf.DUMMYFUNCTION("IFERROR(IF(OR(ISBLANK($G71), IFERROR(INDEX(GOOGLEFINANCE($C71, ""price"", WORKDAY(INT($B71), 5)), 2, 2), """")=""""), """", IF($D71=""LONG"", (IFERROR(INDEX(GOOGLEFINANCE($C71, ""price"", WORKDAY(INT($B71), 5)), 2, 2), """")-$G71)/$G71, ($G71-IFERROR(INDE"&amp;"X(GOOGLEFINANCE($C71, ""price"", WORKDAY(INT($B71), 5)), 2, 2), """"))/$G71)), """")"),-0.019145146927871698)</f>
        <v>-0.01914514693</v>
      </c>
      <c r="P71" s="12" t="str">
        <f>IFERROR(__xludf.DUMMYFUNCTION("IFERROR(IF(OR(ISBLANK($G71), IFERROR(INDEX(GOOGLEFINANCE($C71, ""price"", WORKDAY(INT($B71), 20)), 2, 2), """")=""""), """", IF($D71=""LONG"", (IFERROR(INDEX(GOOGLEFINANCE($C71, ""price"", WORKDAY(INT($B71), 20)), 2, 2), """")-$G71)/$G71, ($G71-IFERROR(IN"&amp;"DEX(GOOGLEFINANCE($C71, ""price"", WORKDAY(INT($B71), 20)), 2, 2), """"))/$G71)), """")"),"")</f>
        <v/>
      </c>
      <c r="Q71" s="5" t="s">
        <v>739</v>
      </c>
      <c r="R71" s="21" t="s">
        <v>722</v>
      </c>
      <c r="S71" s="21" t="s">
        <v>740</v>
      </c>
      <c r="T71" s="21" t="s">
        <v>51</v>
      </c>
      <c r="U71" s="21"/>
      <c r="V71" s="21"/>
      <c r="W71" s="21"/>
      <c r="X71" s="21"/>
      <c r="Y71" s="21"/>
      <c r="Z71" s="21"/>
    </row>
    <row r="72">
      <c r="A72" s="3">
        <f t="shared" si="1"/>
        <v>71</v>
      </c>
      <c r="B72" s="4">
        <v>46213.66773148148</v>
      </c>
      <c r="C72" s="5" t="s">
        <v>397</v>
      </c>
      <c r="D72" s="5" t="s">
        <v>36</v>
      </c>
      <c r="E72" s="5" t="s">
        <v>37</v>
      </c>
      <c r="F72" s="6">
        <v>2.0</v>
      </c>
      <c r="G72" s="7">
        <v>270.83</v>
      </c>
      <c r="H72" s="5" t="s">
        <v>743</v>
      </c>
      <c r="I72" s="5">
        <v>90.8</v>
      </c>
      <c r="J72" s="3"/>
      <c r="K72" s="5" t="s">
        <v>40</v>
      </c>
      <c r="L72" s="8">
        <f>IFERROR(__xludf.DUMMYFUNCTION("IFERROR(GOOGLEFINANCE(C72, ""price""), IFERROR(GOOGLEFINANCE(""NASDAQ:""&amp;C72, ""price""), IFERROR(GOOGLEFINANCE(""NYSE:""&amp;C72, ""price""), """")))"),306.57)</f>
        <v>306.57</v>
      </c>
      <c r="M72" s="12">
        <f t="shared" si="3"/>
        <v>0.1319647011</v>
      </c>
      <c r="N72" s="12">
        <f>IFERROR(__xludf.DUMMYFUNCTION("IFERROR(IF(OR(ISBLANK($G72), IFERROR(INDEX(GOOGLEFINANCE($C72, ""price"", WORKDAY(INT($B72), 1)), 2, 2), """")=""""), """", IF($D72=""LONG"", (IFERROR(INDEX(GOOGLEFINANCE($C72, ""price"", WORKDAY(INT($B72), 1)), 2, 2), """")-$G72)/$G72, ($G72-IFERROR(INDE"&amp;"X(GOOGLEFINANCE($C72, ""price"", WORKDAY(INT($B72), 1)), 2, 2), """"))/$G72)), """")"),-0.019200236310600704)</f>
        <v>-0.01920023631</v>
      </c>
      <c r="O72" s="12">
        <f>IFERROR(__xludf.DUMMYFUNCTION("IFERROR(IF(OR(ISBLANK($G72), IFERROR(INDEX(GOOGLEFINANCE($C72, ""price"", WORKDAY(INT($B72), 5)), 2, 2), """")=""""), """", IF($D72=""LONG"", (IFERROR(INDEX(GOOGLEFINANCE($C72, ""price"", WORKDAY(INT($B72), 5)), 2, 2), """")-$G72)/$G72, ($G72-IFERROR(INDE"&amp;"X(GOOGLEFINANCE($C72, ""price"", WORKDAY(INT($B72), 5)), 2, 2), """"))/$G72)), """")"),-0.007606247461507227)</f>
        <v>-0.007606247462</v>
      </c>
      <c r="P72" s="12" t="str">
        <f>IFERROR(__xludf.DUMMYFUNCTION("IFERROR(IF(OR(ISBLANK($G72), IFERROR(INDEX(GOOGLEFINANCE($C72, ""price"", WORKDAY(INT($B72), 20)), 2, 2), """")=""""), """", IF($D72=""LONG"", (IFERROR(INDEX(GOOGLEFINANCE($C72, ""price"", WORKDAY(INT($B72), 20)), 2, 2), """")-$G72)/$G72, ($G72-IFERROR(IN"&amp;"DEX(GOOGLEFINANCE($C72, ""price"", WORKDAY(INT($B72), 20)), 2, 2), """"))/$G72)), """")"),"")</f>
        <v/>
      </c>
      <c r="Q72" s="5" t="s">
        <v>747</v>
      </c>
      <c r="R72" s="21" t="s">
        <v>722</v>
      </c>
      <c r="S72" s="21" t="s">
        <v>749</v>
      </c>
      <c r="T72" s="21" t="s">
        <v>51</v>
      </c>
      <c r="U72" s="21"/>
      <c r="V72" s="21"/>
      <c r="W72" s="21"/>
      <c r="X72" s="21"/>
      <c r="Y72" s="21"/>
      <c r="Z72" s="21"/>
    </row>
    <row r="73">
      <c r="A73" s="3">
        <f t="shared" si="1"/>
        <v>72</v>
      </c>
      <c r="B73" s="4">
        <v>46213.66753472222</v>
      </c>
      <c r="C73" s="5" t="s">
        <v>406</v>
      </c>
      <c r="D73" s="5" t="s">
        <v>36</v>
      </c>
      <c r="E73" s="5" t="s">
        <v>37</v>
      </c>
      <c r="F73" s="6">
        <v>2.0</v>
      </c>
      <c r="G73" s="7">
        <v>179.3</v>
      </c>
      <c r="H73" s="5" t="s">
        <v>751</v>
      </c>
      <c r="I73" s="5">
        <v>93.9</v>
      </c>
      <c r="J73" s="3"/>
      <c r="K73" s="5" t="s">
        <v>40</v>
      </c>
      <c r="L73" s="8">
        <f>IFERROR(__xludf.DUMMYFUNCTION("IFERROR(GOOGLEFINANCE(C73, ""price""), IFERROR(GOOGLEFINANCE(""NASDAQ:""&amp;C73, ""price""), IFERROR(GOOGLEFINANCE(""NYSE:""&amp;C73, ""price""), """")))"),179.04)</f>
        <v>179.04</v>
      </c>
      <c r="M73" s="12">
        <f t="shared" si="3"/>
        <v>-0.001450083659</v>
      </c>
      <c r="N73" s="12">
        <f>IFERROR(__xludf.DUMMYFUNCTION("IFERROR(IF(OR(ISBLANK($G73), IFERROR(INDEX(GOOGLEFINANCE($C73, ""price"", WORKDAY(INT($B73), 1)), 2, 2), """")=""""), """", IF($D73=""LONG"", (IFERROR(INDEX(GOOGLEFINANCE($C73, ""price"", WORKDAY(INT($B73), 1)), 2, 2), """")-$G73)/$G73, ($G73-IFERROR(INDE"&amp;"X(GOOGLEFINANCE($C73, ""price"", WORKDAY(INT($B73), 1)), 2, 2), """"))/$G73)), """")"),0.018795315114333386)</f>
        <v>0.01879531511</v>
      </c>
      <c r="O73" s="12">
        <f>IFERROR(__xludf.DUMMYFUNCTION("IFERROR(IF(OR(ISBLANK($G73), IFERROR(INDEX(GOOGLEFINANCE($C73, ""price"", WORKDAY(INT($B73), 5)), 2, 2), """")=""""), """", IF($D73=""LONG"", (IFERROR(INDEX(GOOGLEFINANCE($C73, ""price"", WORKDAY(INT($B73), 5)), 2, 2), """")-$G73)/$G73, ($G73-IFERROR(INDE"&amp;"X(GOOGLEFINANCE($C73, ""price"", WORKDAY(INT($B73), 5)), 2, 2), """"))/$G73)), """")"),0.00831009481316219)</f>
        <v>0.008310094813</v>
      </c>
      <c r="P73" s="12" t="str">
        <f>IFERROR(__xludf.DUMMYFUNCTION("IFERROR(IF(OR(ISBLANK($G73), IFERROR(INDEX(GOOGLEFINANCE($C73, ""price"", WORKDAY(INT($B73), 20)), 2, 2), """")=""""), """", IF($D73=""LONG"", (IFERROR(INDEX(GOOGLEFINANCE($C73, ""price"", WORKDAY(INT($B73), 20)), 2, 2), """")-$G73)/$G73, ($G73-IFERROR(IN"&amp;"DEX(GOOGLEFINANCE($C73, ""price"", WORKDAY(INT($B73), 20)), 2, 2), """"))/$G73)), """")"),"")</f>
        <v/>
      </c>
      <c r="Q73" s="5" t="s">
        <v>753</v>
      </c>
      <c r="R73" s="5" t="s">
        <v>704</v>
      </c>
      <c r="S73" s="5" t="s">
        <v>754</v>
      </c>
      <c r="T73" s="5" t="s">
        <v>51</v>
      </c>
      <c r="U73" s="5"/>
      <c r="V73" s="5"/>
      <c r="W73" s="5"/>
      <c r="X73" s="5"/>
      <c r="Y73" s="5"/>
      <c r="Z73" s="5"/>
    </row>
    <row r="74">
      <c r="A74" s="3">
        <f t="shared" si="1"/>
        <v>73</v>
      </c>
      <c r="B74" s="4">
        <v>46213.667662037034</v>
      </c>
      <c r="C74" s="5" t="s">
        <v>72</v>
      </c>
      <c r="D74" s="5" t="s">
        <v>36</v>
      </c>
      <c r="E74" s="5" t="s">
        <v>37</v>
      </c>
      <c r="F74" s="6">
        <v>2.0</v>
      </c>
      <c r="G74" s="7">
        <v>1375.78</v>
      </c>
      <c r="H74" s="5" t="s">
        <v>758</v>
      </c>
      <c r="I74" s="5">
        <v>90.2</v>
      </c>
      <c r="J74" s="3"/>
      <c r="K74" s="5" t="s">
        <v>40</v>
      </c>
      <c r="L74" s="8">
        <f>IFERROR(__xludf.DUMMYFUNCTION("IFERROR(GOOGLEFINANCE(C74, ""price""), IFERROR(GOOGLEFINANCE(""NASDAQ:""&amp;C74, ""price""), IFERROR(GOOGLEFINANCE(""NYSE:""&amp;C74, ""price""), """")))"),1282.58)</f>
        <v>1282.58</v>
      </c>
      <c r="M74" s="12">
        <f t="shared" si="3"/>
        <v>-0.0677433892</v>
      </c>
      <c r="N74" s="12">
        <f>IFERROR(__xludf.DUMMYFUNCTION("IFERROR(IF(OR(ISBLANK($G74), IFERROR(INDEX(GOOGLEFINANCE($C74, ""price"", WORKDAY(INT($B74), 1)), 2, 2), """")=""""), """", IF($D74=""LONG"", (IFERROR(INDEX(GOOGLEFINANCE($C74, ""price"", WORKDAY(INT($B74), 1)), 2, 2), """")-$G74)/$G74, ($G74-IFERROR(INDE"&amp;"X(GOOGLEFINANCE($C74, ""price"", WORKDAY(INT($B74), 1)), 2, 2), """"))/$G74)), """")"),0.011557080347148594)</f>
        <v>0.01155708035</v>
      </c>
      <c r="O74" s="12">
        <f>IFERROR(__xludf.DUMMYFUNCTION("IFERROR(IF(OR(ISBLANK($G74), IFERROR(INDEX(GOOGLEFINANCE($C74, ""price"", WORKDAY(INT($B74), 5)), 2, 2), """")=""""), """", IF($D74=""LONG"", (IFERROR(INDEX(GOOGLEFINANCE($C74, ""price"", WORKDAY(INT($B74), 5)), 2, 2), """")-$G74)/$G74, ($G74-IFERROR(INDE"&amp;"X(GOOGLEFINANCE($C74, ""price"", WORKDAY(INT($B74), 5)), 2, 2), """"))/$G74)), """")"),0.013977525476457005)</f>
        <v>0.01397752548</v>
      </c>
      <c r="P74" s="12" t="str">
        <f>IFERROR(__xludf.DUMMYFUNCTION("IFERROR(IF(OR(ISBLANK($G74), IFERROR(INDEX(GOOGLEFINANCE($C74, ""price"", WORKDAY(INT($B74), 20)), 2, 2), """")=""""), """", IF($D74=""LONG"", (IFERROR(INDEX(GOOGLEFINANCE($C74, ""price"", WORKDAY(INT($B74), 20)), 2, 2), """")-$G74)/$G74, ($G74-IFERROR(IN"&amp;"DEX(GOOGLEFINANCE($C74, ""price"", WORKDAY(INT($B74), 20)), 2, 2), """"))/$G74)), """")"),"")</f>
        <v/>
      </c>
      <c r="Q74" s="5" t="s">
        <v>762</v>
      </c>
      <c r="R74" s="21" t="s">
        <v>722</v>
      </c>
      <c r="S74" s="21" t="s">
        <v>764</v>
      </c>
      <c r="T74" s="21" t="s">
        <v>51</v>
      </c>
      <c r="U74" s="21"/>
      <c r="V74" s="21"/>
      <c r="W74" s="21"/>
      <c r="X74" s="21"/>
      <c r="Y74" s="21"/>
      <c r="Z74" s="21"/>
    </row>
    <row r="75">
      <c r="A75" s="3">
        <f t="shared" si="1"/>
        <v>74</v>
      </c>
      <c r="B75" s="4">
        <v>46213.66769675926</v>
      </c>
      <c r="C75" s="5" t="s">
        <v>98</v>
      </c>
      <c r="D75" s="5" t="s">
        <v>36</v>
      </c>
      <c r="E75" s="5" t="s">
        <v>37</v>
      </c>
      <c r="F75" s="6">
        <v>2.0</v>
      </c>
      <c r="G75" s="7">
        <v>31.04</v>
      </c>
      <c r="H75" s="5" t="s">
        <v>768</v>
      </c>
      <c r="I75" s="5">
        <v>93.2</v>
      </c>
      <c r="J75" s="3"/>
      <c r="K75" s="5" t="s">
        <v>40</v>
      </c>
      <c r="L75" s="8">
        <f>IFERROR(__xludf.DUMMYFUNCTION("IFERROR(GOOGLEFINANCE(C75, ""price""), IFERROR(GOOGLEFINANCE(""NASDAQ:""&amp;C75, ""price""), IFERROR(GOOGLEFINANCE(""NYSE:""&amp;C75, ""price""), """")))"),31.39)</f>
        <v>31.39</v>
      </c>
      <c r="M75" s="12">
        <f t="shared" si="3"/>
        <v>0.0112757732</v>
      </c>
      <c r="N75" s="12">
        <f>IFERROR(__xludf.DUMMYFUNCTION("IFERROR(IF(OR(ISBLANK($G75), IFERROR(INDEX(GOOGLEFINANCE($C75, ""price"", WORKDAY(INT($B75), 1)), 2, 2), """")=""""), """", IF($D75=""LONG"", (IFERROR(INDEX(GOOGLEFINANCE($C75, ""price"", WORKDAY(INT($B75), 1)), 2, 2), """")-$G75)/$G75, ($G75-IFERROR(INDE"&amp;"X(GOOGLEFINANCE($C75, ""price"", WORKDAY(INT($B75), 1)), 2, 2), """"))/$G75)), """")"),9.664948453608614E-4)</f>
        <v>0.0009664948454</v>
      </c>
      <c r="O75" s="12">
        <f>IFERROR(__xludf.DUMMYFUNCTION("IFERROR(IF(OR(ISBLANK($G75), IFERROR(INDEX(GOOGLEFINANCE($C75, ""price"", WORKDAY(INT($B75), 5)), 2, 2), """")=""""), """", IF($D75=""LONG"", (IFERROR(INDEX(GOOGLEFINANCE($C75, ""price"", WORKDAY(INT($B75), 5)), 2, 2), """")-$G75)/$G75, ($G75-IFERROR(INDE"&amp;"X(GOOGLEFINANCE($C75, ""price"", WORKDAY(INT($B75), 5)), 2, 2), """"))/$G75)), """")"),0.019652061855670085)</f>
        <v>0.01965206186</v>
      </c>
      <c r="P75" s="12" t="str">
        <f>IFERROR(__xludf.DUMMYFUNCTION("IFERROR(IF(OR(ISBLANK($G75), IFERROR(INDEX(GOOGLEFINANCE($C75, ""price"", WORKDAY(INT($B75), 20)), 2, 2), """")=""""), """", IF($D75=""LONG"", (IFERROR(INDEX(GOOGLEFINANCE($C75, ""price"", WORKDAY(INT($B75), 20)), 2, 2), """")-$G75)/$G75, ($G75-IFERROR(IN"&amp;"DEX(GOOGLEFINANCE($C75, ""price"", WORKDAY(INT($B75), 20)), 2, 2), """"))/$G75)), """")"),"")</f>
        <v/>
      </c>
      <c r="Q75" s="5" t="s">
        <v>773</v>
      </c>
      <c r="R75" s="21" t="s">
        <v>722</v>
      </c>
      <c r="S75" s="21" t="s">
        <v>774</v>
      </c>
      <c r="T75" s="21" t="s">
        <v>51</v>
      </c>
      <c r="U75" s="21"/>
      <c r="V75" s="21"/>
      <c r="W75" s="21"/>
      <c r="X75" s="21"/>
      <c r="Y75" s="21"/>
      <c r="Z75" s="21"/>
    </row>
    <row r="76">
      <c r="A76" s="3">
        <f t="shared" si="1"/>
        <v>75</v>
      </c>
      <c r="B76" s="4">
        <v>46213.66782407407</v>
      </c>
      <c r="C76" s="5" t="s">
        <v>445</v>
      </c>
      <c r="D76" s="5" t="s">
        <v>36</v>
      </c>
      <c r="E76" s="5" t="s">
        <v>37</v>
      </c>
      <c r="F76" s="6">
        <v>2.0</v>
      </c>
      <c r="G76" s="7">
        <v>148.65</v>
      </c>
      <c r="H76" s="5" t="s">
        <v>776</v>
      </c>
      <c r="I76" s="5">
        <v>96.4</v>
      </c>
      <c r="J76" s="3"/>
      <c r="K76" s="5" t="s">
        <v>40</v>
      </c>
      <c r="L76" s="8">
        <f>IFERROR(__xludf.DUMMYFUNCTION("IFERROR(GOOGLEFINANCE(C76, ""price""), IFERROR(GOOGLEFINANCE(""NASDAQ:""&amp;C76, ""price""), IFERROR(GOOGLEFINANCE(""NYSE:""&amp;C76, ""price""), """")))"),151.64)</f>
        <v>151.64</v>
      </c>
      <c r="M76" s="12">
        <f t="shared" si="3"/>
        <v>0.0201143626</v>
      </c>
      <c r="N76" s="12">
        <f>IFERROR(__xludf.DUMMYFUNCTION("IFERROR(IF(OR(ISBLANK($G76), IFERROR(INDEX(GOOGLEFINANCE($C76, ""price"", WORKDAY(INT($B76), 1)), 2, 2), """")=""""), """", IF($D76=""LONG"", (IFERROR(INDEX(GOOGLEFINANCE($C76, ""price"", WORKDAY(INT($B76), 1)), 2, 2), """")-$G76)/$G76, ($G76-IFERROR(INDE"&amp;"X(GOOGLEFINANCE($C76, ""price"", WORKDAY(INT($B76), 1)), 2, 2), """"))/$G76)), """")"),-0.015607130844265005)</f>
        <v>-0.01560713084</v>
      </c>
      <c r="O76" s="12">
        <f>IFERROR(__xludf.DUMMYFUNCTION("IFERROR(IF(OR(ISBLANK($G76), IFERROR(INDEX(GOOGLEFINANCE($C76, ""price"", WORKDAY(INT($B76), 5)), 2, 2), """")=""""), """", IF($D76=""LONG"", (IFERROR(INDEX(GOOGLEFINANCE($C76, ""price"", WORKDAY(INT($B76), 5)), 2, 2), """")-$G76)/$G76, ($G76-IFERROR(INDE"&amp;"X(GOOGLEFINANCE($C76, ""price"", WORKDAY(INT($B76), 5)), 2, 2), """"))/$G76)), """")"),-0.017961654894046525)</f>
        <v>-0.01796165489</v>
      </c>
      <c r="P76" s="12" t="str">
        <f>IFERROR(__xludf.DUMMYFUNCTION("IFERROR(IF(OR(ISBLANK($G76), IFERROR(INDEX(GOOGLEFINANCE($C76, ""price"", WORKDAY(INT($B76), 20)), 2, 2), """")=""""), """", IF($D76=""LONG"", (IFERROR(INDEX(GOOGLEFINANCE($C76, ""price"", WORKDAY(INT($B76), 20)), 2, 2), """")-$G76)/$G76, ($G76-IFERROR(IN"&amp;"DEX(GOOGLEFINANCE($C76, ""price"", WORKDAY(INT($B76), 20)), 2, 2), """"))/$G76)), """")"),"")</f>
        <v/>
      </c>
      <c r="Q76" s="5" t="s">
        <v>778</v>
      </c>
      <c r="R76" s="5" t="s">
        <v>507</v>
      </c>
      <c r="S76" s="5" t="s">
        <v>780</v>
      </c>
      <c r="T76" s="5" t="s">
        <v>51</v>
      </c>
      <c r="U76" s="5"/>
      <c r="V76" s="5"/>
      <c r="W76" s="5"/>
      <c r="X76" s="5"/>
      <c r="Y76" s="5"/>
      <c r="Z76" s="5"/>
    </row>
    <row r="77">
      <c r="A77" s="3">
        <f t="shared" si="1"/>
        <v>76</v>
      </c>
      <c r="B77" s="4">
        <v>46213.667719907404</v>
      </c>
      <c r="C77" s="5" t="s">
        <v>248</v>
      </c>
      <c r="D77" s="5" t="s">
        <v>36</v>
      </c>
      <c r="E77" s="5" t="s">
        <v>37</v>
      </c>
      <c r="F77" s="6">
        <v>2.0</v>
      </c>
      <c r="G77" s="7">
        <v>70.35</v>
      </c>
      <c r="H77" s="5" t="s">
        <v>783</v>
      </c>
      <c r="I77" s="5">
        <v>88.7</v>
      </c>
      <c r="J77" s="3"/>
      <c r="K77" s="5" t="s">
        <v>40</v>
      </c>
      <c r="L77" s="8">
        <f>IFERROR(__xludf.DUMMYFUNCTION("IFERROR(GOOGLEFINANCE(C77, ""price""), IFERROR(GOOGLEFINANCE(""NASDAQ:""&amp;C77, ""price""), IFERROR(GOOGLEFINANCE(""NYSE:""&amp;C77, ""price""), """")))"),72.43)</f>
        <v>72.43</v>
      </c>
      <c r="M77" s="12">
        <f t="shared" si="3"/>
        <v>0.02956645345</v>
      </c>
      <c r="N77" s="12">
        <f>IFERROR(__xludf.DUMMYFUNCTION("IFERROR(IF(OR(ISBLANK($G77), IFERROR(INDEX(GOOGLEFINANCE($C77, ""price"", WORKDAY(INT($B77), 1)), 2, 2), """")=""""), """", IF($D77=""LONG"", (IFERROR(INDEX(GOOGLEFINANCE($C77, ""price"", WORKDAY(INT($B77), 1)), 2, 2), """")-$G77)/$G77, ($G77-IFERROR(INDE"&amp;"X(GOOGLEFINANCE($C77, ""price"", WORKDAY(INT($B77), 1)), 2, 2), """"))/$G77)), """")"),1.4214641080319995E-4)</f>
        <v>0.0001421464108</v>
      </c>
      <c r="O77" s="12">
        <f>IFERROR(__xludf.DUMMYFUNCTION("IFERROR(IF(OR(ISBLANK($G77), IFERROR(INDEX(GOOGLEFINANCE($C77, ""price"", WORKDAY(INT($B77), 5)), 2, 2), """")=""""), """", IF($D77=""LONG"", (IFERROR(INDEX(GOOGLEFINANCE($C77, ""price"", WORKDAY(INT($B77), 5)), 2, 2), """")-$G77)/$G77, ($G77-IFERROR(INDE"&amp;"X(GOOGLEFINANCE($C77, ""price"", WORKDAY(INT($B77), 5)), 2, 2), """"))/$G77)), """")"),0.028997867803838045)</f>
        <v>0.0289978678</v>
      </c>
      <c r="P77" s="12" t="str">
        <f>IFERROR(__xludf.DUMMYFUNCTION("IFERROR(IF(OR(ISBLANK($G77), IFERROR(INDEX(GOOGLEFINANCE($C77, ""price"", WORKDAY(INT($B77), 20)), 2, 2), """")=""""), """", IF($D77=""LONG"", (IFERROR(INDEX(GOOGLEFINANCE($C77, ""price"", WORKDAY(INT($B77), 20)), 2, 2), """")-$G77)/$G77, ($G77-IFERROR(IN"&amp;"DEX(GOOGLEFINANCE($C77, ""price"", WORKDAY(INT($B77), 20)), 2, 2), """"))/$G77)), """")"),"")</f>
        <v/>
      </c>
      <c r="Q77" s="5" t="s">
        <v>786</v>
      </c>
      <c r="R77" s="21" t="s">
        <v>704</v>
      </c>
      <c r="S77" s="21" t="s">
        <v>787</v>
      </c>
      <c r="T77" s="21" t="s">
        <v>51</v>
      </c>
      <c r="U77" s="21"/>
      <c r="V77" s="21"/>
      <c r="W77" s="21"/>
      <c r="X77" s="21"/>
      <c r="Y77" s="21"/>
      <c r="Z77" s="21"/>
    </row>
    <row r="78">
      <c r="A78" s="3">
        <f t="shared" si="1"/>
        <v>77</v>
      </c>
      <c r="B78" s="4">
        <v>46213.667719907404</v>
      </c>
      <c r="C78" s="5" t="s">
        <v>789</v>
      </c>
      <c r="D78" s="5" t="s">
        <v>36</v>
      </c>
      <c r="E78" s="5" t="s">
        <v>37</v>
      </c>
      <c r="F78" s="6">
        <v>2.0</v>
      </c>
      <c r="G78" s="7">
        <v>92.2</v>
      </c>
      <c r="H78" s="5" t="s">
        <v>791</v>
      </c>
      <c r="I78" s="5">
        <v>93.5</v>
      </c>
      <c r="J78" s="3"/>
      <c r="K78" s="5" t="s">
        <v>40</v>
      </c>
      <c r="L78" s="8">
        <f>IFERROR(__xludf.DUMMYFUNCTION("IFERROR(GOOGLEFINANCE(C78, ""price""), IFERROR(GOOGLEFINANCE(""NASDAQ:""&amp;C78, ""price""), IFERROR(GOOGLEFINANCE(""NYSE:""&amp;C78, ""price""), """")))"),89.32)</f>
        <v>89.32</v>
      </c>
      <c r="M78" s="12">
        <f t="shared" si="3"/>
        <v>-0.03123644252</v>
      </c>
      <c r="N78" s="12">
        <f>IFERROR(__xludf.DUMMYFUNCTION("IFERROR(IF(OR(ISBLANK($G78), IFERROR(INDEX(GOOGLEFINANCE($C78, ""price"", WORKDAY(INT($B78), 1)), 2, 2), """")=""""), """", IF($D78=""LONG"", (IFERROR(INDEX(GOOGLEFINANCE($C78, ""price"", WORKDAY(INT($B78), 1)), 2, 2), """")-$G78)/$G78, ($G78-IFERROR(INDE"&amp;"X(GOOGLEFINANCE($C78, ""price"", WORKDAY(INT($B78), 1)), 2, 2), """"))/$G78)), """")"),-0.004446854663774366)</f>
        <v>-0.004446854664</v>
      </c>
      <c r="O78" s="12">
        <f>IFERROR(__xludf.DUMMYFUNCTION("IFERROR(IF(OR(ISBLANK($G78), IFERROR(INDEX(GOOGLEFINANCE($C78, ""price"", WORKDAY(INT($B78), 5)), 2, 2), """")=""""), """", IF($D78=""LONG"", (IFERROR(INDEX(GOOGLEFINANCE($C78, ""price"", WORKDAY(INT($B78), 5)), 2, 2), """")-$G78)/$G78, ($G78-IFERROR(INDE"&amp;"X(GOOGLEFINANCE($C78, ""price"", WORKDAY(INT($B78), 5)), 2, 2), """"))/$G78)), """")"),-0.07017353579175703)</f>
        <v>-0.07017353579</v>
      </c>
      <c r="P78" s="12" t="str">
        <f>IFERROR(__xludf.DUMMYFUNCTION("IFERROR(IF(OR(ISBLANK($G78), IFERROR(INDEX(GOOGLEFINANCE($C78, ""price"", WORKDAY(INT($B78), 20)), 2, 2), """")=""""), """", IF($D78=""LONG"", (IFERROR(INDEX(GOOGLEFINANCE($C78, ""price"", WORKDAY(INT($B78), 20)), 2, 2), """")-$G78)/$G78, ($G78-IFERROR(IN"&amp;"DEX(GOOGLEFINANCE($C78, ""price"", WORKDAY(INT($B78), 20)), 2, 2), """"))/$G78)), """")"),"")</f>
        <v/>
      </c>
      <c r="Q78" s="5" t="s">
        <v>796</v>
      </c>
      <c r="R78" s="21" t="s">
        <v>722</v>
      </c>
      <c r="S78" s="21" t="s">
        <v>797</v>
      </c>
      <c r="T78" s="21" t="s">
        <v>51</v>
      </c>
      <c r="U78" s="21"/>
      <c r="V78" s="21"/>
      <c r="W78" s="21"/>
      <c r="X78" s="21"/>
      <c r="Y78" s="21"/>
      <c r="Z78" s="21"/>
    </row>
    <row r="79">
      <c r="A79" s="3">
        <f t="shared" si="1"/>
        <v>78</v>
      </c>
      <c r="B79" s="4">
        <v>46213.66774305556</v>
      </c>
      <c r="C79" s="5" t="s">
        <v>108</v>
      </c>
      <c r="D79" s="5" t="s">
        <v>36</v>
      </c>
      <c r="E79" s="5" t="s">
        <v>37</v>
      </c>
      <c r="F79" s="6">
        <v>2.0</v>
      </c>
      <c r="G79" s="7">
        <v>124.88</v>
      </c>
      <c r="H79" s="5" t="s">
        <v>798</v>
      </c>
      <c r="I79" s="5">
        <v>94.6</v>
      </c>
      <c r="J79" s="3"/>
      <c r="K79" s="5" t="s">
        <v>40</v>
      </c>
      <c r="L79" s="8">
        <f>IFERROR(__xludf.DUMMYFUNCTION("IFERROR(GOOGLEFINANCE(C79, ""price""), IFERROR(GOOGLEFINANCE(""NASDAQ:""&amp;C79, ""price""), IFERROR(GOOGLEFINANCE(""NYSE:""&amp;C79, ""price""), """")))"),129.68)</f>
        <v>129.68</v>
      </c>
      <c r="M79" s="12">
        <f t="shared" si="3"/>
        <v>0.03843689942</v>
      </c>
      <c r="N79" s="12">
        <f>IFERROR(__xludf.DUMMYFUNCTION("IFERROR(IF(OR(ISBLANK($G79), IFERROR(INDEX(GOOGLEFINANCE($C79, ""price"", WORKDAY(INT($B79), 1)), 2, 2), """")=""""), """", IF($D79=""LONG"", (IFERROR(INDEX(GOOGLEFINANCE($C79, ""price"", WORKDAY(INT($B79), 1)), 2, 2), """")-$G79)/$G79, ($G79-IFERROR(INDE"&amp;"X(GOOGLEFINANCE($C79, ""price"", WORKDAY(INT($B79), 1)), 2, 2), """"))/$G79)), """")"),0.012011531069827034)</f>
        <v>0.01201153107</v>
      </c>
      <c r="O79" s="12">
        <f>IFERROR(__xludf.DUMMYFUNCTION("IFERROR(IF(OR(ISBLANK($G79), IFERROR(INDEX(GOOGLEFINANCE($C79, ""price"", WORKDAY(INT($B79), 5)), 2, 2), """")=""""), """", IF($D79=""LONG"", (IFERROR(INDEX(GOOGLEFINANCE($C79, ""price"", WORKDAY(INT($B79), 5)), 2, 2), """")-$G79)/$G79, ($G79-IFERROR(INDE"&amp;"X(GOOGLEFINANCE($C79, ""price"", WORKDAY(INT($B79), 5)), 2, 2), """"))/$G79)), """")"),0.008488148622677789)</f>
        <v>0.008488148623</v>
      </c>
      <c r="P79" s="12" t="str">
        <f>IFERROR(__xludf.DUMMYFUNCTION("IFERROR(IF(OR(ISBLANK($G79), IFERROR(INDEX(GOOGLEFINANCE($C79, ""price"", WORKDAY(INT($B79), 20)), 2, 2), """")=""""), """", IF($D79=""LONG"", (IFERROR(INDEX(GOOGLEFINANCE($C79, ""price"", WORKDAY(INT($B79), 20)), 2, 2), """")-$G79)/$G79, ($G79-IFERROR(IN"&amp;"DEX(GOOGLEFINANCE($C79, ""price"", WORKDAY(INT($B79), 20)), 2, 2), """"))/$G79)), """")"),"")</f>
        <v/>
      </c>
      <c r="Q79" s="5" t="s">
        <v>804</v>
      </c>
      <c r="R79" s="21" t="s">
        <v>704</v>
      </c>
      <c r="S79" s="21" t="s">
        <v>805</v>
      </c>
      <c r="T79" s="21" t="s">
        <v>51</v>
      </c>
      <c r="U79" s="21"/>
      <c r="V79" s="21"/>
      <c r="W79" s="21"/>
      <c r="X79" s="21"/>
      <c r="Y79" s="21"/>
      <c r="Z79" s="21"/>
    </row>
    <row r="80">
      <c r="A80" s="3">
        <f t="shared" si="1"/>
        <v>79</v>
      </c>
      <c r="B80" s="4">
        <v>46213.668217592596</v>
      </c>
      <c r="C80" s="5" t="s">
        <v>806</v>
      </c>
      <c r="D80" s="5" t="s">
        <v>119</v>
      </c>
      <c r="E80" s="5" t="s">
        <v>120</v>
      </c>
      <c r="F80" s="6">
        <v>4.0</v>
      </c>
      <c r="G80" s="7">
        <v>133.25</v>
      </c>
      <c r="H80" s="5" t="s">
        <v>807</v>
      </c>
      <c r="I80" s="5">
        <v>8.8</v>
      </c>
      <c r="J80" s="3"/>
      <c r="K80" s="5" t="s">
        <v>40</v>
      </c>
      <c r="L80" s="8">
        <f>IFERROR(__xludf.DUMMYFUNCTION("IFERROR(GOOGLEFINANCE(C80, ""price""), IFERROR(GOOGLEFINANCE(""NASDAQ:""&amp;C80, ""price""), IFERROR(GOOGLEFINANCE(""NYSE:""&amp;C80, ""price""), """")))"),184.82)</f>
        <v>184.82</v>
      </c>
      <c r="M80" s="12">
        <f t="shared" si="3"/>
        <v>-0.3870168856</v>
      </c>
      <c r="N80" s="12">
        <f>IFERROR(__xludf.DUMMYFUNCTION("IFERROR(IF(OR(ISBLANK($G80), IFERROR(INDEX(GOOGLEFINANCE($C80, ""price"", WORKDAY(INT($B80), 1)), 2, 2), """")=""""), """", IF($D80=""LONG"", (IFERROR(INDEX(GOOGLEFINANCE($C80, ""price"", WORKDAY(INT($B80), 1)), 2, 2), """")-$G80)/$G80, ($G80-IFERROR(INDE"&amp;"X(GOOGLEFINANCE($C80, ""price"", WORKDAY(INT($B80), 1)), 2, 2), """"))/$G80)), """")"),-0.0604878048780488)</f>
        <v>-0.06048780488</v>
      </c>
      <c r="O80" s="12">
        <f>IFERROR(__xludf.DUMMYFUNCTION("IFERROR(IF(OR(ISBLANK($G80), IFERROR(INDEX(GOOGLEFINANCE($C80, ""price"", WORKDAY(INT($B80), 5)), 2, 2), """")=""""), """", IF($D80=""LONG"", (IFERROR(INDEX(GOOGLEFINANCE($C80, ""price"", WORKDAY(INT($B80), 5)), 2, 2), """")-$G80)/$G80, ($G80-IFERROR(INDE"&amp;"X(GOOGLEFINANCE($C80, ""price"", WORKDAY(INT($B80), 5)), 2, 2), """"))/$G80)), """")"),-0.0520825515947467)</f>
        <v>-0.05208255159</v>
      </c>
      <c r="P80" s="12" t="str">
        <f>IFERROR(__xludf.DUMMYFUNCTION("IFERROR(IF(OR(ISBLANK($G80), IFERROR(INDEX(GOOGLEFINANCE($C80, ""price"", WORKDAY(INT($B80), 20)), 2, 2), """")=""""), """", IF($D80=""LONG"", (IFERROR(INDEX(GOOGLEFINANCE($C80, ""price"", WORKDAY(INT($B80), 20)), 2, 2), """")-$G80)/$G80, ($G80-IFERROR(IN"&amp;"DEX(GOOGLEFINANCE($C80, ""price"", WORKDAY(INT($B80), 20)), 2, 2), """"))/$G80)), """")"),"")</f>
        <v/>
      </c>
      <c r="Q80" s="5" t="s">
        <v>814</v>
      </c>
      <c r="R80" s="21" t="s">
        <v>722</v>
      </c>
      <c r="S80" s="21" t="s">
        <v>815</v>
      </c>
      <c r="T80" s="21" t="s">
        <v>51</v>
      </c>
      <c r="U80" s="21"/>
      <c r="V80" s="21"/>
      <c r="W80" s="21"/>
      <c r="X80" s="21"/>
      <c r="Y80" s="21"/>
      <c r="Z80" s="21"/>
    </row>
    <row r="81">
      <c r="A81" s="3">
        <f t="shared" si="1"/>
        <v>80</v>
      </c>
      <c r="B81" s="4">
        <v>46213.66755787037</v>
      </c>
      <c r="C81" s="5" t="s">
        <v>505</v>
      </c>
      <c r="D81" s="5" t="s">
        <v>119</v>
      </c>
      <c r="E81" s="5" t="s">
        <v>120</v>
      </c>
      <c r="F81" s="6">
        <v>4.0</v>
      </c>
      <c r="G81" s="7">
        <v>24.19</v>
      </c>
      <c r="H81" s="5" t="s">
        <v>817</v>
      </c>
      <c r="I81" s="5">
        <v>5.9</v>
      </c>
      <c r="J81" s="3"/>
      <c r="K81" s="5" t="s">
        <v>40</v>
      </c>
      <c r="L81" s="8">
        <f>IFERROR(__xludf.DUMMYFUNCTION("IFERROR(GOOGLEFINANCE(C81, ""price""), IFERROR(GOOGLEFINANCE(""NASDAQ:""&amp;C81, ""price""), IFERROR(GOOGLEFINANCE(""NYSE:""&amp;C81, ""price""), """")))"),26.2)</f>
        <v>26.2</v>
      </c>
      <c r="M81" s="12">
        <f t="shared" si="3"/>
        <v>-0.08309218685</v>
      </c>
      <c r="N81" s="12">
        <f>IFERROR(__xludf.DUMMYFUNCTION("IFERROR(IF(OR(ISBLANK($G81), IFERROR(INDEX(GOOGLEFINANCE($C81, ""price"", WORKDAY(INT($B81), 1)), 2, 2), """")=""""), """", IF($D81=""LONG"", (IFERROR(INDEX(GOOGLEFINANCE($C81, ""price"", WORKDAY(INT($B81), 1)), 2, 2), """")-$G81)/$G81, ($G81-IFERROR(INDE"&amp;"X(GOOGLEFINANCE($C81, ""price"", WORKDAY(INT($B81), 1)), 2, 2), """"))/$G81)), """")"),-0.011988424968995416)</f>
        <v>-0.01198842497</v>
      </c>
      <c r="O81" s="12">
        <f>IFERROR(__xludf.DUMMYFUNCTION("IFERROR(IF(OR(ISBLANK($G81), IFERROR(INDEX(GOOGLEFINANCE($C81, ""price"", WORKDAY(INT($B81), 5)), 2, 2), """")=""""), """", IF($D81=""LONG"", (IFERROR(INDEX(GOOGLEFINANCE($C81, ""price"", WORKDAY(INT($B81), 5)), 2, 2), """")-$G81)/$G81, ($G81-IFERROR(INDE"&amp;"X(GOOGLEFINANCE($C81, ""price"", WORKDAY(INT($B81), 5)), 2, 2), """"))/$G81)), """")"),-0.035551880942538215)</f>
        <v>-0.03555188094</v>
      </c>
      <c r="P81" s="12" t="str">
        <f>IFERROR(__xludf.DUMMYFUNCTION("IFERROR(IF(OR(ISBLANK($G81), IFERROR(INDEX(GOOGLEFINANCE($C81, ""price"", WORKDAY(INT($B81), 20)), 2, 2), """")=""""), """", IF($D81=""LONG"", (IFERROR(INDEX(GOOGLEFINANCE($C81, ""price"", WORKDAY(INT($B81), 20)), 2, 2), """")-$G81)/$G81, ($G81-IFERROR(IN"&amp;"DEX(GOOGLEFINANCE($C81, ""price"", WORKDAY(INT($B81), 20)), 2, 2), """"))/$G81)), """")"),"")</f>
        <v/>
      </c>
      <c r="Q81" s="5" t="s">
        <v>822</v>
      </c>
      <c r="R81" s="21" t="s">
        <v>704</v>
      </c>
      <c r="S81" s="21" t="s">
        <v>824</v>
      </c>
      <c r="T81" s="21" t="s">
        <v>51</v>
      </c>
      <c r="U81" s="21"/>
      <c r="V81" s="21"/>
      <c r="W81" s="21"/>
      <c r="X81" s="21"/>
      <c r="Y81" s="21"/>
      <c r="Z81" s="21"/>
    </row>
    <row r="82">
      <c r="A82" s="3">
        <f t="shared" si="1"/>
        <v>81</v>
      </c>
      <c r="B82" s="4">
        <v>46213.6674537037</v>
      </c>
      <c r="C82" s="5" t="s">
        <v>826</v>
      </c>
      <c r="D82" s="5" t="s">
        <v>36</v>
      </c>
      <c r="E82" s="5" t="s">
        <v>133</v>
      </c>
      <c r="F82" s="6">
        <v>2.0</v>
      </c>
      <c r="G82" s="7">
        <v>348.92</v>
      </c>
      <c r="H82" s="5" t="s">
        <v>828</v>
      </c>
      <c r="I82" s="5">
        <v>96.4</v>
      </c>
      <c r="J82" s="3"/>
      <c r="K82" s="5" t="s">
        <v>40</v>
      </c>
      <c r="L82" s="8">
        <f>IFERROR(__xludf.DUMMYFUNCTION("IFERROR(GOOGLEFINANCE(C82, ""price""), IFERROR(GOOGLEFINANCE(""NASDAQ:""&amp;C82, ""price""), IFERROR(GOOGLEFINANCE(""NYSE:""&amp;C82, ""price""), """")))"),370.47)</f>
        <v>370.47</v>
      </c>
      <c r="M82" s="12">
        <f t="shared" si="3"/>
        <v>0.06176200848</v>
      </c>
      <c r="N82" s="12">
        <f>IFERROR(__xludf.DUMMYFUNCTION("IFERROR(IF(OR(ISBLANK($G82), IFERROR(INDEX(GOOGLEFINANCE($C82, ""price"", WORKDAY(INT($B82), 1)), 2, 2), """")=""""), """", IF($D82=""LONG"", (IFERROR(INDEX(GOOGLEFINANCE($C82, ""price"", WORKDAY(INT($B82), 1)), 2, 2), """")-$G82)/$G82, ($G82-IFERROR(INDE"&amp;"X(GOOGLEFINANCE($C82, ""price"", WORKDAY(INT($B82), 1)), 2, 2), """"))/$G82)), """")"),0.025306660552562144)</f>
        <v>0.02530666055</v>
      </c>
      <c r="O82" s="12">
        <f>IFERROR(__xludf.DUMMYFUNCTION("IFERROR(IF(OR(ISBLANK($G82), IFERROR(INDEX(GOOGLEFINANCE($C82, ""price"", WORKDAY(INT($B82), 5)), 2, 2), """")=""""), """", IF($D82=""LONG"", (IFERROR(INDEX(GOOGLEFINANCE($C82, ""price"", WORKDAY(INT($B82), 5)), 2, 2), """")-$G82)/$G82, ($G82-IFERROR(INDE"&amp;"X(GOOGLEFINANCE($C82, ""price"", WORKDAY(INT($B82), 5)), 2, 2), """"))/$G82)), """")"),0.02762810959532267)</f>
        <v>0.0276281096</v>
      </c>
      <c r="P82" s="12" t="str">
        <f>IFERROR(__xludf.DUMMYFUNCTION("IFERROR(IF(OR(ISBLANK($G82), IFERROR(INDEX(GOOGLEFINANCE($C82, ""price"", WORKDAY(INT($B82), 20)), 2, 2), """")=""""), """", IF($D82=""LONG"", (IFERROR(INDEX(GOOGLEFINANCE($C82, ""price"", WORKDAY(INT($B82), 20)), 2, 2), """")-$G82)/$G82, ($G82-IFERROR(IN"&amp;"DEX(GOOGLEFINANCE($C82, ""price"", WORKDAY(INT($B82), 20)), 2, 2), """"))/$G82)), """")"),"")</f>
        <v/>
      </c>
      <c r="Q82" s="5" t="s">
        <v>832</v>
      </c>
      <c r="R82" s="21" t="s">
        <v>704</v>
      </c>
      <c r="S82" s="21" t="s">
        <v>833</v>
      </c>
      <c r="T82" s="21" t="s">
        <v>51</v>
      </c>
      <c r="U82" s="21"/>
      <c r="V82" s="21"/>
      <c r="W82" s="21"/>
      <c r="X82" s="21"/>
      <c r="Y82" s="21"/>
      <c r="Z82" s="21"/>
    </row>
    <row r="83">
      <c r="A83" s="3">
        <f t="shared" si="1"/>
        <v>82</v>
      </c>
      <c r="B83" s="4">
        <v>46213.66762731481</v>
      </c>
      <c r="C83" s="5" t="s">
        <v>834</v>
      </c>
      <c r="D83" s="5" t="s">
        <v>119</v>
      </c>
      <c r="E83" s="5" t="s">
        <v>120</v>
      </c>
      <c r="F83" s="6">
        <v>4.0</v>
      </c>
      <c r="G83" s="7">
        <v>120.33</v>
      </c>
      <c r="H83" s="5" t="s">
        <v>835</v>
      </c>
      <c r="I83" s="5">
        <v>11.7</v>
      </c>
      <c r="J83" s="3"/>
      <c r="K83" s="5" t="s">
        <v>40</v>
      </c>
      <c r="L83" s="8">
        <f>IFERROR(__xludf.DUMMYFUNCTION("IFERROR(GOOGLEFINANCE(C83, ""price""), IFERROR(GOOGLEFINANCE(""NASDAQ:""&amp;C83, ""price""), IFERROR(GOOGLEFINANCE(""NYSE:""&amp;C83, ""price""), """")))"),127.99)</f>
        <v>127.99</v>
      </c>
      <c r="M83" s="12">
        <f t="shared" si="3"/>
        <v>-0.06365827308</v>
      </c>
      <c r="N83" s="12">
        <f>IFERROR(__xludf.DUMMYFUNCTION("IFERROR(IF(OR(ISBLANK($G83), IFERROR(INDEX(GOOGLEFINANCE($C83, ""price"", WORKDAY(INT($B83), 1)), 2, 2), """")=""""), """", IF($D83=""LONG"", (IFERROR(INDEX(GOOGLEFINANCE($C83, ""price"", WORKDAY(INT($B83), 1)), 2, 2), """")-$G83)/$G83, ($G83-IFERROR(INDE"&amp;"X(GOOGLEFINANCE($C83, ""price"", WORKDAY(INT($B83), 1)), 2, 2), """"))/$G83)), """")"),0.012465719272001994)</f>
        <v>0.01246571927</v>
      </c>
      <c r="O83" s="12">
        <f>IFERROR(__xludf.DUMMYFUNCTION("IFERROR(IF(OR(ISBLANK($G83), IFERROR(INDEX(GOOGLEFINANCE($C83, ""price"", WORKDAY(INT($B83), 5)), 2, 2), """")=""""), """", IF($D83=""LONG"", (IFERROR(INDEX(GOOGLEFINANCE($C83, ""price"", WORKDAY(INT($B83), 5)), 2, 2), """")-$G83)/$G83, ($G83-IFERROR(INDE"&amp;"X(GOOGLEFINANCE($C83, ""price"", WORKDAY(INT($B83), 5)), 2, 2), """"))/$G83)), """")"),-0.0011634671320535242)</f>
        <v>-0.001163467132</v>
      </c>
      <c r="P83" s="12" t="str">
        <f>IFERROR(__xludf.DUMMYFUNCTION("IFERROR(IF(OR(ISBLANK($G83), IFERROR(INDEX(GOOGLEFINANCE($C83, ""price"", WORKDAY(INT($B83), 20)), 2, 2), """")=""""), """", IF($D83=""LONG"", (IFERROR(INDEX(GOOGLEFINANCE($C83, ""price"", WORKDAY(INT($B83), 20)), 2, 2), """")-$G83)/$G83, ($G83-IFERROR(IN"&amp;"DEX(GOOGLEFINANCE($C83, ""price"", WORKDAY(INT($B83), 20)), 2, 2), """"))/$G83)), """")"),"")</f>
        <v/>
      </c>
      <c r="Q83" s="5" t="s">
        <v>841</v>
      </c>
      <c r="R83" s="5" t="s">
        <v>704</v>
      </c>
      <c r="S83" s="5" t="s">
        <v>842</v>
      </c>
      <c r="T83" s="5" t="s">
        <v>51</v>
      </c>
      <c r="U83" s="5"/>
      <c r="V83" s="5"/>
      <c r="W83" s="5"/>
      <c r="X83" s="5"/>
      <c r="Y83" s="5"/>
      <c r="Z83" s="5"/>
    </row>
    <row r="84">
      <c r="A84" s="3">
        <f t="shared" si="1"/>
        <v>83</v>
      </c>
      <c r="B84" s="4">
        <v>46213.66740740741</v>
      </c>
      <c r="C84" s="5" t="s">
        <v>303</v>
      </c>
      <c r="D84" s="5" t="s">
        <v>36</v>
      </c>
      <c r="E84" s="5" t="s">
        <v>37</v>
      </c>
      <c r="F84" s="6">
        <v>2.0</v>
      </c>
      <c r="G84" s="7">
        <v>104.17</v>
      </c>
      <c r="H84" s="5" t="s">
        <v>843</v>
      </c>
      <c r="I84" s="5">
        <v>88.6</v>
      </c>
      <c r="J84" s="3"/>
      <c r="K84" s="5" t="s">
        <v>40</v>
      </c>
      <c r="L84" s="8">
        <f>IFERROR(__xludf.DUMMYFUNCTION("IFERROR(GOOGLEFINANCE(C84, ""price""), IFERROR(GOOGLEFINANCE(""NASDAQ:""&amp;C84, ""price""), IFERROR(GOOGLEFINANCE(""NYSE:""&amp;C84, ""price""), """")))"),96.22)</f>
        <v>96.22</v>
      </c>
      <c r="M84" s="12">
        <f t="shared" si="3"/>
        <v>-0.07631755784</v>
      </c>
      <c r="N84" s="12">
        <f>IFERROR(__xludf.DUMMYFUNCTION("IFERROR(IF(OR(ISBLANK($G84), IFERROR(INDEX(GOOGLEFINANCE($C84, ""price"", WORKDAY(INT($B84), 1)), 2, 2), """")=""""), """", IF($D84=""LONG"", (IFERROR(INDEX(GOOGLEFINANCE($C84, ""price"", WORKDAY(INT($B84), 1)), 2, 2), """")-$G84)/$G84, ($G84-IFERROR(INDE"&amp;"X(GOOGLEFINANCE($C84, ""price"", WORKDAY(INT($B84), 1)), 2, 2), """"))/$G84)), """")"),0.016607468561006086)</f>
        <v>0.01660746856</v>
      </c>
      <c r="O84" s="12">
        <f>IFERROR(__xludf.DUMMYFUNCTION("IFERROR(IF(OR(ISBLANK($G84), IFERROR(INDEX(GOOGLEFINANCE($C84, ""price"", WORKDAY(INT($B84), 5)), 2, 2), """")=""""), """", IF($D84=""LONG"", (IFERROR(INDEX(GOOGLEFINANCE($C84, ""price"", WORKDAY(INT($B84), 5)), 2, 2), """")-$G84)/$G84, ($G84-IFERROR(INDE"&amp;"X(GOOGLEFINANCE($C84, ""price"", WORKDAY(INT($B84), 5)), 2, 2), """"))/$G84)), """")"),0.03167898627243925)</f>
        <v>0.03167898627</v>
      </c>
      <c r="P84" s="12" t="str">
        <f>IFERROR(__xludf.DUMMYFUNCTION("IFERROR(IF(OR(ISBLANK($G84), IFERROR(INDEX(GOOGLEFINANCE($C84, ""price"", WORKDAY(INT($B84), 20)), 2, 2), """")=""""), """", IF($D84=""LONG"", (IFERROR(INDEX(GOOGLEFINANCE($C84, ""price"", WORKDAY(INT($B84), 20)), 2, 2), """")-$G84)/$G84, ($G84-IFERROR(IN"&amp;"DEX(GOOGLEFINANCE($C84, ""price"", WORKDAY(INT($B84), 20)), 2, 2), """"))/$G84)), """")"),"")</f>
        <v/>
      </c>
      <c r="Q84" s="5" t="s">
        <v>849</v>
      </c>
      <c r="R84" s="21" t="s">
        <v>850</v>
      </c>
      <c r="S84" s="21" t="s">
        <v>851</v>
      </c>
      <c r="T84" s="21" t="s">
        <v>51</v>
      </c>
      <c r="U84" s="21"/>
      <c r="V84" s="21"/>
      <c r="W84" s="21"/>
      <c r="X84" s="21"/>
      <c r="Y84" s="21"/>
      <c r="Z84" s="21"/>
    </row>
    <row r="85">
      <c r="A85" s="3">
        <f t="shared" si="1"/>
        <v>84</v>
      </c>
      <c r="B85" s="4">
        <v>46213.66740740741</v>
      </c>
      <c r="C85" s="5" t="s">
        <v>332</v>
      </c>
      <c r="D85" s="5" t="s">
        <v>36</v>
      </c>
      <c r="E85" s="5" t="s">
        <v>37</v>
      </c>
      <c r="F85" s="6">
        <v>2.0</v>
      </c>
      <c r="G85" s="7">
        <v>84.41</v>
      </c>
      <c r="H85" s="5" t="s">
        <v>854</v>
      </c>
      <c r="I85" s="5">
        <v>95.5</v>
      </c>
      <c r="J85" s="3"/>
      <c r="K85" s="5" t="s">
        <v>40</v>
      </c>
      <c r="L85" s="8">
        <f>IFERROR(__xludf.DUMMYFUNCTION("IFERROR(GOOGLEFINANCE(C85, ""price""), IFERROR(GOOGLEFINANCE(""NASDAQ:""&amp;C85, ""price""), IFERROR(GOOGLEFINANCE(""NYSE:""&amp;C85, ""price""), """")))"),88.23)</f>
        <v>88.23</v>
      </c>
      <c r="M85" s="12">
        <f t="shared" si="3"/>
        <v>0.0452553015</v>
      </c>
      <c r="N85" s="12">
        <f>IFERROR(__xludf.DUMMYFUNCTION("IFERROR(IF(OR(ISBLANK($G85), IFERROR(INDEX(GOOGLEFINANCE($C85, ""price"", WORKDAY(INT($B85), 1)), 2, 2), """")=""""), """", IF($D85=""LONG"", (IFERROR(INDEX(GOOGLEFINANCE($C85, ""price"", WORKDAY(INT($B85), 1)), 2, 2), """")-$G85)/$G85, ($G85-IFERROR(INDE"&amp;"X(GOOGLEFINANCE($C85, ""price"", WORKDAY(INT($B85), 1)), 2, 2), """"))/$G85)), """")"),0.01634877384196197)</f>
        <v>0.01634877384</v>
      </c>
      <c r="O85" s="12">
        <f>IFERROR(__xludf.DUMMYFUNCTION("IFERROR(IF(OR(ISBLANK($G85), IFERROR(INDEX(GOOGLEFINANCE($C85, ""price"", WORKDAY(INT($B85), 5)), 2, 2), """")=""""), """", IF($D85=""LONG"", (IFERROR(INDEX(GOOGLEFINANCE($C85, ""price"", WORKDAY(INT($B85), 5)), 2, 2), """")-$G85)/$G85, ($G85-IFERROR(INDE"&amp;"X(GOOGLEFINANCE($C85, ""price"", WORKDAY(INT($B85), 5)), 2, 2), """"))/$G85)), """")"),0.04039805710223903)</f>
        <v>0.0403980571</v>
      </c>
      <c r="P85" s="12" t="str">
        <f>IFERROR(__xludf.DUMMYFUNCTION("IFERROR(IF(OR(ISBLANK($G85), IFERROR(INDEX(GOOGLEFINANCE($C85, ""price"", WORKDAY(INT($B85), 20)), 2, 2), """")=""""), """", IF($D85=""LONG"", (IFERROR(INDEX(GOOGLEFINANCE($C85, ""price"", WORKDAY(INT($B85), 20)), 2, 2), """")-$G85)/$G85, ($G85-IFERROR(IN"&amp;"DEX(GOOGLEFINANCE($C85, ""price"", WORKDAY(INT($B85), 20)), 2, 2), """"))/$G85)), """")"),"")</f>
        <v/>
      </c>
      <c r="Q85" s="5" t="s">
        <v>857</v>
      </c>
      <c r="R85" s="21" t="s">
        <v>704</v>
      </c>
      <c r="S85" s="21" t="s">
        <v>858</v>
      </c>
      <c r="T85" s="21" t="s">
        <v>51</v>
      </c>
      <c r="U85" s="21"/>
      <c r="V85" s="21"/>
      <c r="W85" s="21"/>
      <c r="X85" s="21"/>
      <c r="Y85" s="21"/>
      <c r="Z85" s="21"/>
    </row>
    <row r="86">
      <c r="A86" s="3">
        <f t="shared" si="1"/>
        <v>85</v>
      </c>
      <c r="B86" s="4">
        <v>46213.66741898148</v>
      </c>
      <c r="C86" s="5" t="s">
        <v>207</v>
      </c>
      <c r="D86" s="5" t="s">
        <v>36</v>
      </c>
      <c r="E86" s="5" t="s">
        <v>37</v>
      </c>
      <c r="F86" s="6">
        <v>2.0</v>
      </c>
      <c r="G86" s="7">
        <v>334.08</v>
      </c>
      <c r="H86" s="5" t="s">
        <v>862</v>
      </c>
      <c r="I86" s="5">
        <v>96.9</v>
      </c>
      <c r="J86" s="3"/>
      <c r="K86" s="5" t="s">
        <v>40</v>
      </c>
      <c r="L86" s="8">
        <f>IFERROR(__xludf.DUMMYFUNCTION("IFERROR(GOOGLEFINANCE(C86, ""price""), IFERROR(GOOGLEFINANCE(""NASDAQ:""&amp;C86, ""price""), IFERROR(GOOGLEFINANCE(""NYSE:""&amp;C86, ""price""), """")))"),363.42)</f>
        <v>363.42</v>
      </c>
      <c r="M86" s="12">
        <f t="shared" si="3"/>
        <v>0.08782327586</v>
      </c>
      <c r="N86" s="12">
        <f>IFERROR(__xludf.DUMMYFUNCTION("IFERROR(IF(OR(ISBLANK($G86), IFERROR(INDEX(GOOGLEFINANCE($C86, ""price"", WORKDAY(INT($B86), 1)), 2, 2), """")=""""), """", IF($D86=""LONG"", (IFERROR(INDEX(GOOGLEFINANCE($C86, ""price"", WORKDAY(INT($B86), 1)), 2, 2), """")-$G86)/$G86, ($G86-IFERROR(INDE"&amp;"X(GOOGLEFINANCE($C86, ""price"", WORKDAY(INT($B86), 1)), 2, 2), """"))/$G86)), """")"),-0.015295737547892591)</f>
        <v>-0.01529573755</v>
      </c>
      <c r="O86" s="12">
        <f>IFERROR(__xludf.DUMMYFUNCTION("IFERROR(IF(OR(ISBLANK($G86), IFERROR(INDEX(GOOGLEFINANCE($C86, ""price"", WORKDAY(INT($B86), 5)), 2, 2), """")=""""), """", IF($D86=""LONG"", (IFERROR(INDEX(GOOGLEFINANCE($C86, ""price"", WORKDAY(INT($B86), 5)), 2, 2), """")-$G86)/$G86, ($G86-IFERROR(INDE"&amp;"X(GOOGLEFINANCE($C86, ""price"", WORKDAY(INT($B86), 5)), 2, 2), """"))/$G86)), """")"),-0.008261494252873536)</f>
        <v>-0.008261494253</v>
      </c>
      <c r="P86" s="12" t="str">
        <f>IFERROR(__xludf.DUMMYFUNCTION("IFERROR(IF(OR(ISBLANK($G86), IFERROR(INDEX(GOOGLEFINANCE($C86, ""price"", WORKDAY(INT($B86), 20)), 2, 2), """")=""""), """", IF($D86=""LONG"", (IFERROR(INDEX(GOOGLEFINANCE($C86, ""price"", WORKDAY(INT($B86), 20)), 2, 2), """")-$G86)/$G86, ($G86-IFERROR(IN"&amp;"DEX(GOOGLEFINANCE($C86, ""price"", WORKDAY(INT($B86), 20)), 2, 2), """"))/$G86)), """")"),"")</f>
        <v/>
      </c>
      <c r="Q86" s="5" t="s">
        <v>866</v>
      </c>
      <c r="R86" s="21" t="s">
        <v>722</v>
      </c>
      <c r="S86" s="21" t="s">
        <v>868</v>
      </c>
      <c r="T86" s="21" t="s">
        <v>51</v>
      </c>
      <c r="U86" s="21"/>
      <c r="V86" s="21"/>
      <c r="W86" s="21"/>
      <c r="X86" s="21"/>
      <c r="Y86" s="21"/>
      <c r="Z86" s="21"/>
    </row>
    <row r="87">
      <c r="A87" s="3">
        <f t="shared" si="1"/>
        <v>86</v>
      </c>
      <c r="B87" s="4">
        <v>46213.66744212963</v>
      </c>
      <c r="C87" s="5" t="s">
        <v>731</v>
      </c>
      <c r="D87" s="5" t="s">
        <v>36</v>
      </c>
      <c r="E87" s="5" t="s">
        <v>37</v>
      </c>
      <c r="F87" s="6">
        <v>2.0</v>
      </c>
      <c r="G87" s="7">
        <v>68.7</v>
      </c>
      <c r="H87" s="5" t="s">
        <v>869</v>
      </c>
      <c r="I87" s="5">
        <v>92.9</v>
      </c>
      <c r="J87" s="3"/>
      <c r="K87" s="5" t="s">
        <v>40</v>
      </c>
      <c r="L87" s="8">
        <f>IFERROR(__xludf.DUMMYFUNCTION("IFERROR(GOOGLEFINANCE(C87, ""price""), IFERROR(GOOGLEFINANCE(""NASDAQ:""&amp;C87, ""price""), IFERROR(GOOGLEFINANCE(""NYSE:""&amp;C87, ""price""), """")))"),66.7)</f>
        <v>66.7</v>
      </c>
      <c r="M87" s="12">
        <f t="shared" si="3"/>
        <v>-0.02911208151</v>
      </c>
      <c r="N87" s="12">
        <f>IFERROR(__xludf.DUMMYFUNCTION("IFERROR(IF(OR(ISBLANK($G87), IFERROR(INDEX(GOOGLEFINANCE($C87, ""price"", WORKDAY(INT($B87), 1)), 2, 2), """")=""""), """", IF($D87=""LONG"", (IFERROR(INDEX(GOOGLEFINANCE($C87, ""price"", WORKDAY(INT($B87), 1)), 2, 2), """")-$G87)/$G87, ($G87-IFERROR(INDE"&amp;"X(GOOGLEFINANCE($C87, ""price"", WORKDAY(INT($B87), 1)), 2, 2), """"))/$G87)), """")"),0.014847161572052344)</f>
        <v>0.01484716157</v>
      </c>
      <c r="O87" s="12">
        <f>IFERROR(__xludf.DUMMYFUNCTION("IFERROR(IF(OR(ISBLANK($G87), IFERROR(INDEX(GOOGLEFINANCE($C87, ""price"", WORKDAY(INT($B87), 5)), 2, 2), """")=""""), """", IF($D87=""LONG"", (IFERROR(INDEX(GOOGLEFINANCE($C87, ""price"", WORKDAY(INT($B87), 5)), 2, 2), """")-$G87)/$G87, ($G87-IFERROR(INDE"&amp;"X(GOOGLEFINANCE($C87, ""price"", WORKDAY(INT($B87), 5)), 2, 2), """"))/$G87)), """")"),0.004366812227074194)</f>
        <v>0.004366812227</v>
      </c>
      <c r="P87" s="12" t="str">
        <f>IFERROR(__xludf.DUMMYFUNCTION("IFERROR(IF(OR(ISBLANK($G87), IFERROR(INDEX(GOOGLEFINANCE($C87, ""price"", WORKDAY(INT($B87), 20)), 2, 2), """")=""""), """", IF($D87=""LONG"", (IFERROR(INDEX(GOOGLEFINANCE($C87, ""price"", WORKDAY(INT($B87), 20)), 2, 2), """")-$G87)/$G87, ($G87-IFERROR(IN"&amp;"DEX(GOOGLEFINANCE($C87, ""price"", WORKDAY(INT($B87), 20)), 2, 2), """"))/$G87)), """")"),"")</f>
        <v/>
      </c>
      <c r="Q87" s="5" t="s">
        <v>875</v>
      </c>
      <c r="R87" s="21" t="s">
        <v>704</v>
      </c>
      <c r="S87" s="21" t="s">
        <v>876</v>
      </c>
      <c r="T87" s="21" t="s">
        <v>51</v>
      </c>
      <c r="U87" s="21"/>
      <c r="V87" s="21"/>
      <c r="W87" s="21"/>
      <c r="X87" s="21"/>
      <c r="Y87" s="21"/>
      <c r="Z87" s="21"/>
    </row>
    <row r="88">
      <c r="A88" s="3">
        <f t="shared" si="1"/>
        <v>87</v>
      </c>
      <c r="B88" s="4">
        <v>46213.66761574074</v>
      </c>
      <c r="C88" s="5" t="s">
        <v>392</v>
      </c>
      <c r="D88" s="5" t="s">
        <v>36</v>
      </c>
      <c r="E88" s="5" t="s">
        <v>37</v>
      </c>
      <c r="F88" s="6">
        <v>2.0</v>
      </c>
      <c r="G88" s="7">
        <v>232.74</v>
      </c>
      <c r="H88" s="5" t="s">
        <v>878</v>
      </c>
      <c r="I88" s="5">
        <v>88.7</v>
      </c>
      <c r="J88" s="3"/>
      <c r="K88" s="5" t="s">
        <v>40</v>
      </c>
      <c r="L88" s="8">
        <f>IFERROR(__xludf.DUMMYFUNCTION("IFERROR(GOOGLEFINANCE(C88, ""price""), IFERROR(GOOGLEFINANCE(""NASDAQ:""&amp;C88, ""price""), IFERROR(GOOGLEFINANCE(""NYSE:""&amp;C88, ""price""), """")))"),180.67)</f>
        <v>180.67</v>
      </c>
      <c r="M88" s="12">
        <f t="shared" si="3"/>
        <v>-0.2237260462</v>
      </c>
      <c r="N88" s="12">
        <f>IFERROR(__xludf.DUMMYFUNCTION("IFERROR(IF(OR(ISBLANK($G88), IFERROR(INDEX(GOOGLEFINANCE($C88, ""price"", WORKDAY(INT($B88), 1)), 2, 2), """")=""""), """", IF($D88=""LONG"", (IFERROR(INDEX(GOOGLEFINANCE($C88, ""price"", WORKDAY(INT($B88), 1)), 2, 2), """")-$G88)/$G88, ($G88-IFERROR(INDE"&amp;"X(GOOGLEFINANCE($C88, ""price"", WORKDAY(INT($B88), 1)), 2, 2), """"))/$G88)), """")"),0.012202457678095743)</f>
        <v>0.01220245768</v>
      </c>
      <c r="O88" s="12">
        <f>IFERROR(__xludf.DUMMYFUNCTION("IFERROR(IF(OR(ISBLANK($G88), IFERROR(INDEX(GOOGLEFINANCE($C88, ""price"", WORKDAY(INT($B88), 5)), 2, 2), """")=""""), """", IF($D88=""LONG"", (IFERROR(INDEX(GOOGLEFINANCE($C88, ""price"", WORKDAY(INT($B88), 5)), 2, 2), """")-$G88)/$G88, ($G88-IFERROR(INDE"&amp;"X(GOOGLEFINANCE($C88, ""price"", WORKDAY(INT($B88), 5)), 2, 2), """"))/$G88)), """")"),0.018174787316318594)</f>
        <v>0.01817478732</v>
      </c>
      <c r="P88" s="12" t="str">
        <f>IFERROR(__xludf.DUMMYFUNCTION("IFERROR(IF(OR(ISBLANK($G88), IFERROR(INDEX(GOOGLEFINANCE($C88, ""price"", WORKDAY(INT($B88), 20)), 2, 2), """")=""""), """", IF($D88=""LONG"", (IFERROR(INDEX(GOOGLEFINANCE($C88, ""price"", WORKDAY(INT($B88), 20)), 2, 2), """")-$G88)/$G88, ($G88-IFERROR(IN"&amp;"DEX(GOOGLEFINANCE($C88, ""price"", WORKDAY(INT($B88), 20)), 2, 2), """"))/$G88)), """")"),"")</f>
        <v/>
      </c>
      <c r="Q88" s="5" t="s">
        <v>885</v>
      </c>
      <c r="R88" s="21" t="s">
        <v>886</v>
      </c>
      <c r="S88" s="21" t="s">
        <v>887</v>
      </c>
      <c r="T88" s="21" t="s">
        <v>51</v>
      </c>
      <c r="U88" s="21"/>
      <c r="V88" s="21"/>
      <c r="W88" s="21"/>
      <c r="X88" s="21"/>
      <c r="Y88" s="21"/>
      <c r="Z88" s="21"/>
    </row>
    <row r="89">
      <c r="A89" s="3">
        <f t="shared" si="1"/>
        <v>88</v>
      </c>
      <c r="B89" s="4">
        <v>46213.66777777778</v>
      </c>
      <c r="C89" s="5" t="s">
        <v>424</v>
      </c>
      <c r="D89" s="5" t="s">
        <v>36</v>
      </c>
      <c r="E89" s="5" t="s">
        <v>37</v>
      </c>
      <c r="F89" s="6">
        <v>2.0</v>
      </c>
      <c r="G89" s="7">
        <v>83.83</v>
      </c>
      <c r="H89" s="5" t="s">
        <v>889</v>
      </c>
      <c r="I89" s="5">
        <v>96.5</v>
      </c>
      <c r="J89" s="3"/>
      <c r="K89" s="5" t="s">
        <v>40</v>
      </c>
      <c r="L89" s="8">
        <f>IFERROR(__xludf.DUMMYFUNCTION("IFERROR(GOOGLEFINANCE(C89, ""price""), IFERROR(GOOGLEFINANCE(""NASDAQ:""&amp;C89, ""price""), IFERROR(GOOGLEFINANCE(""NYSE:""&amp;C89, ""price""), """")))"),84.35)</f>
        <v>84.35</v>
      </c>
      <c r="M89" s="12">
        <f t="shared" si="3"/>
        <v>0.006203029942</v>
      </c>
      <c r="N89" s="12">
        <f>IFERROR(__xludf.DUMMYFUNCTION("IFERROR(IF(OR(ISBLANK($G89), IFERROR(INDEX(GOOGLEFINANCE($C89, ""price"", WORKDAY(INT($B89), 1)), 2, 2), """")=""""), """", IF($D89=""LONG"", (IFERROR(INDEX(GOOGLEFINANCE($C89, ""price"", WORKDAY(INT($B89), 1)), 2, 2), """")-$G89)/$G89, ($G89-IFERROR(INDE"&amp;"X(GOOGLEFINANCE($C89, ""price"", WORKDAY(INT($B89), 1)), 2, 2), """"))/$G89)), """")"),-0.0044136943814863955)</f>
        <v>-0.004413694381</v>
      </c>
      <c r="O89" s="12">
        <f>IFERROR(__xludf.DUMMYFUNCTION("IFERROR(IF(OR(ISBLANK($G89), IFERROR(INDEX(GOOGLEFINANCE($C89, ""price"", WORKDAY(INT($B89), 5)), 2, 2), """")=""""), """", IF($D89=""LONG"", (IFERROR(INDEX(GOOGLEFINANCE($C89, ""price"", WORKDAY(INT($B89), 5)), 2, 2), """")-$G89)/$G89, ($G89-IFERROR(INDE"&amp;"X(GOOGLEFINANCE($C89, ""price"", WORKDAY(INT($B89), 5)), 2, 2), """"))/$G89)), """")"),-0.025527853990218306)</f>
        <v>-0.02552785399</v>
      </c>
      <c r="P89" s="12" t="str">
        <f>IFERROR(__xludf.DUMMYFUNCTION("IFERROR(IF(OR(ISBLANK($G89), IFERROR(INDEX(GOOGLEFINANCE($C89, ""price"", WORKDAY(INT($B89), 20)), 2, 2), """")=""""), """", IF($D89=""LONG"", (IFERROR(INDEX(GOOGLEFINANCE($C89, ""price"", WORKDAY(INT($B89), 20)), 2, 2), """")-$G89)/$G89, ($G89-IFERROR(IN"&amp;"DEX(GOOGLEFINANCE($C89, ""price"", WORKDAY(INT($B89), 20)), 2, 2), """"))/$G89)), """")"),"")</f>
        <v/>
      </c>
      <c r="Q89" s="5" t="s">
        <v>895</v>
      </c>
      <c r="R89" s="21" t="s">
        <v>240</v>
      </c>
      <c r="S89" s="21" t="s">
        <v>896</v>
      </c>
      <c r="T89" s="21" t="s">
        <v>51</v>
      </c>
      <c r="U89" s="21"/>
      <c r="V89" s="21"/>
      <c r="W89" s="21"/>
      <c r="X89" s="21"/>
      <c r="Y89" s="21"/>
      <c r="Z89" s="21"/>
    </row>
    <row r="90">
      <c r="A90" s="3">
        <f t="shared" si="1"/>
        <v>89</v>
      </c>
      <c r="B90" s="4">
        <v>46213.667766203704</v>
      </c>
      <c r="C90" s="5" t="s">
        <v>603</v>
      </c>
      <c r="D90" s="5" t="s">
        <v>119</v>
      </c>
      <c r="E90" s="5" t="s">
        <v>120</v>
      </c>
      <c r="F90" s="6">
        <v>4.0</v>
      </c>
      <c r="G90" s="7">
        <v>42.57</v>
      </c>
      <c r="H90" s="5" t="s">
        <v>898</v>
      </c>
      <c r="I90" s="5">
        <v>10.0</v>
      </c>
      <c r="J90" s="3"/>
      <c r="K90" s="5" t="s">
        <v>40</v>
      </c>
      <c r="L90" s="8">
        <f>IFERROR(__xludf.DUMMYFUNCTION("IFERROR(GOOGLEFINANCE(C90, ""price""), IFERROR(GOOGLEFINANCE(""NASDAQ:""&amp;C90, ""price""), IFERROR(GOOGLEFINANCE(""NYSE:""&amp;C90, ""price""), """")))"),56.89)</f>
        <v>56.89</v>
      </c>
      <c r="M90" s="12">
        <f t="shared" si="3"/>
        <v>-0.3363871271</v>
      </c>
      <c r="N90" s="12">
        <f>IFERROR(__xludf.DUMMYFUNCTION("IFERROR(IF(OR(ISBLANK($G90), IFERROR(INDEX(GOOGLEFINANCE($C90, ""price"", WORKDAY(INT($B90), 1)), 2, 2), """")=""""), """", IF($D90=""LONG"", (IFERROR(INDEX(GOOGLEFINANCE($C90, ""price"", WORKDAY(INT($B90), 1)), 2, 2), """")-$G90)/$G90, ($G90-IFERROR(INDE"&amp;"X(GOOGLEFINANCE($C90, ""price"", WORKDAY(INT($B90), 1)), 2, 2), """"))/$G90)), """")"),-0.037350246652572146)</f>
        <v>-0.03735024665</v>
      </c>
      <c r="O90" s="12">
        <f>IFERROR(__xludf.DUMMYFUNCTION("IFERROR(IF(OR(ISBLANK($G90), IFERROR(INDEX(GOOGLEFINANCE($C90, ""price"", WORKDAY(INT($B90), 5)), 2, 2), """")=""""), """", IF($D90=""LONG"", (IFERROR(INDEX(GOOGLEFINANCE($C90, ""price"", WORKDAY(INT($B90), 5)), 2, 2), """")-$G90)/$G90, ($G90-IFERROR(INDE"&amp;"X(GOOGLEFINANCE($C90, ""price"", WORKDAY(INT($B90), 5)), 2, 2), """"))/$G90)), """")"),-0.05167958656330756)</f>
        <v>-0.05167958656</v>
      </c>
      <c r="P90" s="12" t="str">
        <f>IFERROR(__xludf.DUMMYFUNCTION("IFERROR(IF(OR(ISBLANK($G90), IFERROR(INDEX(GOOGLEFINANCE($C90, ""price"", WORKDAY(INT($B90), 20)), 2, 2), """")=""""), """", IF($D90=""LONG"", (IFERROR(INDEX(GOOGLEFINANCE($C90, ""price"", WORKDAY(INT($B90), 20)), 2, 2), """")-$G90)/$G90, ($G90-IFERROR(IN"&amp;"DEX(GOOGLEFINANCE($C90, ""price"", WORKDAY(INT($B90), 20)), 2, 2), """"))/$G90)), """")"),"")</f>
        <v/>
      </c>
      <c r="Q90" s="5" t="s">
        <v>904</v>
      </c>
      <c r="R90" s="21" t="s">
        <v>102</v>
      </c>
      <c r="S90" s="21" t="s">
        <v>905</v>
      </c>
      <c r="T90" s="21" t="s">
        <v>51</v>
      </c>
      <c r="U90" s="21"/>
      <c r="V90" s="21"/>
      <c r="W90" s="21"/>
      <c r="X90" s="21"/>
      <c r="Y90" s="21"/>
      <c r="Z90" s="21"/>
    </row>
    <row r="91">
      <c r="A91" s="3">
        <f t="shared" si="1"/>
        <v>90</v>
      </c>
      <c r="B91" s="4">
        <v>46213.66755787037</v>
      </c>
      <c r="C91" s="5" t="s">
        <v>94</v>
      </c>
      <c r="D91" s="5" t="s">
        <v>36</v>
      </c>
      <c r="E91" s="5" t="s">
        <v>37</v>
      </c>
      <c r="F91" s="6">
        <v>2.0</v>
      </c>
      <c r="G91" s="7">
        <v>57.07</v>
      </c>
      <c r="H91" s="5" t="s">
        <v>907</v>
      </c>
      <c r="I91" s="5">
        <v>92.3</v>
      </c>
      <c r="J91" s="3"/>
      <c r="K91" s="5" t="s">
        <v>40</v>
      </c>
      <c r="L91" s="8">
        <f>IFERROR(__xludf.DUMMYFUNCTION("IFERROR(GOOGLEFINANCE(C91, ""price""), IFERROR(GOOGLEFINANCE(""NASDAQ:""&amp;C91, ""price""), IFERROR(GOOGLEFINANCE(""NYSE:""&amp;C91, ""price""), """")))"),56.96)</f>
        <v>56.96</v>
      </c>
      <c r="M91" s="12">
        <f t="shared" si="3"/>
        <v>-0.001927457508</v>
      </c>
      <c r="N91" s="12">
        <f>IFERROR(__xludf.DUMMYFUNCTION("IFERROR(IF(OR(ISBLANK($G91), IFERROR(INDEX(GOOGLEFINANCE($C91, ""price"", WORKDAY(INT($B91), 1)), 2, 2), """")=""""), """", IF($D91=""LONG"", (IFERROR(INDEX(GOOGLEFINANCE($C91, ""price"", WORKDAY(INT($B91), 1)), 2, 2), """")-$G91)/$G91, ($G91-IFERROR(INDE"&amp;"X(GOOGLEFINANCE($C91, ""price"", WORKDAY(INT($B91), 1)), 2, 2), """"))/$G91)), """")"),0.001927457508323102)</f>
        <v>0.001927457508</v>
      </c>
      <c r="O91" s="12">
        <f>IFERROR(__xludf.DUMMYFUNCTION("IFERROR(IF(OR(ISBLANK($G91), IFERROR(INDEX(GOOGLEFINANCE($C91, ""price"", WORKDAY(INT($B91), 5)), 2, 2), """")=""""), """", IF($D91=""LONG"", (IFERROR(INDEX(GOOGLEFINANCE($C91, ""price"", WORKDAY(INT($B91), 5)), 2, 2), """")-$G91)/$G91, ($G91-IFERROR(INDE"&amp;"X(GOOGLEFINANCE($C91, ""price"", WORKDAY(INT($B91), 5)), 2, 2), """"))/$G91)), """")"),0.01647100052567019)</f>
        <v>0.01647100053</v>
      </c>
      <c r="P91" s="12" t="str">
        <f>IFERROR(__xludf.DUMMYFUNCTION("IFERROR(IF(OR(ISBLANK($G91), IFERROR(INDEX(GOOGLEFINANCE($C91, ""price"", WORKDAY(INT($B91), 20)), 2, 2), """")=""""), """", IF($D91=""LONG"", (IFERROR(INDEX(GOOGLEFINANCE($C91, ""price"", WORKDAY(INT($B91), 20)), 2, 2), """")-$G91)/$G91, ($G91-IFERROR(IN"&amp;"DEX(GOOGLEFINANCE($C91, ""price"", WORKDAY(INT($B91), 20)), 2, 2), """"))/$G91)), """")"),"")</f>
        <v/>
      </c>
      <c r="Q91" s="5" t="s">
        <v>912</v>
      </c>
      <c r="R91" s="21" t="s">
        <v>850</v>
      </c>
      <c r="S91" s="21" t="s">
        <v>913</v>
      </c>
      <c r="T91" s="21" t="s">
        <v>51</v>
      </c>
      <c r="U91" s="21"/>
      <c r="V91" s="21"/>
      <c r="W91" s="21"/>
      <c r="X91" s="21"/>
      <c r="Y91" s="21"/>
      <c r="Z91" s="21"/>
    </row>
    <row r="92">
      <c r="A92" s="3">
        <f t="shared" si="1"/>
        <v>91</v>
      </c>
      <c r="B92" s="4">
        <v>46213.6678125</v>
      </c>
      <c r="C92" s="5" t="s">
        <v>134</v>
      </c>
      <c r="D92" s="5" t="s">
        <v>36</v>
      </c>
      <c r="E92" s="5" t="s">
        <v>37</v>
      </c>
      <c r="F92" s="6">
        <v>2.0</v>
      </c>
      <c r="G92" s="7">
        <v>274.34</v>
      </c>
      <c r="H92" s="5" t="s">
        <v>915</v>
      </c>
      <c r="I92" s="5">
        <v>97.2</v>
      </c>
      <c r="J92" s="3"/>
      <c r="K92" s="5" t="s">
        <v>40</v>
      </c>
      <c r="L92" s="8">
        <f>IFERROR(__xludf.DUMMYFUNCTION("IFERROR(GOOGLEFINANCE(C92, ""price""), IFERROR(GOOGLEFINANCE(""NASDAQ:""&amp;C92, ""price""), IFERROR(GOOGLEFINANCE(""NYSE:""&amp;C92, ""price""), """")))"),283.46)</f>
        <v>283.46</v>
      </c>
      <c r="M92" s="12">
        <f t="shared" si="3"/>
        <v>0.03324342057</v>
      </c>
      <c r="N92" s="12">
        <f>IFERROR(__xludf.DUMMYFUNCTION("IFERROR(IF(OR(ISBLANK($G92), IFERROR(INDEX(GOOGLEFINANCE($C92, ""price"", WORKDAY(INT($B92), 1)), 2, 2), """")=""""), """", IF($D92=""LONG"", (IFERROR(INDEX(GOOGLEFINANCE($C92, ""price"", WORKDAY(INT($B92), 1)), 2, 2), """")-$G92)/$G92, ($G92-IFERROR(INDE"&amp;"X(GOOGLEFINANCE($C92, ""price"", WORKDAY(INT($B92), 1)), 2, 2), """"))/$G92)), """")"),-0.009076328643289175)</f>
        <v>-0.009076328643</v>
      </c>
      <c r="O92" s="12">
        <f>IFERROR(__xludf.DUMMYFUNCTION("IFERROR(IF(OR(ISBLANK($G92), IFERROR(INDEX(GOOGLEFINANCE($C92, ""price"", WORKDAY(INT($B92), 5)), 2, 2), """")=""""), """", IF($D92=""LONG"", (IFERROR(INDEX(GOOGLEFINANCE($C92, ""price"", WORKDAY(INT($B92), 5)), 2, 2), """")-$G92)/$G92, ($G92-IFERROR(INDE"&amp;"X(GOOGLEFINANCE($C92, ""price"", WORKDAY(INT($B92), 5)), 2, 2), """"))/$G92)), """")"),-0.005504118976452544)</f>
        <v>-0.005504118976</v>
      </c>
      <c r="P92" s="12" t="str">
        <f>IFERROR(__xludf.DUMMYFUNCTION("IFERROR(IF(OR(ISBLANK($G92), IFERROR(INDEX(GOOGLEFINANCE($C92, ""price"", WORKDAY(INT($B92), 20)), 2, 2), """")=""""), """", IF($D92=""LONG"", (IFERROR(INDEX(GOOGLEFINANCE($C92, ""price"", WORKDAY(INT($B92), 20)), 2, 2), """")-$G92)/$G92, ($G92-IFERROR(IN"&amp;"DEX(GOOGLEFINANCE($C92, ""price"", WORKDAY(INT($B92), 20)), 2, 2), """"))/$G92)), """")"),"")</f>
        <v/>
      </c>
      <c r="Q92" s="5" t="s">
        <v>924</v>
      </c>
      <c r="R92" s="21" t="s">
        <v>49</v>
      </c>
      <c r="S92" s="21" t="s">
        <v>926</v>
      </c>
      <c r="T92" s="21" t="s">
        <v>51</v>
      </c>
      <c r="U92" s="21"/>
      <c r="V92" s="21"/>
      <c r="W92" s="21"/>
      <c r="X92" s="21"/>
      <c r="Y92" s="21"/>
      <c r="Z92" s="21"/>
    </row>
    <row r="93">
      <c r="A93" s="3">
        <f t="shared" si="1"/>
        <v>92</v>
      </c>
      <c r="B93" s="4">
        <v>46213.667662037034</v>
      </c>
      <c r="C93" s="5" t="s">
        <v>114</v>
      </c>
      <c r="D93" s="5" t="s">
        <v>36</v>
      </c>
      <c r="E93" s="5" t="s">
        <v>37</v>
      </c>
      <c r="F93" s="6">
        <v>2.0</v>
      </c>
      <c r="G93" s="7">
        <v>235.53</v>
      </c>
      <c r="H93" s="5" t="s">
        <v>928</v>
      </c>
      <c r="I93" s="5">
        <v>98.6</v>
      </c>
      <c r="J93" s="3"/>
      <c r="K93" s="5" t="s">
        <v>40</v>
      </c>
      <c r="L93" s="8">
        <f>IFERROR(__xludf.DUMMYFUNCTION("IFERROR(GOOGLEFINANCE(C93, ""price""), IFERROR(GOOGLEFINANCE(""NASDAQ:""&amp;C93, ""price""), IFERROR(GOOGLEFINANCE(""NYSE:""&amp;C93, ""price""), """")))"),237.66)</f>
        <v>237.66</v>
      </c>
      <c r="M93" s="12">
        <f t="shared" si="3"/>
        <v>0.009043433957</v>
      </c>
      <c r="N93" s="12">
        <f>IFERROR(__xludf.DUMMYFUNCTION("IFERROR(IF(OR(ISBLANK($G93), IFERROR(INDEX(GOOGLEFINANCE($C93, ""price"", WORKDAY(INT($B93), 1)), 2, 2), """")=""""), """", IF($D93=""LONG"", (IFERROR(INDEX(GOOGLEFINANCE($C93, ""price"", WORKDAY(INT($B93), 1)), 2, 2), """")-$G93)/$G93, ($G93-IFERROR(INDE"&amp;"X(GOOGLEFINANCE($C93, ""price"", WORKDAY(INT($B93), 1)), 2, 2), """"))/$G93)), """")"),-0.007939540610537955)</f>
        <v>-0.007939540611</v>
      </c>
      <c r="O93" s="12">
        <f>IFERROR(__xludf.DUMMYFUNCTION("IFERROR(IF(OR(ISBLANK($G93), IFERROR(INDEX(GOOGLEFINANCE($C93, ""price"", WORKDAY(INT($B93), 5)), 2, 2), """")=""""), """", IF($D93=""LONG"", (IFERROR(INDEX(GOOGLEFINANCE($C93, ""price"", WORKDAY(INT($B93), 5)), 2, 2), """")-$G93)/$G93, ($G93-IFERROR(INDE"&amp;"X(GOOGLEFINANCE($C93, ""price"", WORKDAY(INT($B93), 5)), 2, 2), """"))/$G93)), """")"),-0.02976266293041222)</f>
        <v>-0.02976266293</v>
      </c>
      <c r="P93" s="12" t="str">
        <f>IFERROR(__xludf.DUMMYFUNCTION("IFERROR(IF(OR(ISBLANK($G93), IFERROR(INDEX(GOOGLEFINANCE($C93, ""price"", WORKDAY(INT($B93), 20)), 2, 2), """")=""""), """", IF($D93=""LONG"", (IFERROR(INDEX(GOOGLEFINANCE($C93, ""price"", WORKDAY(INT($B93), 20)), 2, 2), """")-$G93)/$G93, ($G93-IFERROR(IN"&amp;"DEX(GOOGLEFINANCE($C93, ""price"", WORKDAY(INT($B93), 20)), 2, 2), """"))/$G93)), """")"),"")</f>
        <v/>
      </c>
      <c r="Q93" s="5" t="s">
        <v>934</v>
      </c>
      <c r="R93" s="5" t="s">
        <v>545</v>
      </c>
      <c r="S93" s="5" t="s">
        <v>936</v>
      </c>
      <c r="T93" s="5" t="s">
        <v>51</v>
      </c>
      <c r="U93" s="5"/>
      <c r="V93" s="5"/>
      <c r="W93" s="5"/>
      <c r="X93" s="5"/>
      <c r="Y93" s="5"/>
      <c r="Z93" s="5"/>
    </row>
    <row r="94">
      <c r="A94" s="3">
        <f t="shared" si="1"/>
        <v>93</v>
      </c>
      <c r="B94" s="4">
        <v>46213.66767361111</v>
      </c>
      <c r="C94" s="5" t="s">
        <v>939</v>
      </c>
      <c r="D94" s="5" t="s">
        <v>36</v>
      </c>
      <c r="E94" s="5" t="s">
        <v>37</v>
      </c>
      <c r="F94" s="6">
        <v>2.0</v>
      </c>
      <c r="G94" s="7">
        <v>195.96</v>
      </c>
      <c r="H94" s="5" t="s">
        <v>941</v>
      </c>
      <c r="I94" s="5">
        <v>90.8</v>
      </c>
      <c r="J94" s="3"/>
      <c r="K94" s="5" t="s">
        <v>40</v>
      </c>
      <c r="L94" s="8">
        <f>IFERROR(__xludf.DUMMYFUNCTION("IFERROR(GOOGLEFINANCE(C94, ""price""), IFERROR(GOOGLEFINANCE(""NASDAQ:""&amp;C94, ""price""), IFERROR(GOOGLEFINANCE(""NYSE:""&amp;C94, ""price""), """")))"),223.25)</f>
        <v>223.25</v>
      </c>
      <c r="M94" s="12">
        <f t="shared" si="3"/>
        <v>0.1392631149</v>
      </c>
      <c r="N94" s="12">
        <f>IFERROR(__xludf.DUMMYFUNCTION("IFERROR(IF(OR(ISBLANK($G94), IFERROR(INDEX(GOOGLEFINANCE($C94, ""price"", WORKDAY(INT($B94), 1)), 2, 2), """")=""""), """", IF($D94=""LONG"", (IFERROR(INDEX(GOOGLEFINANCE($C94, ""price"", WORKDAY(INT($B94), 1)), 2, 2), """")-$G94)/$G94, ($G94-IFERROR(INDE"&amp;"X(GOOGLEFINANCE($C94, ""price"", WORKDAY(INT($B94), 1)), 2, 2), """"))/$G94)), """")"),0.0021943253725248946)</f>
        <v>0.002194325373</v>
      </c>
      <c r="O94" s="12">
        <f>IFERROR(__xludf.DUMMYFUNCTION("IFERROR(IF(OR(ISBLANK($G94), IFERROR(INDEX(GOOGLEFINANCE($C94, ""price"", WORKDAY(INT($B94), 5)), 2, 2), """")=""""), """", IF($D94=""LONG"", (IFERROR(INDEX(GOOGLEFINANCE($C94, ""price"", WORKDAY(INT($B94), 5)), 2, 2), """")-$G94)/$G94, ($G94-IFERROR(INDE"&amp;"X(GOOGLEFINANCE($C94, ""price"", WORKDAY(INT($B94), 5)), 2, 2), """"))/$G94)), """")"),-0.012502551541130929)</f>
        <v>-0.01250255154</v>
      </c>
      <c r="P94" s="12" t="str">
        <f>IFERROR(__xludf.DUMMYFUNCTION("IFERROR(IF(OR(ISBLANK($G94), IFERROR(INDEX(GOOGLEFINANCE($C94, ""price"", WORKDAY(INT($B94), 20)), 2, 2), """")=""""), """", IF($D94=""LONG"", (IFERROR(INDEX(GOOGLEFINANCE($C94, ""price"", WORKDAY(INT($B94), 20)), 2, 2), """")-$G94)/$G94, ($G94-IFERROR(IN"&amp;"DEX(GOOGLEFINANCE($C94, ""price"", WORKDAY(INT($B94), 20)), 2, 2), """"))/$G94)), """")"),"")</f>
        <v/>
      </c>
      <c r="Q94" s="5" t="s">
        <v>946</v>
      </c>
      <c r="R94" s="21" t="s">
        <v>507</v>
      </c>
      <c r="S94" s="21" t="s">
        <v>947</v>
      </c>
      <c r="T94" s="21" t="s">
        <v>51</v>
      </c>
      <c r="U94" s="21"/>
      <c r="V94" s="21"/>
      <c r="W94" s="21"/>
      <c r="X94" s="21"/>
      <c r="Y94" s="21"/>
      <c r="Z94" s="21"/>
    </row>
    <row r="95">
      <c r="A95" s="3">
        <f t="shared" si="1"/>
        <v>94</v>
      </c>
      <c r="B95" s="4">
        <v>46213.66795138889</v>
      </c>
      <c r="C95" s="5" t="s">
        <v>91</v>
      </c>
      <c r="D95" s="5" t="s">
        <v>36</v>
      </c>
      <c r="E95" s="5" t="s">
        <v>37</v>
      </c>
      <c r="F95" s="6">
        <v>2.0</v>
      </c>
      <c r="G95" s="7">
        <v>37.95</v>
      </c>
      <c r="H95" s="5" t="s">
        <v>952</v>
      </c>
      <c r="I95" s="5">
        <v>97.9</v>
      </c>
      <c r="J95" s="3"/>
      <c r="K95" s="5" t="s">
        <v>40</v>
      </c>
      <c r="L95" s="8">
        <f>IFERROR(__xludf.DUMMYFUNCTION("IFERROR(GOOGLEFINANCE(C95, ""price""), IFERROR(GOOGLEFINANCE(""NASDAQ:""&amp;C95, ""price""), IFERROR(GOOGLEFINANCE(""NYSE:""&amp;C95, ""price""), """")))"),40.53)</f>
        <v>40.53</v>
      </c>
      <c r="M95" s="12">
        <f t="shared" si="3"/>
        <v>0.06798418972</v>
      </c>
      <c r="N95" s="12">
        <f>IFERROR(__xludf.DUMMYFUNCTION("IFERROR(IF(OR(ISBLANK($G95), IFERROR(INDEX(GOOGLEFINANCE($C95, ""price"", WORKDAY(INT($B95), 1)), 2, 2), """")=""""), """", IF($D95=""LONG"", (IFERROR(INDEX(GOOGLEFINANCE($C95, ""price"", WORKDAY(INT($B95), 1)), 2, 2), """")-$G95)/$G95, ($G95-IFERROR(INDE"&amp;"X(GOOGLEFINANCE($C95, ""price"", WORKDAY(INT($B95), 1)), 2, 2), """"))/$G95)), """")"),-0.02503293807641641)</f>
        <v>-0.02503293808</v>
      </c>
      <c r="O95" s="12">
        <f>IFERROR(__xludf.DUMMYFUNCTION("IFERROR(IF(OR(ISBLANK($G95), IFERROR(INDEX(GOOGLEFINANCE($C95, ""price"", WORKDAY(INT($B95), 5)), 2, 2), """")=""""), """", IF($D95=""LONG"", (IFERROR(INDEX(GOOGLEFINANCE($C95, ""price"", WORKDAY(INT($B95), 5)), 2, 2), """")-$G95)/$G95, ($G95-IFERROR(INDE"&amp;"X(GOOGLEFINANCE($C95, ""price"", WORKDAY(INT($B95), 5)), 2, 2), """"))/$G95)), """")"),-0.010276679841897247)</f>
        <v>-0.01027667984</v>
      </c>
      <c r="P95" s="12" t="str">
        <f>IFERROR(__xludf.DUMMYFUNCTION("IFERROR(IF(OR(ISBLANK($G95), IFERROR(INDEX(GOOGLEFINANCE($C95, ""price"", WORKDAY(INT($B95), 20)), 2, 2), """")=""""), """", IF($D95=""LONG"", (IFERROR(INDEX(GOOGLEFINANCE($C95, ""price"", WORKDAY(INT($B95), 20)), 2, 2), """")-$G95)/$G95, ($G95-IFERROR(IN"&amp;"DEX(GOOGLEFINANCE($C95, ""price"", WORKDAY(INT($B95), 20)), 2, 2), """"))/$G95)), """")"),"")</f>
        <v/>
      </c>
      <c r="Q95" s="5" t="s">
        <v>960</v>
      </c>
      <c r="R95" s="21" t="s">
        <v>219</v>
      </c>
      <c r="S95" s="21" t="s">
        <v>963</v>
      </c>
      <c r="T95" s="21" t="s">
        <v>51</v>
      </c>
      <c r="U95" s="21"/>
      <c r="V95" s="21"/>
      <c r="W95" s="21"/>
      <c r="X95" s="21"/>
      <c r="Y95" s="21"/>
      <c r="Z95" s="21"/>
    </row>
    <row r="96">
      <c r="A96" s="3">
        <f t="shared" si="1"/>
        <v>95</v>
      </c>
      <c r="B96" s="4">
        <v>46213.668217592596</v>
      </c>
      <c r="C96" s="5" t="s">
        <v>437</v>
      </c>
      <c r="D96" s="5" t="s">
        <v>36</v>
      </c>
      <c r="E96" s="5" t="s">
        <v>133</v>
      </c>
      <c r="F96" s="6">
        <v>2.0</v>
      </c>
      <c r="G96" s="7">
        <v>186.95</v>
      </c>
      <c r="H96" s="5" t="s">
        <v>966</v>
      </c>
      <c r="I96" s="5">
        <v>80.4</v>
      </c>
      <c r="J96" s="3"/>
      <c r="K96" s="5" t="s">
        <v>40</v>
      </c>
      <c r="L96" s="8">
        <f>IFERROR(__xludf.DUMMYFUNCTION("IFERROR(GOOGLEFINANCE(C96, ""price""), IFERROR(GOOGLEFINANCE(""NASDAQ:""&amp;C96, ""price""), IFERROR(GOOGLEFINANCE(""NYSE:""&amp;C96, ""price""), """")))"),192.32)</f>
        <v>192.32</v>
      </c>
      <c r="M96" s="12">
        <f t="shared" si="3"/>
        <v>0.02872425782</v>
      </c>
      <c r="N96" s="12">
        <f>IFERROR(__xludf.DUMMYFUNCTION("IFERROR(IF(OR(ISBLANK($G96), IFERROR(INDEX(GOOGLEFINANCE($C96, ""price"", WORKDAY(INT($B96), 1)), 2, 2), """")=""""), """", IF($D96=""LONG"", (IFERROR(INDEX(GOOGLEFINANCE($C96, ""price"", WORKDAY(INT($B96), 1)), 2, 2), """")-$G96)/$G96, ($G96-IFERROR(INDE"&amp;"X(GOOGLEFINANCE($C96, ""price"", WORKDAY(INT($B96), 1)), 2, 2), """"))/$G96)), """")"),-0.03102433805830427)</f>
        <v>-0.03102433806</v>
      </c>
      <c r="O96" s="12">
        <f>IFERROR(__xludf.DUMMYFUNCTION("IFERROR(IF(OR(ISBLANK($G96), IFERROR(INDEX(GOOGLEFINANCE($C96, ""price"", WORKDAY(INT($B96), 5)), 2, 2), """")=""""), """", IF($D96=""LONG"", (IFERROR(INDEX(GOOGLEFINANCE($C96, ""price"", WORKDAY(INT($B96), 5)), 2, 2), """")-$G96)/$G96, ($G96-IFERROR(INDE"&amp;"X(GOOGLEFINANCE($C96, ""price"", WORKDAY(INT($B96), 5)), 2, 2), """"))/$G96)), """")"),-0.09810109654987952)</f>
        <v>-0.09810109655</v>
      </c>
      <c r="P96" s="12" t="str">
        <f>IFERROR(__xludf.DUMMYFUNCTION("IFERROR(IF(OR(ISBLANK($G96), IFERROR(INDEX(GOOGLEFINANCE($C96, ""price"", WORKDAY(INT($B96), 20)), 2, 2), """")=""""), """", IF($D96=""LONG"", (IFERROR(INDEX(GOOGLEFINANCE($C96, ""price"", WORKDAY(INT($B96), 20)), 2, 2), """")-$G96)/$G96, ($G96-IFERROR(IN"&amp;"DEX(GOOGLEFINANCE($C96, ""price"", WORKDAY(INT($B96), 20)), 2, 2), """"))/$G96)), """")"),"")</f>
        <v/>
      </c>
      <c r="Q96" s="5" t="s">
        <v>969</v>
      </c>
      <c r="R96" s="5" t="s">
        <v>722</v>
      </c>
      <c r="S96" s="5" t="s">
        <v>970</v>
      </c>
      <c r="T96" s="5" t="s">
        <v>51</v>
      </c>
      <c r="U96" s="5"/>
      <c r="V96" s="5"/>
      <c r="W96" s="5"/>
      <c r="X96" s="5"/>
      <c r="Y96" s="5"/>
      <c r="Z96" s="5"/>
    </row>
    <row r="97">
      <c r="A97" s="3">
        <f t="shared" si="1"/>
        <v>96</v>
      </c>
      <c r="B97" s="4">
        <v>46213.66751157407</v>
      </c>
      <c r="C97" s="5" t="s">
        <v>976</v>
      </c>
      <c r="D97" s="5" t="s">
        <v>36</v>
      </c>
      <c r="E97" s="5" t="s">
        <v>70</v>
      </c>
      <c r="F97" s="6">
        <v>2.0</v>
      </c>
      <c r="G97" s="7">
        <v>558.0</v>
      </c>
      <c r="H97" s="5" t="s">
        <v>977</v>
      </c>
      <c r="I97" s="5">
        <v>69.2</v>
      </c>
      <c r="J97" s="3"/>
      <c r="K97" s="5" t="s">
        <v>40</v>
      </c>
      <c r="L97" s="8">
        <f>IFERROR(__xludf.DUMMYFUNCTION("IFERROR(GOOGLEFINANCE(C97, ""price""), IFERROR(GOOGLEFINANCE(""NASDAQ:""&amp;C97, ""price""), IFERROR(GOOGLEFINANCE(""NYSE:""&amp;C97, ""price""), """")))"),489.28)</f>
        <v>489.28</v>
      </c>
      <c r="M97" s="12">
        <f t="shared" si="3"/>
        <v>-0.1231541219</v>
      </c>
      <c r="N97" s="12">
        <f>IFERROR(__xludf.DUMMYFUNCTION("IFERROR(IF(OR(ISBLANK($G97), IFERROR(INDEX(GOOGLEFINANCE($C97, ""price"", WORKDAY(INT($B97), 1)), 2, 2), """")=""""), """", IF($D97=""LONG"", (IFERROR(INDEX(GOOGLEFINANCE($C97, ""price"", WORKDAY(INT($B97), 1)), 2, 2), """")-$G97)/$G97, ($G97-IFERROR(INDE"&amp;"X(GOOGLEFINANCE($C97, ""price"", WORKDAY(INT($B97), 1)), 2, 2), """"))/$G97)), """")"),-0.04231182795698927)</f>
        <v>-0.04231182796</v>
      </c>
      <c r="O97" s="12">
        <f>IFERROR(__xludf.DUMMYFUNCTION("IFERROR(IF(OR(ISBLANK($G97), IFERROR(INDEX(GOOGLEFINANCE($C97, ""price"", WORKDAY(INT($B97), 5)), 2, 2), """")=""""), """", IF($D97=""LONG"", (IFERROR(INDEX(GOOGLEFINANCE($C97, ""price"", WORKDAY(INT($B97), 5)), 2, 2), """")-$G97)/$G97, ($G97-IFERROR(INDE"&amp;"X(GOOGLEFINANCE($C97, ""price"", WORKDAY(INT($B97), 5)), 2, 2), """"))/$G97)), """")"),-0.11154121863799285)</f>
        <v>-0.1115412186</v>
      </c>
      <c r="P97" s="12" t="str">
        <f>IFERROR(__xludf.DUMMYFUNCTION("IFERROR(IF(OR(ISBLANK($G97), IFERROR(INDEX(GOOGLEFINANCE($C97, ""price"", WORKDAY(INT($B97), 20)), 2, 2), """")=""""), """", IF($D97=""LONG"", (IFERROR(INDEX(GOOGLEFINANCE($C97, ""price"", WORKDAY(INT($B97), 20)), 2, 2), """")-$G97)/$G97, ($G97-IFERROR(IN"&amp;"DEX(GOOGLEFINANCE($C97, ""price"", WORKDAY(INT($B97), 20)), 2, 2), """"))/$G97)), """")"),"")</f>
        <v/>
      </c>
      <c r="Q97" s="5" t="s">
        <v>981</v>
      </c>
      <c r="R97" s="21" t="s">
        <v>704</v>
      </c>
      <c r="S97" s="21" t="s">
        <v>982</v>
      </c>
      <c r="T97" s="21" t="s">
        <v>51</v>
      </c>
      <c r="U97" s="21"/>
      <c r="V97" s="21"/>
      <c r="W97" s="21"/>
      <c r="X97" s="21"/>
      <c r="Y97" s="21"/>
      <c r="Z97" s="21"/>
    </row>
    <row r="98">
      <c r="A98" s="3">
        <f t="shared" si="1"/>
        <v>97</v>
      </c>
      <c r="B98" s="4">
        <v>46213.66774305556</v>
      </c>
      <c r="C98" s="5" t="s">
        <v>986</v>
      </c>
      <c r="D98" s="5" t="s">
        <v>119</v>
      </c>
      <c r="E98" s="5" t="s">
        <v>120</v>
      </c>
      <c r="F98" s="6">
        <v>4.0</v>
      </c>
      <c r="G98" s="7">
        <v>222.85</v>
      </c>
      <c r="H98" s="5" t="s">
        <v>988</v>
      </c>
      <c r="I98" s="5">
        <v>1.9</v>
      </c>
      <c r="J98" s="3"/>
      <c r="K98" s="5" t="s">
        <v>40</v>
      </c>
      <c r="L98" s="8">
        <f>IFERROR(__xludf.DUMMYFUNCTION("IFERROR(GOOGLEFINANCE(C98, ""price""), IFERROR(GOOGLEFINANCE(""NASDAQ:""&amp;C98, ""price""), IFERROR(GOOGLEFINANCE(""NYSE:""&amp;C98, ""price""), """")))"),254.31)</f>
        <v>254.31</v>
      </c>
      <c r="M98" s="12">
        <f t="shared" si="3"/>
        <v>-0.1411711914</v>
      </c>
      <c r="N98" s="12">
        <f>IFERROR(__xludf.DUMMYFUNCTION("IFERROR(IF(OR(ISBLANK($G98), IFERROR(INDEX(GOOGLEFINANCE($C98, ""price"", WORKDAY(INT($B98), 1)), 2, 2), """")=""""), """", IF($D98=""LONG"", (IFERROR(INDEX(GOOGLEFINANCE($C98, ""price"", WORKDAY(INT($B98), 1)), 2, 2), """")-$G98)/$G98, ($G98-IFERROR(INDE"&amp;"X(GOOGLEFINANCE($C98, ""price"", WORKDAY(INT($B98), 1)), 2, 2), """"))/$G98)), """")"),0.015212026026475147)</f>
        <v>0.01521202603</v>
      </c>
      <c r="O98" s="12">
        <f>IFERROR(__xludf.DUMMYFUNCTION("IFERROR(IF(OR(ISBLANK($G98), IFERROR(INDEX(GOOGLEFINANCE($C98, ""price"", WORKDAY(INT($B98), 5)), 2, 2), """")=""""), """", IF($D98=""LONG"", (IFERROR(INDEX(GOOGLEFINANCE($C98, ""price"", WORKDAY(INT($B98), 5)), 2, 2), """")-$G98)/$G98, ($G98-IFERROR(INDE"&amp;"X(GOOGLEFINANCE($C98, ""price"", WORKDAY(INT($B98), 5)), 2, 2), """"))/$G98)), """")"),-0.04761050033654931)</f>
        <v>-0.04761050034</v>
      </c>
      <c r="P98" s="12" t="str">
        <f>IFERROR(__xludf.DUMMYFUNCTION("IFERROR(IF(OR(ISBLANK($G98), IFERROR(INDEX(GOOGLEFINANCE($C98, ""price"", WORKDAY(INT($B98), 20)), 2, 2), """")=""""), """", IF($D98=""LONG"", (IFERROR(INDEX(GOOGLEFINANCE($C98, ""price"", WORKDAY(INT($B98), 20)), 2, 2), """")-$G98)/$G98, ($G98-IFERROR(IN"&amp;"DEX(GOOGLEFINANCE($C98, ""price"", WORKDAY(INT($B98), 20)), 2, 2), """"))/$G98)), """")"),"")</f>
        <v/>
      </c>
      <c r="Q98" s="5" t="s">
        <v>993</v>
      </c>
      <c r="R98" s="21" t="s">
        <v>240</v>
      </c>
      <c r="S98" s="21" t="s">
        <v>994</v>
      </c>
      <c r="T98" s="21" t="s">
        <v>51</v>
      </c>
      <c r="U98" s="21"/>
      <c r="V98" s="21"/>
      <c r="W98" s="21"/>
      <c r="X98" s="21"/>
      <c r="Y98" s="21"/>
      <c r="Z98" s="21"/>
    </row>
    <row r="99">
      <c r="A99" s="3">
        <f t="shared" si="1"/>
        <v>98</v>
      </c>
      <c r="B99" s="4">
        <v>46213.66748842593</v>
      </c>
      <c r="C99" s="5" t="s">
        <v>995</v>
      </c>
      <c r="D99" s="5" t="s">
        <v>119</v>
      </c>
      <c r="E99" s="5" t="s">
        <v>120</v>
      </c>
      <c r="F99" s="6">
        <v>4.0</v>
      </c>
      <c r="G99" s="7">
        <v>460.8</v>
      </c>
      <c r="H99" s="5" t="s">
        <v>996</v>
      </c>
      <c r="I99" s="5">
        <v>0.8</v>
      </c>
      <c r="J99" s="3"/>
      <c r="K99" s="5" t="s">
        <v>40</v>
      </c>
      <c r="L99" s="8">
        <f>IFERROR(__xludf.DUMMYFUNCTION("IFERROR(GOOGLEFINANCE(C99, ""price""), IFERROR(GOOGLEFINANCE(""NASDAQ:""&amp;C99, ""price""), IFERROR(GOOGLEFINANCE(""NYSE:""&amp;C99, ""price""), """")))"),403.76)</f>
        <v>403.76</v>
      </c>
      <c r="M99" s="12">
        <f t="shared" si="3"/>
        <v>0.1237847222</v>
      </c>
      <c r="N99" s="12">
        <f>IFERROR(__xludf.DUMMYFUNCTION("IFERROR(IF(OR(ISBLANK($G99), IFERROR(INDEX(GOOGLEFINANCE($C99, ""price"", WORKDAY(INT($B99), 1)), 2, 2), """")=""""), """", IF($D99=""LONG"", (IFERROR(INDEX(GOOGLEFINANCE($C99, ""price"", WORKDAY(INT($B99), 1)), 2, 2), """")-$G99)/$G99, ($G99-IFERROR(INDE"&amp;"X(GOOGLEFINANCE($C99, ""price"", WORKDAY(INT($B99), 1)), 2, 2), """"))/$G99)), """")"),0.03333333333333336)</f>
        <v>0.03333333333</v>
      </c>
      <c r="O99" s="12">
        <f>IFERROR(__xludf.DUMMYFUNCTION("IFERROR(IF(OR(ISBLANK($G99), IFERROR(INDEX(GOOGLEFINANCE($C99, ""price"", WORKDAY(INT($B99), 5)), 2, 2), """")=""""), """", IF($D99=""LONG"", (IFERROR(INDEX(GOOGLEFINANCE($C99, ""price"", WORKDAY(INT($B99), 5)), 2, 2), """")-$G99)/$G99, ($G99-IFERROR(INDE"&amp;"X(GOOGLEFINANCE($C99, ""price"", WORKDAY(INT($B99), 5)), 2, 2), """"))/$G99)), """")"),0.18747829861111107)</f>
        <v>0.1874782986</v>
      </c>
      <c r="P99" s="12" t="str">
        <f>IFERROR(__xludf.DUMMYFUNCTION("IFERROR(IF(OR(ISBLANK($G99), IFERROR(INDEX(GOOGLEFINANCE($C99, ""price"", WORKDAY(INT($B99), 20)), 2, 2), """")=""""), """", IF($D99=""LONG"", (IFERROR(INDEX(GOOGLEFINANCE($C99, ""price"", WORKDAY(INT($B99), 20)), 2, 2), """")-$G99)/$G99, ($G99-IFERROR(IN"&amp;"DEX(GOOGLEFINANCE($C99, ""price"", WORKDAY(INT($B99), 20)), 2, 2), """"))/$G99)), """")"),"")</f>
        <v/>
      </c>
      <c r="Q99" s="5" t="s">
        <v>1002</v>
      </c>
      <c r="R99" s="21" t="s">
        <v>102</v>
      </c>
      <c r="S99" s="21" t="s">
        <v>1003</v>
      </c>
      <c r="T99" s="21" t="s">
        <v>51</v>
      </c>
      <c r="U99" s="21"/>
      <c r="V99" s="21"/>
      <c r="W99" s="21"/>
      <c r="X99" s="21"/>
      <c r="Y99" s="21"/>
      <c r="Z99" s="21"/>
    </row>
    <row r="100">
      <c r="A100" s="3">
        <f t="shared" si="1"/>
        <v>99</v>
      </c>
      <c r="B100" s="4">
        <v>46213.66747685185</v>
      </c>
      <c r="C100" s="5" t="s">
        <v>757</v>
      </c>
      <c r="D100" s="5" t="s">
        <v>119</v>
      </c>
      <c r="E100" s="5" t="s">
        <v>120</v>
      </c>
      <c r="F100" s="6">
        <v>4.0</v>
      </c>
      <c r="G100" s="7">
        <v>121.5</v>
      </c>
      <c r="H100" s="5" t="s">
        <v>1004</v>
      </c>
      <c r="I100" s="5">
        <v>12.2</v>
      </c>
      <c r="J100" s="3"/>
      <c r="K100" s="5" t="s">
        <v>40</v>
      </c>
      <c r="L100" s="8">
        <f>IFERROR(__xludf.DUMMYFUNCTION("IFERROR(GOOGLEFINANCE(C100, ""price""), IFERROR(GOOGLEFINANCE(""NASDAQ:""&amp;C100, ""price""), IFERROR(GOOGLEFINANCE(""NYSE:""&amp;C100, ""price""), """")))"),121.96)</f>
        <v>121.96</v>
      </c>
      <c r="M100" s="12">
        <f t="shared" si="3"/>
        <v>-0.00378600823</v>
      </c>
      <c r="N100" s="12">
        <f>IFERROR(__xludf.DUMMYFUNCTION("IFERROR(IF(OR(ISBLANK($G100), IFERROR(INDEX(GOOGLEFINANCE($C100, ""price"", WORKDAY(INT($B100), 1)), 2, 2), """")=""""), """", IF($D100=""LONG"", (IFERROR(INDEX(GOOGLEFINANCE($C100, ""price"", WORKDAY(INT($B100), 1)), 2, 2), """")-$G100)/$G100, ($G100-IFE"&amp;"RROR(INDEX(GOOGLEFINANCE($C100, ""price"", WORKDAY(INT($B100), 1)), 2, 2), """"))/$G100)), """")"),-0.0071604938271605315)</f>
        <v>-0.007160493827</v>
      </c>
      <c r="O100" s="12">
        <f>IFERROR(__xludf.DUMMYFUNCTION("IFERROR(IF(OR(ISBLANK($G100), IFERROR(INDEX(GOOGLEFINANCE($C100, ""price"", WORKDAY(INT($B100), 5)), 2, 2), """")=""""), """", IF($D100=""LONG"", (IFERROR(INDEX(GOOGLEFINANCE($C100, ""price"", WORKDAY(INT($B100), 5)), 2, 2), """")-$G100)/$G100, ($G100-IFE"&amp;"RROR(INDEX(GOOGLEFINANCE($C100, ""price"", WORKDAY(INT($B100), 5)), 2, 2), """"))/$G100)), """")"),-0.01909465020576126)</f>
        <v>-0.01909465021</v>
      </c>
      <c r="P100" s="12" t="str">
        <f>IFERROR(__xludf.DUMMYFUNCTION("IFERROR(IF(OR(ISBLANK($G100), IFERROR(INDEX(GOOGLEFINANCE($C100, ""price"", WORKDAY(INT($B100), 20)), 2, 2), """")=""""), """", IF($D100=""LONG"", (IFERROR(INDEX(GOOGLEFINANCE($C100, ""price"", WORKDAY(INT($B100), 20)), 2, 2), """")-$G100)/$G100, ($G100-I"&amp;"FERROR(INDEX(GOOGLEFINANCE($C100, ""price"", WORKDAY(INT($B100), 20)), 2, 2), """"))/$G100)), """")"),"")</f>
        <v/>
      </c>
      <c r="Q100" s="5" t="s">
        <v>1011</v>
      </c>
      <c r="R100" s="21" t="s">
        <v>525</v>
      </c>
      <c r="S100" s="21" t="s">
        <v>1012</v>
      </c>
      <c r="T100" s="21" t="s">
        <v>51</v>
      </c>
      <c r="U100" s="21"/>
      <c r="V100" s="21"/>
      <c r="W100" s="21"/>
      <c r="X100" s="21"/>
      <c r="Y100" s="21"/>
      <c r="Z100" s="21"/>
    </row>
    <row r="101">
      <c r="A101" s="3">
        <f t="shared" si="1"/>
        <v>100</v>
      </c>
      <c r="B101" s="4">
        <v>46213.66761574074</v>
      </c>
      <c r="C101" s="5" t="s">
        <v>99</v>
      </c>
      <c r="D101" s="5" t="s">
        <v>36</v>
      </c>
      <c r="E101" s="5" t="s">
        <v>133</v>
      </c>
      <c r="F101" s="6">
        <v>2.0</v>
      </c>
      <c r="G101" s="7">
        <v>31.68</v>
      </c>
      <c r="H101" s="5" t="s">
        <v>1014</v>
      </c>
      <c r="I101" s="5">
        <v>69.3</v>
      </c>
      <c r="J101" s="3"/>
      <c r="K101" s="5" t="s">
        <v>40</v>
      </c>
      <c r="L101" s="8">
        <f>IFERROR(__xludf.DUMMYFUNCTION("IFERROR(GOOGLEFINANCE(C101, ""price""), IFERROR(GOOGLEFINANCE(""NASDAQ:""&amp;C101, ""price""), IFERROR(GOOGLEFINANCE(""NYSE:""&amp;C101, ""price""), """")))"),30.37)</f>
        <v>30.37</v>
      </c>
      <c r="M101" s="12">
        <f t="shared" si="3"/>
        <v>-0.0413510101</v>
      </c>
      <c r="N101" s="12">
        <f>IFERROR(__xludf.DUMMYFUNCTION("IFERROR(IF(OR(ISBLANK($G101), IFERROR(INDEX(GOOGLEFINANCE($C101, ""price"", WORKDAY(INT($B101), 1)), 2, 2), """")=""""), """", IF($D101=""LONG"", (IFERROR(INDEX(GOOGLEFINANCE($C101, ""price"", WORKDAY(INT($B101), 1)), 2, 2), """")-$G101)/$G101, ($G101-IFE"&amp;"RROR(INDEX(GOOGLEFINANCE($C101, ""price"", WORKDAY(INT($B101), 1)), 2, 2), """"))/$G101)), """")"),-0.013573232323232315)</f>
        <v>-0.01357323232</v>
      </c>
      <c r="O101" s="12">
        <f>IFERROR(__xludf.DUMMYFUNCTION("IFERROR(IF(OR(ISBLANK($G101), IFERROR(INDEX(GOOGLEFINANCE($C101, ""price"", WORKDAY(INT($B101), 5)), 2, 2), """")=""""), """", IF($D101=""LONG"", (IFERROR(INDEX(GOOGLEFINANCE($C101, ""price"", WORKDAY(INT($B101), 5)), 2, 2), """")-$G101)/$G101, ($G101-IFE"&amp;"RROR(INDEX(GOOGLEFINANCE($C101, ""price"", WORKDAY(INT($B101), 5)), 2, 2), """"))/$G101)), """")"),-0.024305555555555542)</f>
        <v>-0.02430555556</v>
      </c>
      <c r="P101" s="12" t="str">
        <f>IFERROR(__xludf.DUMMYFUNCTION("IFERROR(IF(OR(ISBLANK($G101), IFERROR(INDEX(GOOGLEFINANCE($C101, ""price"", WORKDAY(INT($B101), 20)), 2, 2), """")=""""), """", IF($D101=""LONG"", (IFERROR(INDEX(GOOGLEFINANCE($C101, ""price"", WORKDAY(INT($B101), 20)), 2, 2), """")-$G101)/$G101, ($G101-I"&amp;"FERROR(INDEX(GOOGLEFINANCE($C101, ""price"", WORKDAY(INT($B101), 20)), 2, 2), """"))/$G101)), """")"),"")</f>
        <v/>
      </c>
      <c r="Q101" s="5" t="s">
        <v>1019</v>
      </c>
      <c r="R101" s="21" t="s">
        <v>240</v>
      </c>
      <c r="S101" s="21" t="s">
        <v>1021</v>
      </c>
      <c r="T101" s="21" t="s">
        <v>51</v>
      </c>
      <c r="U101" s="21"/>
      <c r="V101" s="21"/>
      <c r="W101" s="21"/>
      <c r="X101" s="21"/>
      <c r="Y101" s="21"/>
      <c r="Z101" s="21"/>
    </row>
    <row r="102">
      <c r="A102" s="3">
        <f t="shared" si="1"/>
        <v>101</v>
      </c>
      <c r="B102" s="4">
        <v>46213.667974537035</v>
      </c>
      <c r="C102" s="5" t="s">
        <v>863</v>
      </c>
      <c r="D102" s="5" t="s">
        <v>119</v>
      </c>
      <c r="E102" s="5" t="s">
        <v>120</v>
      </c>
      <c r="F102" s="6">
        <v>4.0</v>
      </c>
      <c r="G102" s="7">
        <v>189.99</v>
      </c>
      <c r="H102" s="5" t="s">
        <v>1025</v>
      </c>
      <c r="I102" s="5">
        <v>7.7</v>
      </c>
      <c r="J102" s="3"/>
      <c r="K102" s="5" t="s">
        <v>40</v>
      </c>
      <c r="L102" s="8">
        <f>IFERROR(__xludf.DUMMYFUNCTION("IFERROR(GOOGLEFINANCE(C102, ""price""), IFERROR(GOOGLEFINANCE(""NASDAQ:""&amp;C102, ""price""), IFERROR(GOOGLEFINANCE(""NYSE:""&amp;C102, ""price""), """")))"),182.6)</f>
        <v>182.6</v>
      </c>
      <c r="M102" s="12">
        <f t="shared" si="3"/>
        <v>0.03889678404</v>
      </c>
      <c r="N102" s="12">
        <f>IFERROR(__xludf.DUMMYFUNCTION("IFERROR(IF(OR(ISBLANK($G102), IFERROR(INDEX(GOOGLEFINANCE($C102, ""price"", WORKDAY(INT($B102), 1)), 2, 2), """")=""""), """", IF($D102=""LONG"", (IFERROR(INDEX(GOOGLEFINANCE($C102, ""price"", WORKDAY(INT($B102), 1)), 2, 2), """")-$G102)/$G102, ($G102-IFE"&amp;"RROR(INDEX(GOOGLEFINANCE($C102, ""price"", WORKDAY(INT($B102), 1)), 2, 2), """"))/$G102)), """")"),0.01521132691194281)</f>
        <v>0.01521132691</v>
      </c>
      <c r="O102" s="12">
        <f>IFERROR(__xludf.DUMMYFUNCTION("IFERROR(IF(OR(ISBLANK($G102), IFERROR(INDEX(GOOGLEFINANCE($C102, ""price"", WORKDAY(INT($B102), 5)), 2, 2), """")=""""), """", IF($D102=""LONG"", (IFERROR(INDEX(GOOGLEFINANCE($C102, ""price"", WORKDAY(INT($B102), 5)), 2, 2), """")-$G102)/$G102, ($G102-IFE"&amp;"RROR(INDEX(GOOGLEFINANCE($C102, ""price"", WORKDAY(INT($B102), 5)), 2, 2), """"))/$G102)), """")"),0.022632770145797208)</f>
        <v>0.02263277015</v>
      </c>
      <c r="P102" s="12" t="str">
        <f>IFERROR(__xludf.DUMMYFUNCTION("IFERROR(IF(OR(ISBLANK($G102), IFERROR(INDEX(GOOGLEFINANCE($C102, ""price"", WORKDAY(INT($B102), 20)), 2, 2), """")=""""), """", IF($D102=""LONG"", (IFERROR(INDEX(GOOGLEFINANCE($C102, ""price"", WORKDAY(INT($B102), 20)), 2, 2), """")-$G102)/$G102, ($G102-I"&amp;"FERROR(INDEX(GOOGLEFINANCE($C102, ""price"", WORKDAY(INT($B102), 20)), 2, 2), """"))/$G102)), """")"),"")</f>
        <v/>
      </c>
      <c r="Q102" s="5" t="s">
        <v>1030</v>
      </c>
      <c r="R102" s="21" t="s">
        <v>240</v>
      </c>
      <c r="S102" s="21" t="s">
        <v>1031</v>
      </c>
      <c r="T102" s="21" t="s">
        <v>51</v>
      </c>
      <c r="U102" s="21"/>
      <c r="V102" s="21"/>
      <c r="W102" s="21"/>
      <c r="X102" s="21"/>
      <c r="Y102" s="21"/>
      <c r="Z102" s="21"/>
    </row>
    <row r="103">
      <c r="A103" s="3">
        <f t="shared" si="1"/>
        <v>102</v>
      </c>
      <c r="B103" s="4">
        <v>46213.66740740741</v>
      </c>
      <c r="C103" s="5" t="s">
        <v>540</v>
      </c>
      <c r="D103" s="5" t="s">
        <v>119</v>
      </c>
      <c r="E103" s="5" t="s">
        <v>120</v>
      </c>
      <c r="F103" s="6">
        <v>4.0</v>
      </c>
      <c r="G103" s="7">
        <v>109.02</v>
      </c>
      <c r="H103" s="5" t="s">
        <v>1033</v>
      </c>
      <c r="I103" s="5">
        <v>6.8</v>
      </c>
      <c r="J103" s="3"/>
      <c r="K103" s="5" t="s">
        <v>40</v>
      </c>
      <c r="L103" s="8">
        <f>IFERROR(__xludf.DUMMYFUNCTION("IFERROR(GOOGLEFINANCE(C103, ""price""), IFERROR(GOOGLEFINANCE(""NASDAQ:""&amp;C103, ""price""), IFERROR(GOOGLEFINANCE(""NYSE:""&amp;C103, ""price""), """")))"),116.76)</f>
        <v>116.76</v>
      </c>
      <c r="M103" s="12">
        <f t="shared" si="3"/>
        <v>-0.0709961475</v>
      </c>
      <c r="N103" s="12">
        <f>IFERROR(__xludf.DUMMYFUNCTION("IFERROR(IF(OR(ISBLANK($G103), IFERROR(INDEX(GOOGLEFINANCE($C103, ""price"", WORKDAY(INT($B103), 1)), 2, 2), """")=""""), """", IF($D103=""LONG"", (IFERROR(INDEX(GOOGLEFINANCE($C103, ""price"", WORKDAY(INT($B103), 1)), 2, 2), """")-$G103)/$G103, ($G103-IFE"&amp;"RROR(INDEX(GOOGLEFINANCE($C103, ""price"", WORKDAY(INT($B103), 1)), 2, 2), """"))/$G103)), """")"),-0.03513116859291872)</f>
        <v>-0.03513116859</v>
      </c>
      <c r="O103" s="12">
        <f>IFERROR(__xludf.DUMMYFUNCTION("IFERROR(IF(OR(ISBLANK($G103), IFERROR(INDEX(GOOGLEFINANCE($C103, ""price"", WORKDAY(INT($B103), 5)), 2, 2), """")=""""), """", IF($D103=""LONG"", (IFERROR(INDEX(GOOGLEFINANCE($C103, ""price"", WORKDAY(INT($B103), 5)), 2, 2), """")-$G103)/$G103, ($G103-IFE"&amp;"RROR(INDEX(GOOGLEFINANCE($C103, ""price"", WORKDAY(INT($B103), 5)), 2, 2), """"))/$G103)), """")"),-0.052192258301229116)</f>
        <v>-0.0521922583</v>
      </c>
      <c r="P103" s="12" t="str">
        <f>IFERROR(__xludf.DUMMYFUNCTION("IFERROR(IF(OR(ISBLANK($G103), IFERROR(INDEX(GOOGLEFINANCE($C103, ""price"", WORKDAY(INT($B103), 20)), 2, 2), """")=""""), """", IF($D103=""LONG"", (IFERROR(INDEX(GOOGLEFINANCE($C103, ""price"", WORKDAY(INT($B103), 20)), 2, 2), """")-$G103)/$G103, ($G103-I"&amp;"FERROR(INDEX(GOOGLEFINANCE($C103, ""price"", WORKDAY(INT($B103), 20)), 2, 2), """"))/$G103)), """")"),"")</f>
        <v/>
      </c>
      <c r="Q103" s="5" t="s">
        <v>1037</v>
      </c>
      <c r="R103" s="21" t="s">
        <v>704</v>
      </c>
      <c r="S103" s="21" t="s">
        <v>1039</v>
      </c>
      <c r="T103" s="21" t="s">
        <v>51</v>
      </c>
      <c r="U103" s="21"/>
      <c r="V103" s="21"/>
      <c r="W103" s="21"/>
      <c r="X103" s="21"/>
      <c r="Y103" s="21"/>
      <c r="Z103" s="21"/>
    </row>
    <row r="104">
      <c r="A104" s="3">
        <f t="shared" si="1"/>
        <v>103</v>
      </c>
      <c r="B104" s="4">
        <v>46213.66737268519</v>
      </c>
      <c r="C104" s="5" t="s">
        <v>415</v>
      </c>
      <c r="D104" s="5" t="s">
        <v>36</v>
      </c>
      <c r="E104" s="5" t="s">
        <v>37</v>
      </c>
      <c r="F104" s="6">
        <v>2.0</v>
      </c>
      <c r="G104" s="7">
        <v>434.79</v>
      </c>
      <c r="H104" s="5" t="s">
        <v>1043</v>
      </c>
      <c r="I104" s="5">
        <v>83.1</v>
      </c>
      <c r="J104" s="3"/>
      <c r="K104" s="5" t="s">
        <v>40</v>
      </c>
      <c r="L104" s="8">
        <f>IFERROR(__xludf.DUMMYFUNCTION("IFERROR(GOOGLEFINANCE(C104, ""price""), IFERROR(GOOGLEFINANCE(""NASDAQ:""&amp;C104, ""price""), IFERROR(GOOGLEFINANCE(""NYSE:""&amp;C104, ""price""), """")))"),437.65)</f>
        <v>437.65</v>
      </c>
      <c r="M104" s="12">
        <f t="shared" si="3"/>
        <v>0.006577888176</v>
      </c>
      <c r="N104" s="12">
        <f>IFERROR(__xludf.DUMMYFUNCTION("IFERROR(IF(OR(ISBLANK($G104), IFERROR(INDEX(GOOGLEFINANCE($C104, ""price"", WORKDAY(INT($B104), 1)), 2, 2), """")=""""), """", IF($D104=""LONG"", (IFERROR(INDEX(GOOGLEFINANCE($C104, ""price"", WORKDAY(INT($B104), 1)), 2, 2), """")-$G104)/$G104, ($G104-IFE"&amp;"RROR(INDEX(GOOGLEFINANCE($C104, ""price"", WORKDAY(INT($B104), 1)), 2, 2), """"))/$G104)), """")"),-0.017663699717104825)</f>
        <v>-0.01766369972</v>
      </c>
      <c r="O104" s="12">
        <f>IFERROR(__xludf.DUMMYFUNCTION("IFERROR(IF(OR(ISBLANK($G104), IFERROR(INDEX(GOOGLEFINANCE($C104, ""price"", WORKDAY(INT($B104), 5)), 2, 2), """")=""""), """", IF($D104=""LONG"", (IFERROR(INDEX(GOOGLEFINANCE($C104, ""price"", WORKDAY(INT($B104), 5)), 2, 2), """")-$G104)/$G104, ($G104-IFE"&amp;"RROR(INDEX(GOOGLEFINANCE($C104, ""price"", WORKDAY(INT($B104), 5)), 2, 2), """"))/$G104)), """")"),-0.08843349663055738)</f>
        <v>-0.08843349663</v>
      </c>
      <c r="P104" s="12" t="str">
        <f>IFERROR(__xludf.DUMMYFUNCTION("IFERROR(IF(OR(ISBLANK($G104), IFERROR(INDEX(GOOGLEFINANCE($C104, ""price"", WORKDAY(INT($B104), 20)), 2, 2), """")=""""), """", IF($D104=""LONG"", (IFERROR(INDEX(GOOGLEFINANCE($C104, ""price"", WORKDAY(INT($B104), 20)), 2, 2), """")-$G104)/$G104, ($G104-I"&amp;"FERROR(INDEX(GOOGLEFINANCE($C104, ""price"", WORKDAY(INT($B104), 20)), 2, 2), """"))/$G104)), """")"),"")</f>
        <v/>
      </c>
      <c r="Q104" s="5" t="s">
        <v>1046</v>
      </c>
      <c r="R104" s="21" t="s">
        <v>102</v>
      </c>
      <c r="S104" s="21" t="s">
        <v>1048</v>
      </c>
      <c r="T104" s="21" t="s">
        <v>51</v>
      </c>
      <c r="U104" s="21"/>
      <c r="V104" s="21"/>
      <c r="W104" s="21"/>
      <c r="X104" s="21"/>
      <c r="Y104" s="21"/>
      <c r="Z104" s="21"/>
    </row>
    <row r="105">
      <c r="A105" s="3">
        <f t="shared" si="1"/>
        <v>104</v>
      </c>
      <c r="B105" s="4">
        <v>46213.66773148148</v>
      </c>
      <c r="C105" s="5" t="s">
        <v>457</v>
      </c>
      <c r="D105" s="5" t="s">
        <v>119</v>
      </c>
      <c r="E105" s="5" t="s">
        <v>120</v>
      </c>
      <c r="F105" s="6">
        <v>4.0</v>
      </c>
      <c r="G105" s="7">
        <v>183.39</v>
      </c>
      <c r="H105" s="5" t="s">
        <v>1052</v>
      </c>
      <c r="I105" s="5">
        <v>4.0</v>
      </c>
      <c r="J105" s="3"/>
      <c r="K105" s="5" t="s">
        <v>40</v>
      </c>
      <c r="L105" s="8">
        <f>IFERROR(__xludf.DUMMYFUNCTION("IFERROR(GOOGLEFINANCE(C105, ""price""), IFERROR(GOOGLEFINANCE(""NASDAQ:""&amp;C105, ""price""), IFERROR(GOOGLEFINANCE(""NYSE:""&amp;C105, ""price""), """")))"),189.63)</f>
        <v>189.63</v>
      </c>
      <c r="M105" s="12">
        <f t="shared" si="3"/>
        <v>-0.03402584656</v>
      </c>
      <c r="N105" s="12">
        <f>IFERROR(__xludf.DUMMYFUNCTION("IFERROR(IF(OR(ISBLANK($G105), IFERROR(INDEX(GOOGLEFINANCE($C105, ""price"", WORKDAY(INT($B105), 1)), 2, 2), """")=""""), """", IF($D105=""LONG"", (IFERROR(INDEX(GOOGLEFINANCE($C105, ""price"", WORKDAY(INT($B105), 1)), 2, 2), """")-$G105)/$G105, ($G105-IFE"&amp;"RROR(INDEX(GOOGLEFINANCE($C105, ""price"", WORKDAY(INT($B105), 1)), 2, 2), """"))/$G105)), """")"),-0.04476798080593276)</f>
        <v>-0.04476798081</v>
      </c>
      <c r="O105" s="12">
        <f>IFERROR(__xludf.DUMMYFUNCTION("IFERROR(IF(OR(ISBLANK($G105), IFERROR(INDEX(GOOGLEFINANCE($C105, ""price"", WORKDAY(INT($B105), 5)), 2, 2), """")=""""), """", IF($D105=""LONG"", (IFERROR(INDEX(GOOGLEFINANCE($C105, ""price"", WORKDAY(INT($B105), 5)), 2, 2), """")-$G105)/$G105, ($G105-IFE"&amp;"RROR(INDEX(GOOGLEFINANCE($C105, ""price"", WORKDAY(INT($B105), 5)), 2, 2), """"))/$G105)), """")"),-0.06625224930476038)</f>
        <v>-0.0662522493</v>
      </c>
      <c r="P105" s="12" t="str">
        <f>IFERROR(__xludf.DUMMYFUNCTION("IFERROR(IF(OR(ISBLANK($G105), IFERROR(INDEX(GOOGLEFINANCE($C105, ""price"", WORKDAY(INT($B105), 20)), 2, 2), """")=""""), """", IF($D105=""LONG"", (IFERROR(INDEX(GOOGLEFINANCE($C105, ""price"", WORKDAY(INT($B105), 20)), 2, 2), """")-$G105)/$G105, ($G105-I"&amp;"FERROR(INDEX(GOOGLEFINANCE($C105, ""price"", WORKDAY(INT($B105), 20)), 2, 2), """"))/$G105)), """")"),"")</f>
        <v/>
      </c>
      <c r="Q105" s="5" t="s">
        <v>1055</v>
      </c>
      <c r="R105" s="21" t="s">
        <v>704</v>
      </c>
      <c r="S105" s="21" t="s">
        <v>1057</v>
      </c>
      <c r="T105" s="21" t="s">
        <v>51</v>
      </c>
      <c r="U105" s="21"/>
      <c r="V105" s="21"/>
      <c r="W105" s="21"/>
      <c r="X105" s="21"/>
      <c r="Y105" s="21"/>
      <c r="Z105" s="21"/>
    </row>
    <row r="106">
      <c r="A106" s="3">
        <f t="shared" si="1"/>
        <v>105</v>
      </c>
      <c r="B106" s="4">
        <v>46213.668217592596</v>
      </c>
      <c r="C106" s="5" t="s">
        <v>1060</v>
      </c>
      <c r="D106" s="5" t="s">
        <v>36</v>
      </c>
      <c r="E106" s="5" t="s">
        <v>87</v>
      </c>
      <c r="F106" s="6">
        <v>2.0</v>
      </c>
      <c r="G106" s="7">
        <v>83.79</v>
      </c>
      <c r="H106" s="5" t="s">
        <v>1062</v>
      </c>
      <c r="I106" s="5">
        <v>89.7</v>
      </c>
      <c r="J106" s="3"/>
      <c r="K106" s="5" t="s">
        <v>40</v>
      </c>
      <c r="L106" s="8">
        <f>IFERROR(__xludf.DUMMYFUNCTION("IFERROR(GOOGLEFINANCE(C106, ""price""), IFERROR(GOOGLEFINANCE(""NASDAQ:""&amp;C106, ""price""), IFERROR(GOOGLEFINANCE(""NYSE:""&amp;C106, ""price""), """")))"),85.92)</f>
        <v>85.92</v>
      </c>
      <c r="M106" s="12">
        <f t="shared" si="3"/>
        <v>0.02542069459</v>
      </c>
      <c r="N106" s="12">
        <f>IFERROR(__xludf.DUMMYFUNCTION("IFERROR(IF(OR(ISBLANK($G106), IFERROR(INDEX(GOOGLEFINANCE($C106, ""price"", WORKDAY(INT($B106), 1)), 2, 2), """")=""""), """", IF($D106=""LONG"", (IFERROR(INDEX(GOOGLEFINANCE($C106, ""price"", WORKDAY(INT($B106), 1)), 2, 2), """")-$G106)/$G106, ($G106-IFE"&amp;"RROR(INDEX(GOOGLEFINANCE($C106, ""price"", WORKDAY(INT($B106), 1)), 2, 2), """"))/$G106)), """")"),-0.002625611648168195)</f>
        <v>-0.002625611648</v>
      </c>
      <c r="O106" s="12">
        <f>IFERROR(__xludf.DUMMYFUNCTION("IFERROR(IF(OR(ISBLANK($G106), IFERROR(INDEX(GOOGLEFINANCE($C106, ""price"", WORKDAY(INT($B106), 5)), 2, 2), """")=""""), """", IF($D106=""LONG"", (IFERROR(INDEX(GOOGLEFINANCE($C106, ""price"", WORKDAY(INT($B106), 5)), 2, 2), """")-$G106)/$G106, ($G106-IFE"&amp;"RROR(INDEX(GOOGLEFINANCE($C106, ""price"", WORKDAY(INT($B106), 5)), 2, 2), """"))/$G106)), """")"),-0.00704141305645069)</f>
        <v>-0.007041413056</v>
      </c>
      <c r="P106" s="12" t="str">
        <f>IFERROR(__xludf.DUMMYFUNCTION("IFERROR(IF(OR(ISBLANK($G106), IFERROR(INDEX(GOOGLEFINANCE($C106, ""price"", WORKDAY(INT($B106), 20)), 2, 2), """")=""""), """", IF($D106=""LONG"", (IFERROR(INDEX(GOOGLEFINANCE($C106, ""price"", WORKDAY(INT($B106), 20)), 2, 2), """")-$G106)/$G106, ($G106-I"&amp;"FERROR(INDEX(GOOGLEFINANCE($C106, ""price"", WORKDAY(INT($B106), 20)), 2, 2), """"))/$G106)), """")"),"")</f>
        <v/>
      </c>
      <c r="Q106" s="5" t="s">
        <v>1066</v>
      </c>
      <c r="R106" s="21" t="s">
        <v>704</v>
      </c>
      <c r="S106" s="21" t="s">
        <v>1068</v>
      </c>
      <c r="T106" s="21" t="s">
        <v>51</v>
      </c>
      <c r="U106" s="21"/>
      <c r="V106" s="21"/>
      <c r="W106" s="21"/>
      <c r="X106" s="21"/>
      <c r="Y106" s="21"/>
      <c r="Z106" s="21"/>
    </row>
    <row r="107">
      <c r="A107" s="3">
        <f t="shared" si="1"/>
        <v>106</v>
      </c>
      <c r="B107" s="4">
        <v>46213.66780092593</v>
      </c>
      <c r="C107" s="5" t="s">
        <v>1022</v>
      </c>
      <c r="D107" s="5" t="s">
        <v>119</v>
      </c>
      <c r="E107" s="5" t="s">
        <v>120</v>
      </c>
      <c r="F107" s="6">
        <v>4.0</v>
      </c>
      <c r="G107" s="7">
        <v>34.38</v>
      </c>
      <c r="H107" s="5" t="s">
        <v>1073</v>
      </c>
      <c r="I107" s="5">
        <v>0.6</v>
      </c>
      <c r="J107" s="3"/>
      <c r="K107" s="5" t="s">
        <v>40</v>
      </c>
      <c r="L107" s="8">
        <f>IFERROR(__xludf.DUMMYFUNCTION("IFERROR(GOOGLEFINANCE(C107, ""price""), IFERROR(GOOGLEFINANCE(""NASDAQ:""&amp;C107, ""price""), IFERROR(GOOGLEFINANCE(""NYSE:""&amp;C107, ""price""), """")))"),32.51)</f>
        <v>32.51</v>
      </c>
      <c r="M107" s="12">
        <f t="shared" si="3"/>
        <v>0.05439208842</v>
      </c>
      <c r="N107" s="12">
        <f>IFERROR(__xludf.DUMMYFUNCTION("IFERROR(IF(OR(ISBLANK($G107), IFERROR(INDEX(GOOGLEFINANCE($C107, ""price"", WORKDAY(INT($B107), 1)), 2, 2), """")=""""), """", IF($D107=""LONG"", (IFERROR(INDEX(GOOGLEFINANCE($C107, ""price"", WORKDAY(INT($B107), 1)), 2, 2), """")-$G107)/$G107, ($G107-IFE"&amp;"RROR(INDEX(GOOGLEFINANCE($C107, ""price"", WORKDAY(INT($B107), 1)), 2, 2), """"))/$G107)), """")"),-0.02414194299011048)</f>
        <v>-0.02414194299</v>
      </c>
      <c r="O107" s="12">
        <f>IFERROR(__xludf.DUMMYFUNCTION("IFERROR(IF(OR(ISBLANK($G107), IFERROR(INDEX(GOOGLEFINANCE($C107, ""price"", WORKDAY(INT($B107), 5)), 2, 2), """")=""""), """", IF($D107=""LONG"", (IFERROR(INDEX(GOOGLEFINANCE($C107, ""price"", WORKDAY(INT($B107), 5)), 2, 2), """")-$G107)/$G107, ($G107-IFE"&amp;"RROR(INDEX(GOOGLEFINANCE($C107, ""price"", WORKDAY(INT($B107), 5)), 2, 2), """"))/$G107)), """")"),-0.0244328097731238)</f>
        <v>-0.02443280977</v>
      </c>
      <c r="P107" s="12" t="str">
        <f>IFERROR(__xludf.DUMMYFUNCTION("IFERROR(IF(OR(ISBLANK($G107), IFERROR(INDEX(GOOGLEFINANCE($C107, ""price"", WORKDAY(INT($B107), 20)), 2, 2), """")=""""), """", IF($D107=""LONG"", (IFERROR(INDEX(GOOGLEFINANCE($C107, ""price"", WORKDAY(INT($B107), 20)), 2, 2), """")-$G107)/$G107, ($G107-I"&amp;"FERROR(INDEX(GOOGLEFINANCE($C107, ""price"", WORKDAY(INT($B107), 20)), 2, 2), """"))/$G107)), """")"),"")</f>
        <v/>
      </c>
      <c r="Q107" s="5" t="s">
        <v>1076</v>
      </c>
      <c r="R107" s="21" t="s">
        <v>704</v>
      </c>
      <c r="S107" s="21" t="s">
        <v>1077</v>
      </c>
      <c r="T107" s="21" t="s">
        <v>51</v>
      </c>
      <c r="U107" s="21"/>
      <c r="V107" s="21"/>
      <c r="W107" s="21"/>
      <c r="X107" s="21"/>
      <c r="Y107" s="21"/>
      <c r="Z107" s="21"/>
    </row>
    <row r="108">
      <c r="A108" s="3">
        <f t="shared" si="1"/>
        <v>107</v>
      </c>
      <c r="B108" s="4">
        <v>46213.66773148148</v>
      </c>
      <c r="C108" s="5" t="s">
        <v>243</v>
      </c>
      <c r="D108" s="5" t="s">
        <v>119</v>
      </c>
      <c r="E108" s="5" t="s">
        <v>120</v>
      </c>
      <c r="F108" s="6">
        <v>4.0</v>
      </c>
      <c r="G108" s="7">
        <v>126.18</v>
      </c>
      <c r="H108" s="5" t="s">
        <v>1080</v>
      </c>
      <c r="I108" s="5">
        <v>5.0</v>
      </c>
      <c r="J108" s="3"/>
      <c r="K108" s="5" t="s">
        <v>40</v>
      </c>
      <c r="L108" s="8">
        <f>IFERROR(__xludf.DUMMYFUNCTION("IFERROR(GOOGLEFINANCE(C108, ""price""), IFERROR(GOOGLEFINANCE(""NASDAQ:""&amp;C108, ""price""), IFERROR(GOOGLEFINANCE(""NYSE:""&amp;C108, ""price""), """")))"),118.55)</f>
        <v>118.55</v>
      </c>
      <c r="M108" s="12">
        <f t="shared" si="3"/>
        <v>0.06046917103</v>
      </c>
      <c r="N108" s="12">
        <f>IFERROR(__xludf.DUMMYFUNCTION("IFERROR(IF(OR(ISBLANK($G108), IFERROR(INDEX(GOOGLEFINANCE($C108, ""price"", WORKDAY(INT($B108), 1)), 2, 2), """")=""""), """", IF($D108=""LONG"", (IFERROR(INDEX(GOOGLEFINANCE($C108, ""price"", WORKDAY(INT($B108), 1)), 2, 2), """")-$G108)/$G108, ($G108-IFE"&amp;"RROR(INDEX(GOOGLEFINANCE($C108, ""price"", WORKDAY(INT($B108), 1)), 2, 2), """"))/$G108)), """")"),0.008321445553970607)</f>
        <v>0.008321445554</v>
      </c>
      <c r="O108" s="12">
        <f>IFERROR(__xludf.DUMMYFUNCTION("IFERROR(IF(OR(ISBLANK($G108), IFERROR(INDEX(GOOGLEFINANCE($C108, ""price"", WORKDAY(INT($B108), 5)), 2, 2), """")=""""), """", IF($D108=""LONG"", (IFERROR(INDEX(GOOGLEFINANCE($C108, ""price"", WORKDAY(INT($B108), 5)), 2, 2), """")-$G108)/$G108, ($G108-IFE"&amp;"RROR(INDEX(GOOGLEFINANCE($C108, ""price"", WORKDAY(INT($B108), 5)), 2, 2), """"))/$G108)), """")"),0.04747186558884141)</f>
        <v>0.04747186559</v>
      </c>
      <c r="P108" s="12" t="str">
        <f>IFERROR(__xludf.DUMMYFUNCTION("IFERROR(IF(OR(ISBLANK($G108), IFERROR(INDEX(GOOGLEFINANCE($C108, ""price"", WORKDAY(INT($B108), 20)), 2, 2), """")=""""), """", IF($D108=""LONG"", (IFERROR(INDEX(GOOGLEFINANCE($C108, ""price"", WORKDAY(INT($B108), 20)), 2, 2), """")-$G108)/$G108, ($G108-I"&amp;"FERROR(INDEX(GOOGLEFINANCE($C108, ""price"", WORKDAY(INT($B108), 20)), 2, 2), """"))/$G108)), """")"),"")</f>
        <v/>
      </c>
      <c r="Q108" s="5" t="s">
        <v>1082</v>
      </c>
      <c r="R108" s="21" t="s">
        <v>240</v>
      </c>
      <c r="S108" s="21" t="s">
        <v>1084</v>
      </c>
      <c r="T108" s="21" t="s">
        <v>51</v>
      </c>
      <c r="U108" s="21"/>
      <c r="V108" s="21"/>
      <c r="W108" s="21"/>
      <c r="X108" s="21"/>
      <c r="Y108" s="21"/>
      <c r="Z108" s="21"/>
    </row>
    <row r="109">
      <c r="A109" s="3">
        <f t="shared" si="1"/>
        <v>108</v>
      </c>
      <c r="B109" s="4">
        <v>46213.66767361111</v>
      </c>
      <c r="C109" s="5" t="s">
        <v>464</v>
      </c>
      <c r="D109" s="5" t="s">
        <v>119</v>
      </c>
      <c r="E109" s="5" t="s">
        <v>120</v>
      </c>
      <c r="F109" s="6">
        <v>4.0</v>
      </c>
      <c r="G109" s="7">
        <v>270.04</v>
      </c>
      <c r="H109" s="5" t="s">
        <v>1087</v>
      </c>
      <c r="I109" s="5">
        <v>8.1</v>
      </c>
      <c r="J109" s="3"/>
      <c r="K109" s="5" t="s">
        <v>40</v>
      </c>
      <c r="L109" s="8">
        <f>IFERROR(__xludf.DUMMYFUNCTION("IFERROR(GOOGLEFINANCE(C109, ""price""), IFERROR(GOOGLEFINANCE(""NASDAQ:""&amp;C109, ""price""), IFERROR(GOOGLEFINANCE(""NYSE:""&amp;C109, ""price""), """")))"),292.53)</f>
        <v>292.53</v>
      </c>
      <c r="M109" s="12">
        <f t="shared" si="3"/>
        <v>-0.08328395793</v>
      </c>
      <c r="N109" s="12">
        <f>IFERROR(__xludf.DUMMYFUNCTION("IFERROR(IF(OR(ISBLANK($G109), IFERROR(INDEX(GOOGLEFINANCE($C109, ""price"", WORKDAY(INT($B109), 1)), 2, 2), """")=""""), """", IF($D109=""LONG"", (IFERROR(INDEX(GOOGLEFINANCE($C109, ""price"", WORKDAY(INT($B109), 1)), 2, 2), """")-$G109)/$G109, ($G109-IFE"&amp;"RROR(INDEX(GOOGLEFINANCE($C109, ""price"", WORKDAY(INT($B109), 1)), 2, 2), """"))/$G109)), """")"),-9.998518737964071E-4)</f>
        <v>-0.0009998518738</v>
      </c>
      <c r="O109" s="12">
        <f>IFERROR(__xludf.DUMMYFUNCTION("IFERROR(IF(OR(ISBLANK($G109), IFERROR(INDEX(GOOGLEFINANCE($C109, ""price"", WORKDAY(INT($B109), 5)), 2, 2), """")=""""), """", IF($D109=""LONG"", (IFERROR(INDEX(GOOGLEFINANCE($C109, ""price"", WORKDAY(INT($B109), 5)), 2, 2), """")-$G109)/$G109, ($G109-IFE"&amp;"RROR(INDEX(GOOGLEFINANCE($C109, ""price"", WORKDAY(INT($B109), 5)), 2, 2), """"))/$G109)), """")"),-0.02821804177158941)</f>
        <v>-0.02821804177</v>
      </c>
      <c r="P109" s="12" t="str">
        <f>IFERROR(__xludf.DUMMYFUNCTION("IFERROR(IF(OR(ISBLANK($G109), IFERROR(INDEX(GOOGLEFINANCE($C109, ""price"", WORKDAY(INT($B109), 20)), 2, 2), """")=""""), """", IF($D109=""LONG"", (IFERROR(INDEX(GOOGLEFINANCE($C109, ""price"", WORKDAY(INT($B109), 20)), 2, 2), """")-$G109)/$G109, ($G109-I"&amp;"FERROR(INDEX(GOOGLEFINANCE($C109, ""price"", WORKDAY(INT($B109), 20)), 2, 2), """"))/$G109)), """")"),"")</f>
        <v/>
      </c>
      <c r="Q109" s="5" t="s">
        <v>1092</v>
      </c>
      <c r="R109" s="21" t="s">
        <v>507</v>
      </c>
      <c r="S109" s="21" t="s">
        <v>1093</v>
      </c>
      <c r="T109" s="21" t="s">
        <v>51</v>
      </c>
      <c r="U109" s="21"/>
      <c r="V109" s="21"/>
      <c r="W109" s="21"/>
      <c r="X109" s="21"/>
      <c r="Y109" s="21"/>
      <c r="Z109" s="21"/>
    </row>
    <row r="110">
      <c r="A110" s="3">
        <f t="shared" si="1"/>
        <v>109</v>
      </c>
      <c r="B110" s="4">
        <v>46213.66773148148</v>
      </c>
      <c r="C110" s="5" t="s">
        <v>1094</v>
      </c>
      <c r="D110" s="5" t="s">
        <v>119</v>
      </c>
      <c r="E110" s="5" t="s">
        <v>120</v>
      </c>
      <c r="F110" s="6">
        <v>4.0</v>
      </c>
      <c r="G110" s="7">
        <v>400.05</v>
      </c>
      <c r="H110" s="5" t="s">
        <v>1095</v>
      </c>
      <c r="I110" s="5">
        <v>7.8</v>
      </c>
      <c r="J110" s="3"/>
      <c r="K110" s="5" t="s">
        <v>40</v>
      </c>
      <c r="L110" s="8">
        <f>IFERROR(__xludf.DUMMYFUNCTION("IFERROR(GOOGLEFINANCE(C110, ""price""), IFERROR(GOOGLEFINANCE(""NASDAQ:""&amp;C110, ""price""), IFERROR(GOOGLEFINANCE(""NYSE:""&amp;C110, ""price""), """")))"),420.57)</f>
        <v>420.57</v>
      </c>
      <c r="M110" s="12">
        <f t="shared" si="3"/>
        <v>-0.0512935883</v>
      </c>
      <c r="N110" s="12">
        <f>IFERROR(__xludf.DUMMYFUNCTION("IFERROR(IF(OR(ISBLANK($G110), IFERROR(INDEX(GOOGLEFINANCE($C110, ""price"", WORKDAY(INT($B110), 1)), 2, 2), """")=""""), """", IF($D110=""LONG"", (IFERROR(INDEX(GOOGLEFINANCE($C110, ""price"", WORKDAY(INT($B110), 1)), 2, 2), """")-$G110)/$G110, ($G110-IFE"&amp;"RROR(INDEX(GOOGLEFINANCE($C110, ""price"", WORKDAY(INT($B110), 1)), 2, 2), """"))/$G110)), """")"),0.03999500062492188)</f>
        <v>0.03999500062</v>
      </c>
      <c r="O110" s="12">
        <f>IFERROR(__xludf.DUMMYFUNCTION("IFERROR(IF(OR(ISBLANK($G110), IFERROR(INDEX(GOOGLEFINANCE($C110, ""price"", WORKDAY(INT($B110), 5)), 2, 2), """")=""""), """", IF($D110=""LONG"", (IFERROR(INDEX(GOOGLEFINANCE($C110, ""price"", WORKDAY(INT($B110), 5)), 2, 2), """")-$G110)/$G110, ($G110-IFE"&amp;"RROR(INDEX(GOOGLEFINANCE($C110, ""price"", WORKDAY(INT($B110), 5)), 2, 2), """"))/$G110)), """")"),0.07304086989126365)</f>
        <v>0.07304086989</v>
      </c>
      <c r="P110" s="12" t="str">
        <f>IFERROR(__xludf.DUMMYFUNCTION("IFERROR(IF(OR(ISBLANK($G110), IFERROR(INDEX(GOOGLEFINANCE($C110, ""price"", WORKDAY(INT($B110), 20)), 2, 2), """")=""""), """", IF($D110=""LONG"", (IFERROR(INDEX(GOOGLEFINANCE($C110, ""price"", WORKDAY(INT($B110), 20)), 2, 2), """")-$G110)/$G110, ($G110-I"&amp;"FERROR(INDEX(GOOGLEFINANCE($C110, ""price"", WORKDAY(INT($B110), 20)), 2, 2), """"))/$G110)), """")"),"")</f>
        <v/>
      </c>
      <c r="Q110" s="5" t="s">
        <v>1100</v>
      </c>
      <c r="R110" s="21" t="s">
        <v>525</v>
      </c>
      <c r="S110" s="21" t="s">
        <v>1101</v>
      </c>
      <c r="T110" s="21" t="s">
        <v>51</v>
      </c>
      <c r="U110" s="21"/>
      <c r="V110" s="21"/>
      <c r="W110" s="21"/>
      <c r="X110" s="21"/>
      <c r="Y110" s="21"/>
      <c r="Z110" s="21"/>
    </row>
    <row r="111">
      <c r="A111" s="3">
        <f t="shared" si="1"/>
        <v>110</v>
      </c>
      <c r="B111" s="4">
        <v>46213.667708333334</v>
      </c>
      <c r="C111" s="5" t="s">
        <v>1103</v>
      </c>
      <c r="D111" s="5" t="s">
        <v>36</v>
      </c>
      <c r="E111" s="5" t="s">
        <v>133</v>
      </c>
      <c r="F111" s="6">
        <v>2.0</v>
      </c>
      <c r="G111" s="7">
        <v>35.26</v>
      </c>
      <c r="H111" s="5" t="s">
        <v>1105</v>
      </c>
      <c r="I111" s="5">
        <v>94.9</v>
      </c>
      <c r="J111" s="3"/>
      <c r="K111" s="5" t="s">
        <v>40</v>
      </c>
      <c r="L111" s="8">
        <f>IFERROR(__xludf.DUMMYFUNCTION("IFERROR(GOOGLEFINANCE(C111, ""price""), IFERROR(GOOGLEFINANCE(""NASDAQ:""&amp;C111, ""price""), IFERROR(GOOGLEFINANCE(""NYSE:""&amp;C111, ""price""), """")))"),33.71)</f>
        <v>33.71</v>
      </c>
      <c r="M111" s="12">
        <f t="shared" si="3"/>
        <v>-0.04395916052</v>
      </c>
      <c r="N111" s="12">
        <f>IFERROR(__xludf.DUMMYFUNCTION("IFERROR(IF(OR(ISBLANK($G111), IFERROR(INDEX(GOOGLEFINANCE($C111, ""price"", WORKDAY(INT($B111), 1)), 2, 2), """")=""""), """", IF($D111=""LONG"", (IFERROR(INDEX(GOOGLEFINANCE($C111, ""price"", WORKDAY(INT($B111), 1)), 2, 2), """")-$G111)/$G111, ($G111-IFE"&amp;"RROR(INDEX(GOOGLEFINANCE($C111, ""price"", WORKDAY(INT($B111), 1)), 2, 2), """"))/$G111)), """")"),0.03885422575155997)</f>
        <v>0.03885422575</v>
      </c>
      <c r="O111" s="12">
        <f>IFERROR(__xludf.DUMMYFUNCTION("IFERROR(IF(OR(ISBLANK($G111), IFERROR(INDEX(GOOGLEFINANCE($C111, ""price"", WORKDAY(INT($B111), 5)), 2, 2), """")=""""), """", IF($D111=""LONG"", (IFERROR(INDEX(GOOGLEFINANCE($C111, ""price"", WORKDAY(INT($B111), 5)), 2, 2), """")-$G111)/$G111, ($G111-IFE"&amp;"RROR(INDEX(GOOGLEFINANCE($C111, ""price"", WORKDAY(INT($B111), 5)), 2, 2), """"))/$G111)), """")"),-0.023255813953488382)</f>
        <v>-0.02325581395</v>
      </c>
      <c r="P111" s="12" t="str">
        <f>IFERROR(__xludf.DUMMYFUNCTION("IFERROR(IF(OR(ISBLANK($G111), IFERROR(INDEX(GOOGLEFINANCE($C111, ""price"", WORKDAY(INT($B111), 20)), 2, 2), """")=""""), """", IF($D111=""LONG"", (IFERROR(INDEX(GOOGLEFINANCE($C111, ""price"", WORKDAY(INT($B111), 20)), 2, 2), """")-$G111)/$G111, ($G111-I"&amp;"FERROR(INDEX(GOOGLEFINANCE($C111, ""price"", WORKDAY(INT($B111), 20)), 2, 2), """"))/$G111)), """")"),"")</f>
        <v/>
      </c>
      <c r="Q111" s="5" t="s">
        <v>1109</v>
      </c>
      <c r="R111" s="21" t="s">
        <v>219</v>
      </c>
      <c r="S111" s="21" t="s">
        <v>1112</v>
      </c>
      <c r="T111" s="21" t="s">
        <v>51</v>
      </c>
      <c r="U111" s="21"/>
      <c r="V111" s="21"/>
      <c r="W111" s="21"/>
      <c r="X111" s="21"/>
      <c r="Y111" s="21"/>
      <c r="Z111" s="21"/>
    </row>
    <row r="112">
      <c r="A112" s="3">
        <f t="shared" si="1"/>
        <v>111</v>
      </c>
      <c r="B112" s="4">
        <v>46213.667719907404</v>
      </c>
      <c r="C112" s="5" t="s">
        <v>358</v>
      </c>
      <c r="D112" s="5" t="s">
        <v>119</v>
      </c>
      <c r="E112" s="5" t="s">
        <v>120</v>
      </c>
      <c r="F112" s="6">
        <v>4.0</v>
      </c>
      <c r="G112" s="7">
        <v>47.77</v>
      </c>
      <c r="H112" s="5" t="s">
        <v>1114</v>
      </c>
      <c r="I112" s="5">
        <v>2.5</v>
      </c>
      <c r="J112" s="3"/>
      <c r="K112" s="5" t="s">
        <v>40</v>
      </c>
      <c r="L112" s="8">
        <f>IFERROR(__xludf.DUMMYFUNCTION("IFERROR(GOOGLEFINANCE(C112, ""price""), IFERROR(GOOGLEFINANCE(""NASDAQ:""&amp;C112, ""price""), IFERROR(GOOGLEFINANCE(""NYSE:""&amp;C112, ""price""), """")))"),51.54)</f>
        <v>51.54</v>
      </c>
      <c r="M112" s="12">
        <f t="shared" si="3"/>
        <v>-0.07891982416</v>
      </c>
      <c r="N112" s="12">
        <f>IFERROR(__xludf.DUMMYFUNCTION("IFERROR(IF(OR(ISBLANK($G112), IFERROR(INDEX(GOOGLEFINANCE($C112, ""price"", WORKDAY(INT($B112), 1)), 2, 2), """")=""""), """", IF($D112=""LONG"", (IFERROR(INDEX(GOOGLEFINANCE($C112, ""price"", WORKDAY(INT($B112), 1)), 2, 2), """")-$G112)/$G112, ($G112-IFE"&amp;"RROR(INDEX(GOOGLEFINANCE($C112, ""price"", WORKDAY(INT($B112), 1)), 2, 2), """"))/$G112)), """")"),0.008582792547624108)</f>
        <v>0.008582792548</v>
      </c>
      <c r="O112" s="12">
        <f>IFERROR(__xludf.DUMMYFUNCTION("IFERROR(IF(OR(ISBLANK($G112), IFERROR(INDEX(GOOGLEFINANCE($C112, ""price"", WORKDAY(INT($B112), 5)), 2, 2), """")=""""), """", IF($D112=""LONG"", (IFERROR(INDEX(GOOGLEFINANCE($C112, ""price"", WORKDAY(INT($B112), 5)), 2, 2), """")-$G112)/$G112, ($G112-IFE"&amp;"RROR(INDEX(GOOGLEFINANCE($C112, ""price"", WORKDAY(INT($B112), 5)), 2, 2), """"))/$G112)), """")"),0.016328239480845743)</f>
        <v>0.01632823948</v>
      </c>
      <c r="P112" s="12" t="str">
        <f>IFERROR(__xludf.DUMMYFUNCTION("IFERROR(IF(OR(ISBLANK($G112), IFERROR(INDEX(GOOGLEFINANCE($C112, ""price"", WORKDAY(INT($B112), 20)), 2, 2), """")=""""), """", IF($D112=""LONG"", (IFERROR(INDEX(GOOGLEFINANCE($C112, ""price"", WORKDAY(INT($B112), 20)), 2, 2), """")-$G112)/$G112, ($G112-I"&amp;"FERROR(INDEX(GOOGLEFINANCE($C112, ""price"", WORKDAY(INT($B112), 20)), 2, 2), """"))/$G112)), """")"),"")</f>
        <v/>
      </c>
      <c r="Q112" s="5" t="s">
        <v>1119</v>
      </c>
      <c r="R112" s="21" t="s">
        <v>102</v>
      </c>
      <c r="S112" s="21" t="s">
        <v>1120</v>
      </c>
      <c r="T112" s="21" t="s">
        <v>51</v>
      </c>
      <c r="U112" s="21"/>
      <c r="V112" s="21"/>
      <c r="W112" s="21"/>
      <c r="X112" s="21"/>
      <c r="Y112" s="21"/>
      <c r="Z112" s="21"/>
    </row>
    <row r="113">
      <c r="A113" s="3">
        <f t="shared" si="1"/>
        <v>112</v>
      </c>
      <c r="B113" s="4">
        <v>46213.66748842593</v>
      </c>
      <c r="C113" s="5" t="s">
        <v>1121</v>
      </c>
      <c r="D113" s="5" t="s">
        <v>36</v>
      </c>
      <c r="E113" s="5" t="s">
        <v>133</v>
      </c>
      <c r="F113" s="6">
        <v>2.0</v>
      </c>
      <c r="G113" s="7">
        <v>48.49</v>
      </c>
      <c r="H113" s="5" t="s">
        <v>1123</v>
      </c>
      <c r="I113" s="5">
        <v>52.1</v>
      </c>
      <c r="J113" s="3"/>
      <c r="K113" s="5" t="s">
        <v>40</v>
      </c>
      <c r="L113" s="8">
        <f>IFERROR(__xludf.DUMMYFUNCTION("IFERROR(GOOGLEFINANCE(C113, ""price""), IFERROR(GOOGLEFINANCE(""NASDAQ:""&amp;C113, ""price""), IFERROR(GOOGLEFINANCE(""NYSE:""&amp;C113, ""price""), """")))"),52.43)</f>
        <v>52.43</v>
      </c>
      <c r="M113" s="12">
        <f t="shared" si="3"/>
        <v>0.08125386678</v>
      </c>
      <c r="N113" s="12">
        <f>IFERROR(__xludf.DUMMYFUNCTION("IFERROR(IF(OR(ISBLANK($G113), IFERROR(INDEX(GOOGLEFINANCE($C113, ""price"", WORKDAY(INT($B113), 1)), 2, 2), """")=""""), """", IF($D113=""LONG"", (IFERROR(INDEX(GOOGLEFINANCE($C113, ""price"", WORKDAY(INT($B113), 1)), 2, 2), """")-$G113)/$G113, ($G113-IFE"&amp;"RROR(INDEX(GOOGLEFINANCE($C113, ""price"", WORKDAY(INT($B113), 1)), 2, 2), """"))/$G113)), """")"),-0.025778511033202722)</f>
        <v>-0.02577851103</v>
      </c>
      <c r="O113" s="12">
        <f>IFERROR(__xludf.DUMMYFUNCTION("IFERROR(IF(OR(ISBLANK($G113), IFERROR(INDEX(GOOGLEFINANCE($C113, ""price"", WORKDAY(INT($B113), 5)), 2, 2), """")=""""), """", IF($D113=""LONG"", (IFERROR(INDEX(GOOGLEFINANCE($C113, ""price"", WORKDAY(INT($B113), 5)), 2, 2), """")-$G113)/$G113, ($G113-IFE"&amp;"RROR(INDEX(GOOGLEFINANCE($C113, ""price"", WORKDAY(INT($B113), 5)), 2, 2), """"))/$G113)), """")"),-0.05506289956692105)</f>
        <v>-0.05506289957</v>
      </c>
      <c r="P113" s="12" t="str">
        <f>IFERROR(__xludf.DUMMYFUNCTION("IFERROR(IF(OR(ISBLANK($G113), IFERROR(INDEX(GOOGLEFINANCE($C113, ""price"", WORKDAY(INT($B113), 20)), 2, 2), """")=""""), """", IF($D113=""LONG"", (IFERROR(INDEX(GOOGLEFINANCE($C113, ""price"", WORKDAY(INT($B113), 20)), 2, 2), """")-$G113)/$G113, ($G113-I"&amp;"FERROR(INDEX(GOOGLEFINANCE($C113, ""price"", WORKDAY(INT($B113), 20)), 2, 2), """"))/$G113)), """")"),"")</f>
        <v/>
      </c>
      <c r="Q113" s="5" t="s">
        <v>1127</v>
      </c>
      <c r="R113" s="21" t="s">
        <v>704</v>
      </c>
      <c r="S113" s="21" t="s">
        <v>1128</v>
      </c>
      <c r="T113" s="21" t="s">
        <v>51</v>
      </c>
      <c r="U113" s="21"/>
      <c r="V113" s="21"/>
      <c r="W113" s="21"/>
      <c r="X113" s="21"/>
      <c r="Y113" s="21"/>
      <c r="Z113" s="21"/>
    </row>
    <row r="114">
      <c r="A114" s="3">
        <f t="shared" si="1"/>
        <v>113</v>
      </c>
      <c r="B114" s="4">
        <v>46213.66768518519</v>
      </c>
      <c r="C114" s="5" t="s">
        <v>440</v>
      </c>
      <c r="D114" s="5" t="s">
        <v>36</v>
      </c>
      <c r="E114" s="5" t="s">
        <v>133</v>
      </c>
      <c r="F114" s="6">
        <v>2.0</v>
      </c>
      <c r="G114" s="7">
        <v>91.65</v>
      </c>
      <c r="H114" s="5" t="s">
        <v>1130</v>
      </c>
      <c r="I114" s="5">
        <v>88.6</v>
      </c>
      <c r="J114" s="3"/>
      <c r="K114" s="5" t="s">
        <v>40</v>
      </c>
      <c r="L114" s="8">
        <f>IFERROR(__xludf.DUMMYFUNCTION("IFERROR(GOOGLEFINANCE(C114, ""price""), IFERROR(GOOGLEFINANCE(""NASDAQ:""&amp;C114, ""price""), IFERROR(GOOGLEFINANCE(""NYSE:""&amp;C114, ""price""), """")))"),99.95)</f>
        <v>99.95</v>
      </c>
      <c r="M114" s="12">
        <f t="shared" si="3"/>
        <v>0.09056192035</v>
      </c>
      <c r="N114" s="12">
        <f>IFERROR(__xludf.DUMMYFUNCTION("IFERROR(IF(OR(ISBLANK($G114), IFERROR(INDEX(GOOGLEFINANCE($C114, ""price"", WORKDAY(INT($B114), 1)), 2, 2), """")=""""), """", IF($D114=""LONG"", (IFERROR(INDEX(GOOGLEFINANCE($C114, ""price"", WORKDAY(INT($B114), 1)), 2, 2), """")-$G114)/$G114, ($G114-IFE"&amp;"RROR(INDEX(GOOGLEFINANCE($C114, ""price"", WORKDAY(INT($B114), 1)), 2, 2), """"))/$G114)), """")"),0.015057283142389475)</f>
        <v>0.01505728314</v>
      </c>
      <c r="O114" s="12">
        <f>IFERROR(__xludf.DUMMYFUNCTION("IFERROR(IF(OR(ISBLANK($G114), IFERROR(INDEX(GOOGLEFINANCE($C114, ""price"", WORKDAY(INT($B114), 5)), 2, 2), """")=""""), """", IF($D114=""LONG"", (IFERROR(INDEX(GOOGLEFINANCE($C114, ""price"", WORKDAY(INT($B114), 5)), 2, 2), """")-$G114)/$G114, ($G114-IFE"&amp;"RROR(INDEX(GOOGLEFINANCE($C114, ""price"", WORKDAY(INT($B114), 5)), 2, 2), """"))/$G114)), """")"),0.025641025641025578)</f>
        <v>0.02564102564</v>
      </c>
      <c r="P114" s="12" t="str">
        <f>IFERROR(__xludf.DUMMYFUNCTION("IFERROR(IF(OR(ISBLANK($G114), IFERROR(INDEX(GOOGLEFINANCE($C114, ""price"", WORKDAY(INT($B114), 20)), 2, 2), """")=""""), """", IF($D114=""LONG"", (IFERROR(INDEX(GOOGLEFINANCE($C114, ""price"", WORKDAY(INT($B114), 20)), 2, 2), """")-$G114)/$G114, ($G114-I"&amp;"FERROR(INDEX(GOOGLEFINANCE($C114, ""price"", WORKDAY(INT($B114), 20)), 2, 2), """"))/$G114)), """")"),"")</f>
        <v/>
      </c>
      <c r="Q114" s="5" t="s">
        <v>1135</v>
      </c>
      <c r="R114" s="21" t="s">
        <v>722</v>
      </c>
      <c r="S114" s="21" t="s">
        <v>1136</v>
      </c>
      <c r="T114" s="21" t="s">
        <v>51</v>
      </c>
      <c r="U114" s="21"/>
      <c r="V114" s="21"/>
      <c r="W114" s="21"/>
      <c r="X114" s="21"/>
      <c r="Y114" s="21"/>
      <c r="Z114" s="21"/>
    </row>
    <row r="115">
      <c r="A115" s="3">
        <f t="shared" si="1"/>
        <v>114</v>
      </c>
      <c r="B115" s="4">
        <v>46213.66755787037</v>
      </c>
      <c r="C115" s="5" t="s">
        <v>1140</v>
      </c>
      <c r="D115" s="5" t="s">
        <v>36</v>
      </c>
      <c r="E115" s="5" t="s">
        <v>133</v>
      </c>
      <c r="F115" s="6">
        <v>2.0</v>
      </c>
      <c r="G115" s="7">
        <v>1055.57</v>
      </c>
      <c r="H115" s="5" t="s">
        <v>1141</v>
      </c>
      <c r="I115" s="5">
        <v>48.5</v>
      </c>
      <c r="J115" s="3"/>
      <c r="K115" s="5" t="s">
        <v>40</v>
      </c>
      <c r="L115" s="8">
        <f>IFERROR(__xludf.DUMMYFUNCTION("IFERROR(GOOGLEFINANCE(C115, ""price""), IFERROR(GOOGLEFINANCE(""NASDAQ:""&amp;C115, ""price""), IFERROR(GOOGLEFINANCE(""NYSE:""&amp;C115, ""price""), """")))"),1032.58)</f>
        <v>1032.58</v>
      </c>
      <c r="M115" s="12">
        <f t="shared" si="3"/>
        <v>-0.02177970196</v>
      </c>
      <c r="N115" s="12">
        <f>IFERROR(__xludf.DUMMYFUNCTION("IFERROR(IF(OR(ISBLANK($G115), IFERROR(INDEX(GOOGLEFINANCE($C115, ""price"", WORKDAY(INT($B115), 1)), 2, 2), """")=""""), """", IF($D115=""LONG"", (IFERROR(INDEX(GOOGLEFINANCE($C115, ""price"", WORKDAY(INT($B115), 1)), 2, 2), """")-$G115)/$G115, ($G115-IFE"&amp;"RROR(INDEX(GOOGLEFINANCE($C115, ""price"", WORKDAY(INT($B115), 1)), 2, 2), """"))/$G115)), """")"),-0.009151453716948999)</f>
        <v>-0.009151453717</v>
      </c>
      <c r="O115" s="12">
        <f>IFERROR(__xludf.DUMMYFUNCTION("IFERROR(IF(OR(ISBLANK($G115), IFERROR(INDEX(GOOGLEFINANCE($C115, ""price"", WORKDAY(INT($B115), 5)), 2, 2), """")=""""), """", IF($D115=""LONG"", (IFERROR(INDEX(GOOGLEFINANCE($C115, ""price"", WORKDAY(INT($B115), 5)), 2, 2), """")-$G115)/$G115, ($G115-IFE"&amp;"RROR(INDEX(GOOGLEFINANCE($C115, ""price"", WORKDAY(INT($B115), 5)), 2, 2), """"))/$G115)), """")"),0.009141980162376813)</f>
        <v>0.009141980162</v>
      </c>
      <c r="P115" s="12" t="str">
        <f>IFERROR(__xludf.DUMMYFUNCTION("IFERROR(IF(OR(ISBLANK($G115), IFERROR(INDEX(GOOGLEFINANCE($C115, ""price"", WORKDAY(INT($B115), 20)), 2, 2), """")=""""), """", IF($D115=""LONG"", (IFERROR(INDEX(GOOGLEFINANCE($C115, ""price"", WORKDAY(INT($B115), 20)), 2, 2), """")-$G115)/$G115, ($G115-I"&amp;"FERROR(INDEX(GOOGLEFINANCE($C115, ""price"", WORKDAY(INT($B115), 20)), 2, 2), """"))/$G115)), """")"),"")</f>
        <v/>
      </c>
      <c r="Q115" s="5" t="s">
        <v>1148</v>
      </c>
      <c r="R115" s="21" t="s">
        <v>507</v>
      </c>
      <c r="S115" s="21" t="s">
        <v>1150</v>
      </c>
      <c r="T115" s="21" t="s">
        <v>51</v>
      </c>
      <c r="U115" s="21"/>
      <c r="V115" s="21"/>
      <c r="W115" s="21"/>
      <c r="X115" s="21"/>
      <c r="Y115" s="21"/>
      <c r="Z115" s="21"/>
    </row>
    <row r="116">
      <c r="A116" s="3">
        <f t="shared" si="1"/>
        <v>115</v>
      </c>
      <c r="B116" s="4">
        <v>46213.66736111111</v>
      </c>
      <c r="C116" s="5" t="s">
        <v>1116</v>
      </c>
      <c r="D116" s="5" t="s">
        <v>119</v>
      </c>
      <c r="E116" s="5" t="s">
        <v>120</v>
      </c>
      <c r="F116" s="6">
        <v>4.0</v>
      </c>
      <c r="G116" s="7">
        <v>268.08</v>
      </c>
      <c r="H116" s="5" t="s">
        <v>1152</v>
      </c>
      <c r="I116" s="5">
        <v>4.1</v>
      </c>
      <c r="J116" s="3"/>
      <c r="K116" s="5" t="s">
        <v>40</v>
      </c>
      <c r="L116" s="8">
        <f>IFERROR(__xludf.DUMMYFUNCTION("IFERROR(GOOGLEFINANCE(C116, ""price""), IFERROR(GOOGLEFINANCE(""NASDAQ:""&amp;C116, ""price""), IFERROR(GOOGLEFINANCE(""NYSE:""&amp;C116, ""price""), """")))"),289.17)</f>
        <v>289.17</v>
      </c>
      <c r="M116" s="12">
        <f t="shared" si="3"/>
        <v>-0.07867054611</v>
      </c>
      <c r="N116" s="12">
        <f>IFERROR(__xludf.DUMMYFUNCTION("IFERROR(IF(OR(ISBLANK($G116), IFERROR(INDEX(GOOGLEFINANCE($C116, ""price"", WORKDAY(INT($B116), 1)), 2, 2), """")=""""), """", IF($D116=""LONG"", (IFERROR(INDEX(GOOGLEFINANCE($C116, ""price"", WORKDAY(INT($B116), 1)), 2, 2), """")-$G116)/$G116, ($G116-IFE"&amp;"RROR(INDEX(GOOGLEFINANCE($C116, ""price"", WORKDAY(INT($B116), 1)), 2, 2), """"))/$G116)), """")"),-0.033758579528499)</f>
        <v>-0.03375857953</v>
      </c>
      <c r="O116" s="12">
        <f>IFERROR(__xludf.DUMMYFUNCTION("IFERROR(IF(OR(ISBLANK($G116), IFERROR(INDEX(GOOGLEFINANCE($C116, ""price"", WORKDAY(INT($B116), 5)), 2, 2), """")=""""), """", IF($D116=""LONG"", (IFERROR(INDEX(GOOGLEFINANCE($C116, ""price"", WORKDAY(INT($B116), 5)), 2, 2), """")-$G116)/$G116, ($G116-IFE"&amp;"RROR(INDEX(GOOGLEFINANCE($C116, ""price"", WORKDAY(INT($B116), 5)), 2, 2), """"))/$G116)), """")"),-0.01988212473888407)</f>
        <v>-0.01988212474</v>
      </c>
      <c r="P116" s="12" t="str">
        <f>IFERROR(__xludf.DUMMYFUNCTION("IFERROR(IF(OR(ISBLANK($G116), IFERROR(INDEX(GOOGLEFINANCE($C116, ""price"", WORKDAY(INT($B116), 20)), 2, 2), """")=""""), """", IF($D116=""LONG"", (IFERROR(INDEX(GOOGLEFINANCE($C116, ""price"", WORKDAY(INT($B116), 20)), 2, 2), """")-$G116)/$G116, ($G116-I"&amp;"FERROR(INDEX(GOOGLEFINANCE($C116, ""price"", WORKDAY(INT($B116), 20)), 2, 2), """"))/$G116)), """")"),"")</f>
        <v/>
      </c>
      <c r="Q116" s="5" t="s">
        <v>1159</v>
      </c>
      <c r="R116" s="21" t="s">
        <v>722</v>
      </c>
      <c r="S116" s="21" t="s">
        <v>1160</v>
      </c>
      <c r="T116" s="21" t="s">
        <v>51</v>
      </c>
      <c r="U116" s="21"/>
      <c r="V116" s="21"/>
      <c r="W116" s="21"/>
      <c r="X116" s="21"/>
      <c r="Y116" s="21"/>
      <c r="Z116" s="21"/>
    </row>
    <row r="117">
      <c r="A117" s="3">
        <f t="shared" si="1"/>
        <v>116</v>
      </c>
      <c r="B117" s="4">
        <v>46213.667592592596</v>
      </c>
      <c r="C117" s="5" t="s">
        <v>136</v>
      </c>
      <c r="D117" s="5" t="s">
        <v>36</v>
      </c>
      <c r="E117" s="5" t="s">
        <v>37</v>
      </c>
      <c r="F117" s="6">
        <v>2.0</v>
      </c>
      <c r="G117" s="7">
        <v>135.23</v>
      </c>
      <c r="H117" s="5" t="s">
        <v>1162</v>
      </c>
      <c r="I117" s="5">
        <v>93.4</v>
      </c>
      <c r="J117" s="3"/>
      <c r="K117" s="5" t="s">
        <v>40</v>
      </c>
      <c r="L117" s="8">
        <f>IFERROR(__xludf.DUMMYFUNCTION("IFERROR(GOOGLEFINANCE(C117, ""price""), IFERROR(GOOGLEFINANCE(""NASDAQ:""&amp;C117, ""price""), IFERROR(GOOGLEFINANCE(""NYSE:""&amp;C117, ""price""), """")))"),133.63)</f>
        <v>133.63</v>
      </c>
      <c r="M117" s="12">
        <f t="shared" si="3"/>
        <v>-0.01183169415</v>
      </c>
      <c r="N117" s="12">
        <f>IFERROR(__xludf.DUMMYFUNCTION("IFERROR(IF(OR(ISBLANK($G117), IFERROR(INDEX(GOOGLEFINANCE($C117, ""price"", WORKDAY(INT($B117), 1)), 2, 2), """")=""""), """", IF($D117=""LONG"", (IFERROR(INDEX(GOOGLEFINANCE($C117, ""price"", WORKDAY(INT($B117), 1)), 2, 2), """")-$G117)/$G117, ($G117-IFE"&amp;"RROR(INDEX(GOOGLEFINANCE($C117, ""price"", WORKDAY(INT($B117), 1)), 2, 2), """"))/$G117)), """")"),0.004880573837166284)</f>
        <v>0.004880573837</v>
      </c>
      <c r="O117" s="12">
        <f>IFERROR(__xludf.DUMMYFUNCTION("IFERROR(IF(OR(ISBLANK($G117), IFERROR(INDEX(GOOGLEFINANCE($C117, ""price"", WORKDAY(INT($B117), 5)), 2, 2), """")=""""), """", IF($D117=""LONG"", (IFERROR(INDEX(GOOGLEFINANCE($C117, ""price"", WORKDAY(INT($B117), 5)), 2, 2), """")-$G117)/$G117, ($G117-IFE"&amp;"RROR(INDEX(GOOGLEFINANCE($C117, ""price"", WORKDAY(INT($B117), 5)), 2, 2), """"))/$G117)), """")"),-0.016786216076314295)</f>
        <v>-0.01678621608</v>
      </c>
      <c r="P117" s="12" t="str">
        <f>IFERROR(__xludf.DUMMYFUNCTION("IFERROR(IF(OR(ISBLANK($G117), IFERROR(INDEX(GOOGLEFINANCE($C117, ""price"", WORKDAY(INT($B117), 20)), 2, 2), """")=""""), """", IF($D117=""LONG"", (IFERROR(INDEX(GOOGLEFINANCE($C117, ""price"", WORKDAY(INT($B117), 20)), 2, 2), """")-$G117)/$G117, ($G117-I"&amp;"FERROR(INDEX(GOOGLEFINANCE($C117, ""price"", WORKDAY(INT($B117), 20)), 2, 2), """"))/$G117)), """")"),"")</f>
        <v/>
      </c>
      <c r="Q117" s="5" t="s">
        <v>1168</v>
      </c>
      <c r="R117" s="21" t="s">
        <v>712</v>
      </c>
      <c r="S117" s="21" t="s">
        <v>1169</v>
      </c>
      <c r="T117" s="21" t="s">
        <v>51</v>
      </c>
      <c r="U117" s="21"/>
      <c r="V117" s="21"/>
      <c r="W117" s="21"/>
      <c r="X117" s="21"/>
      <c r="Y117" s="21"/>
      <c r="Z117" s="21"/>
    </row>
    <row r="118">
      <c r="A118" s="3">
        <f t="shared" si="1"/>
        <v>117</v>
      </c>
      <c r="B118" s="4">
        <v>46213.6675</v>
      </c>
      <c r="C118" s="5" t="s">
        <v>228</v>
      </c>
      <c r="D118" s="5" t="s">
        <v>36</v>
      </c>
      <c r="E118" s="5" t="s">
        <v>133</v>
      </c>
      <c r="F118" s="6">
        <v>2.0</v>
      </c>
      <c r="G118" s="7">
        <v>72.18</v>
      </c>
      <c r="H118" s="5" t="s">
        <v>1174</v>
      </c>
      <c r="I118" s="5">
        <v>95.6</v>
      </c>
      <c r="J118" s="3"/>
      <c r="K118" s="5" t="s">
        <v>40</v>
      </c>
      <c r="L118" s="8">
        <f>IFERROR(__xludf.DUMMYFUNCTION("IFERROR(GOOGLEFINANCE(C118, ""price""), IFERROR(GOOGLEFINANCE(""NASDAQ:""&amp;C118, ""price""), IFERROR(GOOGLEFINANCE(""NYSE:""&amp;C118, ""price""), """")))"),72.13)</f>
        <v>72.13</v>
      </c>
      <c r="M118" s="12">
        <f t="shared" si="3"/>
        <v>-0.0006927126628</v>
      </c>
      <c r="N118" s="12">
        <f>IFERROR(__xludf.DUMMYFUNCTION("IFERROR(IF(OR(ISBLANK($G118), IFERROR(INDEX(GOOGLEFINANCE($C118, ""price"", WORKDAY(INT($B118), 1)), 2, 2), """")=""""), """", IF($D118=""LONG"", (IFERROR(INDEX(GOOGLEFINANCE($C118, ""price"", WORKDAY(INT($B118), 1)), 2, 2), """")-$G118)/$G118, ($G118-IFE"&amp;"RROR(INDEX(GOOGLEFINANCE($C118, ""price"", WORKDAY(INT($B118), 1)), 2, 2), """"))/$G118)), """")"),0.022998060404544145)</f>
        <v>0.0229980604</v>
      </c>
      <c r="O118" s="12">
        <f>IFERROR(__xludf.DUMMYFUNCTION("IFERROR(IF(OR(ISBLANK($G118), IFERROR(INDEX(GOOGLEFINANCE($C118, ""price"", WORKDAY(INT($B118), 5)), 2, 2), """")=""""), """", IF($D118=""LONG"", (IFERROR(INDEX(GOOGLEFINANCE($C118, ""price"", WORKDAY(INT($B118), 5)), 2, 2), """")-$G118)/$G118, ($G118-IFE"&amp;"RROR(INDEX(GOOGLEFINANCE($C118, ""price"", WORKDAY(INT($B118), 5)), 2, 2), """"))/$G118)), """")"),-0.007896924355777326)</f>
        <v>-0.007896924356</v>
      </c>
      <c r="P118" s="12" t="str">
        <f>IFERROR(__xludf.DUMMYFUNCTION("IFERROR(IF(OR(ISBLANK($G118), IFERROR(INDEX(GOOGLEFINANCE($C118, ""price"", WORKDAY(INT($B118), 20)), 2, 2), """")=""""), """", IF($D118=""LONG"", (IFERROR(INDEX(GOOGLEFINANCE($C118, ""price"", WORKDAY(INT($B118), 20)), 2, 2), """")-$G118)/$G118, ($G118-I"&amp;"FERROR(INDEX(GOOGLEFINANCE($C118, ""price"", WORKDAY(INT($B118), 20)), 2, 2), """"))/$G118)), """")"),"")</f>
        <v/>
      </c>
      <c r="Q118" s="5" t="s">
        <v>1179</v>
      </c>
      <c r="R118" s="21" t="s">
        <v>507</v>
      </c>
      <c r="S118" s="21" t="s">
        <v>1180</v>
      </c>
      <c r="T118" s="21" t="s">
        <v>51</v>
      </c>
      <c r="U118" s="21"/>
      <c r="V118" s="21"/>
      <c r="W118" s="21"/>
      <c r="X118" s="21"/>
      <c r="Y118" s="21"/>
      <c r="Z118" s="21"/>
    </row>
    <row r="119">
      <c r="A119" s="3">
        <f t="shared" si="1"/>
        <v>118</v>
      </c>
      <c r="B119" s="4">
        <v>46213.667650462965</v>
      </c>
      <c r="C119" s="5" t="s">
        <v>191</v>
      </c>
      <c r="D119" s="5" t="s">
        <v>36</v>
      </c>
      <c r="E119" s="5" t="s">
        <v>37</v>
      </c>
      <c r="F119" s="6">
        <v>2.0</v>
      </c>
      <c r="G119" s="7">
        <v>22.61</v>
      </c>
      <c r="H119" s="5" t="s">
        <v>1181</v>
      </c>
      <c r="I119" s="5">
        <v>96.0</v>
      </c>
      <c r="J119" s="3"/>
      <c r="K119" s="5" t="s">
        <v>40</v>
      </c>
      <c r="L119" s="8">
        <f>IFERROR(__xludf.DUMMYFUNCTION("IFERROR(GOOGLEFINANCE(C119, ""price""), IFERROR(GOOGLEFINANCE(""NASDAQ:""&amp;C119, ""price""), IFERROR(GOOGLEFINANCE(""NYSE:""&amp;C119, ""price""), """")))"),27.01)</f>
        <v>27.01</v>
      </c>
      <c r="M119" s="12">
        <f t="shared" si="3"/>
        <v>0.1946041575</v>
      </c>
      <c r="N119" s="12">
        <f>IFERROR(__xludf.DUMMYFUNCTION("IFERROR(IF(OR(ISBLANK($G119), IFERROR(INDEX(GOOGLEFINANCE($C119, ""price"", WORKDAY(INT($B119), 1)), 2, 2), """")=""""), """", IF($D119=""LONG"", (IFERROR(INDEX(GOOGLEFINANCE($C119, ""price"", WORKDAY(INT($B119), 1)), 2, 2), """")-$G119)/$G119, ($G119-IFE"&amp;"RROR(INDEX(GOOGLEFINANCE($C119, ""price"", WORKDAY(INT($B119), 1)), 2, 2), """"))/$G119)), """")"),-0.0017691287041131866)</f>
        <v>-0.001769128704</v>
      </c>
      <c r="O119" s="12">
        <f>IFERROR(__xludf.DUMMYFUNCTION("IFERROR(IF(OR(ISBLANK($G119), IFERROR(INDEX(GOOGLEFINANCE($C119, ""price"", WORKDAY(INT($B119), 5)), 2, 2), """")=""""), """", IF($D119=""LONG"", (IFERROR(INDEX(GOOGLEFINANCE($C119, ""price"", WORKDAY(INT($B119), 5)), 2, 2), """")-$G119)/$G119, ($G119-IFE"&amp;"RROR(INDEX(GOOGLEFINANCE($C119, ""price"", WORKDAY(INT($B119), 5)), 2, 2), """"))/$G119)), """")"),0.0)</f>
        <v>0</v>
      </c>
      <c r="P119" s="12" t="str">
        <f>IFERROR(__xludf.DUMMYFUNCTION("IFERROR(IF(OR(ISBLANK($G119), IFERROR(INDEX(GOOGLEFINANCE($C119, ""price"", WORKDAY(INT($B119), 20)), 2, 2), """")=""""), """", IF($D119=""LONG"", (IFERROR(INDEX(GOOGLEFINANCE($C119, ""price"", WORKDAY(INT($B119), 20)), 2, 2), """")-$G119)/$G119, ($G119-I"&amp;"FERROR(INDEX(GOOGLEFINANCE($C119, ""price"", WORKDAY(INT($B119), 20)), 2, 2), """"))/$G119)), """")"),"")</f>
        <v/>
      </c>
      <c r="Q119" s="5" t="s">
        <v>1190</v>
      </c>
      <c r="R119" s="5" t="s">
        <v>507</v>
      </c>
      <c r="S119" s="5" t="s">
        <v>1192</v>
      </c>
      <c r="T119" s="5" t="s">
        <v>51</v>
      </c>
      <c r="U119" s="5"/>
      <c r="V119" s="5"/>
      <c r="W119" s="5"/>
      <c r="X119" s="5"/>
      <c r="Y119" s="5"/>
      <c r="Z119" s="5"/>
    </row>
    <row r="120">
      <c r="A120" s="3">
        <f t="shared" si="1"/>
        <v>119</v>
      </c>
      <c r="B120" s="4">
        <v>46213.66746527778</v>
      </c>
      <c r="C120" s="5" t="s">
        <v>746</v>
      </c>
      <c r="D120" s="5" t="s">
        <v>119</v>
      </c>
      <c r="E120" s="5" t="s">
        <v>120</v>
      </c>
      <c r="F120" s="6">
        <v>4.0</v>
      </c>
      <c r="G120" s="7">
        <v>168.58</v>
      </c>
      <c r="H120" s="5" t="s">
        <v>1193</v>
      </c>
      <c r="I120" s="5">
        <v>8.7</v>
      </c>
      <c r="J120" s="3"/>
      <c r="K120" s="5" t="s">
        <v>40</v>
      </c>
      <c r="L120" s="8">
        <f>IFERROR(__xludf.DUMMYFUNCTION("IFERROR(GOOGLEFINANCE(C120, ""price""), IFERROR(GOOGLEFINANCE(""NASDAQ:""&amp;C120, ""price""), IFERROR(GOOGLEFINANCE(""NYSE:""&amp;C120, ""price""), """")))"),171.2)</f>
        <v>171.2</v>
      </c>
      <c r="M120" s="12">
        <f t="shared" si="3"/>
        <v>-0.01554158263</v>
      </c>
      <c r="N120" s="12">
        <f>IFERROR(__xludf.DUMMYFUNCTION("IFERROR(IF(OR(ISBLANK($G120), IFERROR(INDEX(GOOGLEFINANCE($C120, ""price"", WORKDAY(INT($B120), 1)), 2, 2), """")=""""), """", IF($D120=""LONG"", (IFERROR(INDEX(GOOGLEFINANCE($C120, ""price"", WORKDAY(INT($B120), 1)), 2, 2), """")-$G120)/$G120, ($G120-IFE"&amp;"RROR(INDEX(GOOGLEFINANCE($C120, ""price"", WORKDAY(INT($B120), 1)), 2, 2), """"))/$G120)), """")"),-0.005457349626290114)</f>
        <v>-0.005457349626</v>
      </c>
      <c r="O120" s="12">
        <f>IFERROR(__xludf.DUMMYFUNCTION("IFERROR(IF(OR(ISBLANK($G120), IFERROR(INDEX(GOOGLEFINANCE($C120, ""price"", WORKDAY(INT($B120), 5)), 2, 2), """")=""""), """", IF($D120=""LONG"", (IFERROR(INDEX(GOOGLEFINANCE($C120, ""price"", WORKDAY(INT($B120), 5)), 2, 2), """")-$G120)/$G120, ($G120-IFE"&amp;"RROR(INDEX(GOOGLEFINANCE($C120, ""price"", WORKDAY(INT($B120), 5)), 2, 2), """"))/$G120)), """")"),-0.008779214616205894)</f>
        <v>-0.008779214616</v>
      </c>
      <c r="P120" s="12" t="str">
        <f>IFERROR(__xludf.DUMMYFUNCTION("IFERROR(IF(OR(ISBLANK($G120), IFERROR(INDEX(GOOGLEFINANCE($C120, ""price"", WORKDAY(INT($B120), 20)), 2, 2), """")=""""), """", IF($D120=""LONG"", (IFERROR(INDEX(GOOGLEFINANCE($C120, ""price"", WORKDAY(INT($B120), 20)), 2, 2), """")-$G120)/$G120, ($G120-I"&amp;"FERROR(INDEX(GOOGLEFINANCE($C120, ""price"", WORKDAY(INT($B120), 20)), 2, 2), """"))/$G120)), """")"),"")</f>
        <v/>
      </c>
      <c r="Q120" s="5" t="s">
        <v>1201</v>
      </c>
      <c r="R120" s="5" t="s">
        <v>102</v>
      </c>
      <c r="S120" s="5" t="s">
        <v>1202</v>
      </c>
      <c r="T120" s="5" t="s">
        <v>51</v>
      </c>
      <c r="U120" s="5"/>
      <c r="V120" s="5"/>
      <c r="W120" s="5"/>
      <c r="X120" s="5"/>
      <c r="Y120" s="5"/>
      <c r="Z120" s="5"/>
    </row>
    <row r="121">
      <c r="A121" s="3">
        <f t="shared" si="1"/>
        <v>120</v>
      </c>
      <c r="B121" s="4">
        <v>46213.667662037034</v>
      </c>
      <c r="C121" s="5" t="s">
        <v>267</v>
      </c>
      <c r="D121" s="5" t="s">
        <v>36</v>
      </c>
      <c r="E121" s="5" t="s">
        <v>133</v>
      </c>
      <c r="F121" s="6">
        <v>2.0</v>
      </c>
      <c r="G121" s="7">
        <v>191.8</v>
      </c>
      <c r="H121" s="5" t="s">
        <v>1205</v>
      </c>
      <c r="I121" s="5">
        <v>96.7</v>
      </c>
      <c r="J121" s="3"/>
      <c r="K121" s="5" t="s">
        <v>40</v>
      </c>
      <c r="L121" s="8">
        <f>IFERROR(__xludf.DUMMYFUNCTION("IFERROR(GOOGLEFINANCE(C121, ""price""), IFERROR(GOOGLEFINANCE(""NASDAQ:""&amp;C121, ""price""), IFERROR(GOOGLEFINANCE(""NYSE:""&amp;C121, ""price""), """")))"),213.26)</f>
        <v>213.26</v>
      </c>
      <c r="M121" s="12">
        <f t="shared" si="3"/>
        <v>0.1118873827</v>
      </c>
      <c r="N121" s="12">
        <f>IFERROR(__xludf.DUMMYFUNCTION("IFERROR(IF(OR(ISBLANK($G121), IFERROR(INDEX(GOOGLEFINANCE($C121, ""price"", WORKDAY(INT($B121), 1)), 2, 2), """")=""""), """", IF($D121=""LONG"", (IFERROR(INDEX(GOOGLEFINANCE($C121, ""price"", WORKDAY(INT($B121), 1)), 2, 2), """")-$G121)/$G121, ($G121-IFE"&amp;"RROR(INDEX(GOOGLEFINANCE($C121, ""price"", WORKDAY(INT($B121), 1)), 2, 2), """"))/$G121)), """")"),-0.011626694473409896)</f>
        <v>-0.01162669447</v>
      </c>
      <c r="O121" s="12">
        <f>IFERROR(__xludf.DUMMYFUNCTION("IFERROR(IF(OR(ISBLANK($G121), IFERROR(INDEX(GOOGLEFINANCE($C121, ""price"", WORKDAY(INT($B121), 5)), 2, 2), """")=""""), """", IF($D121=""LONG"", (IFERROR(INDEX(GOOGLEFINANCE($C121, ""price"", WORKDAY(INT($B121), 5)), 2, 2), """")-$G121)/$G121, ($G121-IFE"&amp;"RROR(INDEX(GOOGLEFINANCE($C121, ""price"", WORKDAY(INT($B121), 5)), 2, 2), """"))/$G121)), """")"),-0.03993743482794591)</f>
        <v>-0.03993743483</v>
      </c>
      <c r="P121" s="12" t="str">
        <f>IFERROR(__xludf.DUMMYFUNCTION("IFERROR(IF(OR(ISBLANK($G121), IFERROR(INDEX(GOOGLEFINANCE($C121, ""price"", WORKDAY(INT($B121), 20)), 2, 2), """")=""""), """", IF($D121=""LONG"", (IFERROR(INDEX(GOOGLEFINANCE($C121, ""price"", WORKDAY(INT($B121), 20)), 2, 2), """")-$G121)/$G121, ($G121-I"&amp;"FERROR(INDEX(GOOGLEFINANCE($C121, ""price"", WORKDAY(INT($B121), 20)), 2, 2), """"))/$G121)), """")"),"")</f>
        <v/>
      </c>
      <c r="Q121" s="5" t="s">
        <v>1209</v>
      </c>
      <c r="R121" s="21" t="s">
        <v>704</v>
      </c>
      <c r="S121" s="21" t="s">
        <v>1210</v>
      </c>
      <c r="T121" s="21" t="s">
        <v>51</v>
      </c>
      <c r="U121" s="21"/>
      <c r="V121" s="21"/>
      <c r="W121" s="21"/>
      <c r="X121" s="21"/>
      <c r="Y121" s="21"/>
      <c r="Z121" s="21"/>
    </row>
    <row r="122">
      <c r="A122" s="3">
        <f t="shared" si="1"/>
        <v>121</v>
      </c>
      <c r="B122" s="4">
        <v>46213.667604166665</v>
      </c>
      <c r="C122" s="5" t="s">
        <v>66</v>
      </c>
      <c r="D122" s="5" t="s">
        <v>36</v>
      </c>
      <c r="E122" s="5" t="s">
        <v>37</v>
      </c>
      <c r="F122" s="6">
        <v>2.0</v>
      </c>
      <c r="G122" s="7">
        <v>279.02</v>
      </c>
      <c r="H122" s="5" t="s">
        <v>1213</v>
      </c>
      <c r="I122" s="5">
        <v>78.8</v>
      </c>
      <c r="J122" s="3"/>
      <c r="K122" s="5" t="s">
        <v>40</v>
      </c>
      <c r="L122" s="8">
        <f>IFERROR(__xludf.DUMMYFUNCTION("IFERROR(GOOGLEFINANCE(C122, ""price""), IFERROR(GOOGLEFINANCE(""NASDAQ:""&amp;C122, ""price""), IFERROR(GOOGLEFINANCE(""NYSE:""&amp;C122, ""price""), """")))"),296.4)</f>
        <v>296.4</v>
      </c>
      <c r="M122" s="12">
        <f t="shared" si="3"/>
        <v>0.06228944162</v>
      </c>
      <c r="N122" s="12">
        <f>IFERROR(__xludf.DUMMYFUNCTION("IFERROR(IF(OR(ISBLANK($G122), IFERROR(INDEX(GOOGLEFINANCE($C122, ""price"", WORKDAY(INT($B122), 1)), 2, 2), """")=""""), """", IF($D122=""LONG"", (IFERROR(INDEX(GOOGLEFINANCE($C122, ""price"", WORKDAY(INT($B122), 1)), 2, 2), """")-$G122)/$G122, ($G122-IFE"&amp;"RROR(INDEX(GOOGLEFINANCE($C122, ""price"", WORKDAY(INT($B122), 1)), 2, 2), """"))/$G122)), """")"),0.0030822163285786457)</f>
        <v>0.003082216329</v>
      </c>
      <c r="O122" s="12">
        <f>IFERROR(__xludf.DUMMYFUNCTION("IFERROR(IF(OR(ISBLANK($G122), IFERROR(INDEX(GOOGLEFINANCE($C122, ""price"", WORKDAY(INT($B122), 5)), 2, 2), """")=""""), """", IF($D122=""LONG"", (IFERROR(INDEX(GOOGLEFINANCE($C122, ""price"", WORKDAY(INT($B122), 5)), 2, 2), """")-$G122)/$G122, ($G122-IFE"&amp;"RROR(INDEX(GOOGLEFINANCE($C122, ""price"", WORKDAY(INT($B122), 5)), 2, 2), """"))/$G122)), """")"),-0.007813059995699258)</f>
        <v>-0.007813059996</v>
      </c>
      <c r="P122" s="12" t="str">
        <f>IFERROR(__xludf.DUMMYFUNCTION("IFERROR(IF(OR(ISBLANK($G122), IFERROR(INDEX(GOOGLEFINANCE($C122, ""price"", WORKDAY(INT($B122), 20)), 2, 2), """")=""""), """", IF($D122=""LONG"", (IFERROR(INDEX(GOOGLEFINANCE($C122, ""price"", WORKDAY(INT($B122), 20)), 2, 2), """")-$G122)/$G122, ($G122-I"&amp;"FERROR(INDEX(GOOGLEFINANCE($C122, ""price"", WORKDAY(INT($B122), 20)), 2, 2), """"))/$G122)), """")"),"")</f>
        <v/>
      </c>
      <c r="Q122" s="5" t="s">
        <v>1219</v>
      </c>
      <c r="R122" s="5" t="s">
        <v>850</v>
      </c>
      <c r="S122" s="5" t="s">
        <v>1221</v>
      </c>
      <c r="T122" s="5" t="s">
        <v>51</v>
      </c>
      <c r="U122" s="5"/>
      <c r="V122" s="5"/>
      <c r="W122" s="5"/>
      <c r="X122" s="5"/>
      <c r="Y122" s="5"/>
      <c r="Z122" s="5"/>
    </row>
    <row r="123">
      <c r="A123" s="3">
        <f t="shared" si="1"/>
        <v>122</v>
      </c>
      <c r="B123" s="4">
        <v>46213.66737268519</v>
      </c>
      <c r="C123" s="5" t="s">
        <v>1222</v>
      </c>
      <c r="D123" s="5" t="s">
        <v>36</v>
      </c>
      <c r="E123" s="5" t="s">
        <v>87</v>
      </c>
      <c r="F123" s="6">
        <v>2.0</v>
      </c>
      <c r="G123" s="7">
        <v>91.35</v>
      </c>
      <c r="H123" s="5" t="s">
        <v>1223</v>
      </c>
      <c r="I123" s="5">
        <v>95.6</v>
      </c>
      <c r="J123" s="3"/>
      <c r="K123" s="5" t="s">
        <v>40</v>
      </c>
      <c r="L123" s="8">
        <f>IFERROR(__xludf.DUMMYFUNCTION("IFERROR(GOOGLEFINANCE(C123, ""price""), IFERROR(GOOGLEFINANCE(""NASDAQ:""&amp;C123, ""price""), IFERROR(GOOGLEFINANCE(""NYSE:""&amp;C123, ""price""), """")))"),97.19)</f>
        <v>97.19</v>
      </c>
      <c r="M123" s="12">
        <f t="shared" si="3"/>
        <v>0.06392993979</v>
      </c>
      <c r="N123" s="12">
        <f>IFERROR(__xludf.DUMMYFUNCTION("IFERROR(IF(OR(ISBLANK($G123), IFERROR(INDEX(GOOGLEFINANCE($C123, ""price"", WORKDAY(INT($B123), 1)), 2, 2), """")=""""), """", IF($D123=""LONG"", (IFERROR(INDEX(GOOGLEFINANCE($C123, ""price"", WORKDAY(INT($B123), 1)), 2, 2), """")-$G123)/$G123, ($G123-IFE"&amp;"RROR(INDEX(GOOGLEFINANCE($C123, ""price"", WORKDAY(INT($B123), 1)), 2, 2), """"))/$G123)), """")"),0.029885057471264413)</f>
        <v>0.02988505747</v>
      </c>
      <c r="O123" s="12">
        <f>IFERROR(__xludf.DUMMYFUNCTION("IFERROR(IF(OR(ISBLANK($G123), IFERROR(INDEX(GOOGLEFINANCE($C123, ""price"", WORKDAY(INT($B123), 5)), 2, 2), """")=""""), """", IF($D123=""LONG"", (IFERROR(INDEX(GOOGLEFINANCE($C123, ""price"", WORKDAY(INT($B123), 5)), 2, 2), """")-$G123)/$G123, ($G123-IFE"&amp;"RROR(INDEX(GOOGLEFINANCE($C123, ""price"", WORKDAY(INT($B123), 5)), 2, 2), """"))/$G123)), """")"),-0.0025177887246851647)</f>
        <v>-0.002517788725</v>
      </c>
      <c r="P123" s="12" t="str">
        <f>IFERROR(__xludf.DUMMYFUNCTION("IFERROR(IF(OR(ISBLANK($G123), IFERROR(INDEX(GOOGLEFINANCE($C123, ""price"", WORKDAY(INT($B123), 20)), 2, 2), """")=""""), """", IF($D123=""LONG"", (IFERROR(INDEX(GOOGLEFINANCE($C123, ""price"", WORKDAY(INT($B123), 20)), 2, 2), """")-$G123)/$G123, ($G123-I"&amp;"FERROR(INDEX(GOOGLEFINANCE($C123, ""price"", WORKDAY(INT($B123), 20)), 2, 2), """"))/$G123)), """")"),"")</f>
        <v/>
      </c>
      <c r="Q123" s="5" t="s">
        <v>1228</v>
      </c>
      <c r="R123" s="21" t="s">
        <v>507</v>
      </c>
      <c r="S123" s="21" t="s">
        <v>1229</v>
      </c>
      <c r="T123" s="21" t="s">
        <v>51</v>
      </c>
      <c r="U123" s="21"/>
      <c r="V123" s="21"/>
      <c r="W123" s="21"/>
      <c r="X123" s="21"/>
      <c r="Y123" s="21"/>
      <c r="Z123" s="21"/>
    </row>
    <row r="124">
      <c r="A124" s="3">
        <f t="shared" si="1"/>
        <v>123</v>
      </c>
      <c r="B124" s="4">
        <v>46213.66744212963</v>
      </c>
      <c r="C124" s="5" t="s">
        <v>226</v>
      </c>
      <c r="D124" s="5" t="s">
        <v>36</v>
      </c>
      <c r="E124" s="5" t="s">
        <v>37</v>
      </c>
      <c r="F124" s="6">
        <v>2.0</v>
      </c>
      <c r="G124" s="7">
        <v>21.65</v>
      </c>
      <c r="H124" s="5" t="s">
        <v>1231</v>
      </c>
      <c r="I124" s="5">
        <v>93.6</v>
      </c>
      <c r="J124" s="3"/>
      <c r="K124" s="5" t="s">
        <v>40</v>
      </c>
      <c r="L124" s="8">
        <f>IFERROR(__xludf.DUMMYFUNCTION("IFERROR(GOOGLEFINANCE(C124, ""price""), IFERROR(GOOGLEFINANCE(""NASDAQ:""&amp;C124, ""price""), IFERROR(GOOGLEFINANCE(""NYSE:""&amp;C124, ""price""), """")))"),21.1)</f>
        <v>21.1</v>
      </c>
      <c r="M124" s="12">
        <f t="shared" si="3"/>
        <v>-0.02540415704</v>
      </c>
      <c r="N124" s="12">
        <f>IFERROR(__xludf.DUMMYFUNCTION("IFERROR(IF(OR(ISBLANK($G124), IFERROR(INDEX(GOOGLEFINANCE($C124, ""price"", WORKDAY(INT($B124), 1)), 2, 2), """")=""""), """", IF($D124=""LONG"", (IFERROR(INDEX(GOOGLEFINANCE($C124, ""price"", WORKDAY(INT($B124), 1)), 2, 2), """")-$G124)/$G124, ($G124-IFE"&amp;"RROR(INDEX(GOOGLEFINANCE($C124, ""price"", WORKDAY(INT($B124), 1)), 2, 2), """"))/$G124)), """")"),0.0036951501154735265)</f>
        <v>0.003695150115</v>
      </c>
      <c r="O124" s="12">
        <f>IFERROR(__xludf.DUMMYFUNCTION("IFERROR(IF(OR(ISBLANK($G124), IFERROR(INDEX(GOOGLEFINANCE($C124, ""price"", WORKDAY(INT($B124), 5)), 2, 2), """")=""""), """", IF($D124=""LONG"", (IFERROR(INDEX(GOOGLEFINANCE($C124, ""price"", WORKDAY(INT($B124), 5)), 2, 2), """")-$G124)/$G124, ($G124-IFE"&amp;"RROR(INDEX(GOOGLEFINANCE($C124, ""price"", WORKDAY(INT($B124), 5)), 2, 2), """"))/$G124)), """")"),0.03972286374133963)</f>
        <v>0.03972286374</v>
      </c>
      <c r="P124" s="12" t="str">
        <f>IFERROR(__xludf.DUMMYFUNCTION("IFERROR(IF(OR(ISBLANK($G124), IFERROR(INDEX(GOOGLEFINANCE($C124, ""price"", WORKDAY(INT($B124), 20)), 2, 2), """")=""""), """", IF($D124=""LONG"", (IFERROR(INDEX(GOOGLEFINANCE($C124, ""price"", WORKDAY(INT($B124), 20)), 2, 2), """")-$G124)/$G124, ($G124-I"&amp;"FERROR(INDEX(GOOGLEFINANCE($C124, ""price"", WORKDAY(INT($B124), 20)), 2, 2), """"))/$G124)), """")"),"")</f>
        <v/>
      </c>
      <c r="Q124" s="5" t="s">
        <v>1237</v>
      </c>
      <c r="R124" s="21" t="s">
        <v>219</v>
      </c>
      <c r="S124" s="21" t="s">
        <v>1239</v>
      </c>
      <c r="T124" s="21" t="s">
        <v>51</v>
      </c>
      <c r="U124" s="21"/>
      <c r="V124" s="21"/>
      <c r="W124" s="21"/>
      <c r="X124" s="21"/>
      <c r="Y124" s="21"/>
      <c r="Z124" s="21"/>
    </row>
    <row r="125">
      <c r="A125" s="3">
        <f t="shared" si="1"/>
        <v>124</v>
      </c>
      <c r="B125" s="4">
        <v>46213.66753472222</v>
      </c>
      <c r="C125" s="5" t="s">
        <v>1171</v>
      </c>
      <c r="D125" s="5" t="s">
        <v>36</v>
      </c>
      <c r="E125" s="5" t="s">
        <v>37</v>
      </c>
      <c r="F125" s="6">
        <v>2.0</v>
      </c>
      <c r="G125" s="7">
        <v>231.5</v>
      </c>
      <c r="H125" s="5" t="s">
        <v>1243</v>
      </c>
      <c r="I125" s="5">
        <v>88.9</v>
      </c>
      <c r="J125" s="3"/>
      <c r="K125" s="5" t="s">
        <v>40</v>
      </c>
      <c r="L125" s="8">
        <f>IFERROR(__xludf.DUMMYFUNCTION("IFERROR(GOOGLEFINANCE(C125, ""price""), IFERROR(GOOGLEFINANCE(""NASDAQ:""&amp;C125, ""price""), IFERROR(GOOGLEFINANCE(""NYSE:""&amp;C125, ""price""), """")))"),236.0)</f>
        <v>236</v>
      </c>
      <c r="M125" s="12">
        <f t="shared" si="3"/>
        <v>0.01943844492</v>
      </c>
      <c r="N125" s="12">
        <f>IFERROR(__xludf.DUMMYFUNCTION("IFERROR(IF(OR(ISBLANK($G125), IFERROR(INDEX(GOOGLEFINANCE($C125, ""price"", WORKDAY(INT($B125), 1)), 2, 2), """")=""""), """", IF($D125=""LONG"", (IFERROR(INDEX(GOOGLEFINANCE($C125, ""price"", WORKDAY(INT($B125), 1)), 2, 2), """")-$G125)/$G125, ($G125-IFE"&amp;"RROR(INDEX(GOOGLEFINANCE($C125, ""price"", WORKDAY(INT($B125), 1)), 2, 2), """"))/$G125)), """")"),0.013174946004319704)</f>
        <v>0.013174946</v>
      </c>
      <c r="O125" s="12">
        <f>IFERROR(__xludf.DUMMYFUNCTION("IFERROR(IF(OR(ISBLANK($G125), IFERROR(INDEX(GOOGLEFINANCE($C125, ""price"", WORKDAY(INT($B125), 5)), 2, 2), """")=""""), """", IF($D125=""LONG"", (IFERROR(INDEX(GOOGLEFINANCE($C125, ""price"", WORKDAY(INT($B125), 5)), 2, 2), """")-$G125)/$G125, ($G125-IFE"&amp;"RROR(INDEX(GOOGLEFINANCE($C125, ""price"", WORKDAY(INT($B125), 5)), 2, 2), """"))/$G125)), """")"),0.05075593952483801)</f>
        <v>0.05075593952</v>
      </c>
      <c r="P125" s="12" t="str">
        <f>IFERROR(__xludf.DUMMYFUNCTION("IFERROR(IF(OR(ISBLANK($G125), IFERROR(INDEX(GOOGLEFINANCE($C125, ""price"", WORKDAY(INT($B125), 20)), 2, 2), """")=""""), """", IF($D125=""LONG"", (IFERROR(INDEX(GOOGLEFINANCE($C125, ""price"", WORKDAY(INT($B125), 20)), 2, 2), """")-$G125)/$G125, ($G125-I"&amp;"FERROR(INDEX(GOOGLEFINANCE($C125, ""price"", WORKDAY(INT($B125), 20)), 2, 2), """"))/$G125)), """")"),"")</f>
        <v/>
      </c>
      <c r="Q125" s="5" t="s">
        <v>1248</v>
      </c>
      <c r="R125" s="21" t="s">
        <v>704</v>
      </c>
      <c r="S125" s="21" t="s">
        <v>1249</v>
      </c>
      <c r="T125" s="21" t="s">
        <v>51</v>
      </c>
      <c r="U125" s="21"/>
      <c r="V125" s="21"/>
      <c r="W125" s="21"/>
      <c r="X125" s="21"/>
      <c r="Y125" s="21"/>
      <c r="Z125" s="21"/>
    </row>
    <row r="126">
      <c r="A126" s="3">
        <f t="shared" si="1"/>
        <v>125</v>
      </c>
      <c r="B126" s="4">
        <v>46213.66755787037</v>
      </c>
      <c r="C126" s="5" t="s">
        <v>184</v>
      </c>
      <c r="D126" s="5" t="s">
        <v>36</v>
      </c>
      <c r="E126" s="5" t="s">
        <v>37</v>
      </c>
      <c r="F126" s="6">
        <v>2.0</v>
      </c>
      <c r="G126" s="7">
        <v>295.31</v>
      </c>
      <c r="H126" s="5" t="s">
        <v>1253</v>
      </c>
      <c r="I126" s="5">
        <v>92.6</v>
      </c>
      <c r="J126" s="3"/>
      <c r="K126" s="5" t="s">
        <v>40</v>
      </c>
      <c r="L126" s="8">
        <f>IFERROR(__xludf.DUMMYFUNCTION("IFERROR(GOOGLEFINANCE(C126, ""price""), IFERROR(GOOGLEFINANCE(""NASDAQ:""&amp;C126, ""price""), IFERROR(GOOGLEFINANCE(""NYSE:""&amp;C126, ""price""), """")))"),281.63)</f>
        <v>281.63</v>
      </c>
      <c r="M126" s="12">
        <f t="shared" si="3"/>
        <v>-0.04632420169</v>
      </c>
      <c r="N126" s="12">
        <f>IFERROR(__xludf.DUMMYFUNCTION("IFERROR(IF(OR(ISBLANK($G126), IFERROR(INDEX(GOOGLEFINANCE($C126, ""price"", WORKDAY(INT($B126), 1)), 2, 2), """")=""""), """", IF($D126=""LONG"", (IFERROR(INDEX(GOOGLEFINANCE($C126, ""price"", WORKDAY(INT($B126), 1)), 2, 2), """")-$G126)/$G126, ($G126-IFE"&amp;"RROR(INDEX(GOOGLEFINANCE($C126, ""price"", WORKDAY(INT($B126), 1)), 2, 2), """"))/$G126)), """")"),-0.008567268294334867)</f>
        <v>-0.008567268294</v>
      </c>
      <c r="O126" s="12">
        <f>IFERROR(__xludf.DUMMYFUNCTION("IFERROR(IF(OR(ISBLANK($G126), IFERROR(INDEX(GOOGLEFINANCE($C126, ""price"", WORKDAY(INT($B126), 5)), 2, 2), """")=""""), """", IF($D126=""LONG"", (IFERROR(INDEX(GOOGLEFINANCE($C126, ""price"", WORKDAY(INT($B126), 5)), 2, 2), """")-$G126)/$G126, ($G126-IFE"&amp;"RROR(INDEX(GOOGLEFINANCE($C126, ""price"", WORKDAY(INT($B126), 5)), 2, 2), """"))/$G126)), """")"),-0.023636178930615346)</f>
        <v>-0.02363617893</v>
      </c>
      <c r="P126" s="12" t="str">
        <f>IFERROR(__xludf.DUMMYFUNCTION("IFERROR(IF(OR(ISBLANK($G126), IFERROR(INDEX(GOOGLEFINANCE($C126, ""price"", WORKDAY(INT($B126), 20)), 2, 2), """")=""""), """", IF($D126=""LONG"", (IFERROR(INDEX(GOOGLEFINANCE($C126, ""price"", WORKDAY(INT($B126), 20)), 2, 2), """")-$G126)/$G126, ($G126-I"&amp;"FERROR(INDEX(GOOGLEFINANCE($C126, ""price"", WORKDAY(INT($B126), 20)), 2, 2), """"))/$G126)), """")"),"")</f>
        <v/>
      </c>
      <c r="Q126" s="5" t="s">
        <v>1259</v>
      </c>
      <c r="R126" s="21" t="s">
        <v>102</v>
      </c>
      <c r="S126" s="21" t="s">
        <v>1260</v>
      </c>
      <c r="T126" s="21" t="s">
        <v>51</v>
      </c>
      <c r="U126" s="21"/>
      <c r="V126" s="21"/>
      <c r="W126" s="21"/>
      <c r="X126" s="21"/>
      <c r="Y126" s="21"/>
      <c r="Z126" s="21"/>
    </row>
    <row r="127">
      <c r="A127" s="3">
        <f t="shared" si="1"/>
        <v>126</v>
      </c>
      <c r="B127" s="4">
        <v>46213.66755787037</v>
      </c>
      <c r="C127" s="5" t="s">
        <v>1262</v>
      </c>
      <c r="D127" s="5" t="s">
        <v>36</v>
      </c>
      <c r="E127" s="5" t="s">
        <v>133</v>
      </c>
      <c r="F127" s="6">
        <v>2.0</v>
      </c>
      <c r="G127" s="7">
        <v>215.9</v>
      </c>
      <c r="H127" s="5" t="s">
        <v>1263</v>
      </c>
      <c r="I127" s="5">
        <v>88.9</v>
      </c>
      <c r="J127" s="3"/>
      <c r="K127" s="5" t="s">
        <v>40</v>
      </c>
      <c r="L127" s="8">
        <f>IFERROR(__xludf.DUMMYFUNCTION("IFERROR(GOOGLEFINANCE(C127, ""price""), IFERROR(GOOGLEFINANCE(""NASDAQ:""&amp;C127, ""price""), IFERROR(GOOGLEFINANCE(""NYSE:""&amp;C127, ""price""), """")))"),231.78)</f>
        <v>231.78</v>
      </c>
      <c r="M127" s="12">
        <f t="shared" si="3"/>
        <v>0.07355257063</v>
      </c>
      <c r="N127" s="12">
        <f>IFERROR(__xludf.DUMMYFUNCTION("IFERROR(IF(OR(ISBLANK($G127), IFERROR(INDEX(GOOGLEFINANCE($C127, ""price"", WORKDAY(INT($B127), 1)), 2, 2), """")=""""), """", IF($D127=""LONG"", (IFERROR(INDEX(GOOGLEFINANCE($C127, ""price"", WORKDAY(INT($B127), 1)), 2, 2), """")-$G127)/$G127, ($G127-IFE"&amp;"RROR(INDEX(GOOGLEFINANCE($C127, ""price"", WORKDAY(INT($B127), 1)), 2, 2), """"))/$G127)), """")"),0.0053265400648448615)</f>
        <v>0.005326540065</v>
      </c>
      <c r="O127" s="12">
        <f>IFERROR(__xludf.DUMMYFUNCTION("IFERROR(IF(OR(ISBLANK($G127), IFERROR(INDEX(GOOGLEFINANCE($C127, ""price"", WORKDAY(INT($B127), 5)), 2, 2), """")=""""), """", IF($D127=""LONG"", (IFERROR(INDEX(GOOGLEFINANCE($C127, ""price"", WORKDAY(INT($B127), 5)), 2, 2), """")-$G127)/$G127, ($G127-IFE"&amp;"RROR(INDEX(GOOGLEFINANCE($C127, ""price"", WORKDAY(INT($B127), 5)), 2, 2), """"))/$G127)), """")"),0.008985641500694756)</f>
        <v>0.008985641501</v>
      </c>
      <c r="P127" s="12" t="str">
        <f>IFERROR(__xludf.DUMMYFUNCTION("IFERROR(IF(OR(ISBLANK($G127), IFERROR(INDEX(GOOGLEFINANCE($C127, ""price"", WORKDAY(INT($B127), 20)), 2, 2), """")=""""), """", IF($D127=""LONG"", (IFERROR(INDEX(GOOGLEFINANCE($C127, ""price"", WORKDAY(INT($B127), 20)), 2, 2), """")-$G127)/$G127, ($G127-I"&amp;"FERROR(INDEX(GOOGLEFINANCE($C127, ""price"", WORKDAY(INT($B127), 20)), 2, 2), """"))/$G127)), """")"),"")</f>
        <v/>
      </c>
      <c r="Q127" s="5" t="s">
        <v>1268</v>
      </c>
      <c r="R127" s="21" t="s">
        <v>219</v>
      </c>
      <c r="S127" s="21" t="s">
        <v>1269</v>
      </c>
      <c r="T127" s="21" t="s">
        <v>51</v>
      </c>
      <c r="U127" s="21"/>
      <c r="V127" s="21"/>
      <c r="W127" s="21"/>
      <c r="X127" s="21"/>
      <c r="Y127" s="21"/>
      <c r="Z127" s="21"/>
    </row>
    <row r="128">
      <c r="A128" s="3">
        <f t="shared" si="1"/>
        <v>127</v>
      </c>
      <c r="B128" s="4">
        <v>46213.667650462965</v>
      </c>
      <c r="C128" s="5" t="s">
        <v>810</v>
      </c>
      <c r="D128" s="5" t="s">
        <v>36</v>
      </c>
      <c r="E128" s="5" t="s">
        <v>133</v>
      </c>
      <c r="F128" s="6">
        <v>2.0</v>
      </c>
      <c r="G128" s="7">
        <v>139.57</v>
      </c>
      <c r="H128" s="5" t="s">
        <v>1271</v>
      </c>
      <c r="I128" s="5">
        <v>92.5</v>
      </c>
      <c r="J128" s="3"/>
      <c r="K128" s="5" t="s">
        <v>40</v>
      </c>
      <c r="L128" s="8">
        <f>IFERROR(__xludf.DUMMYFUNCTION("IFERROR(GOOGLEFINANCE(C128, ""price""), IFERROR(GOOGLEFINANCE(""NASDAQ:""&amp;C128, ""price""), IFERROR(GOOGLEFINANCE(""NYSE:""&amp;C128, ""price""), """")))"),147.45)</f>
        <v>147.45</v>
      </c>
      <c r="M128" s="12">
        <f t="shared" si="3"/>
        <v>0.05645912445</v>
      </c>
      <c r="N128" s="12">
        <f>IFERROR(__xludf.DUMMYFUNCTION("IFERROR(IF(OR(ISBLANK($G128), IFERROR(INDEX(GOOGLEFINANCE($C128, ""price"", WORKDAY(INT($B128), 1)), 2, 2), """")=""""), """", IF($D128=""LONG"", (IFERROR(INDEX(GOOGLEFINANCE($C128, ""price"", WORKDAY(INT($B128), 1)), 2, 2), """")-$G128)/$G128, ($G128-IFE"&amp;"RROR(INDEX(GOOGLEFINANCE($C128, ""price"", WORKDAY(INT($B128), 1)), 2, 2), """"))/$G128)), """")"),-0.01103388980439917)</f>
        <v>-0.0110338898</v>
      </c>
      <c r="O128" s="12">
        <f>IFERROR(__xludf.DUMMYFUNCTION("IFERROR(IF(OR(ISBLANK($G128), IFERROR(INDEX(GOOGLEFINANCE($C128, ""price"", WORKDAY(INT($B128), 5)), 2, 2), """")=""""), """", IF($D128=""LONG"", (IFERROR(INDEX(GOOGLEFINANCE($C128, ""price"", WORKDAY(INT($B128), 5)), 2, 2), """")-$G128)/$G128, ($G128-IFE"&amp;"RROR(INDEX(GOOGLEFINANCE($C128, ""price"", WORKDAY(INT($B128), 5)), 2, 2), """"))/$G128)), """")"),0.009959160277996811)</f>
        <v>0.009959160278</v>
      </c>
      <c r="P128" s="12" t="str">
        <f>IFERROR(__xludf.DUMMYFUNCTION("IFERROR(IF(OR(ISBLANK($G128), IFERROR(INDEX(GOOGLEFINANCE($C128, ""price"", WORKDAY(INT($B128), 20)), 2, 2), """")=""""), """", IF($D128=""LONG"", (IFERROR(INDEX(GOOGLEFINANCE($C128, ""price"", WORKDAY(INT($B128), 20)), 2, 2), """")-$G128)/$G128, ($G128-I"&amp;"FERROR(INDEX(GOOGLEFINANCE($C128, ""price"", WORKDAY(INT($B128), 20)), 2, 2), """"))/$G128)), """")"),"")</f>
        <v/>
      </c>
      <c r="Q128" s="5" t="s">
        <v>1277</v>
      </c>
      <c r="R128" s="21" t="s">
        <v>704</v>
      </c>
      <c r="S128" s="21" t="s">
        <v>1279</v>
      </c>
      <c r="T128" s="21" t="s">
        <v>51</v>
      </c>
      <c r="U128" s="21"/>
      <c r="V128" s="21"/>
      <c r="W128" s="21"/>
      <c r="X128" s="21"/>
      <c r="Y128" s="21"/>
      <c r="Z128" s="21"/>
    </row>
    <row r="129">
      <c r="A129" s="3">
        <f t="shared" si="1"/>
        <v>128</v>
      </c>
      <c r="B129" s="4">
        <v>46213.66780092593</v>
      </c>
      <c r="C129" s="5" t="s">
        <v>374</v>
      </c>
      <c r="D129" s="5" t="s">
        <v>36</v>
      </c>
      <c r="E129" s="5" t="s">
        <v>37</v>
      </c>
      <c r="F129" s="6">
        <v>2.0</v>
      </c>
      <c r="G129" s="7">
        <v>70.72</v>
      </c>
      <c r="H129" s="5" t="s">
        <v>1281</v>
      </c>
      <c r="I129" s="5">
        <v>96.7</v>
      </c>
      <c r="J129" s="3"/>
      <c r="K129" s="5" t="s">
        <v>40</v>
      </c>
      <c r="L129" s="8">
        <f>IFERROR(__xludf.DUMMYFUNCTION("IFERROR(GOOGLEFINANCE(C129, ""price""), IFERROR(GOOGLEFINANCE(""NASDAQ:""&amp;C129, ""price""), IFERROR(GOOGLEFINANCE(""NYSE:""&amp;C129, ""price""), """")))"),73.32)</f>
        <v>73.32</v>
      </c>
      <c r="M129" s="12">
        <f t="shared" si="3"/>
        <v>0.03676470588</v>
      </c>
      <c r="N129" s="12">
        <f>IFERROR(__xludf.DUMMYFUNCTION("IFERROR(IF(OR(ISBLANK($G129), IFERROR(INDEX(GOOGLEFINANCE($C129, ""price"", WORKDAY(INT($B129), 1)), 2, 2), """")=""""), """", IF($D129=""LONG"", (IFERROR(INDEX(GOOGLEFINANCE($C129, ""price"", WORKDAY(INT($B129), 1)), 2, 2), """")-$G129)/$G129, ($G129-IFE"&amp;"RROR(INDEX(GOOGLEFINANCE($C129, ""price"", WORKDAY(INT($B129), 1)), 2, 2), """"))/$G129)), """")"),0.008484162895927521)</f>
        <v>0.008484162896</v>
      </c>
      <c r="O129" s="12">
        <f>IFERROR(__xludf.DUMMYFUNCTION("IFERROR(IF(OR(ISBLANK($G129), IFERROR(INDEX(GOOGLEFINANCE($C129, ""price"", WORKDAY(INT($B129), 5)), 2, 2), """")=""""), """", IF($D129=""LONG"", (IFERROR(INDEX(GOOGLEFINANCE($C129, ""price"", WORKDAY(INT($B129), 5)), 2, 2), """")-$G129)/$G129, ($G129-IFE"&amp;"RROR(INDEX(GOOGLEFINANCE($C129, ""price"", WORKDAY(INT($B129), 5)), 2, 2), """"))/$G129)), """")"),0.01399886877828047)</f>
        <v>0.01399886878</v>
      </c>
      <c r="P129" s="12" t="str">
        <f>IFERROR(__xludf.DUMMYFUNCTION("IFERROR(IF(OR(ISBLANK($G129), IFERROR(INDEX(GOOGLEFINANCE($C129, ""price"", WORKDAY(INT($B129), 20)), 2, 2), """")=""""), """", IF($D129=""LONG"", (IFERROR(INDEX(GOOGLEFINANCE($C129, ""price"", WORKDAY(INT($B129), 20)), 2, 2), """")-$G129)/$G129, ($G129-I"&amp;"FERROR(INDEX(GOOGLEFINANCE($C129, ""price"", WORKDAY(INT($B129), 20)), 2, 2), """"))/$G129)), """")"),"")</f>
        <v/>
      </c>
      <c r="Q129" s="5" t="s">
        <v>1286</v>
      </c>
      <c r="R129" s="21" t="s">
        <v>176</v>
      </c>
      <c r="S129" s="21" t="s">
        <v>1287</v>
      </c>
      <c r="T129" s="21" t="s">
        <v>51</v>
      </c>
      <c r="U129" s="21"/>
      <c r="V129" s="21"/>
      <c r="W129" s="21"/>
      <c r="X129" s="21"/>
      <c r="Y129" s="21"/>
      <c r="Z129" s="21"/>
    </row>
    <row r="130">
      <c r="A130" s="3">
        <f t="shared" si="1"/>
        <v>129</v>
      </c>
      <c r="B130" s="4">
        <v>46213.66752314815</v>
      </c>
      <c r="C130" s="5" t="s">
        <v>347</v>
      </c>
      <c r="D130" s="5" t="s">
        <v>36</v>
      </c>
      <c r="E130" s="5" t="s">
        <v>37</v>
      </c>
      <c r="F130" s="6">
        <v>2.0</v>
      </c>
      <c r="G130" s="7">
        <v>276.7</v>
      </c>
      <c r="H130" s="5" t="s">
        <v>1290</v>
      </c>
      <c r="I130" s="5">
        <v>95.5</v>
      </c>
      <c r="J130" s="3"/>
      <c r="K130" s="5" t="s">
        <v>40</v>
      </c>
      <c r="L130" s="8">
        <f>IFERROR(__xludf.DUMMYFUNCTION("IFERROR(GOOGLEFINANCE(C130, ""price""), IFERROR(GOOGLEFINANCE(""NASDAQ:""&amp;C130, ""price""), IFERROR(GOOGLEFINANCE(""NYSE:""&amp;C130, ""price""), """")))"),316.53)</f>
        <v>316.53</v>
      </c>
      <c r="M130" s="12">
        <f t="shared" si="3"/>
        <v>0.1439465125</v>
      </c>
      <c r="N130" s="12">
        <f>IFERROR(__xludf.DUMMYFUNCTION("IFERROR(IF(OR(ISBLANK($G130), IFERROR(INDEX(GOOGLEFINANCE($C130, ""price"", WORKDAY(INT($B130), 1)), 2, 2), """")=""""), """", IF($D130=""LONG"", (IFERROR(INDEX(GOOGLEFINANCE($C130, ""price"", WORKDAY(INT($B130), 1)), 2, 2), """")-$G130)/$G130, ($G130-IFE"&amp;"RROR(INDEX(GOOGLEFINANCE($C130, ""price"", WORKDAY(INT($B130), 1)), 2, 2), """"))/$G130)), """")"),-7.228044813871272E-5)</f>
        <v>-0.00007228044814</v>
      </c>
      <c r="O130" s="12">
        <f>IFERROR(__xludf.DUMMYFUNCTION("IFERROR(IF(OR(ISBLANK($G130), IFERROR(INDEX(GOOGLEFINANCE($C130, ""price"", WORKDAY(INT($B130), 5)), 2, 2), """")=""""), """", IF($D130=""LONG"", (IFERROR(INDEX(GOOGLEFINANCE($C130, ""price"", WORKDAY(INT($B130), 5)), 2, 2), """")-$G130)/$G130, ($G130-IFE"&amp;"RROR(INDEX(GOOGLEFINANCE($C130, ""price"", WORKDAY(INT($B130), 5)), 2, 2), """"))/$G130)), """")"),0.024069389230213317)</f>
        <v>0.02406938923</v>
      </c>
      <c r="P130" s="12" t="str">
        <f>IFERROR(__xludf.DUMMYFUNCTION("IFERROR(IF(OR(ISBLANK($G130), IFERROR(INDEX(GOOGLEFINANCE($C130, ""price"", WORKDAY(INT($B130), 20)), 2, 2), """")=""""), """", IF($D130=""LONG"", (IFERROR(INDEX(GOOGLEFINANCE($C130, ""price"", WORKDAY(INT($B130), 20)), 2, 2), """")-$G130)/$G130, ($G130-I"&amp;"FERROR(INDEX(GOOGLEFINANCE($C130, ""price"", WORKDAY(INT($B130), 20)), 2, 2), """"))/$G130)), """")"),"")</f>
        <v/>
      </c>
      <c r="Q130" s="5" t="s">
        <v>1295</v>
      </c>
      <c r="R130" s="21" t="s">
        <v>525</v>
      </c>
      <c r="S130" s="21" t="s">
        <v>1296</v>
      </c>
      <c r="T130" s="21" t="s">
        <v>51</v>
      </c>
      <c r="U130" s="21"/>
      <c r="V130" s="21"/>
      <c r="W130" s="21"/>
      <c r="X130" s="21"/>
      <c r="Y130" s="21"/>
      <c r="Z130" s="21"/>
    </row>
    <row r="131">
      <c r="A131" s="3">
        <f t="shared" si="1"/>
        <v>130</v>
      </c>
      <c r="B131" s="4">
        <v>46213.66762731481</v>
      </c>
      <c r="C131" s="5" t="s">
        <v>201</v>
      </c>
      <c r="D131" s="5" t="s">
        <v>36</v>
      </c>
      <c r="E131" s="5" t="s">
        <v>37</v>
      </c>
      <c r="F131" s="6">
        <v>2.0</v>
      </c>
      <c r="G131" s="7">
        <v>130.65</v>
      </c>
      <c r="H131" s="5" t="s">
        <v>1300</v>
      </c>
      <c r="I131" s="5">
        <v>96.6</v>
      </c>
      <c r="J131" s="3"/>
      <c r="K131" s="5" t="s">
        <v>40</v>
      </c>
      <c r="L131" s="8">
        <f>IFERROR(__xludf.DUMMYFUNCTION("IFERROR(GOOGLEFINANCE(C131, ""price""), IFERROR(GOOGLEFINANCE(""NASDAQ:""&amp;C131, ""price""), IFERROR(GOOGLEFINANCE(""NYSE:""&amp;C131, ""price""), """")))"),134.82)</f>
        <v>134.82</v>
      </c>
      <c r="M131" s="12">
        <f t="shared" si="3"/>
        <v>0.03191733639</v>
      </c>
      <c r="N131" s="12">
        <f>IFERROR(__xludf.DUMMYFUNCTION("IFERROR(IF(OR(ISBLANK($G131), IFERROR(INDEX(GOOGLEFINANCE($C131, ""price"", WORKDAY(INT($B131), 1)), 2, 2), """")=""""), """", IF($D131=""LONG"", (IFERROR(INDEX(GOOGLEFINANCE($C131, ""price"", WORKDAY(INT($B131), 1)), 2, 2), """")-$G131)/$G131, ($G131-IFE"&amp;"RROR(INDEX(GOOGLEFINANCE($C131, ""price"", WORKDAY(INT($B131), 1)), 2, 2), """"))/$G131)), """")"),0.006735553004209686)</f>
        <v>0.006735553004</v>
      </c>
      <c r="O131" s="12">
        <f>IFERROR(__xludf.DUMMYFUNCTION("IFERROR(IF(OR(ISBLANK($G131), IFERROR(INDEX(GOOGLEFINANCE($C131, ""price"", WORKDAY(INT($B131), 5)), 2, 2), """")=""""), """", IF($D131=""LONG"", (IFERROR(INDEX(GOOGLEFINANCE($C131, ""price"", WORKDAY(INT($B131), 5)), 2, 2), """")-$G131)/$G131, ($G131-IFE"&amp;"RROR(INDEX(GOOGLEFINANCE($C131, ""price"", WORKDAY(INT($B131), 5)), 2, 2), """"))/$G131)), """")"),0.03413700727133569)</f>
        <v>0.03413700727</v>
      </c>
      <c r="P131" s="12" t="str">
        <f>IFERROR(__xludf.DUMMYFUNCTION("IFERROR(IF(OR(ISBLANK($G131), IFERROR(INDEX(GOOGLEFINANCE($C131, ""price"", WORKDAY(INT($B131), 20)), 2, 2), """")=""""), """", IF($D131=""LONG"", (IFERROR(INDEX(GOOGLEFINANCE($C131, ""price"", WORKDAY(INT($B131), 20)), 2, 2), """")-$G131)/$G131, ($G131-I"&amp;"FERROR(INDEX(GOOGLEFINANCE($C131, ""price"", WORKDAY(INT($B131), 20)), 2, 2), """"))/$G131)), """")"),"")</f>
        <v/>
      </c>
      <c r="Q131" s="5" t="s">
        <v>1304</v>
      </c>
      <c r="R131" s="21" t="s">
        <v>176</v>
      </c>
      <c r="S131" s="21" t="s">
        <v>1305</v>
      </c>
      <c r="T131" s="21" t="s">
        <v>51</v>
      </c>
      <c r="U131" s="21"/>
      <c r="V131" s="21"/>
      <c r="W131" s="21"/>
      <c r="X131" s="21"/>
      <c r="Y131" s="21"/>
      <c r="Z131" s="21"/>
    </row>
    <row r="132">
      <c r="A132" s="3">
        <f t="shared" si="1"/>
        <v>131</v>
      </c>
      <c r="B132" s="4">
        <v>46213.66762731481</v>
      </c>
      <c r="C132" s="5" t="s">
        <v>291</v>
      </c>
      <c r="D132" s="5" t="s">
        <v>36</v>
      </c>
      <c r="E132" s="5" t="s">
        <v>37</v>
      </c>
      <c r="F132" s="6">
        <v>2.0</v>
      </c>
      <c r="G132" s="7">
        <v>33.49</v>
      </c>
      <c r="H132" s="5" t="s">
        <v>1306</v>
      </c>
      <c r="I132" s="5">
        <v>86.0</v>
      </c>
      <c r="J132" s="3"/>
      <c r="K132" s="5" t="s">
        <v>40</v>
      </c>
      <c r="L132" s="8">
        <f>IFERROR(__xludf.DUMMYFUNCTION("IFERROR(GOOGLEFINANCE(C132, ""price""), IFERROR(GOOGLEFINANCE(""NASDAQ:""&amp;C132, ""price""), IFERROR(GOOGLEFINANCE(""NYSE:""&amp;C132, ""price""), """")))"),34.0)</f>
        <v>34</v>
      </c>
      <c r="M132" s="12">
        <f t="shared" si="3"/>
        <v>0.0152284264</v>
      </c>
      <c r="N132" s="12">
        <f>IFERROR(__xludf.DUMMYFUNCTION("IFERROR(IF(OR(ISBLANK($G132), IFERROR(INDEX(GOOGLEFINANCE($C132, ""price"", WORKDAY(INT($B132), 1)), 2, 2), """")=""""), """", IF($D132=""LONG"", (IFERROR(INDEX(GOOGLEFINANCE($C132, ""price"", WORKDAY(INT($B132), 1)), 2, 2), """")-$G132)/$G132, ($G132-IFE"&amp;"RROR(INDEX(GOOGLEFINANCE($C132, ""price"", WORKDAY(INT($B132), 1)), 2, 2), """"))/$G132)), """")"),-0.01970737533592128)</f>
        <v>-0.01970737534</v>
      </c>
      <c r="O132" s="12">
        <f>IFERROR(__xludf.DUMMYFUNCTION("IFERROR(IF(OR(ISBLANK($G132), IFERROR(INDEX(GOOGLEFINANCE($C132, ""price"", WORKDAY(INT($B132), 5)), 2, 2), """")=""""), """", IF($D132=""LONG"", (IFERROR(INDEX(GOOGLEFINANCE($C132, ""price"", WORKDAY(INT($B132), 5)), 2, 2), """")-$G132)/$G132, ($G132-IFE"&amp;"RROR(INDEX(GOOGLEFINANCE($C132, ""price"", WORKDAY(INT($B132), 5)), 2, 2), """"))/$G132)), """")"),-0.025679307255897264)</f>
        <v>-0.02567930726</v>
      </c>
      <c r="P132" s="12" t="str">
        <f>IFERROR(__xludf.DUMMYFUNCTION("IFERROR(IF(OR(ISBLANK($G132), IFERROR(INDEX(GOOGLEFINANCE($C132, ""price"", WORKDAY(INT($B132), 20)), 2, 2), """")=""""), """", IF($D132=""LONG"", (IFERROR(INDEX(GOOGLEFINANCE($C132, ""price"", WORKDAY(INT($B132), 20)), 2, 2), """")-$G132)/$G132, ($G132-I"&amp;"FERROR(INDEX(GOOGLEFINANCE($C132, ""price"", WORKDAY(INT($B132), 20)), 2, 2), """"))/$G132)), """")"),"")</f>
        <v/>
      </c>
      <c r="Q132" s="5" t="s">
        <v>1312</v>
      </c>
      <c r="R132" s="5" t="s">
        <v>125</v>
      </c>
      <c r="S132" s="5" t="s">
        <v>1313</v>
      </c>
      <c r="T132" s="5" t="s">
        <v>51</v>
      </c>
      <c r="U132" s="5"/>
      <c r="V132" s="5"/>
      <c r="W132" s="5"/>
      <c r="X132" s="5"/>
      <c r="Y132" s="5"/>
      <c r="Z132" s="5"/>
    </row>
    <row r="133">
      <c r="A133" s="3">
        <f t="shared" si="1"/>
        <v>132</v>
      </c>
      <c r="B133" s="4">
        <v>46213.6674537037</v>
      </c>
      <c r="C133" s="5" t="s">
        <v>80</v>
      </c>
      <c r="D133" s="5" t="s">
        <v>36</v>
      </c>
      <c r="E133" s="5" t="s">
        <v>37</v>
      </c>
      <c r="F133" s="6">
        <v>2.0</v>
      </c>
      <c r="G133" s="7">
        <v>247.97</v>
      </c>
      <c r="H133" s="5" t="s">
        <v>1314</v>
      </c>
      <c r="I133" s="5">
        <v>94.7</v>
      </c>
      <c r="J133" s="3"/>
      <c r="K133" s="5" t="s">
        <v>40</v>
      </c>
      <c r="L133" s="8">
        <f>IFERROR(__xludf.DUMMYFUNCTION("IFERROR(GOOGLEFINANCE(C133, ""price""), IFERROR(GOOGLEFINANCE(""NASDAQ:""&amp;C133, ""price""), IFERROR(GOOGLEFINANCE(""NYSE:""&amp;C133, ""price""), """")))"),243.87)</f>
        <v>243.87</v>
      </c>
      <c r="M133" s="12">
        <f t="shared" si="3"/>
        <v>-0.01653425818</v>
      </c>
      <c r="N133" s="12">
        <f>IFERROR(__xludf.DUMMYFUNCTION("IFERROR(IF(OR(ISBLANK($G133), IFERROR(INDEX(GOOGLEFINANCE($C133, ""price"", WORKDAY(INT($B133), 1)), 2, 2), """")=""""), """", IF($D133=""LONG"", (IFERROR(INDEX(GOOGLEFINANCE($C133, ""price"", WORKDAY(INT($B133), 1)), 2, 2), """")-$G133)/$G133, ($G133-IFE"&amp;"RROR(INDEX(GOOGLEFINANCE($C133, ""price"", WORKDAY(INT($B133), 1)), 2, 2), """"))/$G133)), """")"),1.2098237690043609E-4)</f>
        <v>0.0001209823769</v>
      </c>
      <c r="O133" s="12">
        <f>IFERROR(__xludf.DUMMYFUNCTION("IFERROR(IF(OR(ISBLANK($G133), IFERROR(INDEX(GOOGLEFINANCE($C133, ""price"", WORKDAY(INT($B133), 5)), 2, 2), """")=""""), """", IF($D133=""LONG"", (IFERROR(INDEX(GOOGLEFINANCE($C133, ""price"", WORKDAY(INT($B133), 5)), 2, 2), """")-$G133)/$G133, ($G133-IFE"&amp;"RROR(INDEX(GOOGLEFINANCE($C133, ""price"", WORKDAY(INT($B133), 5)), 2, 2), """"))/$G133)), """")"),0.026293503246360487)</f>
        <v>0.02629350325</v>
      </c>
      <c r="P133" s="12" t="str">
        <f>IFERROR(__xludf.DUMMYFUNCTION("IFERROR(IF(OR(ISBLANK($G133), IFERROR(INDEX(GOOGLEFINANCE($C133, ""price"", WORKDAY(INT($B133), 20)), 2, 2), """")=""""), """", IF($D133=""LONG"", (IFERROR(INDEX(GOOGLEFINANCE($C133, ""price"", WORKDAY(INT($B133), 20)), 2, 2), """")-$G133)/$G133, ($G133-I"&amp;"FERROR(INDEX(GOOGLEFINANCE($C133, ""price"", WORKDAY(INT($B133), 20)), 2, 2), """"))/$G133)), """")"),"")</f>
        <v/>
      </c>
      <c r="Q133" s="5" t="s">
        <v>1320</v>
      </c>
      <c r="R133" s="21" t="s">
        <v>176</v>
      </c>
      <c r="S133" s="21" t="s">
        <v>1322</v>
      </c>
      <c r="T133" s="21" t="s">
        <v>51</v>
      </c>
      <c r="U133" s="21"/>
      <c r="V133" s="21"/>
      <c r="W133" s="21"/>
      <c r="X133" s="21"/>
      <c r="Y133" s="21"/>
      <c r="Z133" s="21"/>
    </row>
    <row r="134">
      <c r="A134" s="3">
        <f t="shared" si="1"/>
        <v>133</v>
      </c>
      <c r="B134" s="4">
        <v>46213.66753472222</v>
      </c>
      <c r="C134" s="5" t="s">
        <v>69</v>
      </c>
      <c r="D134" s="5" t="s">
        <v>36</v>
      </c>
      <c r="E134" s="5" t="s">
        <v>37</v>
      </c>
      <c r="F134" s="6">
        <v>2.0</v>
      </c>
      <c r="G134" s="7">
        <v>257.02</v>
      </c>
      <c r="H134" s="5" t="s">
        <v>1325</v>
      </c>
      <c r="I134" s="5">
        <v>95.5</v>
      </c>
      <c r="J134" s="3"/>
      <c r="K134" s="5" t="s">
        <v>40</v>
      </c>
      <c r="L134" s="8">
        <f>IFERROR(__xludf.DUMMYFUNCTION("IFERROR(GOOGLEFINANCE(C134, ""price""), IFERROR(GOOGLEFINANCE(""NASDAQ:""&amp;C134, ""price""), IFERROR(GOOGLEFINANCE(""NYSE:""&amp;C134, ""price""), """")))"),256.98)</f>
        <v>256.98</v>
      </c>
      <c r="M134" s="12">
        <f t="shared" si="3"/>
        <v>-0.0001556299121</v>
      </c>
      <c r="N134" s="12">
        <f>IFERROR(__xludf.DUMMYFUNCTION("IFERROR(IF(OR(ISBLANK($G134), IFERROR(INDEX(GOOGLEFINANCE($C134, ""price"", WORKDAY(INT($B134), 1)), 2, 2), """")=""""), """", IF($D134=""LONG"", (IFERROR(INDEX(GOOGLEFINANCE($C134, ""price"", WORKDAY(INT($B134), 1)), 2, 2), """")-$G134)/$G134, ($G134-IFE"&amp;"RROR(INDEX(GOOGLEFINANCE($C134, ""price"", WORKDAY(INT($B134), 1)), 2, 2), """"))/$G134)), """")"),0.002918060851295619)</f>
        <v>0.002918060851</v>
      </c>
      <c r="O134" s="12">
        <f>IFERROR(__xludf.DUMMYFUNCTION("IFERROR(IF(OR(ISBLANK($G134), IFERROR(INDEX(GOOGLEFINANCE($C134, ""price"", WORKDAY(INT($B134), 5)), 2, 2), """")=""""), """", IF($D134=""LONG"", (IFERROR(INDEX(GOOGLEFINANCE($C134, ""price"", WORKDAY(INT($B134), 5)), 2, 2), """")-$G134)/$G134, ($G134-IFE"&amp;"RROR(INDEX(GOOGLEFINANCE($C134, ""price"", WORKDAY(INT($B134), 5)), 2, 2), """"))/$G134)), """")"),-0.01548517625087538)</f>
        <v>-0.01548517625</v>
      </c>
      <c r="P134" s="12" t="str">
        <f>IFERROR(__xludf.DUMMYFUNCTION("IFERROR(IF(OR(ISBLANK($G134), IFERROR(INDEX(GOOGLEFINANCE($C134, ""price"", WORKDAY(INT($B134), 20)), 2, 2), """")=""""), """", IF($D134=""LONG"", (IFERROR(INDEX(GOOGLEFINANCE($C134, ""price"", WORKDAY(INT($B134), 20)), 2, 2), """")-$G134)/$G134, ($G134-I"&amp;"FERROR(INDEX(GOOGLEFINANCE($C134, ""price"", WORKDAY(INT($B134), 20)), 2, 2), """"))/$G134)), """")"),"")</f>
        <v/>
      </c>
      <c r="Q134" s="5" t="s">
        <v>1338</v>
      </c>
      <c r="R134" s="21" t="s">
        <v>240</v>
      </c>
      <c r="S134" s="21" t="s">
        <v>1339</v>
      </c>
      <c r="T134" s="21" t="s">
        <v>51</v>
      </c>
      <c r="U134" s="21"/>
      <c r="V134" s="21"/>
      <c r="W134" s="21"/>
      <c r="X134" s="21"/>
      <c r="Y134" s="21"/>
      <c r="Z134" s="21"/>
    </row>
    <row r="135">
      <c r="A135" s="3">
        <f t="shared" si="1"/>
        <v>134</v>
      </c>
      <c r="B135" s="4">
        <v>46213.66773148148</v>
      </c>
      <c r="C135" s="5" t="s">
        <v>269</v>
      </c>
      <c r="D135" s="5" t="s">
        <v>36</v>
      </c>
      <c r="E135" s="5" t="s">
        <v>37</v>
      </c>
      <c r="F135" s="6">
        <v>2.0</v>
      </c>
      <c r="G135" s="7">
        <v>180.21</v>
      </c>
      <c r="H135" s="5" t="s">
        <v>1340</v>
      </c>
      <c r="I135" s="5">
        <v>86.1</v>
      </c>
      <c r="J135" s="3"/>
      <c r="K135" s="5" t="s">
        <v>40</v>
      </c>
      <c r="L135" s="8">
        <f>IFERROR(__xludf.DUMMYFUNCTION("IFERROR(GOOGLEFINANCE(C135, ""price""), IFERROR(GOOGLEFINANCE(""NASDAQ:""&amp;C135, ""price""), IFERROR(GOOGLEFINANCE(""NYSE:""&amp;C135, ""price""), """")))"),184.92)</f>
        <v>184.92</v>
      </c>
      <c r="M135" s="12">
        <f t="shared" si="3"/>
        <v>0.02613617446</v>
      </c>
      <c r="N135" s="12">
        <f>IFERROR(__xludf.DUMMYFUNCTION("IFERROR(IF(OR(ISBLANK($G135), IFERROR(INDEX(GOOGLEFINANCE($C135, ""price"", WORKDAY(INT($B135), 1)), 2, 2), """")=""""), """", IF($D135=""LONG"", (IFERROR(INDEX(GOOGLEFINANCE($C135, ""price"", WORKDAY(INT($B135), 1)), 2, 2), """")-$G135)/$G135, ($G135-IFE"&amp;"RROR(INDEX(GOOGLEFINANCE($C135, ""price"", WORKDAY(INT($B135), 1)), 2, 2), """"))/$G135)), """")"),-0.011320126519061209)</f>
        <v>-0.01132012652</v>
      </c>
      <c r="O135" s="12">
        <f>IFERROR(__xludf.DUMMYFUNCTION("IFERROR(IF(OR(ISBLANK($G135), IFERROR(INDEX(GOOGLEFINANCE($C135, ""price"", WORKDAY(INT($B135), 5)), 2, 2), """")=""""), """", IF($D135=""LONG"", (IFERROR(INDEX(GOOGLEFINANCE($C135, ""price"", WORKDAY(INT($B135), 5)), 2, 2), """")-$G135)/$G135, ($G135-IFE"&amp;"RROR(INDEX(GOOGLEFINANCE($C135, ""price"", WORKDAY(INT($B135), 5)), 2, 2), """"))/$G135)), """")"),0.012707396925808735)</f>
        <v>0.01270739693</v>
      </c>
      <c r="P135" s="12" t="str">
        <f>IFERROR(__xludf.DUMMYFUNCTION("IFERROR(IF(OR(ISBLANK($G135), IFERROR(INDEX(GOOGLEFINANCE($C135, ""price"", WORKDAY(INT($B135), 20)), 2, 2), """")=""""), """", IF($D135=""LONG"", (IFERROR(INDEX(GOOGLEFINANCE($C135, ""price"", WORKDAY(INT($B135), 20)), 2, 2), """")-$G135)/$G135, ($G135-I"&amp;"FERROR(INDEX(GOOGLEFINANCE($C135, ""price"", WORKDAY(INT($B135), 20)), 2, 2), """"))/$G135)), """")"),"")</f>
        <v/>
      </c>
      <c r="Q135" s="5" t="s">
        <v>1346</v>
      </c>
      <c r="R135" s="21" t="s">
        <v>722</v>
      </c>
      <c r="S135" s="21" t="s">
        <v>1347</v>
      </c>
      <c r="T135" s="21" t="s">
        <v>51</v>
      </c>
      <c r="U135" s="21"/>
      <c r="V135" s="21"/>
      <c r="W135" s="21"/>
      <c r="X135" s="21"/>
      <c r="Y135" s="21"/>
      <c r="Z135" s="21"/>
    </row>
    <row r="136">
      <c r="A136" s="3">
        <f t="shared" si="1"/>
        <v>135</v>
      </c>
      <c r="B136" s="4">
        <v>46213.66752314815</v>
      </c>
      <c r="C136" s="5" t="s">
        <v>278</v>
      </c>
      <c r="D136" s="5" t="s">
        <v>36</v>
      </c>
      <c r="E136" s="5" t="s">
        <v>37</v>
      </c>
      <c r="F136" s="6">
        <v>2.0</v>
      </c>
      <c r="G136" s="7">
        <v>77.52</v>
      </c>
      <c r="H136" s="5" t="s">
        <v>1349</v>
      </c>
      <c r="I136" s="5">
        <v>87.9</v>
      </c>
      <c r="J136" s="3"/>
      <c r="K136" s="5" t="s">
        <v>40</v>
      </c>
      <c r="L136" s="8">
        <f>IFERROR(__xludf.DUMMYFUNCTION("IFERROR(GOOGLEFINANCE(C136, ""price""), IFERROR(GOOGLEFINANCE(""NASDAQ:""&amp;C136, ""price""), IFERROR(GOOGLEFINANCE(""NYSE:""&amp;C136, ""price""), """")))"),84.55)</f>
        <v>84.55</v>
      </c>
      <c r="M136" s="12">
        <f t="shared" si="3"/>
        <v>0.09068627451</v>
      </c>
      <c r="N136" s="12">
        <f>IFERROR(__xludf.DUMMYFUNCTION("IFERROR(IF(OR(ISBLANK($G136), IFERROR(INDEX(GOOGLEFINANCE($C136, ""price"", WORKDAY(INT($B136), 1)), 2, 2), """")=""""), """", IF($D136=""LONG"", (IFERROR(INDEX(GOOGLEFINANCE($C136, ""price"", WORKDAY(INT($B136), 1)), 2, 2), """")-$G136)/$G136, ($G136-IFE"&amp;"RROR(INDEX(GOOGLEFINANCE($C136, ""price"", WORKDAY(INT($B136), 1)), 2, 2), """"))/$G136)), """")"),-0.03121775025799796)</f>
        <v>-0.03121775026</v>
      </c>
      <c r="O136" s="12">
        <f>IFERROR(__xludf.DUMMYFUNCTION("IFERROR(IF(OR(ISBLANK($G136), IFERROR(INDEX(GOOGLEFINANCE($C136, ""price"", WORKDAY(INT($B136), 5)), 2, 2), """")=""""), """", IF($D136=""LONG"", (IFERROR(INDEX(GOOGLEFINANCE($C136, ""price"", WORKDAY(INT($B136), 5)), 2, 2), """")-$G136)/$G136, ($G136-IFE"&amp;"RROR(INDEX(GOOGLEFINANCE($C136, ""price"", WORKDAY(INT($B136), 5)), 2, 2), """"))/$G136)), """")"),0.008771929824561491)</f>
        <v>0.008771929825</v>
      </c>
      <c r="P136" s="12" t="str">
        <f>IFERROR(__xludf.DUMMYFUNCTION("IFERROR(IF(OR(ISBLANK($G136), IFERROR(INDEX(GOOGLEFINANCE($C136, ""price"", WORKDAY(INT($B136), 20)), 2, 2), """")=""""), """", IF($D136=""LONG"", (IFERROR(INDEX(GOOGLEFINANCE($C136, ""price"", WORKDAY(INT($B136), 20)), 2, 2), """")-$G136)/$G136, ($G136-I"&amp;"FERROR(INDEX(GOOGLEFINANCE($C136, ""price"", WORKDAY(INT($B136), 20)), 2, 2), """"))/$G136)), """")"),"")</f>
        <v/>
      </c>
      <c r="Q136" s="5" t="s">
        <v>1353</v>
      </c>
      <c r="R136" s="21" t="s">
        <v>125</v>
      </c>
      <c r="S136" s="21" t="s">
        <v>1354</v>
      </c>
      <c r="T136" s="21" t="s">
        <v>51</v>
      </c>
      <c r="U136" s="21"/>
      <c r="V136" s="21"/>
      <c r="W136" s="21"/>
      <c r="X136" s="21"/>
      <c r="Y136" s="21"/>
      <c r="Z136" s="21"/>
    </row>
    <row r="137">
      <c r="A137" s="3">
        <f t="shared" si="1"/>
        <v>136</v>
      </c>
      <c r="B137" s="4">
        <v>46213.66777777778</v>
      </c>
      <c r="C137" s="5" t="s">
        <v>331</v>
      </c>
      <c r="D137" s="5" t="s">
        <v>36</v>
      </c>
      <c r="E137" s="5" t="s">
        <v>37</v>
      </c>
      <c r="F137" s="6">
        <v>2.0</v>
      </c>
      <c r="G137" s="7">
        <v>251.89</v>
      </c>
      <c r="H137" s="5" t="s">
        <v>1357</v>
      </c>
      <c r="I137" s="5">
        <v>93.7</v>
      </c>
      <c r="J137" s="3"/>
      <c r="K137" s="5" t="s">
        <v>40</v>
      </c>
      <c r="L137" s="8">
        <f>IFERROR(__xludf.DUMMYFUNCTION("IFERROR(GOOGLEFINANCE(C137, ""price""), IFERROR(GOOGLEFINANCE(""NASDAQ:""&amp;C137, ""price""), IFERROR(GOOGLEFINANCE(""NYSE:""&amp;C137, ""price""), """")))"),252.76)</f>
        <v>252.76</v>
      </c>
      <c r="M137" s="12">
        <f t="shared" si="3"/>
        <v>0.003453888602</v>
      </c>
      <c r="N137" s="12">
        <f>IFERROR(__xludf.DUMMYFUNCTION("IFERROR(IF(OR(ISBLANK($G137), IFERROR(INDEX(GOOGLEFINANCE($C137, ""price"", WORKDAY(INT($B137), 1)), 2, 2), """")=""""), """", IF($D137=""LONG"", (IFERROR(INDEX(GOOGLEFINANCE($C137, ""price"", WORKDAY(INT($B137), 1)), 2, 2), """")-$G137)/$G137, ($G137-IFE"&amp;"RROR(INDEX(GOOGLEFINANCE($C137, ""price"", WORKDAY(INT($B137), 1)), 2, 2), """"))/$G137)), """")"),0.0038111874230815357)</f>
        <v>0.003811187423</v>
      </c>
      <c r="O137" s="12">
        <f>IFERROR(__xludf.DUMMYFUNCTION("IFERROR(IF(OR(ISBLANK($G137), IFERROR(INDEX(GOOGLEFINANCE($C137, ""price"", WORKDAY(INT($B137), 5)), 2, 2), """")=""""), """", IF($D137=""LONG"", (IFERROR(INDEX(GOOGLEFINANCE($C137, ""price"", WORKDAY(INT($B137), 5)), 2, 2), """")-$G137)/$G137, ($G137-IFE"&amp;"RROR(INDEX(GOOGLEFINANCE($C137, ""price"", WORKDAY(INT($B137), 5)), 2, 2), """"))/$G137)), """")"),0.003850887292072045)</f>
        <v>0.003850887292</v>
      </c>
      <c r="P137" s="12" t="str">
        <f>IFERROR(__xludf.DUMMYFUNCTION("IFERROR(IF(OR(ISBLANK($G137), IFERROR(INDEX(GOOGLEFINANCE($C137, ""price"", WORKDAY(INT($B137), 20)), 2, 2), """")=""""), """", IF($D137=""LONG"", (IFERROR(INDEX(GOOGLEFINANCE($C137, ""price"", WORKDAY(INT($B137), 20)), 2, 2), """")-$G137)/$G137, ($G137-I"&amp;"FERROR(INDEX(GOOGLEFINANCE($C137, ""price"", WORKDAY(INT($B137), 20)), 2, 2), """"))/$G137)), """")"),"")</f>
        <v/>
      </c>
      <c r="Q137" s="5" t="s">
        <v>1362</v>
      </c>
      <c r="R137" s="21" t="s">
        <v>240</v>
      </c>
      <c r="S137" s="21" t="s">
        <v>1363</v>
      </c>
      <c r="T137" s="21" t="s">
        <v>51</v>
      </c>
      <c r="U137" s="21"/>
      <c r="V137" s="21"/>
      <c r="W137" s="21"/>
      <c r="X137" s="21"/>
      <c r="Y137" s="21"/>
      <c r="Z137" s="21"/>
    </row>
    <row r="138">
      <c r="A138" s="3">
        <f t="shared" si="1"/>
        <v>137</v>
      </c>
      <c r="B138" s="4">
        <v>46213.66768518519</v>
      </c>
      <c r="C138" s="5" t="s">
        <v>539</v>
      </c>
      <c r="D138" s="5" t="s">
        <v>36</v>
      </c>
      <c r="E138" s="5" t="s">
        <v>133</v>
      </c>
      <c r="F138" s="6">
        <v>2.0</v>
      </c>
      <c r="G138" s="7">
        <v>25.91</v>
      </c>
      <c r="H138" s="5" t="s">
        <v>1366</v>
      </c>
      <c r="I138" s="5">
        <v>93.5</v>
      </c>
      <c r="J138" s="3"/>
      <c r="K138" s="5" t="s">
        <v>40</v>
      </c>
      <c r="L138" s="8">
        <f>IFERROR(__xludf.DUMMYFUNCTION("IFERROR(GOOGLEFINANCE(C138, ""price""), IFERROR(GOOGLEFINANCE(""NASDAQ:""&amp;C138, ""price""), IFERROR(GOOGLEFINANCE(""NYSE:""&amp;C138, ""price""), """")))"),28.1)</f>
        <v>28.1</v>
      </c>
      <c r="M138" s="12">
        <f t="shared" si="3"/>
        <v>0.08452335006</v>
      </c>
      <c r="N138" s="12">
        <f>IFERROR(__xludf.DUMMYFUNCTION("IFERROR(IF(OR(ISBLANK($G138), IFERROR(INDEX(GOOGLEFINANCE($C138, ""price"", WORKDAY(INT($B138), 1)), 2, 2), """")=""""), """", IF($D138=""LONG"", (IFERROR(INDEX(GOOGLEFINANCE($C138, ""price"", WORKDAY(INT($B138), 1)), 2, 2), """")-$G138)/$G138, ($G138-IFE"&amp;"RROR(INDEX(GOOGLEFINANCE($C138, ""price"", WORKDAY(INT($B138), 1)), 2, 2), """"))/$G138)), """")"),0.0096487842531841)</f>
        <v>0.009648784253</v>
      </c>
      <c r="O138" s="12">
        <f>IFERROR(__xludf.DUMMYFUNCTION("IFERROR(IF(OR(ISBLANK($G138), IFERROR(INDEX(GOOGLEFINANCE($C138, ""price"", WORKDAY(INT($B138), 5)), 2, 2), """")=""""), """", IF($D138=""LONG"", (IFERROR(INDEX(GOOGLEFINANCE($C138, ""price"", WORKDAY(INT($B138), 5)), 2, 2), """")-$G138)/$G138, ($G138-IFE"&amp;"RROR(INDEX(GOOGLEFINANCE($C138, ""price"", WORKDAY(INT($B138), 5)), 2, 2), """"))/$G138)), """")"),0.03203396372057114)</f>
        <v>0.03203396372</v>
      </c>
      <c r="P138" s="12" t="str">
        <f>IFERROR(__xludf.DUMMYFUNCTION("IFERROR(IF(OR(ISBLANK($G138), IFERROR(INDEX(GOOGLEFINANCE($C138, ""price"", WORKDAY(INT($B138), 20)), 2, 2), """")=""""), """", IF($D138=""LONG"", (IFERROR(INDEX(GOOGLEFINANCE($C138, ""price"", WORKDAY(INT($B138), 20)), 2, 2), """")-$G138)/$G138, ($G138-I"&amp;"FERROR(INDEX(GOOGLEFINANCE($C138, ""price"", WORKDAY(INT($B138), 20)), 2, 2), """"))/$G138)), """")"),"")</f>
        <v/>
      </c>
      <c r="Q138" s="5" t="s">
        <v>1370</v>
      </c>
      <c r="R138" s="21" t="s">
        <v>525</v>
      </c>
      <c r="S138" s="21" t="s">
        <v>1372</v>
      </c>
      <c r="T138" s="21" t="s">
        <v>51</v>
      </c>
      <c r="U138" s="21"/>
      <c r="V138" s="21"/>
      <c r="W138" s="21"/>
      <c r="X138" s="21"/>
      <c r="Y138" s="21"/>
      <c r="Z138" s="21"/>
    </row>
    <row r="139">
      <c r="A139" s="3">
        <f t="shared" si="1"/>
        <v>138</v>
      </c>
      <c r="B139" s="4">
        <v>46213.66762731481</v>
      </c>
      <c r="C139" s="5" t="s">
        <v>234</v>
      </c>
      <c r="D139" s="5" t="s">
        <v>36</v>
      </c>
      <c r="E139" s="5" t="s">
        <v>37</v>
      </c>
      <c r="F139" s="6">
        <v>2.0</v>
      </c>
      <c r="G139" s="7">
        <v>62.42</v>
      </c>
      <c r="H139" s="5" t="s">
        <v>1376</v>
      </c>
      <c r="I139" s="5">
        <v>93.2</v>
      </c>
      <c r="J139" s="3"/>
      <c r="K139" s="5" t="s">
        <v>40</v>
      </c>
      <c r="L139" s="8">
        <f>IFERROR(__xludf.DUMMYFUNCTION("IFERROR(GOOGLEFINANCE(C139, ""price""), IFERROR(GOOGLEFINANCE(""NASDAQ:""&amp;C139, ""price""), IFERROR(GOOGLEFINANCE(""NYSE:""&amp;C139, ""price""), """")))"),63.81)</f>
        <v>63.81</v>
      </c>
      <c r="M139" s="12">
        <f t="shared" si="3"/>
        <v>0.02226850368</v>
      </c>
      <c r="N139" s="12">
        <f>IFERROR(__xludf.DUMMYFUNCTION("IFERROR(IF(OR(ISBLANK($G139), IFERROR(INDEX(GOOGLEFINANCE($C139, ""price"", WORKDAY(INT($B139), 1)), 2, 2), """")=""""), """", IF($D139=""LONG"", (IFERROR(INDEX(GOOGLEFINANCE($C139, ""price"", WORKDAY(INT($B139), 1)), 2, 2), """")-$G139)/$G139, ($G139-IFE"&amp;"RROR(INDEX(GOOGLEFINANCE($C139, ""price"", WORKDAY(INT($B139), 1)), 2, 2), """"))/$G139)), """")"),-0.0012816404998397676)</f>
        <v>-0.0012816405</v>
      </c>
      <c r="O139" s="12">
        <f>IFERROR(__xludf.DUMMYFUNCTION("IFERROR(IF(OR(ISBLANK($G139), IFERROR(INDEX(GOOGLEFINANCE($C139, ""price"", WORKDAY(INT($B139), 5)), 2, 2), """")=""""), """", IF($D139=""LONG"", (IFERROR(INDEX(GOOGLEFINANCE($C139, ""price"", WORKDAY(INT($B139), 5)), 2, 2), """")-$G139)/$G139, ($G139-IFE"&amp;"RROR(INDEX(GOOGLEFINANCE($C139, ""price"", WORKDAY(INT($B139), 5)), 2, 2), """"))/$G139)), """")"),0.011534764498558135)</f>
        <v>0.0115347645</v>
      </c>
      <c r="P139" s="12" t="str">
        <f>IFERROR(__xludf.DUMMYFUNCTION("IFERROR(IF(OR(ISBLANK($G139), IFERROR(INDEX(GOOGLEFINANCE($C139, ""price"", WORKDAY(INT($B139), 20)), 2, 2), """")=""""), """", IF($D139=""LONG"", (IFERROR(INDEX(GOOGLEFINANCE($C139, ""price"", WORKDAY(INT($B139), 20)), 2, 2), """")-$G139)/$G139, ($G139-I"&amp;"FERROR(INDEX(GOOGLEFINANCE($C139, ""price"", WORKDAY(INT($B139), 20)), 2, 2), """"))/$G139)), """")"),"")</f>
        <v/>
      </c>
      <c r="Q139" s="5" t="s">
        <v>1378</v>
      </c>
      <c r="R139" s="21" t="s">
        <v>525</v>
      </c>
      <c r="S139" s="21" t="s">
        <v>1380</v>
      </c>
      <c r="T139" s="21" t="s">
        <v>51</v>
      </c>
      <c r="U139" s="21"/>
      <c r="V139" s="21"/>
      <c r="W139" s="21"/>
      <c r="X139" s="21"/>
      <c r="Y139" s="21"/>
      <c r="Z139" s="21"/>
    </row>
    <row r="140">
      <c r="A140" s="3">
        <f t="shared" si="1"/>
        <v>139</v>
      </c>
      <c r="B140" s="4">
        <v>46213.66738425926</v>
      </c>
      <c r="C140" s="5" t="s">
        <v>1183</v>
      </c>
      <c r="D140" s="5" t="s">
        <v>36</v>
      </c>
      <c r="E140" s="5" t="s">
        <v>37</v>
      </c>
      <c r="F140" s="6">
        <v>2.0</v>
      </c>
      <c r="G140" s="7">
        <v>183.47</v>
      </c>
      <c r="H140" s="5" t="s">
        <v>1383</v>
      </c>
      <c r="I140" s="5">
        <v>85.4</v>
      </c>
      <c r="J140" s="3"/>
      <c r="K140" s="5" t="s">
        <v>40</v>
      </c>
      <c r="L140" s="8">
        <f>IFERROR(__xludf.DUMMYFUNCTION("IFERROR(GOOGLEFINANCE(C140, ""price""), IFERROR(GOOGLEFINANCE(""NASDAQ:""&amp;C140, ""price""), IFERROR(GOOGLEFINANCE(""NYSE:""&amp;C140, ""price""), """")))"),184.14)</f>
        <v>184.14</v>
      </c>
      <c r="M140" s="12">
        <f t="shared" si="3"/>
        <v>0.003651823186</v>
      </c>
      <c r="N140" s="12">
        <f>IFERROR(__xludf.DUMMYFUNCTION("IFERROR(IF(OR(ISBLANK($G140), IFERROR(INDEX(GOOGLEFINANCE($C140, ""price"", WORKDAY(INT($B140), 1)), 2, 2), """")=""""), """", IF($D140=""LONG"", (IFERROR(INDEX(GOOGLEFINANCE($C140, ""price"", WORKDAY(INT($B140), 1)), 2, 2), """")-$G140)/$G140, ($G140-IFE"&amp;"RROR(INDEX(GOOGLEFINANCE($C140, ""price"", WORKDAY(INT($B140), 1)), 2, 2), """"))/$G140)), """")"),0.0034883087153213866)</f>
        <v>0.003488308715</v>
      </c>
      <c r="O140" s="12">
        <f>IFERROR(__xludf.DUMMYFUNCTION("IFERROR(IF(OR(ISBLANK($G140), IFERROR(INDEX(GOOGLEFINANCE($C140, ""price"", WORKDAY(INT($B140), 5)), 2, 2), """")=""""), """", IF($D140=""LONG"", (IFERROR(INDEX(GOOGLEFINANCE($C140, ""price"", WORKDAY(INT($B140), 5)), 2, 2), """")-$G140)/$G140, ($G140-IFE"&amp;"RROR(INDEX(GOOGLEFINANCE($C140, ""price"", WORKDAY(INT($B140), 5)), 2, 2), """"))/$G140)), """")"),0.0065950836649043875)</f>
        <v>0.006595083665</v>
      </c>
      <c r="P140" s="12" t="str">
        <f>IFERROR(__xludf.DUMMYFUNCTION("IFERROR(IF(OR(ISBLANK($G140), IFERROR(INDEX(GOOGLEFINANCE($C140, ""price"", WORKDAY(INT($B140), 20)), 2, 2), """")=""""), """", IF($D140=""LONG"", (IFERROR(INDEX(GOOGLEFINANCE($C140, ""price"", WORKDAY(INT($B140), 20)), 2, 2), """")-$G140)/$G140, ($G140-I"&amp;"FERROR(INDEX(GOOGLEFINANCE($C140, ""price"", WORKDAY(INT($B140), 20)), 2, 2), """"))/$G140)), """")"),"")</f>
        <v/>
      </c>
      <c r="Q140" s="5" t="s">
        <v>1387</v>
      </c>
      <c r="R140" s="21" t="s">
        <v>850</v>
      </c>
      <c r="S140" s="21" t="s">
        <v>1388</v>
      </c>
      <c r="T140" s="21" t="s">
        <v>51</v>
      </c>
      <c r="U140" s="21"/>
      <c r="V140" s="21"/>
      <c r="W140" s="21"/>
      <c r="X140" s="21"/>
      <c r="Y140" s="21"/>
      <c r="Z140" s="21"/>
    </row>
    <row r="141">
      <c r="A141" s="3">
        <f t="shared" si="1"/>
        <v>140</v>
      </c>
      <c r="B141" s="4">
        <v>46213.667546296296</v>
      </c>
      <c r="C141" s="5" t="s">
        <v>246</v>
      </c>
      <c r="D141" s="5" t="s">
        <v>36</v>
      </c>
      <c r="E141" s="5" t="s">
        <v>37</v>
      </c>
      <c r="F141" s="6">
        <v>2.0</v>
      </c>
      <c r="G141" s="7">
        <v>602.55</v>
      </c>
      <c r="H141" s="5" t="s">
        <v>1394</v>
      </c>
      <c r="I141" s="5">
        <v>85.2</v>
      </c>
      <c r="J141" s="3"/>
      <c r="K141" s="5" t="s">
        <v>40</v>
      </c>
      <c r="L141" s="8">
        <f>IFERROR(__xludf.DUMMYFUNCTION("IFERROR(GOOGLEFINANCE(C141, ""price""), IFERROR(GOOGLEFINANCE(""NASDAQ:""&amp;C141, ""price""), IFERROR(GOOGLEFINANCE(""NYSE:""&amp;C141, ""price""), """")))"),527.48)</f>
        <v>527.48</v>
      </c>
      <c r="M141" s="12">
        <f t="shared" si="3"/>
        <v>-0.1245871712</v>
      </c>
      <c r="N141" s="12">
        <f>IFERROR(__xludf.DUMMYFUNCTION("IFERROR(IF(OR(ISBLANK($G141), IFERROR(INDEX(GOOGLEFINANCE($C141, ""price"", WORKDAY(INT($B141), 1)), 2, 2), """")=""""), """", IF($D141=""LONG"", (IFERROR(INDEX(GOOGLEFINANCE($C141, ""price"", WORKDAY(INT($B141), 1)), 2, 2), """")-$G141)/$G141, ($G141-IFE"&amp;"RROR(INDEX(GOOGLEFINANCE($C141, ""price"", WORKDAY(INT($B141), 1)), 2, 2), """"))/$G141)), """")"),-0.04507509750228192)</f>
        <v>-0.0450750975</v>
      </c>
      <c r="O141" s="12">
        <f>IFERROR(__xludf.DUMMYFUNCTION("IFERROR(IF(OR(ISBLANK($G141), IFERROR(INDEX(GOOGLEFINANCE($C141, ""price"", WORKDAY(INT($B141), 5)), 2, 2), """")=""""), """", IF($D141=""LONG"", (IFERROR(INDEX(GOOGLEFINANCE($C141, ""price"", WORKDAY(INT($B141), 5)), 2, 2), """")-$G141)/$G141, ($G141-IFE"&amp;"RROR(INDEX(GOOGLEFINANCE($C141, ""price"", WORKDAY(INT($B141), 5)), 2, 2), """"))/$G141)), """")"),-0.12096921417309765)</f>
        <v>-0.1209692142</v>
      </c>
      <c r="P141" s="12" t="str">
        <f>IFERROR(__xludf.DUMMYFUNCTION("IFERROR(IF(OR(ISBLANK($G141), IFERROR(INDEX(GOOGLEFINANCE($C141, ""price"", WORKDAY(INT($B141), 20)), 2, 2), """")=""""), """", IF($D141=""LONG"", (IFERROR(INDEX(GOOGLEFINANCE($C141, ""price"", WORKDAY(INT($B141), 20)), 2, 2), """")-$G141)/$G141, ($G141-I"&amp;"FERROR(INDEX(GOOGLEFINANCE($C141, ""price"", WORKDAY(INT($B141), 20)), 2, 2), """"))/$G141)), """")"),"")</f>
        <v/>
      </c>
      <c r="Q141" s="5" t="s">
        <v>1398</v>
      </c>
      <c r="R141" s="21" t="s">
        <v>507</v>
      </c>
      <c r="S141" s="21" t="s">
        <v>1399</v>
      </c>
      <c r="T141" s="21" t="s">
        <v>51</v>
      </c>
      <c r="U141" s="21"/>
      <c r="V141" s="21"/>
      <c r="W141" s="21"/>
      <c r="X141" s="21"/>
      <c r="Y141" s="21"/>
      <c r="Z141" s="21"/>
    </row>
    <row r="142">
      <c r="A142" s="3">
        <f t="shared" si="1"/>
        <v>141</v>
      </c>
      <c r="B142" s="4">
        <v>46213.66763888889</v>
      </c>
      <c r="C142" s="5" t="s">
        <v>691</v>
      </c>
      <c r="D142" s="5" t="s">
        <v>36</v>
      </c>
      <c r="E142" s="5" t="s">
        <v>133</v>
      </c>
      <c r="F142" s="6">
        <v>2.0</v>
      </c>
      <c r="G142" s="7">
        <v>28.98</v>
      </c>
      <c r="H142" s="5" t="s">
        <v>1401</v>
      </c>
      <c r="I142" s="5">
        <v>58.2</v>
      </c>
      <c r="J142" s="3"/>
      <c r="K142" s="5" t="s">
        <v>40</v>
      </c>
      <c r="L142" s="8">
        <f>IFERROR(__xludf.DUMMYFUNCTION("IFERROR(GOOGLEFINANCE(C142, ""price""), IFERROR(GOOGLEFINANCE(""NASDAQ:""&amp;C142, ""price""), IFERROR(GOOGLEFINANCE(""NYSE:""&amp;C142, ""price""), """")))"),31.69)</f>
        <v>31.69</v>
      </c>
      <c r="M142" s="12">
        <f t="shared" si="3"/>
        <v>0.09351276743</v>
      </c>
      <c r="N142" s="12">
        <f>IFERROR(__xludf.DUMMYFUNCTION("IFERROR(IF(OR(ISBLANK($G142), IFERROR(INDEX(GOOGLEFINANCE($C142, ""price"", WORKDAY(INT($B142), 1)), 2, 2), """")=""""), """", IF($D142=""LONG"", (IFERROR(INDEX(GOOGLEFINANCE($C142, ""price"", WORKDAY(INT($B142), 1)), 2, 2), """")-$G142)/$G142, ($G142-IFE"&amp;"RROR(INDEX(GOOGLEFINANCE($C142, ""price"", WORKDAY(INT($B142), 1)), 2, 2), """"))/$G142)), """")"),-0.02001380262249834)</f>
        <v>-0.02001380262</v>
      </c>
      <c r="O142" s="12">
        <f>IFERROR(__xludf.DUMMYFUNCTION("IFERROR(IF(OR(ISBLANK($G142), IFERROR(INDEX(GOOGLEFINANCE($C142, ""price"", WORKDAY(INT($B142), 5)), 2, 2), """")=""""), """", IF($D142=""LONG"", (IFERROR(INDEX(GOOGLEFINANCE($C142, ""price"", WORKDAY(INT($B142), 5)), 2, 2), """")-$G142)/$G142, ($G142-IFE"&amp;"RROR(INDEX(GOOGLEFINANCE($C142, ""price"", WORKDAY(INT($B142), 5)), 2, 2), """"))/$G142)), """")"),0.02242926155969629)</f>
        <v>0.02242926156</v>
      </c>
      <c r="P142" s="12" t="str">
        <f>IFERROR(__xludf.DUMMYFUNCTION("IFERROR(IF(OR(ISBLANK($G142), IFERROR(INDEX(GOOGLEFINANCE($C142, ""price"", WORKDAY(INT($B142), 20)), 2, 2), """")=""""), """", IF($D142=""LONG"", (IFERROR(INDEX(GOOGLEFINANCE($C142, ""price"", WORKDAY(INT($B142), 20)), 2, 2), """")-$G142)/$G142, ($G142-I"&amp;"FERROR(INDEX(GOOGLEFINANCE($C142, ""price"", WORKDAY(INT($B142), 20)), 2, 2), """"))/$G142)), """")"),"")</f>
        <v/>
      </c>
      <c r="Q142" s="5" t="s">
        <v>1408</v>
      </c>
      <c r="R142" s="21" t="s">
        <v>722</v>
      </c>
      <c r="S142" s="21" t="s">
        <v>1409</v>
      </c>
      <c r="T142" s="21" t="s">
        <v>51</v>
      </c>
      <c r="U142" s="21"/>
      <c r="V142" s="21"/>
      <c r="W142" s="21"/>
      <c r="X142" s="21"/>
      <c r="Y142" s="21"/>
      <c r="Z142" s="21"/>
    </row>
    <row r="143">
      <c r="A143" s="3">
        <f t="shared" si="1"/>
        <v>142</v>
      </c>
      <c r="B143" s="4">
        <v>46213.66783564815</v>
      </c>
      <c r="C143" s="5" t="s">
        <v>548</v>
      </c>
      <c r="D143" s="5" t="s">
        <v>36</v>
      </c>
      <c r="E143" s="5" t="s">
        <v>37</v>
      </c>
      <c r="F143" s="6">
        <v>2.0</v>
      </c>
      <c r="G143" s="7">
        <v>90.66</v>
      </c>
      <c r="H143" s="5" t="s">
        <v>1412</v>
      </c>
      <c r="I143" s="5">
        <v>87.6</v>
      </c>
      <c r="J143" s="3"/>
      <c r="K143" s="5" t="s">
        <v>40</v>
      </c>
      <c r="L143" s="8">
        <f>IFERROR(__xludf.DUMMYFUNCTION("IFERROR(GOOGLEFINANCE(C143, ""price""), IFERROR(GOOGLEFINANCE(""NASDAQ:""&amp;C143, ""price""), IFERROR(GOOGLEFINANCE(""NYSE:""&amp;C143, ""price""), """")))"),92.26)</f>
        <v>92.26</v>
      </c>
      <c r="M143" s="12">
        <f t="shared" si="3"/>
        <v>0.0176483565</v>
      </c>
      <c r="N143" s="12">
        <f>IFERROR(__xludf.DUMMYFUNCTION("IFERROR(IF(OR(ISBLANK($G143), IFERROR(INDEX(GOOGLEFINANCE($C143, ""price"", WORKDAY(INT($B143), 1)), 2, 2), """")=""""), """", IF($D143=""LONG"", (IFERROR(INDEX(GOOGLEFINANCE($C143, ""price"", WORKDAY(INT($B143), 1)), 2, 2), """")-$G143)/$G143, ($G143-IFE"&amp;"RROR(INDEX(GOOGLEFINANCE($C143, ""price"", WORKDAY(INT($B143), 1)), 2, 2), """"))/$G143)), """")"),0.015442311934701145)</f>
        <v>0.01544231193</v>
      </c>
      <c r="O143" s="12">
        <f>IFERROR(__xludf.DUMMYFUNCTION("IFERROR(IF(OR(ISBLANK($G143), IFERROR(INDEX(GOOGLEFINANCE($C143, ""price"", WORKDAY(INT($B143), 5)), 2, 2), """")=""""), """", IF($D143=""LONG"", (IFERROR(INDEX(GOOGLEFINANCE($C143, ""price"", WORKDAY(INT($B143), 5)), 2, 2), """")-$G143)/$G143, ($G143-IFE"&amp;"RROR(INDEX(GOOGLEFINANCE($C143, ""price"", WORKDAY(INT($B143), 5)), 2, 2), """"))/$G143)), """")"),0.06000441208912418)</f>
        <v>0.06000441209</v>
      </c>
      <c r="P143" s="12" t="str">
        <f>IFERROR(__xludf.DUMMYFUNCTION("IFERROR(IF(OR(ISBLANK($G143), IFERROR(INDEX(GOOGLEFINANCE($C143, ""price"", WORKDAY(INT($B143), 20)), 2, 2), """")=""""), """", IF($D143=""LONG"", (IFERROR(INDEX(GOOGLEFINANCE($C143, ""price"", WORKDAY(INT($B143), 20)), 2, 2), """")-$G143)/$G143, ($G143-I"&amp;"FERROR(INDEX(GOOGLEFINANCE($C143, ""price"", WORKDAY(INT($B143), 20)), 2, 2), """"))/$G143)), """")"),"")</f>
        <v/>
      </c>
      <c r="Q143" s="5" t="s">
        <v>1418</v>
      </c>
      <c r="R143" s="21" t="s">
        <v>176</v>
      </c>
      <c r="S143" s="21" t="s">
        <v>1419</v>
      </c>
      <c r="T143" s="21" t="s">
        <v>51</v>
      </c>
      <c r="U143" s="21"/>
      <c r="V143" s="21"/>
      <c r="W143" s="21"/>
      <c r="X143" s="21"/>
      <c r="Y143" s="21"/>
      <c r="Z143" s="21"/>
    </row>
    <row r="144">
      <c r="A144" s="3">
        <f t="shared" si="1"/>
        <v>143</v>
      </c>
      <c r="B144" s="4">
        <v>46213.66775462963</v>
      </c>
      <c r="C144" s="5" t="s">
        <v>272</v>
      </c>
      <c r="D144" s="5" t="s">
        <v>36</v>
      </c>
      <c r="E144" s="5" t="s">
        <v>37</v>
      </c>
      <c r="F144" s="6">
        <v>2.0</v>
      </c>
      <c r="G144" s="7">
        <v>336.45</v>
      </c>
      <c r="H144" s="5" t="s">
        <v>1422</v>
      </c>
      <c r="I144" s="5">
        <v>94.5</v>
      </c>
      <c r="J144" s="3"/>
      <c r="K144" s="5" t="s">
        <v>40</v>
      </c>
      <c r="L144" s="8">
        <f>IFERROR(__xludf.DUMMYFUNCTION("IFERROR(GOOGLEFINANCE(C144, ""price""), IFERROR(GOOGLEFINANCE(""NASDAQ:""&amp;C144, ""price""), IFERROR(GOOGLEFINANCE(""NYSE:""&amp;C144, ""price""), """")))"),356.3)</f>
        <v>356.3</v>
      </c>
      <c r="M144" s="12">
        <f t="shared" si="3"/>
        <v>0.05899836528</v>
      </c>
      <c r="N144" s="12">
        <f>IFERROR(__xludf.DUMMYFUNCTION("IFERROR(IF(OR(ISBLANK($G144), IFERROR(INDEX(GOOGLEFINANCE($C144, ""price"", WORKDAY(INT($B144), 1)), 2, 2), """")=""""), """", IF($D144=""LONG"", (IFERROR(INDEX(GOOGLEFINANCE($C144, ""price"", WORKDAY(INT($B144), 1)), 2, 2), """")-$G144)/$G144, ($G144-IFE"&amp;"RROR(INDEX(GOOGLEFINANCE($C144, ""price"", WORKDAY(INT($B144), 1)), 2, 2), """"))/$G144)), """")"),-0.00570664288898801)</f>
        <v>-0.005706642889</v>
      </c>
      <c r="O144" s="12">
        <f>IFERROR(__xludf.DUMMYFUNCTION("IFERROR(IF(OR(ISBLANK($G144), IFERROR(INDEX(GOOGLEFINANCE($C144, ""price"", WORKDAY(INT($B144), 5)), 2, 2), """")=""""), """", IF($D144=""LONG"", (IFERROR(INDEX(GOOGLEFINANCE($C144, ""price"", WORKDAY(INT($B144), 5)), 2, 2), """")-$G144)/$G144, ($G144-IFE"&amp;"RROR(INDEX(GOOGLEFINANCE($C144, ""price"", WORKDAY(INT($B144), 5)), 2, 2), """"))/$G144)), """")"),0.013820775746767823)</f>
        <v>0.01382077575</v>
      </c>
      <c r="P144" s="12" t="str">
        <f>IFERROR(__xludf.DUMMYFUNCTION("IFERROR(IF(OR(ISBLANK($G144), IFERROR(INDEX(GOOGLEFINANCE($C144, ""price"", WORKDAY(INT($B144), 20)), 2, 2), """")=""""), """", IF($D144=""LONG"", (IFERROR(INDEX(GOOGLEFINANCE($C144, ""price"", WORKDAY(INT($B144), 20)), 2, 2), """")-$G144)/$G144, ($G144-I"&amp;"FERROR(INDEX(GOOGLEFINANCE($C144, ""price"", WORKDAY(INT($B144), 20)), 2, 2), """"))/$G144)), """")"),"")</f>
        <v/>
      </c>
      <c r="Q144" s="5" t="s">
        <v>1428</v>
      </c>
      <c r="R144" s="21" t="s">
        <v>219</v>
      </c>
      <c r="S144" s="21" t="s">
        <v>1429</v>
      </c>
      <c r="T144" s="21" t="s">
        <v>51</v>
      </c>
      <c r="U144" s="21"/>
      <c r="V144" s="21"/>
      <c r="W144" s="21"/>
      <c r="X144" s="21"/>
      <c r="Y144" s="21"/>
      <c r="Z144" s="21"/>
    </row>
    <row r="145">
      <c r="A145" s="3">
        <f t="shared" si="1"/>
        <v>144</v>
      </c>
      <c r="B145" s="4">
        <v>46213.66748842593</v>
      </c>
      <c r="C145" s="5" t="s">
        <v>299</v>
      </c>
      <c r="D145" s="5" t="s">
        <v>36</v>
      </c>
      <c r="E145" s="5" t="s">
        <v>37</v>
      </c>
      <c r="F145" s="6">
        <v>2.0</v>
      </c>
      <c r="G145" s="7">
        <v>39.74</v>
      </c>
      <c r="H145" s="5" t="s">
        <v>1431</v>
      </c>
      <c r="I145" s="5">
        <v>94.1</v>
      </c>
      <c r="J145" s="3"/>
      <c r="K145" s="5" t="s">
        <v>40</v>
      </c>
      <c r="L145" s="8">
        <f>IFERROR(__xludf.DUMMYFUNCTION("IFERROR(GOOGLEFINANCE(C145, ""price""), IFERROR(GOOGLEFINANCE(""NASDAQ:""&amp;C145, ""price""), IFERROR(GOOGLEFINANCE(""NYSE:""&amp;C145, ""price""), """")))"),38.14)</f>
        <v>38.14</v>
      </c>
      <c r="M145" s="12">
        <f t="shared" si="3"/>
        <v>-0.04026170106</v>
      </c>
      <c r="N145" s="12">
        <f>IFERROR(__xludf.DUMMYFUNCTION("IFERROR(IF(OR(ISBLANK($G145), IFERROR(INDEX(GOOGLEFINANCE($C145, ""price"", WORKDAY(INT($B145), 1)), 2, 2), """")=""""), """", IF($D145=""LONG"", (IFERROR(INDEX(GOOGLEFINANCE($C145, ""price"", WORKDAY(INT($B145), 1)), 2, 2), """")-$G145)/$G145, ($G145-IFE"&amp;"RROR(INDEX(GOOGLEFINANCE($C145, ""price"", WORKDAY(INT($B145), 1)), 2, 2), """"))/$G145)), """")"),0.011071967790639096)</f>
        <v>0.01107196779</v>
      </c>
      <c r="O145" s="12">
        <f>IFERROR(__xludf.DUMMYFUNCTION("IFERROR(IF(OR(ISBLANK($G145), IFERROR(INDEX(GOOGLEFINANCE($C145, ""price"", WORKDAY(INT($B145), 5)), 2, 2), """")=""""), """", IF($D145=""LONG"", (IFERROR(INDEX(GOOGLEFINANCE($C145, ""price"", WORKDAY(INT($B145), 5)), 2, 2), """")-$G145)/$G145, ($G145-IFE"&amp;"RROR(INDEX(GOOGLEFINANCE($C145, ""price"", WORKDAY(INT($B145), 5)), 2, 2), """"))/$G145)), """")"),5.032712632107705E-4)</f>
        <v>0.0005032712632</v>
      </c>
      <c r="P145" s="12" t="str">
        <f>IFERROR(__xludf.DUMMYFUNCTION("IFERROR(IF(OR(ISBLANK($G145), IFERROR(INDEX(GOOGLEFINANCE($C145, ""price"", WORKDAY(INT($B145), 20)), 2, 2), """")=""""), """", IF($D145=""LONG"", (IFERROR(INDEX(GOOGLEFINANCE($C145, ""price"", WORKDAY(INT($B145), 20)), 2, 2), """")-$G145)/$G145, ($G145-I"&amp;"FERROR(INDEX(GOOGLEFINANCE($C145, ""price"", WORKDAY(INT($B145), 20)), 2, 2), """"))/$G145)), """")"),"")</f>
        <v/>
      </c>
      <c r="Q145" s="5" t="s">
        <v>1435</v>
      </c>
      <c r="R145" s="21" t="s">
        <v>850</v>
      </c>
      <c r="S145" s="21" t="s">
        <v>1436</v>
      </c>
      <c r="T145" s="21" t="s">
        <v>51</v>
      </c>
      <c r="U145" s="21"/>
      <c r="V145" s="21"/>
      <c r="W145" s="21"/>
      <c r="X145" s="21"/>
      <c r="Y145" s="21"/>
      <c r="Z145" s="21"/>
    </row>
    <row r="146">
      <c r="A146" s="3">
        <f t="shared" si="1"/>
        <v>145</v>
      </c>
      <c r="B146" s="4">
        <v>46213.66755787037</v>
      </c>
      <c r="C146" s="5" t="s">
        <v>279</v>
      </c>
      <c r="D146" s="5" t="s">
        <v>36</v>
      </c>
      <c r="E146" s="5" t="s">
        <v>133</v>
      </c>
      <c r="F146" s="6">
        <v>2.0</v>
      </c>
      <c r="G146" s="7">
        <v>74.96</v>
      </c>
      <c r="H146" s="5" t="s">
        <v>1437</v>
      </c>
      <c r="I146" s="5">
        <v>84.9</v>
      </c>
      <c r="J146" s="3"/>
      <c r="K146" s="5" t="s">
        <v>40</v>
      </c>
      <c r="L146" s="8">
        <f>IFERROR(__xludf.DUMMYFUNCTION("IFERROR(GOOGLEFINANCE(C146, ""price""), IFERROR(GOOGLEFINANCE(""NASDAQ:""&amp;C146, ""price""), IFERROR(GOOGLEFINANCE(""NYSE:""&amp;C146, ""price""), """")))"),83.02)</f>
        <v>83.02</v>
      </c>
      <c r="M146" s="12">
        <f t="shared" si="3"/>
        <v>0.1075240128</v>
      </c>
      <c r="N146" s="12">
        <f>IFERROR(__xludf.DUMMYFUNCTION("IFERROR(IF(OR(ISBLANK($G146), IFERROR(INDEX(GOOGLEFINANCE($C146, ""price"", WORKDAY(INT($B146), 1)), 2, 2), """")=""""), """", IF($D146=""LONG"", (IFERROR(INDEX(GOOGLEFINANCE($C146, ""price"", WORKDAY(INT($B146), 1)), 2, 2), """")-$G146)/$G146, ($G146-IFE"&amp;"RROR(INDEX(GOOGLEFINANCE($C146, ""price"", WORKDAY(INT($B146), 1)), 2, 2), """"))/$G146)), """")"),0.018543223052294566)</f>
        <v>0.01854322305</v>
      </c>
      <c r="O146" s="12">
        <f>IFERROR(__xludf.DUMMYFUNCTION("IFERROR(IF(OR(ISBLANK($G146), IFERROR(INDEX(GOOGLEFINANCE($C146, ""price"", WORKDAY(INT($B146), 5)), 2, 2), """")=""""), """", IF($D146=""LONG"", (IFERROR(INDEX(GOOGLEFINANCE($C146, ""price"", WORKDAY(INT($B146), 5)), 2, 2), """")-$G146)/$G146, ($G146-IFE"&amp;"RROR(INDEX(GOOGLEFINANCE($C146, ""price"", WORKDAY(INT($B146), 5)), 2, 2), """"))/$G146)), """")"),0.022545357524012967)</f>
        <v>0.02254535752</v>
      </c>
      <c r="P146" s="12" t="str">
        <f>IFERROR(__xludf.DUMMYFUNCTION("IFERROR(IF(OR(ISBLANK($G146), IFERROR(INDEX(GOOGLEFINANCE($C146, ""price"", WORKDAY(INT($B146), 20)), 2, 2), """")=""""), """", IF($D146=""LONG"", (IFERROR(INDEX(GOOGLEFINANCE($C146, ""price"", WORKDAY(INT($B146), 20)), 2, 2), """")-$G146)/$G146, ($G146-I"&amp;"FERROR(INDEX(GOOGLEFINANCE($C146, ""price"", WORKDAY(INT($B146), 20)), 2, 2), """"))/$G146)), """")"),"")</f>
        <v/>
      </c>
      <c r="Q146" s="5" t="s">
        <v>1440</v>
      </c>
      <c r="R146" s="21" t="s">
        <v>704</v>
      </c>
      <c r="S146" s="21" t="s">
        <v>1441</v>
      </c>
      <c r="T146" s="21" t="s">
        <v>51</v>
      </c>
      <c r="U146" s="21"/>
      <c r="V146" s="21"/>
      <c r="W146" s="21"/>
      <c r="X146" s="21"/>
      <c r="Y146" s="21"/>
      <c r="Z146" s="21"/>
    </row>
    <row r="147">
      <c r="A147" s="3">
        <f t="shared" si="1"/>
        <v>146</v>
      </c>
      <c r="B147" s="4">
        <v>46213.66782407407</v>
      </c>
      <c r="C147" s="5" t="s">
        <v>300</v>
      </c>
      <c r="D147" s="5" t="s">
        <v>36</v>
      </c>
      <c r="E147" s="5" t="s">
        <v>37</v>
      </c>
      <c r="F147" s="6">
        <v>2.0</v>
      </c>
      <c r="G147" s="7">
        <v>287.64</v>
      </c>
      <c r="H147" s="5" t="s">
        <v>1442</v>
      </c>
      <c r="I147" s="5">
        <v>93.5</v>
      </c>
      <c r="J147" s="3"/>
      <c r="K147" s="5" t="s">
        <v>40</v>
      </c>
      <c r="L147" s="8">
        <f>IFERROR(__xludf.DUMMYFUNCTION("IFERROR(GOOGLEFINANCE(C147, ""price""), IFERROR(GOOGLEFINANCE(""NASDAQ:""&amp;C147, ""price""), IFERROR(GOOGLEFINANCE(""NYSE:""&amp;C147, ""price""), """")))"),233.43)</f>
        <v>233.43</v>
      </c>
      <c r="M147" s="12">
        <f t="shared" si="3"/>
        <v>-0.1884647476</v>
      </c>
      <c r="N147" s="12">
        <f>IFERROR(__xludf.DUMMYFUNCTION("IFERROR(IF(OR(ISBLANK($G147), IFERROR(INDEX(GOOGLEFINANCE($C147, ""price"", WORKDAY(INT($B147), 1)), 2, 2), """")=""""), """", IF($D147=""LONG"", (IFERROR(INDEX(GOOGLEFINANCE($C147, ""price"", WORKDAY(INT($B147), 1)), 2, 2), """")-$G147)/$G147, ($G147-IFE"&amp;"RROR(INDEX(GOOGLEFINANCE($C147, ""price"", WORKDAY(INT($B147), 1)), 2, 2), """"))/$G147)), """")"),0.009004310944235962)</f>
        <v>0.009004310944</v>
      </c>
      <c r="O147" s="12">
        <f>IFERROR(__xludf.DUMMYFUNCTION("IFERROR(IF(OR(ISBLANK($G147), IFERROR(INDEX(GOOGLEFINANCE($C147, ""price"", WORKDAY(INT($B147), 5)), 2, 2), """")=""""), """", IF($D147=""LONG"", (IFERROR(INDEX(GOOGLEFINANCE($C147, ""price"", WORKDAY(INT($B147), 5)), 2, 2), """")-$G147)/$G147, ($G147-IFE"&amp;"RROR(INDEX(GOOGLEFINANCE($C147, ""price"", WORKDAY(INT($B147), 5)), 2, 2), """"))/$G147)), """")"),-0.26063829787234044)</f>
        <v>-0.2606382979</v>
      </c>
      <c r="P147" s="12" t="str">
        <f>IFERROR(__xludf.DUMMYFUNCTION("IFERROR(IF(OR(ISBLANK($G147), IFERROR(INDEX(GOOGLEFINANCE($C147, ""price"", WORKDAY(INT($B147), 20)), 2, 2), """")=""""), """", IF($D147=""LONG"", (IFERROR(INDEX(GOOGLEFINANCE($C147, ""price"", WORKDAY(INT($B147), 20)), 2, 2), """")-$G147)/$G147, ($G147-I"&amp;"FERROR(INDEX(GOOGLEFINANCE($C147, ""price"", WORKDAY(INT($B147), 20)), 2, 2), """"))/$G147)), """")"),"")</f>
        <v/>
      </c>
      <c r="Q147" s="5" t="s">
        <v>1446</v>
      </c>
      <c r="R147" s="21" t="s">
        <v>125</v>
      </c>
      <c r="S147" s="21" t="s">
        <v>1447</v>
      </c>
      <c r="T147" s="21" t="s">
        <v>51</v>
      </c>
      <c r="U147" s="21"/>
      <c r="V147" s="21"/>
      <c r="W147" s="21"/>
      <c r="X147" s="21"/>
      <c r="Y147" s="21"/>
      <c r="Z147" s="21"/>
    </row>
    <row r="148">
      <c r="A148" s="3">
        <f t="shared" si="1"/>
        <v>147</v>
      </c>
      <c r="B148" s="4">
        <v>46213.6675</v>
      </c>
      <c r="C148" s="5" t="s">
        <v>1327</v>
      </c>
      <c r="D148" s="5" t="s">
        <v>36</v>
      </c>
      <c r="E148" s="5" t="s">
        <v>37</v>
      </c>
      <c r="F148" s="6">
        <v>2.0</v>
      </c>
      <c r="G148" s="7">
        <v>1096.03</v>
      </c>
      <c r="H148" s="5" t="s">
        <v>1448</v>
      </c>
      <c r="I148" s="5">
        <v>82.9</v>
      </c>
      <c r="J148" s="3"/>
      <c r="K148" s="5" t="s">
        <v>40</v>
      </c>
      <c r="L148" s="8">
        <f>IFERROR(__xludf.DUMMYFUNCTION("IFERROR(GOOGLEFINANCE(C148, ""price""), IFERROR(GOOGLEFINANCE(""NASDAQ:""&amp;C148, ""price""), IFERROR(GOOGLEFINANCE(""NYSE:""&amp;C148, ""price""), """")))"),1162.66)</f>
        <v>1162.66</v>
      </c>
      <c r="M148" s="12">
        <f t="shared" si="3"/>
        <v>0.0607921316</v>
      </c>
      <c r="N148" s="12">
        <f>IFERROR(__xludf.DUMMYFUNCTION("IFERROR(IF(OR(ISBLANK($G148), IFERROR(INDEX(GOOGLEFINANCE($C148, ""price"", WORKDAY(INT($B148), 1)), 2, 2), """")=""""), """", IF($D148=""LONG"", (IFERROR(INDEX(GOOGLEFINANCE($C148, ""price"", WORKDAY(INT($B148), 1)), 2, 2), """")-$G148)/$G148, ($G148-IFE"&amp;"RROR(INDEX(GOOGLEFINANCE($C148, ""price"", WORKDAY(INT($B148), 1)), 2, 2), """"))/$G148)), """")"),-0.009753382662883366)</f>
        <v>-0.009753382663</v>
      </c>
      <c r="O148" s="12">
        <f>IFERROR(__xludf.DUMMYFUNCTION("IFERROR(IF(OR(ISBLANK($G148), IFERROR(INDEX(GOOGLEFINANCE($C148, ""price"", WORKDAY(INT($B148), 5)), 2, 2), """")=""""), """", IF($D148=""LONG"", (IFERROR(INDEX(GOOGLEFINANCE($C148, ""price"", WORKDAY(INT($B148), 5)), 2, 2), """")-$G148)/$G148, ($G148-IFE"&amp;"RROR(INDEX(GOOGLEFINANCE($C148, ""price"", WORKDAY(INT($B148), 5)), 2, 2), """"))/$G148)), """")"),-0.046367343959563094)</f>
        <v>-0.04636734396</v>
      </c>
      <c r="P148" s="12" t="str">
        <f>IFERROR(__xludf.DUMMYFUNCTION("IFERROR(IF(OR(ISBLANK($G148), IFERROR(INDEX(GOOGLEFINANCE($C148, ""price"", WORKDAY(INT($B148), 20)), 2, 2), """")=""""), """", IF($D148=""LONG"", (IFERROR(INDEX(GOOGLEFINANCE($C148, ""price"", WORKDAY(INT($B148), 20)), 2, 2), """")-$G148)/$G148, ($G148-I"&amp;"FERROR(INDEX(GOOGLEFINANCE($C148, ""price"", WORKDAY(INT($B148), 20)), 2, 2), """"))/$G148)), """")"),"")</f>
        <v/>
      </c>
      <c r="Q148" s="5" t="s">
        <v>1452</v>
      </c>
      <c r="R148" s="21" t="s">
        <v>850</v>
      </c>
      <c r="S148" s="21" t="s">
        <v>1453</v>
      </c>
      <c r="T148" s="21" t="s">
        <v>51</v>
      </c>
      <c r="U148" s="21"/>
      <c r="V148" s="21"/>
      <c r="W148" s="21"/>
      <c r="X148" s="21"/>
      <c r="Y148" s="21"/>
      <c r="Z148" s="21"/>
    </row>
    <row r="149">
      <c r="A149" s="3">
        <f t="shared" si="1"/>
        <v>148</v>
      </c>
      <c r="B149" s="4">
        <v>46213.66747685185</v>
      </c>
      <c r="C149" s="5" t="s">
        <v>351</v>
      </c>
      <c r="D149" s="5" t="s">
        <v>36</v>
      </c>
      <c r="E149" s="5" t="s">
        <v>37</v>
      </c>
      <c r="F149" s="6">
        <v>2.0</v>
      </c>
      <c r="G149" s="7">
        <v>218.82</v>
      </c>
      <c r="H149" s="5" t="s">
        <v>1454</v>
      </c>
      <c r="I149" s="5">
        <v>88.8</v>
      </c>
      <c r="J149" s="3"/>
      <c r="K149" s="5" t="s">
        <v>40</v>
      </c>
      <c r="L149" s="8">
        <f>IFERROR(__xludf.DUMMYFUNCTION("IFERROR(GOOGLEFINANCE(C149, ""price""), IFERROR(GOOGLEFINANCE(""NASDAQ:""&amp;C149, ""price""), IFERROR(GOOGLEFINANCE(""NYSE:""&amp;C149, ""price""), """")))"),221.83)</f>
        <v>221.83</v>
      </c>
      <c r="M149" s="12">
        <f t="shared" si="3"/>
        <v>0.01375559821</v>
      </c>
      <c r="N149" s="12">
        <f>IFERROR(__xludf.DUMMYFUNCTION("IFERROR(IF(OR(ISBLANK($G149), IFERROR(INDEX(GOOGLEFINANCE($C149, ""price"", WORKDAY(INT($B149), 1)), 2, 2), """")=""""), """", IF($D149=""LONG"", (IFERROR(INDEX(GOOGLEFINANCE($C149, ""price"", WORKDAY(INT($B149), 1)), 2, 2), """")-$G149)/$G149, ($G149-IFE"&amp;"RROR(INDEX(GOOGLEFINANCE($C149, ""price"", WORKDAY(INT($B149), 1)), 2, 2), """"))/$G149)), """")"),0.003061877342107741)</f>
        <v>0.003061877342</v>
      </c>
      <c r="O149" s="12">
        <f>IFERROR(__xludf.DUMMYFUNCTION("IFERROR(IF(OR(ISBLANK($G149), IFERROR(INDEX(GOOGLEFINANCE($C149, ""price"", WORKDAY(INT($B149), 5)), 2, 2), """")=""""), """", IF($D149=""LONG"", (IFERROR(INDEX(GOOGLEFINANCE($C149, ""price"", WORKDAY(INT($B149), 5)), 2, 2), """")-$G149)/$G149, ($G149-IFE"&amp;"RROR(INDEX(GOOGLEFINANCE($C149, ""price"", WORKDAY(INT($B149), 5)), 2, 2), """"))/$G149)), """")"),0.045151265880632466)</f>
        <v>0.04515126588</v>
      </c>
      <c r="P149" s="12" t="str">
        <f>IFERROR(__xludf.DUMMYFUNCTION("IFERROR(IF(OR(ISBLANK($G149), IFERROR(INDEX(GOOGLEFINANCE($C149, ""price"", WORKDAY(INT($B149), 20)), 2, 2), """")=""""), """", IF($D149=""LONG"", (IFERROR(INDEX(GOOGLEFINANCE($C149, ""price"", WORKDAY(INT($B149), 20)), 2, 2), """")-$G149)/$G149, ($G149-I"&amp;"FERROR(INDEX(GOOGLEFINANCE($C149, ""price"", WORKDAY(INT($B149), 20)), 2, 2), """"))/$G149)), """")"),"")</f>
        <v/>
      </c>
      <c r="Q149" s="5" t="s">
        <v>1457</v>
      </c>
      <c r="R149" s="21" t="s">
        <v>722</v>
      </c>
      <c r="S149" s="21" t="s">
        <v>1458</v>
      </c>
      <c r="T149" s="21" t="s">
        <v>51</v>
      </c>
      <c r="U149" s="21"/>
      <c r="V149" s="21"/>
      <c r="W149" s="21"/>
      <c r="X149" s="21"/>
      <c r="Y149" s="21"/>
      <c r="Z149" s="21"/>
    </row>
    <row r="150">
      <c r="A150" s="3">
        <f t="shared" si="1"/>
        <v>149</v>
      </c>
      <c r="B150" s="4">
        <v>46213.66773148148</v>
      </c>
      <c r="C150" s="5" t="s">
        <v>174</v>
      </c>
      <c r="D150" s="5" t="s">
        <v>36</v>
      </c>
      <c r="E150" s="5" t="s">
        <v>37</v>
      </c>
      <c r="F150" s="6">
        <v>2.0</v>
      </c>
      <c r="G150" s="7">
        <v>24.74</v>
      </c>
      <c r="H150" s="5" t="s">
        <v>1460</v>
      </c>
      <c r="I150" s="5">
        <v>96.1</v>
      </c>
      <c r="J150" s="3"/>
      <c r="K150" s="5" t="s">
        <v>40</v>
      </c>
      <c r="L150" s="8">
        <f>IFERROR(__xludf.DUMMYFUNCTION("IFERROR(GOOGLEFINANCE(C150, ""price""), IFERROR(GOOGLEFINANCE(""NASDAQ:""&amp;C150, ""price""), IFERROR(GOOGLEFINANCE(""NYSE:""&amp;C150, ""price""), """")))"),25.09)</f>
        <v>25.09</v>
      </c>
      <c r="M150" s="12">
        <f t="shared" si="3"/>
        <v>0.01414713015</v>
      </c>
      <c r="N150" s="12">
        <f>IFERROR(__xludf.DUMMYFUNCTION("IFERROR(IF(OR(ISBLANK($G150), IFERROR(INDEX(GOOGLEFINANCE($C150, ""price"", WORKDAY(INT($B150), 1)), 2, 2), """")=""""), """", IF($D150=""LONG"", (IFERROR(INDEX(GOOGLEFINANCE($C150, ""price"", WORKDAY(INT($B150), 1)), 2, 2), """")-$G150)/$G150, ($G150-IFE"&amp;"RROR(INDEX(GOOGLEFINANCE($C150, ""price"", WORKDAY(INT($B150), 1)), 2, 2), """"))/$G150)), """")"),-0.011317704122877834)</f>
        <v>-0.01131770412</v>
      </c>
      <c r="O150" s="12">
        <f>IFERROR(__xludf.DUMMYFUNCTION("IFERROR(IF(OR(ISBLANK($G150), IFERROR(INDEX(GOOGLEFINANCE($C150, ""price"", WORKDAY(INT($B150), 5)), 2, 2), """")=""""), """", IF($D150=""LONG"", (IFERROR(INDEX(GOOGLEFINANCE($C150, ""price"", WORKDAY(INT($B150), 5)), 2, 2), """")-$G150)/$G150, ($G150-IFE"&amp;"RROR(INDEX(GOOGLEFINANCE($C150, ""price"", WORKDAY(INT($B150), 5)), 2, 2), """"))/$G150)), """")"),0.026273241713823853)</f>
        <v>0.02627324171</v>
      </c>
      <c r="P150" s="12" t="str">
        <f>IFERROR(__xludf.DUMMYFUNCTION("IFERROR(IF(OR(ISBLANK($G150), IFERROR(INDEX(GOOGLEFINANCE($C150, ""price"", WORKDAY(INT($B150), 20)), 2, 2), """")=""""), """", IF($D150=""LONG"", (IFERROR(INDEX(GOOGLEFINANCE($C150, ""price"", WORKDAY(INT($B150), 20)), 2, 2), """")-$G150)/$G150, ($G150-I"&amp;"FERROR(INDEX(GOOGLEFINANCE($C150, ""price"", WORKDAY(INT($B150), 20)), 2, 2), """"))/$G150)), """")"),"")</f>
        <v/>
      </c>
      <c r="Q150" s="5" t="s">
        <v>1464</v>
      </c>
      <c r="R150" s="21" t="s">
        <v>102</v>
      </c>
      <c r="S150" s="21" t="s">
        <v>1465</v>
      </c>
      <c r="T150" s="21" t="s">
        <v>51</v>
      </c>
      <c r="U150" s="21"/>
      <c r="V150" s="21"/>
      <c r="W150" s="21"/>
      <c r="X150" s="21"/>
      <c r="Y150" s="21"/>
      <c r="Z150" s="21"/>
    </row>
    <row r="151">
      <c r="A151" s="3">
        <f t="shared" si="1"/>
        <v>150</v>
      </c>
      <c r="B151" s="4">
        <v>46213.66755787037</v>
      </c>
      <c r="C151" s="5" t="s">
        <v>323</v>
      </c>
      <c r="D151" s="5" t="s">
        <v>36</v>
      </c>
      <c r="E151" s="5" t="s">
        <v>37</v>
      </c>
      <c r="F151" s="6">
        <v>2.0</v>
      </c>
      <c r="G151" s="7">
        <v>206.42</v>
      </c>
      <c r="H151" s="5" t="s">
        <v>1467</v>
      </c>
      <c r="I151" s="5">
        <v>92.5</v>
      </c>
      <c r="J151" s="3"/>
      <c r="K151" s="5" t="s">
        <v>40</v>
      </c>
      <c r="L151" s="8">
        <f>IFERROR(__xludf.DUMMYFUNCTION("IFERROR(GOOGLEFINANCE(C151, ""price""), IFERROR(GOOGLEFINANCE(""NASDAQ:""&amp;C151, ""price""), IFERROR(GOOGLEFINANCE(""NYSE:""&amp;C151, ""price""), """")))"),209.7)</f>
        <v>209.7</v>
      </c>
      <c r="M151" s="12">
        <f t="shared" si="3"/>
        <v>0.01588993315</v>
      </c>
      <c r="N151" s="12">
        <f>IFERROR(__xludf.DUMMYFUNCTION("IFERROR(IF(OR(ISBLANK($G151), IFERROR(INDEX(GOOGLEFINANCE($C151, ""price"", WORKDAY(INT($B151), 1)), 2, 2), """")=""""), """", IF($D151=""LONG"", (IFERROR(INDEX(GOOGLEFINANCE($C151, ""price"", WORKDAY(INT($B151), 1)), 2, 2), """")-$G151)/$G151, ($G151-IFE"&amp;"RROR(INDEX(GOOGLEFINANCE($C151, ""price"", WORKDAY(INT($B151), 1)), 2, 2), """"))/$G151)), """")"),-3.391144268965855E-4)</f>
        <v>-0.0003391144269</v>
      </c>
      <c r="O151" s="12">
        <f>IFERROR(__xludf.DUMMYFUNCTION("IFERROR(IF(OR(ISBLANK($G151), IFERROR(INDEX(GOOGLEFINANCE($C151, ""price"", WORKDAY(INT($B151), 5)), 2, 2), """")=""""), """", IF($D151=""LONG"", (IFERROR(INDEX(GOOGLEFINANCE($C151, ""price"", WORKDAY(INT($B151), 5)), 2, 2), """")-$G151)/$G151, ($G151-IFE"&amp;"RROR(INDEX(GOOGLEFINANCE($C151, ""price"", WORKDAY(INT($B151), 5)), 2, 2), """"))/$G151)), """")"),0.012014339695766003)</f>
        <v>0.0120143397</v>
      </c>
      <c r="P151" s="12" t="str">
        <f>IFERROR(__xludf.DUMMYFUNCTION("IFERROR(IF(OR(ISBLANK($G151), IFERROR(INDEX(GOOGLEFINANCE($C151, ""price"", WORKDAY(INT($B151), 20)), 2, 2), """")=""""), """", IF($D151=""LONG"", (IFERROR(INDEX(GOOGLEFINANCE($C151, ""price"", WORKDAY(INT($B151), 20)), 2, 2), """")-$G151)/$G151, ($G151-I"&amp;"FERROR(INDEX(GOOGLEFINANCE($C151, ""price"", WORKDAY(INT($B151), 20)), 2, 2), """"))/$G151)), """")"),"")</f>
        <v/>
      </c>
      <c r="Q151" s="5" t="s">
        <v>1471</v>
      </c>
      <c r="R151" s="21" t="s">
        <v>850</v>
      </c>
      <c r="S151" s="21" t="s">
        <v>1472</v>
      </c>
      <c r="T151" s="21" t="s">
        <v>51</v>
      </c>
      <c r="U151" s="21"/>
      <c r="V151" s="21"/>
      <c r="W151" s="21"/>
      <c r="X151" s="21"/>
      <c r="Y151" s="21"/>
      <c r="Z151" s="21"/>
    </row>
    <row r="152">
      <c r="A152" s="3">
        <f t="shared" si="1"/>
        <v>151</v>
      </c>
      <c r="B152" s="4">
        <v>46213.66820601852</v>
      </c>
      <c r="C152" s="5" t="s">
        <v>316</v>
      </c>
      <c r="D152" s="5" t="s">
        <v>36</v>
      </c>
      <c r="E152" s="5" t="s">
        <v>37</v>
      </c>
      <c r="F152" s="6">
        <v>2.0</v>
      </c>
      <c r="G152" s="7">
        <v>112.95</v>
      </c>
      <c r="H152" s="5" t="s">
        <v>1474</v>
      </c>
      <c r="I152" s="5">
        <v>91.6</v>
      </c>
      <c r="J152" s="3"/>
      <c r="K152" s="5" t="s">
        <v>40</v>
      </c>
      <c r="L152" s="8">
        <f>IFERROR(__xludf.DUMMYFUNCTION("IFERROR(GOOGLEFINANCE(C152, ""price""), IFERROR(GOOGLEFINANCE(""NASDAQ:""&amp;C152, ""price""), IFERROR(GOOGLEFINANCE(""NYSE:""&amp;C152, ""price""), """")))"),110.74)</f>
        <v>110.74</v>
      </c>
      <c r="M152" s="12">
        <f t="shared" si="3"/>
        <v>-0.01956617973</v>
      </c>
      <c r="N152" s="12">
        <f>IFERROR(__xludf.DUMMYFUNCTION("IFERROR(IF(OR(ISBLANK($G152), IFERROR(INDEX(GOOGLEFINANCE($C152, ""price"", WORKDAY(INT($B152), 1)), 2, 2), """")=""""), """", IF($D152=""LONG"", (IFERROR(INDEX(GOOGLEFINANCE($C152, ""price"", WORKDAY(INT($B152), 1)), 2, 2), """")-$G152)/$G152, ($G152-IFE"&amp;"RROR(INDEX(GOOGLEFINANCE($C152, ""price"", WORKDAY(INT($B152), 1)), 2, 2), """"))/$G152)), """")"),0.010978308986277068)</f>
        <v>0.01097830899</v>
      </c>
      <c r="O152" s="12">
        <f>IFERROR(__xludf.DUMMYFUNCTION("IFERROR(IF(OR(ISBLANK($G152), IFERROR(INDEX(GOOGLEFINANCE($C152, ""price"", WORKDAY(INT($B152), 5)), 2, 2), """")=""""), """", IF($D152=""LONG"", (IFERROR(INDEX(GOOGLEFINANCE($C152, ""price"", WORKDAY(INT($B152), 5)), 2, 2), """")-$G152)/$G152, ($G152-IFE"&amp;"RROR(INDEX(GOOGLEFINANCE($C152, ""price"", WORKDAY(INT($B152), 5)), 2, 2), """"))/$G152)), """")"),1.770694997786279E-4)</f>
        <v>0.0001770694998</v>
      </c>
      <c r="P152" s="12" t="str">
        <f>IFERROR(__xludf.DUMMYFUNCTION("IFERROR(IF(OR(ISBLANK($G152), IFERROR(INDEX(GOOGLEFINANCE($C152, ""price"", WORKDAY(INT($B152), 20)), 2, 2), """")=""""), """", IF($D152=""LONG"", (IFERROR(INDEX(GOOGLEFINANCE($C152, ""price"", WORKDAY(INT($B152), 20)), 2, 2), """")-$G152)/$G152, ($G152-I"&amp;"FERROR(INDEX(GOOGLEFINANCE($C152, ""price"", WORKDAY(INT($B152), 20)), 2, 2), """"))/$G152)), """")"),"")</f>
        <v/>
      </c>
      <c r="Q152" s="5" t="s">
        <v>1478</v>
      </c>
      <c r="R152" s="21" t="s">
        <v>219</v>
      </c>
      <c r="S152" s="21" t="s">
        <v>1479</v>
      </c>
      <c r="T152" s="21" t="s">
        <v>51</v>
      </c>
      <c r="U152" s="21"/>
      <c r="V152" s="21"/>
      <c r="W152" s="21"/>
      <c r="X152" s="21"/>
      <c r="Y152" s="21"/>
      <c r="Z152" s="21"/>
    </row>
    <row r="153">
      <c r="A153" s="3">
        <f t="shared" si="1"/>
        <v>152</v>
      </c>
      <c r="B153" s="4">
        <v>46213.66783564815</v>
      </c>
      <c r="C153" s="5" t="s">
        <v>204</v>
      </c>
      <c r="D153" s="5" t="s">
        <v>36</v>
      </c>
      <c r="E153" s="5" t="s">
        <v>37</v>
      </c>
      <c r="F153" s="6">
        <v>2.0</v>
      </c>
      <c r="G153" s="7">
        <v>353.44</v>
      </c>
      <c r="H153" s="5" t="s">
        <v>1480</v>
      </c>
      <c r="I153" s="5">
        <v>91.7</v>
      </c>
      <c r="J153" s="3"/>
      <c r="K153" s="5" t="s">
        <v>40</v>
      </c>
      <c r="L153" s="8">
        <f>IFERROR(__xludf.DUMMYFUNCTION("IFERROR(GOOGLEFINANCE(C153, ""price""), IFERROR(GOOGLEFINANCE(""NASDAQ:""&amp;C153, ""price""), IFERROR(GOOGLEFINANCE(""NYSE:""&amp;C153, ""price""), """")))"),348.6)</f>
        <v>348.6</v>
      </c>
      <c r="M153" s="12">
        <f t="shared" si="3"/>
        <v>-0.01369397918</v>
      </c>
      <c r="N153" s="12">
        <f>IFERROR(__xludf.DUMMYFUNCTION("IFERROR(IF(OR(ISBLANK($G153), IFERROR(INDEX(GOOGLEFINANCE($C153, ""price"", WORKDAY(INT($B153), 1)), 2, 2), """")=""""), """", IF($D153=""LONG"", (IFERROR(INDEX(GOOGLEFINANCE($C153, ""price"", WORKDAY(INT($B153), 1)), 2, 2), """")-$G153)/$G153, ($G153-IFE"&amp;"RROR(INDEX(GOOGLEFINANCE($C153, ""price"", WORKDAY(INT($B153), 1)), 2, 2), """"))/$G153)), """")"),0.017711634223630576)</f>
        <v>0.01771163422</v>
      </c>
      <c r="O153" s="12">
        <f>IFERROR(__xludf.DUMMYFUNCTION("IFERROR(IF(OR(ISBLANK($G153), IFERROR(INDEX(GOOGLEFINANCE($C153, ""price"", WORKDAY(INT($B153), 5)), 2, 2), """")=""""), """", IF($D153=""LONG"", (IFERROR(INDEX(GOOGLEFINANCE($C153, ""price"", WORKDAY(INT($B153), 5)), 2, 2), """")-$G153)/$G153, ($G153-IFE"&amp;"RROR(INDEX(GOOGLEFINANCE($C153, ""price"", WORKDAY(INT($B153), 5)), 2, 2), """"))/$G153)), """")"),0.013580805794477171)</f>
        <v>0.01358080579</v>
      </c>
      <c r="P153" s="12" t="str">
        <f>IFERROR(__xludf.DUMMYFUNCTION("IFERROR(IF(OR(ISBLANK($G153), IFERROR(INDEX(GOOGLEFINANCE($C153, ""price"", WORKDAY(INT($B153), 20)), 2, 2), """")=""""), """", IF($D153=""LONG"", (IFERROR(INDEX(GOOGLEFINANCE($C153, ""price"", WORKDAY(INT($B153), 20)), 2, 2), """")-$G153)/$G153, ($G153-I"&amp;"FERROR(INDEX(GOOGLEFINANCE($C153, ""price"", WORKDAY(INT($B153), 20)), 2, 2), """"))/$G153)), """")"),"")</f>
        <v/>
      </c>
      <c r="Q153" s="5" t="s">
        <v>1483</v>
      </c>
      <c r="R153" s="21" t="s">
        <v>49</v>
      </c>
      <c r="S153" s="21" t="s">
        <v>1484</v>
      </c>
      <c r="T153" s="21" t="s">
        <v>51</v>
      </c>
      <c r="U153" s="21"/>
      <c r="V153" s="21"/>
      <c r="W153" s="21"/>
      <c r="X153" s="21"/>
      <c r="Y153" s="21"/>
      <c r="Z153" s="21"/>
    </row>
    <row r="154">
      <c r="A154" s="3">
        <f t="shared" si="1"/>
        <v>153</v>
      </c>
      <c r="B154" s="4">
        <v>46213.66747685185</v>
      </c>
      <c r="C154" s="5" t="s">
        <v>454</v>
      </c>
      <c r="D154" s="5" t="s">
        <v>36</v>
      </c>
      <c r="E154" s="5" t="s">
        <v>37</v>
      </c>
      <c r="F154" s="6">
        <v>2.0</v>
      </c>
      <c r="G154" s="7">
        <v>125.99</v>
      </c>
      <c r="H154" s="5" t="s">
        <v>1486</v>
      </c>
      <c r="I154" s="5">
        <v>90.8</v>
      </c>
      <c r="J154" s="3"/>
      <c r="K154" s="5" t="s">
        <v>40</v>
      </c>
      <c r="L154" s="8">
        <f>IFERROR(__xludf.DUMMYFUNCTION("IFERROR(GOOGLEFINANCE(C154, ""price""), IFERROR(GOOGLEFINANCE(""NASDAQ:""&amp;C154, ""price""), IFERROR(GOOGLEFINANCE(""NYSE:""&amp;C154, ""price""), """")))"),129.12)</f>
        <v>129.12</v>
      </c>
      <c r="M154" s="12">
        <f t="shared" si="3"/>
        <v>0.02484324153</v>
      </c>
      <c r="N154" s="12">
        <f>IFERROR(__xludf.DUMMYFUNCTION("IFERROR(IF(OR(ISBLANK($G154), IFERROR(INDEX(GOOGLEFINANCE($C154, ""price"", WORKDAY(INT($B154), 1)), 2, 2), """")=""""), """", IF($D154=""LONG"", (IFERROR(INDEX(GOOGLEFINANCE($C154, ""price"", WORKDAY(INT($B154), 1)), 2, 2), """")-$G154)/$G154, ($G154-IFE"&amp;"RROR(INDEX(GOOGLEFINANCE($C154, ""price"", WORKDAY(INT($B154), 1)), 2, 2), """"))/$G154)), """")"),-0.03833637590284942)</f>
        <v>-0.0383363759</v>
      </c>
      <c r="O154" s="12">
        <f>IFERROR(__xludf.DUMMYFUNCTION("IFERROR(IF(OR(ISBLANK($G154), IFERROR(INDEX(GOOGLEFINANCE($C154, ""price"", WORKDAY(INT($B154), 5)), 2, 2), """")=""""), """", IF($D154=""LONG"", (IFERROR(INDEX(GOOGLEFINANCE($C154, ""price"", WORKDAY(INT($B154), 5)), 2, 2), """")-$G154)/$G154, ($G154-IFE"&amp;"RROR(INDEX(GOOGLEFINANCE($C154, ""price"", WORKDAY(INT($B154), 5)), 2, 2), """"))/$G154)), """")"),-0.08397491864433684)</f>
        <v>-0.08397491864</v>
      </c>
      <c r="P154" s="12" t="str">
        <f>IFERROR(__xludf.DUMMYFUNCTION("IFERROR(IF(OR(ISBLANK($G154), IFERROR(INDEX(GOOGLEFINANCE($C154, ""price"", WORKDAY(INT($B154), 20)), 2, 2), """")=""""), """", IF($D154=""LONG"", (IFERROR(INDEX(GOOGLEFINANCE($C154, ""price"", WORKDAY(INT($B154), 20)), 2, 2), """")-$G154)/$G154, ($G154-I"&amp;"FERROR(INDEX(GOOGLEFINANCE($C154, ""price"", WORKDAY(INT($B154), 20)), 2, 2), """"))/$G154)), """")"),"")</f>
        <v/>
      </c>
      <c r="Q154" s="5" t="s">
        <v>1490</v>
      </c>
      <c r="R154" s="21" t="s">
        <v>850</v>
      </c>
      <c r="S154" s="21" t="s">
        <v>1491</v>
      </c>
      <c r="T154" s="21" t="s">
        <v>51</v>
      </c>
      <c r="U154" s="21"/>
      <c r="V154" s="21"/>
      <c r="W154" s="21"/>
      <c r="X154" s="21"/>
      <c r="Y154" s="21"/>
      <c r="Z154" s="21"/>
    </row>
    <row r="155">
      <c r="A155" s="3">
        <f t="shared" si="1"/>
        <v>154</v>
      </c>
      <c r="B155" s="4">
        <v>46213.66752314815</v>
      </c>
      <c r="C155" s="5" t="s">
        <v>728</v>
      </c>
      <c r="D155" s="5" t="s">
        <v>36</v>
      </c>
      <c r="E155" s="5" t="s">
        <v>133</v>
      </c>
      <c r="F155" s="6">
        <v>2.0</v>
      </c>
      <c r="G155" s="7">
        <v>93.91</v>
      </c>
      <c r="H155" s="5" t="s">
        <v>1492</v>
      </c>
      <c r="I155" s="5">
        <v>99.2</v>
      </c>
      <c r="J155" s="3"/>
      <c r="K155" s="5" t="s">
        <v>40</v>
      </c>
      <c r="L155" s="8">
        <f>IFERROR(__xludf.DUMMYFUNCTION("IFERROR(GOOGLEFINANCE(C155, ""price""), IFERROR(GOOGLEFINANCE(""NASDAQ:""&amp;C155, ""price""), IFERROR(GOOGLEFINANCE(""NYSE:""&amp;C155, ""price""), """")))"),107.96)</f>
        <v>107.96</v>
      </c>
      <c r="M155" s="12">
        <f t="shared" si="3"/>
        <v>0.14961133</v>
      </c>
      <c r="N155" s="12">
        <f>IFERROR(__xludf.DUMMYFUNCTION("IFERROR(IF(OR(ISBLANK($G155), IFERROR(INDEX(GOOGLEFINANCE($C155, ""price"", WORKDAY(INT($B155), 1)), 2, 2), """")=""""), """", IF($D155=""LONG"", (IFERROR(INDEX(GOOGLEFINANCE($C155, ""price"", WORKDAY(INT($B155), 1)), 2, 2), """")-$G155)/$G155, ($G155-IFE"&amp;"RROR(INDEX(GOOGLEFINANCE($C155, ""price"", WORKDAY(INT($B155), 1)), 2, 2), """"))/$G155)), """")"),-0.0191672878287722)</f>
        <v>-0.01916728783</v>
      </c>
      <c r="O155" s="12">
        <f>IFERROR(__xludf.DUMMYFUNCTION("IFERROR(IF(OR(ISBLANK($G155), IFERROR(INDEX(GOOGLEFINANCE($C155, ""price"", WORKDAY(INT($B155), 5)), 2, 2), """")=""""), """", IF($D155=""LONG"", (IFERROR(INDEX(GOOGLEFINANCE($C155, ""price"", WORKDAY(INT($B155), 5)), 2, 2), """")-$G155)/$G155, ($G155-IFE"&amp;"RROR(INDEX(GOOGLEFINANCE($C155, ""price"", WORKDAY(INT($B155), 5)), 2, 2), """"))/$G155)), """")"),0.07209029922266011)</f>
        <v>0.07209029922</v>
      </c>
      <c r="P155" s="12" t="str">
        <f>IFERROR(__xludf.DUMMYFUNCTION("IFERROR(IF(OR(ISBLANK($G155), IFERROR(INDEX(GOOGLEFINANCE($C155, ""price"", WORKDAY(INT($B155), 20)), 2, 2), """")=""""), """", IF($D155=""LONG"", (IFERROR(INDEX(GOOGLEFINANCE($C155, ""price"", WORKDAY(INT($B155), 20)), 2, 2), """")-$G155)/$G155, ($G155-I"&amp;"FERROR(INDEX(GOOGLEFINANCE($C155, ""price"", WORKDAY(INT($B155), 20)), 2, 2), """"))/$G155)), """")"),"")</f>
        <v/>
      </c>
      <c r="Q155" s="5" t="s">
        <v>1495</v>
      </c>
      <c r="R155" s="21" t="s">
        <v>525</v>
      </c>
      <c r="S155" s="21" t="s">
        <v>1496</v>
      </c>
      <c r="T155" s="21" t="s">
        <v>51</v>
      </c>
      <c r="U155" s="21"/>
      <c r="V155" s="21"/>
      <c r="W155" s="21"/>
      <c r="X155" s="21"/>
      <c r="Y155" s="21"/>
      <c r="Z155" s="21"/>
    </row>
    <row r="156">
      <c r="A156" s="3">
        <f t="shared" si="1"/>
        <v>155</v>
      </c>
      <c r="B156" s="4">
        <v>46213.66748842593</v>
      </c>
      <c r="C156" s="5" t="s">
        <v>141</v>
      </c>
      <c r="D156" s="5" t="s">
        <v>36</v>
      </c>
      <c r="E156" s="5" t="s">
        <v>37</v>
      </c>
      <c r="F156" s="6">
        <v>2.0</v>
      </c>
      <c r="G156" s="7">
        <v>123.55</v>
      </c>
      <c r="H156" s="5" t="s">
        <v>1499</v>
      </c>
      <c r="I156" s="5">
        <v>92.4</v>
      </c>
      <c r="J156" s="3"/>
      <c r="K156" s="5" t="s">
        <v>40</v>
      </c>
      <c r="L156" s="8">
        <f>IFERROR(__xludf.DUMMYFUNCTION("IFERROR(GOOGLEFINANCE(C156, ""price""), IFERROR(GOOGLEFINANCE(""NASDAQ:""&amp;C156, ""price""), IFERROR(GOOGLEFINANCE(""NYSE:""&amp;C156, ""price""), """")))"),128.37)</f>
        <v>128.37</v>
      </c>
      <c r="M156" s="12">
        <f t="shared" si="3"/>
        <v>0.03901254553</v>
      </c>
      <c r="N156" s="12">
        <f>IFERROR(__xludf.DUMMYFUNCTION("IFERROR(IF(OR(ISBLANK($G156), IFERROR(INDEX(GOOGLEFINANCE($C156, ""price"", WORKDAY(INT($B156), 1)), 2, 2), """")=""""), """", IF($D156=""LONG"", (IFERROR(INDEX(GOOGLEFINANCE($C156, ""price"", WORKDAY(INT($B156), 1)), 2, 2), """")-$G156)/$G156, ($G156-IFE"&amp;"RROR(INDEX(GOOGLEFINANCE($C156, ""price"", WORKDAY(INT($B156), 1)), 2, 2), """"))/$G156)), """")"),0.0038850667745852206)</f>
        <v>0.003885066775</v>
      </c>
      <c r="O156" s="12">
        <f>IFERROR(__xludf.DUMMYFUNCTION("IFERROR(IF(OR(ISBLANK($G156), IFERROR(INDEX(GOOGLEFINANCE($C156, ""price"", WORKDAY(INT($B156), 5)), 2, 2), """")=""""), """", IF($D156=""LONG"", (IFERROR(INDEX(GOOGLEFINANCE($C156, ""price"", WORKDAY(INT($B156), 5)), 2, 2), """")-$G156)/$G156, ($G156-IFE"&amp;"RROR(INDEX(GOOGLEFINANCE($C156, ""price"", WORKDAY(INT($B156), 5)), 2, 2), """"))/$G156)), """")"),0.031970861999190636)</f>
        <v>0.031970862</v>
      </c>
      <c r="P156" s="12" t="str">
        <f>IFERROR(__xludf.DUMMYFUNCTION("IFERROR(IF(OR(ISBLANK($G156), IFERROR(INDEX(GOOGLEFINANCE($C156, ""price"", WORKDAY(INT($B156), 20)), 2, 2), """")=""""), """", IF($D156=""LONG"", (IFERROR(INDEX(GOOGLEFINANCE($C156, ""price"", WORKDAY(INT($B156), 20)), 2, 2), """")-$G156)/$G156, ($G156-I"&amp;"FERROR(INDEX(GOOGLEFINANCE($C156, ""price"", WORKDAY(INT($B156), 20)), 2, 2), """"))/$G156)), """")"),"")</f>
        <v/>
      </c>
      <c r="Q156" s="5" t="s">
        <v>1502</v>
      </c>
      <c r="R156" s="21" t="s">
        <v>219</v>
      </c>
      <c r="S156" s="21" t="s">
        <v>1503</v>
      </c>
      <c r="T156" s="21" t="s">
        <v>51</v>
      </c>
      <c r="U156" s="21"/>
      <c r="V156" s="21"/>
      <c r="W156" s="21"/>
      <c r="X156" s="21"/>
      <c r="Y156" s="21"/>
      <c r="Z156" s="21"/>
    </row>
    <row r="157">
      <c r="A157" s="3">
        <f t="shared" si="1"/>
        <v>156</v>
      </c>
      <c r="B157" s="4">
        <v>46213.66753472222</v>
      </c>
      <c r="C157" s="5" t="s">
        <v>1504</v>
      </c>
      <c r="D157" s="5" t="s">
        <v>119</v>
      </c>
      <c r="E157" s="5" t="s">
        <v>120</v>
      </c>
      <c r="F157" s="6">
        <v>4.0</v>
      </c>
      <c r="G157" s="7">
        <v>28.31</v>
      </c>
      <c r="H157" s="5" t="s">
        <v>1505</v>
      </c>
      <c r="I157" s="5">
        <v>16.5</v>
      </c>
      <c r="J157" s="3"/>
      <c r="K157" s="5" t="s">
        <v>40</v>
      </c>
      <c r="L157" s="8">
        <f>IFERROR(__xludf.DUMMYFUNCTION("IFERROR(GOOGLEFINANCE(C157, ""price""), IFERROR(GOOGLEFINANCE(""NASDAQ:""&amp;C157, ""price""), IFERROR(GOOGLEFINANCE(""NYSE:""&amp;C157, ""price""), """")))"),29.38)</f>
        <v>29.38</v>
      </c>
      <c r="M157" s="12">
        <f t="shared" si="3"/>
        <v>-0.03779583186</v>
      </c>
      <c r="N157" s="12">
        <f>IFERROR(__xludf.DUMMYFUNCTION("IFERROR(IF(OR(ISBLANK($G157), IFERROR(INDEX(GOOGLEFINANCE($C157, ""price"", WORKDAY(INT($B157), 1)), 2, 2), """")=""""), """", IF($D157=""LONG"", (IFERROR(INDEX(GOOGLEFINANCE($C157, ""price"", WORKDAY(INT($B157), 1)), 2, 2), """")-$G157)/$G157, ($G157-IFE"&amp;"RROR(INDEX(GOOGLEFINANCE($C157, ""price"", WORKDAY(INT($B157), 1)), 2, 2), """"))/$G157)), """")"),0.022960084775697585)</f>
        <v>0.02296008478</v>
      </c>
      <c r="O157" s="12">
        <f>IFERROR(__xludf.DUMMYFUNCTION("IFERROR(IF(OR(ISBLANK($G157), IFERROR(INDEX(GOOGLEFINANCE($C157, ""price"", WORKDAY(INT($B157), 5)), 2, 2), """")=""""), """", IF($D157=""LONG"", (IFERROR(INDEX(GOOGLEFINANCE($C157, ""price"", WORKDAY(INT($B157), 5)), 2, 2), """")-$G157)/$G157, ($G157-IFE"&amp;"RROR(INDEX(GOOGLEFINANCE($C157, ""price"", WORKDAY(INT($B157), 5)), 2, 2), """"))/$G157)), """")"),0.14588484634404802)</f>
        <v>0.1458848463</v>
      </c>
      <c r="P157" s="12" t="str">
        <f>IFERROR(__xludf.DUMMYFUNCTION("IFERROR(IF(OR(ISBLANK($G157), IFERROR(INDEX(GOOGLEFINANCE($C157, ""price"", WORKDAY(INT($B157), 20)), 2, 2), """")=""""), """", IF($D157=""LONG"", (IFERROR(INDEX(GOOGLEFINANCE($C157, ""price"", WORKDAY(INT($B157), 20)), 2, 2), """")-$G157)/$G157, ($G157-I"&amp;"FERROR(INDEX(GOOGLEFINANCE($C157, ""price"", WORKDAY(INT($B157), 20)), 2, 2), """"))/$G157)), """")"),"")</f>
        <v/>
      </c>
      <c r="Q157" s="5" t="s">
        <v>1509</v>
      </c>
      <c r="R157" s="21" t="s">
        <v>176</v>
      </c>
      <c r="S157" s="21" t="s">
        <v>1510</v>
      </c>
      <c r="T157" s="21" t="s">
        <v>51</v>
      </c>
      <c r="U157" s="21"/>
      <c r="V157" s="21"/>
      <c r="W157" s="21"/>
      <c r="X157" s="21"/>
      <c r="Y157" s="21"/>
      <c r="Z157" s="21"/>
    </row>
    <row r="158">
      <c r="A158" s="3">
        <f t="shared" si="1"/>
        <v>157</v>
      </c>
      <c r="B158" s="4">
        <v>46213.66767361111</v>
      </c>
      <c r="C158" s="5" t="s">
        <v>400</v>
      </c>
      <c r="D158" s="5" t="s">
        <v>36</v>
      </c>
      <c r="E158" s="5" t="s">
        <v>37</v>
      </c>
      <c r="F158" s="6">
        <v>2.0</v>
      </c>
      <c r="G158" s="7">
        <v>493.73</v>
      </c>
      <c r="H158" s="5" t="s">
        <v>892</v>
      </c>
      <c r="I158" s="5">
        <v>93.5</v>
      </c>
      <c r="J158" s="3"/>
      <c r="K158" s="5" t="s">
        <v>40</v>
      </c>
      <c r="L158" s="8">
        <f>IFERROR(__xludf.DUMMYFUNCTION("IFERROR(GOOGLEFINANCE(C158, ""price""), IFERROR(GOOGLEFINANCE(""NASDAQ:""&amp;C158, ""price""), IFERROR(GOOGLEFINANCE(""NYSE:""&amp;C158, ""price""), """")))"),524.61)</f>
        <v>524.61</v>
      </c>
      <c r="M158" s="12">
        <f t="shared" si="3"/>
        <v>0.06254430559</v>
      </c>
      <c r="N158" s="12">
        <f>IFERROR(__xludf.DUMMYFUNCTION("IFERROR(IF(OR(ISBLANK($G158), IFERROR(INDEX(GOOGLEFINANCE($C158, ""price"", WORKDAY(INT($B158), 1)), 2, 2), """")=""""), """", IF($D158=""LONG"", (IFERROR(INDEX(GOOGLEFINANCE($C158, ""price"", WORKDAY(INT($B158), 1)), 2, 2), """")-$G158)/$G158, ($G158-IFE"&amp;"RROR(INDEX(GOOGLEFINANCE($C158, ""price"", WORKDAY(INT($B158), 1)), 2, 2), """"))/$G158)), """")"),0.006319243311121472)</f>
        <v>0.006319243311</v>
      </c>
      <c r="O158" s="12">
        <f>IFERROR(__xludf.DUMMYFUNCTION("IFERROR(IF(OR(ISBLANK($G158), IFERROR(INDEX(GOOGLEFINANCE($C158, ""price"", WORKDAY(INT($B158), 5)), 2, 2), """")=""""), """", IF($D158=""LONG"", (IFERROR(INDEX(GOOGLEFINANCE($C158, ""price"", WORKDAY(INT($B158), 5)), 2, 2), """")-$G158)/$G158, ($G158-IFE"&amp;"RROR(INDEX(GOOGLEFINANCE($C158, ""price"", WORKDAY(INT($B158), 5)), 2, 2), """"))/$G158)), """")"),-0.005711623761975155)</f>
        <v>-0.005711623762</v>
      </c>
      <c r="P158" s="12" t="str">
        <f>IFERROR(__xludf.DUMMYFUNCTION("IFERROR(IF(OR(ISBLANK($G158), IFERROR(INDEX(GOOGLEFINANCE($C158, ""price"", WORKDAY(INT($B158), 20)), 2, 2), """")=""""), """", IF($D158=""LONG"", (IFERROR(INDEX(GOOGLEFINANCE($C158, ""price"", WORKDAY(INT($B158), 20)), 2, 2), """")-$G158)/$G158, ($G158-I"&amp;"FERROR(INDEX(GOOGLEFINANCE($C158, ""price"", WORKDAY(INT($B158), 20)), 2, 2), """"))/$G158)), """")"),"")</f>
        <v/>
      </c>
      <c r="Q158" s="5" t="s">
        <v>1516</v>
      </c>
      <c r="R158" s="21" t="s">
        <v>240</v>
      </c>
      <c r="S158" s="21" t="s">
        <v>1517</v>
      </c>
      <c r="T158" s="21" t="s">
        <v>51</v>
      </c>
      <c r="U158" s="21"/>
      <c r="V158" s="21"/>
      <c r="W158" s="21"/>
      <c r="X158" s="21"/>
      <c r="Y158" s="21"/>
      <c r="Z158" s="21"/>
    </row>
    <row r="159">
      <c r="A159" s="3">
        <f t="shared" si="1"/>
        <v>158</v>
      </c>
      <c r="B159" s="4">
        <v>46213.66780092593</v>
      </c>
      <c r="C159" s="5" t="s">
        <v>1154</v>
      </c>
      <c r="D159" s="5" t="s">
        <v>36</v>
      </c>
      <c r="E159" s="5" t="s">
        <v>133</v>
      </c>
      <c r="F159" s="6">
        <v>2.0</v>
      </c>
      <c r="G159" s="7">
        <v>1295.76</v>
      </c>
      <c r="H159" s="5" t="s">
        <v>1519</v>
      </c>
      <c r="I159" s="5">
        <v>91.7</v>
      </c>
      <c r="J159" s="3"/>
      <c r="K159" s="5" t="s">
        <v>40</v>
      </c>
      <c r="L159" s="8">
        <f>IFERROR(__xludf.DUMMYFUNCTION("IFERROR(GOOGLEFINANCE(C159, ""price""), IFERROR(GOOGLEFINANCE(""NASDAQ:""&amp;C159, ""price""), IFERROR(GOOGLEFINANCE(""NYSE:""&amp;C159, ""price""), """")))"),1421.24)</f>
        <v>1421.24</v>
      </c>
      <c r="M159" s="12">
        <f t="shared" si="3"/>
        <v>0.09683892079</v>
      </c>
      <c r="N159" s="12">
        <f>IFERROR(__xludf.DUMMYFUNCTION("IFERROR(IF(OR(ISBLANK($G159), IFERROR(INDEX(GOOGLEFINANCE($C159, ""price"", WORKDAY(INT($B159), 1)), 2, 2), """")=""""), """", IF($D159=""LONG"", (IFERROR(INDEX(GOOGLEFINANCE($C159, ""price"", WORKDAY(INT($B159), 1)), 2, 2), """")-$G159)/$G159, ($G159-IFE"&amp;"RROR(INDEX(GOOGLEFINANCE($C159, ""price"", WORKDAY(INT($B159), 1)), 2, 2), """"))/$G159)), """")"),0.0029094894116194216)</f>
        <v>0.002909489412</v>
      </c>
      <c r="O159" s="12">
        <f>IFERROR(__xludf.DUMMYFUNCTION("IFERROR(IF(OR(ISBLANK($G159), IFERROR(INDEX(GOOGLEFINANCE($C159, ""price"", WORKDAY(INT($B159), 5)), 2, 2), """")=""""), """", IF($D159=""LONG"", (IFERROR(INDEX(GOOGLEFINANCE($C159, ""price"", WORKDAY(INT($B159), 5)), 2, 2), """")-$G159)/$G159, ($G159-IFE"&amp;"RROR(INDEX(GOOGLEFINANCE($C159, ""price"", WORKDAY(INT($B159), 5)), 2, 2), """"))/$G159)), """")"),0.011005124405754145)</f>
        <v>0.01100512441</v>
      </c>
      <c r="P159" s="12" t="str">
        <f>IFERROR(__xludf.DUMMYFUNCTION("IFERROR(IF(OR(ISBLANK($G159), IFERROR(INDEX(GOOGLEFINANCE($C159, ""price"", WORKDAY(INT($B159), 20)), 2, 2), """")=""""), """", IF($D159=""LONG"", (IFERROR(INDEX(GOOGLEFINANCE($C159, ""price"", WORKDAY(INT($B159), 20)), 2, 2), """")-$G159)/$G159, ($G159-I"&amp;"FERROR(INDEX(GOOGLEFINANCE($C159, ""price"", WORKDAY(INT($B159), 20)), 2, 2), """"))/$G159)), """")"),"")</f>
        <v/>
      </c>
      <c r="Q159" s="5" t="s">
        <v>1522</v>
      </c>
      <c r="R159" s="21" t="s">
        <v>219</v>
      </c>
      <c r="S159" s="21" t="s">
        <v>1523</v>
      </c>
      <c r="T159" s="21" t="s">
        <v>51</v>
      </c>
      <c r="U159" s="21"/>
      <c r="V159" s="21"/>
      <c r="W159" s="21"/>
      <c r="X159" s="21"/>
      <c r="Y159" s="21"/>
      <c r="Z159" s="21"/>
    </row>
    <row r="160">
      <c r="A160" s="3">
        <f t="shared" si="1"/>
        <v>159</v>
      </c>
      <c r="B160" s="4">
        <v>46213.66783564815</v>
      </c>
      <c r="C160" s="5" t="s">
        <v>354</v>
      </c>
      <c r="D160" s="5" t="s">
        <v>36</v>
      </c>
      <c r="E160" s="5" t="s">
        <v>37</v>
      </c>
      <c r="F160" s="6">
        <v>2.0</v>
      </c>
      <c r="G160" s="7">
        <v>116.76</v>
      </c>
      <c r="H160" s="5" t="s">
        <v>1526</v>
      </c>
      <c r="I160" s="5">
        <v>95.9</v>
      </c>
      <c r="J160" s="3"/>
      <c r="K160" s="5" t="s">
        <v>40</v>
      </c>
      <c r="L160" s="8">
        <f>IFERROR(__xludf.DUMMYFUNCTION("IFERROR(GOOGLEFINANCE(C160, ""price""), IFERROR(GOOGLEFINANCE(""NASDAQ:""&amp;C160, ""price""), IFERROR(GOOGLEFINANCE(""NYSE:""&amp;C160, ""price""), """")))"),117.16)</f>
        <v>117.16</v>
      </c>
      <c r="M160" s="12">
        <f t="shared" si="3"/>
        <v>0.003425830764</v>
      </c>
      <c r="N160" s="12">
        <f>IFERROR(__xludf.DUMMYFUNCTION("IFERROR(IF(OR(ISBLANK($G160), IFERROR(INDEX(GOOGLEFINANCE($C160, ""price"", WORKDAY(INT($B160), 1)), 2, 2), """")=""""), """", IF($D160=""LONG"", (IFERROR(INDEX(GOOGLEFINANCE($C160, ""price"", WORKDAY(INT($B160), 1)), 2, 2), """")-$G160)/$G160, ($G160-IFE"&amp;"RROR(INDEX(GOOGLEFINANCE($C160, ""price"", WORKDAY(INT($B160), 1)), 2, 2), """"))/$G160)), """")"),-0.025008564576909913)</f>
        <v>-0.02500856458</v>
      </c>
      <c r="O160" s="12">
        <f>IFERROR(__xludf.DUMMYFUNCTION("IFERROR(IF(OR(ISBLANK($G160), IFERROR(INDEX(GOOGLEFINANCE($C160, ""price"", WORKDAY(INT($B160), 5)), 2, 2), """")=""""), """", IF($D160=""LONG"", (IFERROR(INDEX(GOOGLEFINANCE($C160, ""price"", WORKDAY(INT($B160), 5)), 2, 2), """")-$G160)/$G160, ($G160-IFE"&amp;"RROR(INDEX(GOOGLEFINANCE($C160, ""price"", WORKDAY(INT($B160), 5)), 2, 2), """"))/$G160)), """")"),0.005138746145940342)</f>
        <v>0.005138746146</v>
      </c>
      <c r="P160" s="12" t="str">
        <f>IFERROR(__xludf.DUMMYFUNCTION("IFERROR(IF(OR(ISBLANK($G160), IFERROR(INDEX(GOOGLEFINANCE($C160, ""price"", WORKDAY(INT($B160), 20)), 2, 2), """")=""""), """", IF($D160=""LONG"", (IFERROR(INDEX(GOOGLEFINANCE($C160, ""price"", WORKDAY(INT($B160), 20)), 2, 2), """")-$G160)/$G160, ($G160-I"&amp;"FERROR(INDEX(GOOGLEFINANCE($C160, ""price"", WORKDAY(INT($B160), 20)), 2, 2), """"))/$G160)), """")"),"")</f>
        <v/>
      </c>
      <c r="Q160" s="5" t="s">
        <v>1529</v>
      </c>
      <c r="R160" s="21" t="s">
        <v>886</v>
      </c>
      <c r="S160" s="21" t="s">
        <v>1530</v>
      </c>
      <c r="T160" s="21" t="s">
        <v>51</v>
      </c>
      <c r="U160" s="21"/>
      <c r="V160" s="21"/>
      <c r="W160" s="21"/>
      <c r="X160" s="21"/>
      <c r="Y160" s="21"/>
      <c r="Z160" s="21"/>
    </row>
    <row r="161">
      <c r="A161" s="3">
        <f t="shared" si="1"/>
        <v>160</v>
      </c>
      <c r="B161" s="4">
        <v>46213.66774305556</v>
      </c>
      <c r="C161" s="5" t="s">
        <v>162</v>
      </c>
      <c r="D161" s="5" t="s">
        <v>36</v>
      </c>
      <c r="E161" s="5" t="s">
        <v>37</v>
      </c>
      <c r="F161" s="6">
        <v>2.0</v>
      </c>
      <c r="G161" s="7">
        <v>48.41</v>
      </c>
      <c r="H161" s="5" t="s">
        <v>1532</v>
      </c>
      <c r="I161" s="5">
        <v>94.8</v>
      </c>
      <c r="J161" s="3"/>
      <c r="K161" s="5" t="s">
        <v>40</v>
      </c>
      <c r="L161" s="8">
        <f>IFERROR(__xludf.DUMMYFUNCTION("IFERROR(GOOGLEFINANCE(C161, ""price""), IFERROR(GOOGLEFINANCE(""NASDAQ:""&amp;C161, ""price""), IFERROR(GOOGLEFINANCE(""NYSE:""&amp;C161, ""price""), """")))"),46.94)</f>
        <v>46.94</v>
      </c>
      <c r="M161" s="12">
        <f t="shared" si="3"/>
        <v>-0.03036562694</v>
      </c>
      <c r="N161" s="12">
        <f>IFERROR(__xludf.DUMMYFUNCTION("IFERROR(IF(OR(ISBLANK($G161), IFERROR(INDEX(GOOGLEFINANCE($C161, ""price"", WORKDAY(INT($B161), 1)), 2, 2), """")=""""), """", IF($D161=""LONG"", (IFERROR(INDEX(GOOGLEFINANCE($C161, ""price"", WORKDAY(INT($B161), 1)), 2, 2), """")-$G161)/$G161, ($G161-IFE"&amp;"RROR(INDEX(GOOGLEFINANCE($C161, ""price"", WORKDAY(INT($B161), 1)), 2, 2), """"))/$G161)), """")"),-0.010121875645527679)</f>
        <v>-0.01012187565</v>
      </c>
      <c r="O161" s="12">
        <f>IFERROR(__xludf.DUMMYFUNCTION("IFERROR(IF(OR(ISBLANK($G161), IFERROR(INDEX(GOOGLEFINANCE($C161, ""price"", WORKDAY(INT($B161), 5)), 2, 2), """")=""""), """", IF($D161=""LONG"", (IFERROR(INDEX(GOOGLEFINANCE($C161, ""price"", WORKDAY(INT($B161), 5)), 2, 2), """")-$G161)/$G161, ($G161-IFE"&amp;"RROR(INDEX(GOOGLEFINANCE($C161, ""price"", WORKDAY(INT($B161), 5)), 2, 2), """"))/$G161)), """")"),-0.00681677339392684)</f>
        <v>-0.006816773394</v>
      </c>
      <c r="P161" s="12" t="str">
        <f>IFERROR(__xludf.DUMMYFUNCTION("IFERROR(IF(OR(ISBLANK($G161), IFERROR(INDEX(GOOGLEFINANCE($C161, ""price"", WORKDAY(INT($B161), 20)), 2, 2), """")=""""), """", IF($D161=""LONG"", (IFERROR(INDEX(GOOGLEFINANCE($C161, ""price"", WORKDAY(INT($B161), 20)), 2, 2), """")-$G161)/$G161, ($G161-I"&amp;"FERROR(INDEX(GOOGLEFINANCE($C161, ""price"", WORKDAY(INT($B161), 20)), 2, 2), """"))/$G161)), """")"),"")</f>
        <v/>
      </c>
      <c r="Q161" s="5" t="s">
        <v>1535</v>
      </c>
      <c r="R161" s="21" t="s">
        <v>722</v>
      </c>
      <c r="S161" s="21" t="s">
        <v>1536</v>
      </c>
      <c r="T161" s="21" t="s">
        <v>51</v>
      </c>
      <c r="U161" s="21"/>
      <c r="V161" s="21"/>
      <c r="W161" s="21"/>
      <c r="X161" s="21"/>
      <c r="Y161" s="21"/>
      <c r="Z161" s="21"/>
    </row>
    <row r="162">
      <c r="A162" s="3">
        <f t="shared" si="1"/>
        <v>161</v>
      </c>
      <c r="B162" s="4">
        <v>46213.66743055556</v>
      </c>
      <c r="C162" s="5" t="s">
        <v>257</v>
      </c>
      <c r="D162" s="5" t="s">
        <v>36</v>
      </c>
      <c r="E162" s="5" t="s">
        <v>37</v>
      </c>
      <c r="F162" s="6">
        <v>2.0</v>
      </c>
      <c r="G162" s="7">
        <v>66.82</v>
      </c>
      <c r="H162" s="5" t="s">
        <v>1539</v>
      </c>
      <c r="I162" s="5">
        <v>94.9</v>
      </c>
      <c r="J162" s="3"/>
      <c r="K162" s="5" t="s">
        <v>40</v>
      </c>
      <c r="L162" s="8">
        <f>IFERROR(__xludf.DUMMYFUNCTION("IFERROR(GOOGLEFINANCE(C162, ""price""), IFERROR(GOOGLEFINANCE(""NASDAQ:""&amp;C162, ""price""), IFERROR(GOOGLEFINANCE(""NYSE:""&amp;C162, ""price""), """")))"),68.81)</f>
        <v>68.81</v>
      </c>
      <c r="M162" s="12">
        <f t="shared" si="3"/>
        <v>0.02978150254</v>
      </c>
      <c r="N162" s="12">
        <f>IFERROR(__xludf.DUMMYFUNCTION("IFERROR(IF(OR(ISBLANK($G162), IFERROR(INDEX(GOOGLEFINANCE($C162, ""price"", WORKDAY(INT($B162), 1)), 2, 2), """")=""""), """", IF($D162=""LONG"", (IFERROR(INDEX(GOOGLEFINANCE($C162, ""price"", WORKDAY(INT($B162), 1)), 2, 2), """")-$G162)/$G162, ($G162-IFE"&amp;"RROR(INDEX(GOOGLEFINANCE($C162, ""price"", WORKDAY(INT($B162), 1)), 2, 2), """"))/$G162)), """")"),0.0032924274169412317)</f>
        <v>0.003292427417</v>
      </c>
      <c r="O162" s="12">
        <f>IFERROR(__xludf.DUMMYFUNCTION("IFERROR(IF(OR(ISBLANK($G162), IFERROR(INDEX(GOOGLEFINANCE($C162, ""price"", WORKDAY(INT($B162), 5)), 2, 2), """")=""""), """", IF($D162=""LONG"", (IFERROR(INDEX(GOOGLEFINANCE($C162, ""price"", WORKDAY(INT($B162), 5)), 2, 2), """")-$G162)/$G162, ($G162-IFE"&amp;"RROR(INDEX(GOOGLEFINANCE($C162, ""price"", WORKDAY(INT($B162), 5)), 2, 2), """"))/$G162)), """")"),0.04534570487877883)</f>
        <v>0.04534570488</v>
      </c>
      <c r="P162" s="12" t="str">
        <f>IFERROR(__xludf.DUMMYFUNCTION("IFERROR(IF(OR(ISBLANK($G162), IFERROR(INDEX(GOOGLEFINANCE($C162, ""price"", WORKDAY(INT($B162), 20)), 2, 2), """")=""""), """", IF($D162=""LONG"", (IFERROR(INDEX(GOOGLEFINANCE($C162, ""price"", WORKDAY(INT($B162), 20)), 2, 2), """")-$G162)/$G162, ($G162-I"&amp;"FERROR(INDEX(GOOGLEFINANCE($C162, ""price"", WORKDAY(INT($B162), 20)), 2, 2), """"))/$G162)), """")"),"")</f>
        <v/>
      </c>
      <c r="Q162" s="5" t="s">
        <v>1541</v>
      </c>
      <c r="R162" s="21" t="s">
        <v>507</v>
      </c>
      <c r="S162" s="21" t="s">
        <v>1542</v>
      </c>
      <c r="T162" s="21" t="s">
        <v>51</v>
      </c>
      <c r="U162" s="21"/>
      <c r="V162" s="21"/>
      <c r="W162" s="21"/>
      <c r="X162" s="21"/>
      <c r="Y162" s="21"/>
      <c r="Z162" s="21"/>
    </row>
    <row r="163">
      <c r="A163" s="3">
        <f t="shared" si="1"/>
        <v>162</v>
      </c>
      <c r="B163" s="4">
        <v>46213.66738425926</v>
      </c>
      <c r="C163" s="5" t="s">
        <v>238</v>
      </c>
      <c r="D163" s="5" t="s">
        <v>36</v>
      </c>
      <c r="E163" s="5" t="s">
        <v>37</v>
      </c>
      <c r="F163" s="6">
        <v>2.0</v>
      </c>
      <c r="G163" s="7">
        <v>221.79</v>
      </c>
      <c r="H163" s="5" t="s">
        <v>1543</v>
      </c>
      <c r="I163" s="5">
        <v>90.4</v>
      </c>
      <c r="J163" s="3"/>
      <c r="K163" s="5" t="s">
        <v>40</v>
      </c>
      <c r="L163" s="8">
        <f>IFERROR(__xludf.DUMMYFUNCTION("IFERROR(GOOGLEFINANCE(C163, ""price""), IFERROR(GOOGLEFINANCE(""NASDAQ:""&amp;C163, ""price""), IFERROR(GOOGLEFINANCE(""NYSE:""&amp;C163, ""price""), """")))"),246.89)</f>
        <v>246.89</v>
      </c>
      <c r="M163" s="12">
        <f t="shared" si="3"/>
        <v>0.1131701159</v>
      </c>
      <c r="N163" s="12">
        <f>IFERROR(__xludf.DUMMYFUNCTION("IFERROR(IF(OR(ISBLANK($G163), IFERROR(INDEX(GOOGLEFINANCE($C163, ""price"", WORKDAY(INT($B163), 1)), 2, 2), """")=""""), """", IF($D163=""LONG"", (IFERROR(INDEX(GOOGLEFINANCE($C163, ""price"", WORKDAY(INT($B163), 1)), 2, 2), """")-$G163)/$G163, ($G163-IFE"&amp;"RROR(INDEX(GOOGLEFINANCE($C163, ""price"", WORKDAY(INT($B163), 1)), 2, 2), """"))/$G163)), """")"),-0.023175075521890017)</f>
        <v>-0.02317507552</v>
      </c>
      <c r="O163" s="12">
        <f>IFERROR(__xludf.DUMMYFUNCTION("IFERROR(IF(OR(ISBLANK($G163), IFERROR(INDEX(GOOGLEFINANCE($C163, ""price"", WORKDAY(INT($B163), 5)), 2, 2), """")=""""), """", IF($D163=""LONG"", (IFERROR(INDEX(GOOGLEFINANCE($C163, ""price"", WORKDAY(INT($B163), 5)), 2, 2), """")-$G163)/$G163, ($G163-IFE"&amp;"RROR(INDEX(GOOGLEFINANCE($C163, ""price"", WORKDAY(INT($B163), 5)), 2, 2), """"))/$G163)), """")"),0.029848054465936268)</f>
        <v>0.02984805447</v>
      </c>
      <c r="P163" s="12" t="str">
        <f>IFERROR(__xludf.DUMMYFUNCTION("IFERROR(IF(OR(ISBLANK($G163), IFERROR(INDEX(GOOGLEFINANCE($C163, ""price"", WORKDAY(INT($B163), 20)), 2, 2), """")=""""), """", IF($D163=""LONG"", (IFERROR(INDEX(GOOGLEFINANCE($C163, ""price"", WORKDAY(INT($B163), 20)), 2, 2), """")-$G163)/$G163, ($G163-I"&amp;"FERROR(INDEX(GOOGLEFINANCE($C163, ""price"", WORKDAY(INT($B163), 20)), 2, 2), """"))/$G163)), """")"),"")</f>
        <v/>
      </c>
      <c r="Q163" s="5" t="s">
        <v>1544</v>
      </c>
      <c r="R163" s="21" t="s">
        <v>722</v>
      </c>
      <c r="S163" s="21" t="s">
        <v>1545</v>
      </c>
      <c r="T163" s="21" t="s">
        <v>51</v>
      </c>
      <c r="U163" s="21"/>
      <c r="V163" s="21"/>
      <c r="W163" s="21"/>
      <c r="X163" s="21"/>
      <c r="Y163" s="21"/>
      <c r="Z163" s="21"/>
    </row>
    <row r="164">
      <c r="A164" s="3">
        <f t="shared" si="1"/>
        <v>163</v>
      </c>
      <c r="B164" s="4">
        <v>46213.66743055556</v>
      </c>
      <c r="C164" s="5" t="s">
        <v>312</v>
      </c>
      <c r="D164" s="5" t="s">
        <v>36</v>
      </c>
      <c r="E164" s="5" t="s">
        <v>37</v>
      </c>
      <c r="F164" s="6">
        <v>2.0</v>
      </c>
      <c r="G164" s="7">
        <v>14.78</v>
      </c>
      <c r="H164" s="5" t="s">
        <v>1548</v>
      </c>
      <c r="I164" s="5">
        <v>76.3</v>
      </c>
      <c r="J164" s="3"/>
      <c r="K164" s="5" t="s">
        <v>40</v>
      </c>
      <c r="L164" s="8">
        <f>IFERROR(__xludf.DUMMYFUNCTION("IFERROR(GOOGLEFINANCE(C164, ""price""), IFERROR(GOOGLEFINANCE(""NASDAQ:""&amp;C164, ""price""), IFERROR(GOOGLEFINANCE(""NYSE:""&amp;C164, ""price""), """")))"),14.7)</f>
        <v>14.7</v>
      </c>
      <c r="M164" s="12">
        <f t="shared" si="3"/>
        <v>-0.005412719892</v>
      </c>
      <c r="N164" s="12">
        <f>IFERROR(__xludf.DUMMYFUNCTION("IFERROR(IF(OR(ISBLANK($G164), IFERROR(INDEX(GOOGLEFINANCE($C164, ""price"", WORKDAY(INT($B164), 1)), 2, 2), """")=""""), """", IF($D164=""LONG"", (IFERROR(INDEX(GOOGLEFINANCE($C164, ""price"", WORKDAY(INT($B164), 1)), 2, 2), """")-$G164)/$G164, ($G164-IFE"&amp;"RROR(INDEX(GOOGLEFINANCE($C164, ""price"", WORKDAY(INT($B164), 1)), 2, 2), """"))/$G164)), """")"),-0.0013531799729363718)</f>
        <v>-0.001353179973</v>
      </c>
      <c r="O164" s="12">
        <f>IFERROR(__xludf.DUMMYFUNCTION("IFERROR(IF(OR(ISBLANK($G164), IFERROR(INDEX(GOOGLEFINANCE($C164, ""price"", WORKDAY(INT($B164), 5)), 2, 2), """")=""""), """", IF($D164=""LONG"", (IFERROR(INDEX(GOOGLEFINANCE($C164, ""price"", WORKDAY(INT($B164), 5)), 2, 2), """")-$G164)/$G164, ($G164-IFE"&amp;"RROR(INDEX(GOOGLEFINANCE($C164, ""price"", WORKDAY(INT($B164), 5)), 2, 2), """"))/$G164)), """")"),-6.765899864681859E-4)</f>
        <v>-0.0006765899865</v>
      </c>
      <c r="P164" s="12" t="str">
        <f>IFERROR(__xludf.DUMMYFUNCTION("IFERROR(IF(OR(ISBLANK($G164), IFERROR(INDEX(GOOGLEFINANCE($C164, ""price"", WORKDAY(INT($B164), 20)), 2, 2), """")=""""), """", IF($D164=""LONG"", (IFERROR(INDEX(GOOGLEFINANCE($C164, ""price"", WORKDAY(INT($B164), 20)), 2, 2), """")-$G164)/$G164, ($G164-I"&amp;"FERROR(INDEX(GOOGLEFINANCE($C164, ""price"", WORKDAY(INT($B164), 20)), 2, 2), """"))/$G164)), """")"),"")</f>
        <v/>
      </c>
      <c r="Q164" s="5" t="s">
        <v>1551</v>
      </c>
      <c r="R164" s="21" t="s">
        <v>176</v>
      </c>
      <c r="S164" s="21" t="s">
        <v>1553</v>
      </c>
      <c r="T164" s="21" t="s">
        <v>51</v>
      </c>
      <c r="U164" s="21"/>
      <c r="V164" s="21"/>
      <c r="W164" s="21"/>
      <c r="X164" s="21"/>
      <c r="Y164" s="21"/>
      <c r="Z164" s="21"/>
    </row>
    <row r="165">
      <c r="A165" s="3">
        <f t="shared" si="1"/>
        <v>164</v>
      </c>
      <c r="B165" s="4">
        <v>46213.66743055556</v>
      </c>
      <c r="C165" s="5" t="s">
        <v>530</v>
      </c>
      <c r="D165" s="5" t="s">
        <v>36</v>
      </c>
      <c r="E165" s="5" t="s">
        <v>87</v>
      </c>
      <c r="F165" s="6">
        <v>2.0</v>
      </c>
      <c r="G165" s="7">
        <v>168.85</v>
      </c>
      <c r="H165" s="5" t="s">
        <v>1557</v>
      </c>
      <c r="I165" s="5">
        <v>74.9</v>
      </c>
      <c r="J165" s="3"/>
      <c r="K165" s="5" t="s">
        <v>40</v>
      </c>
      <c r="L165" s="8">
        <f>IFERROR(__xludf.DUMMYFUNCTION("IFERROR(GOOGLEFINANCE(C165, ""price""), IFERROR(GOOGLEFINANCE(""NASDAQ:""&amp;C165, ""price""), IFERROR(GOOGLEFINANCE(""NYSE:""&amp;C165, ""price""), """")))"),191.48)</f>
        <v>191.48</v>
      </c>
      <c r="M165" s="12">
        <f t="shared" si="3"/>
        <v>0.1340242819</v>
      </c>
      <c r="N165" s="12">
        <f>IFERROR(__xludf.DUMMYFUNCTION("IFERROR(IF(OR(ISBLANK($G165), IFERROR(INDEX(GOOGLEFINANCE($C165, ""price"", WORKDAY(INT($B165), 1)), 2, 2), """")=""""), """", IF($D165=""LONG"", (IFERROR(INDEX(GOOGLEFINANCE($C165, ""price"", WORKDAY(INT($B165), 1)), 2, 2), """")-$G165)/$G165, ($G165-IFE"&amp;"RROR(INDEX(GOOGLEFINANCE($C165, ""price"", WORKDAY(INT($B165), 1)), 2, 2), """"))/$G165)), """")"),-0.02913828842167597)</f>
        <v>-0.02913828842</v>
      </c>
      <c r="O165" s="12">
        <f>IFERROR(__xludf.DUMMYFUNCTION("IFERROR(IF(OR(ISBLANK($G165), IFERROR(INDEX(GOOGLEFINANCE($C165, ""price"", WORKDAY(INT($B165), 5)), 2, 2), """")=""""), """", IF($D165=""LONG"", (IFERROR(INDEX(GOOGLEFINANCE($C165, ""price"", WORKDAY(INT($B165), 5)), 2, 2), """")-$G165)/$G165, ($G165-IFE"&amp;"RROR(INDEX(GOOGLEFINANCE($C165, ""price"", WORKDAY(INT($B165), 5)), 2, 2), """"))/$G165)), """")"),-0.029434409238969495)</f>
        <v>-0.02943440924</v>
      </c>
      <c r="P165" s="12" t="str">
        <f>IFERROR(__xludf.DUMMYFUNCTION("IFERROR(IF(OR(ISBLANK($G165), IFERROR(INDEX(GOOGLEFINANCE($C165, ""price"", WORKDAY(INT($B165), 20)), 2, 2), """")=""""), """", IF($D165=""LONG"", (IFERROR(INDEX(GOOGLEFINANCE($C165, ""price"", WORKDAY(INT($B165), 20)), 2, 2), """")-$G165)/$G165, ($G165-I"&amp;"FERROR(INDEX(GOOGLEFINANCE($C165, ""price"", WORKDAY(INT($B165), 20)), 2, 2), """"))/$G165)), """")"),"")</f>
        <v/>
      </c>
      <c r="Q165" s="5" t="s">
        <v>1561</v>
      </c>
      <c r="R165" s="21" t="s">
        <v>1562</v>
      </c>
      <c r="S165" s="21" t="s">
        <v>1563</v>
      </c>
      <c r="T165" s="21" t="s">
        <v>51</v>
      </c>
      <c r="U165" s="21"/>
      <c r="V165" s="21"/>
      <c r="W165" s="21"/>
      <c r="X165" s="21"/>
      <c r="Y165" s="21"/>
      <c r="Z165" s="21"/>
    </row>
    <row r="166">
      <c r="A166" s="3">
        <f t="shared" si="1"/>
        <v>165</v>
      </c>
      <c r="B166" s="4">
        <v>46213.66741898148</v>
      </c>
      <c r="C166" s="5" t="s">
        <v>287</v>
      </c>
      <c r="D166" s="5" t="s">
        <v>36</v>
      </c>
      <c r="E166" s="5" t="s">
        <v>37</v>
      </c>
      <c r="F166" s="6">
        <v>2.0</v>
      </c>
      <c r="G166" s="7">
        <v>343.27</v>
      </c>
      <c r="H166" s="5" t="s">
        <v>1565</v>
      </c>
      <c r="I166" s="5">
        <v>94.4</v>
      </c>
      <c r="J166" s="3"/>
      <c r="K166" s="5" t="s">
        <v>40</v>
      </c>
      <c r="L166" s="8">
        <f>IFERROR(__xludf.DUMMYFUNCTION("IFERROR(GOOGLEFINANCE(C166, ""price""), IFERROR(GOOGLEFINANCE(""NASDAQ:""&amp;C166, ""price""), IFERROR(GOOGLEFINANCE(""NYSE:""&amp;C166, ""price""), """")))"),349.52)</f>
        <v>349.52</v>
      </c>
      <c r="M166" s="12">
        <f t="shared" si="3"/>
        <v>0.01820724211</v>
      </c>
      <c r="N166" s="12">
        <f>IFERROR(__xludf.DUMMYFUNCTION("IFERROR(IF(OR(ISBLANK($G166), IFERROR(INDEX(GOOGLEFINANCE($C166, ""price"", WORKDAY(INT($B166), 1)), 2, 2), """")=""""), """", IF($D166=""LONG"", (IFERROR(INDEX(GOOGLEFINANCE($C166, ""price"", WORKDAY(INT($B166), 1)), 2, 2), """")-$G166)/$G166, ($G166-IFE"&amp;"RROR(INDEX(GOOGLEFINANCE($C166, ""price"", WORKDAY(INT($B166), 1)), 2, 2), """"))/$G166)), """")"),-0.017945057826200858)</f>
        <v>-0.01794505783</v>
      </c>
      <c r="O166" s="12">
        <f>IFERROR(__xludf.DUMMYFUNCTION("IFERROR(IF(OR(ISBLANK($G166), IFERROR(INDEX(GOOGLEFINANCE($C166, ""price"", WORKDAY(INT($B166), 5)), 2, 2), """")=""""), """", IF($D166=""LONG"", (IFERROR(INDEX(GOOGLEFINANCE($C166, ""price"", WORKDAY(INT($B166), 5)), 2, 2), """")-$G166)/$G166, ($G166-IFE"&amp;"RROR(INDEX(GOOGLEFINANCE($C166, ""price"", WORKDAY(INT($B166), 5)), 2, 2), """"))/$G166)), """")"),-0.012817898447286327)</f>
        <v>-0.01281789845</v>
      </c>
      <c r="P166" s="12" t="str">
        <f>IFERROR(__xludf.DUMMYFUNCTION("IFERROR(IF(OR(ISBLANK($G166), IFERROR(INDEX(GOOGLEFINANCE($C166, ""price"", WORKDAY(INT($B166), 20)), 2, 2), """")=""""), """", IF($D166=""LONG"", (IFERROR(INDEX(GOOGLEFINANCE($C166, ""price"", WORKDAY(INT($B166), 20)), 2, 2), """")-$G166)/$G166, ($G166-I"&amp;"FERROR(INDEX(GOOGLEFINANCE($C166, ""price"", WORKDAY(INT($B166), 20)), 2, 2), """"))/$G166)), """")"),"")</f>
        <v/>
      </c>
      <c r="Q166" s="5" t="s">
        <v>1570</v>
      </c>
      <c r="R166" s="21" t="s">
        <v>722</v>
      </c>
      <c r="S166" s="21" t="s">
        <v>1571</v>
      </c>
      <c r="T166" s="21" t="s">
        <v>51</v>
      </c>
      <c r="U166" s="21"/>
      <c r="V166" s="21"/>
      <c r="W166" s="21"/>
      <c r="X166" s="21"/>
      <c r="Y166" s="21"/>
      <c r="Z166" s="21"/>
    </row>
    <row r="167">
      <c r="A167" s="3">
        <f t="shared" si="1"/>
        <v>166</v>
      </c>
      <c r="B167" s="4">
        <v>46213.66743055556</v>
      </c>
      <c r="C167" s="5" t="s">
        <v>173</v>
      </c>
      <c r="D167" s="5" t="s">
        <v>36</v>
      </c>
      <c r="E167" s="5" t="s">
        <v>37</v>
      </c>
      <c r="F167" s="6">
        <v>2.0</v>
      </c>
      <c r="G167" s="7">
        <v>87.1</v>
      </c>
      <c r="H167" s="5" t="s">
        <v>1572</v>
      </c>
      <c r="I167" s="5">
        <v>87.5</v>
      </c>
      <c r="J167" s="3"/>
      <c r="K167" s="5" t="s">
        <v>40</v>
      </c>
      <c r="L167" s="8">
        <f>IFERROR(__xludf.DUMMYFUNCTION("IFERROR(GOOGLEFINANCE(C167, ""price""), IFERROR(GOOGLEFINANCE(""NASDAQ:""&amp;C167, ""price""), IFERROR(GOOGLEFINANCE(""NYSE:""&amp;C167, ""price""), """")))"),87.59)</f>
        <v>87.59</v>
      </c>
      <c r="M167" s="12">
        <f t="shared" si="3"/>
        <v>0.005625717566</v>
      </c>
      <c r="N167" s="12">
        <f>IFERROR(__xludf.DUMMYFUNCTION("IFERROR(IF(OR(ISBLANK($G167), IFERROR(INDEX(GOOGLEFINANCE($C167, ""price"", WORKDAY(INT($B167), 1)), 2, 2), """")=""""), """", IF($D167=""LONG"", (IFERROR(INDEX(GOOGLEFINANCE($C167, ""price"", WORKDAY(INT($B167), 1)), 2, 2), """")-$G167)/$G167, ($G167-IFE"&amp;"RROR(INDEX(GOOGLEFINANCE($C167, ""price"", WORKDAY(INT($B167), 1)), 2, 2), """"))/$G167)), """")"),0.0065442020665902115)</f>
        <v>0.006544202067</v>
      </c>
      <c r="O167" s="12">
        <f>IFERROR(__xludf.DUMMYFUNCTION("IFERROR(IF(OR(ISBLANK($G167), IFERROR(INDEX(GOOGLEFINANCE($C167, ""price"", WORKDAY(INT($B167), 5)), 2, 2), """")=""""), """", IF($D167=""LONG"", (IFERROR(INDEX(GOOGLEFINANCE($C167, ""price"", WORKDAY(INT($B167), 5)), 2, 2), """")-$G167)/$G167, ($G167-IFE"&amp;"RROR(INDEX(GOOGLEFINANCE($C167, ""price"", WORKDAY(INT($B167), 5)), 2, 2), """"))/$G167)), """")"),0.004707233065442145)</f>
        <v>0.004707233065</v>
      </c>
      <c r="P167" s="12" t="str">
        <f>IFERROR(__xludf.DUMMYFUNCTION("IFERROR(IF(OR(ISBLANK($G167), IFERROR(INDEX(GOOGLEFINANCE($C167, ""price"", WORKDAY(INT($B167), 20)), 2, 2), """")=""""), """", IF($D167=""LONG"", (IFERROR(INDEX(GOOGLEFINANCE($C167, ""price"", WORKDAY(INT($B167), 20)), 2, 2), """")-$G167)/$G167, ($G167-I"&amp;"FERROR(INDEX(GOOGLEFINANCE($C167, ""price"", WORKDAY(INT($B167), 20)), 2, 2), """"))/$G167)), """")"),"")</f>
        <v/>
      </c>
      <c r="Q167" s="5" t="s">
        <v>1577</v>
      </c>
      <c r="R167" s="21" t="s">
        <v>722</v>
      </c>
      <c r="S167" s="21" t="s">
        <v>1578</v>
      </c>
      <c r="T167" s="21" t="s">
        <v>51</v>
      </c>
      <c r="U167" s="21"/>
      <c r="V167" s="21"/>
      <c r="W167" s="21"/>
      <c r="X167" s="21"/>
      <c r="Y167" s="21"/>
      <c r="Z167" s="21"/>
    </row>
    <row r="168">
      <c r="A168" s="3">
        <f t="shared" si="1"/>
        <v>167</v>
      </c>
      <c r="B168" s="4">
        <v>46213.6674537037</v>
      </c>
      <c r="C168" s="5" t="s">
        <v>161</v>
      </c>
      <c r="D168" s="5" t="s">
        <v>36</v>
      </c>
      <c r="E168" s="5" t="s">
        <v>37</v>
      </c>
      <c r="F168" s="6">
        <v>2.0</v>
      </c>
      <c r="G168" s="7">
        <v>157.59</v>
      </c>
      <c r="H168" s="5" t="s">
        <v>1579</v>
      </c>
      <c r="I168" s="5">
        <v>90.4</v>
      </c>
      <c r="J168" s="3"/>
      <c r="K168" s="5" t="s">
        <v>40</v>
      </c>
      <c r="L168" s="8">
        <f>IFERROR(__xludf.DUMMYFUNCTION("IFERROR(GOOGLEFINANCE(C168, ""price""), IFERROR(GOOGLEFINANCE(""NASDAQ:""&amp;C168, ""price""), IFERROR(GOOGLEFINANCE(""NYSE:""&amp;C168, ""price""), """")))"),180.71)</f>
        <v>180.71</v>
      </c>
      <c r="M168" s="12">
        <f t="shared" si="3"/>
        <v>0.1467098166</v>
      </c>
      <c r="N168" s="12">
        <f>IFERROR(__xludf.DUMMYFUNCTION("IFERROR(IF(OR(ISBLANK($G168), IFERROR(INDEX(GOOGLEFINANCE($C168, ""price"", WORKDAY(INT($B168), 1)), 2, 2), """")=""""), """", IF($D168=""LONG"", (IFERROR(INDEX(GOOGLEFINANCE($C168, ""price"", WORKDAY(INT($B168), 1)), 2, 2), """")-$G168)/$G168, ($G168-IFE"&amp;"RROR(INDEX(GOOGLEFINANCE($C168, ""price"", WORKDAY(INT($B168), 1)), 2, 2), """"))/$G168)), """")"),6.980138333649675E-4)</f>
        <v>0.0006980138334</v>
      </c>
      <c r="O168" s="12">
        <f>IFERROR(__xludf.DUMMYFUNCTION("IFERROR(IF(OR(ISBLANK($G168), IFERROR(INDEX(GOOGLEFINANCE($C168, ""price"", WORKDAY(INT($B168), 5)), 2, 2), """")=""""), """", IF($D168=""LONG"", (IFERROR(INDEX(GOOGLEFINANCE($C168, ""price"", WORKDAY(INT($B168), 5)), 2, 2), """")-$G168)/$G168, ($G168-IFE"&amp;"RROR(INDEX(GOOGLEFINANCE($C168, ""price"", WORKDAY(INT($B168), 5)), 2, 2), """"))/$G168)), """")"),0.014277555682467162)</f>
        <v>0.01427755568</v>
      </c>
      <c r="P168" s="12" t="str">
        <f>IFERROR(__xludf.DUMMYFUNCTION("IFERROR(IF(OR(ISBLANK($G168), IFERROR(INDEX(GOOGLEFINANCE($C168, ""price"", WORKDAY(INT($B168), 20)), 2, 2), """")=""""), """", IF($D168=""LONG"", (IFERROR(INDEX(GOOGLEFINANCE($C168, ""price"", WORKDAY(INT($B168), 20)), 2, 2), """")-$G168)/$G168, ($G168-I"&amp;"FERROR(INDEX(GOOGLEFINANCE($C168, ""price"", WORKDAY(INT($B168), 20)), 2, 2), """"))/$G168)), """")"),"")</f>
        <v/>
      </c>
      <c r="Q168" s="5" t="s">
        <v>1584</v>
      </c>
      <c r="R168" s="21" t="s">
        <v>507</v>
      </c>
      <c r="S168" s="21" t="s">
        <v>1585</v>
      </c>
      <c r="T168" s="21" t="s">
        <v>51</v>
      </c>
      <c r="U168" s="21"/>
      <c r="V168" s="21"/>
      <c r="W168" s="21"/>
      <c r="X168" s="21"/>
      <c r="Y168" s="21"/>
      <c r="Z168" s="21"/>
    </row>
    <row r="169">
      <c r="A169" s="3">
        <f t="shared" si="1"/>
        <v>168</v>
      </c>
      <c r="B169" s="4">
        <v>46213.66758101852</v>
      </c>
      <c r="C169" s="5" t="s">
        <v>222</v>
      </c>
      <c r="D169" s="5" t="s">
        <v>36</v>
      </c>
      <c r="E169" s="5" t="s">
        <v>37</v>
      </c>
      <c r="F169" s="6">
        <v>2.0</v>
      </c>
      <c r="G169" s="7">
        <v>485.51</v>
      </c>
      <c r="H169" s="5" t="s">
        <v>1586</v>
      </c>
      <c r="I169" s="5">
        <v>94.4</v>
      </c>
      <c r="J169" s="3"/>
      <c r="K169" s="5" t="s">
        <v>40</v>
      </c>
      <c r="L169" s="8">
        <f>IFERROR(__xludf.DUMMYFUNCTION("IFERROR(GOOGLEFINANCE(C169, ""price""), IFERROR(GOOGLEFINANCE(""NASDAQ:""&amp;C169, ""price""), IFERROR(GOOGLEFINANCE(""NYSE:""&amp;C169, ""price""), """")))"),484.03)</f>
        <v>484.03</v>
      </c>
      <c r="M169" s="12">
        <f t="shared" si="3"/>
        <v>-0.00304834092</v>
      </c>
      <c r="N169" s="12">
        <f>IFERROR(__xludf.DUMMYFUNCTION("IFERROR(IF(OR(ISBLANK($G169), IFERROR(INDEX(GOOGLEFINANCE($C169, ""price"", WORKDAY(INT($B169), 1)), 2, 2), """")=""""), """", IF($D169=""LONG"", (IFERROR(INDEX(GOOGLEFINANCE($C169, ""price"", WORKDAY(INT($B169), 1)), 2, 2), """")-$G169)/$G169, ($G169-IFE"&amp;"RROR(INDEX(GOOGLEFINANCE($C169, ""price"", WORKDAY(INT($B169), 1)), 2, 2), """"))/$G169)), """")"),-0.010833968404358286)</f>
        <v>-0.0108339684</v>
      </c>
      <c r="O169" s="12">
        <f>IFERROR(__xludf.DUMMYFUNCTION("IFERROR(IF(OR(ISBLANK($G169), IFERROR(INDEX(GOOGLEFINANCE($C169, ""price"", WORKDAY(INT($B169), 5)), 2, 2), """")=""""), """", IF($D169=""LONG"", (IFERROR(INDEX(GOOGLEFINANCE($C169, ""price"", WORKDAY(INT($B169), 5)), 2, 2), """")-$G169)/$G169, ($G169-IFE"&amp;"RROR(INDEX(GOOGLEFINANCE($C169, ""price"", WORKDAY(INT($B169), 5)), 2, 2), """"))/$G169)), """")"),2.883565735000028E-4)</f>
        <v>0.0002883565735</v>
      </c>
      <c r="P169" s="12" t="str">
        <f>IFERROR(__xludf.DUMMYFUNCTION("IFERROR(IF(OR(ISBLANK($G169), IFERROR(INDEX(GOOGLEFINANCE($C169, ""price"", WORKDAY(INT($B169), 20)), 2, 2), """")=""""), """", IF($D169=""LONG"", (IFERROR(INDEX(GOOGLEFINANCE($C169, ""price"", WORKDAY(INT($B169), 20)), 2, 2), """")-$G169)/$G169, ($G169-I"&amp;"FERROR(INDEX(GOOGLEFINANCE($C169, ""price"", WORKDAY(INT($B169), 20)), 2, 2), """"))/$G169)), """")"),"")</f>
        <v/>
      </c>
      <c r="Q169" s="5" t="s">
        <v>1591</v>
      </c>
      <c r="R169" s="21" t="s">
        <v>704</v>
      </c>
      <c r="S169" s="21" t="s">
        <v>1592</v>
      </c>
      <c r="T169" s="21" t="s">
        <v>51</v>
      </c>
      <c r="U169" s="21"/>
      <c r="V169" s="21"/>
      <c r="W169" s="21"/>
      <c r="X169" s="21"/>
      <c r="Y169" s="21"/>
      <c r="Z169" s="21"/>
    </row>
    <row r="170">
      <c r="A170" s="3">
        <f t="shared" si="1"/>
        <v>169</v>
      </c>
      <c r="B170" s="4">
        <v>46213.66769675926</v>
      </c>
      <c r="C170" s="5" t="s">
        <v>444</v>
      </c>
      <c r="D170" s="5" t="s">
        <v>36</v>
      </c>
      <c r="E170" s="5" t="s">
        <v>37</v>
      </c>
      <c r="F170" s="6">
        <v>2.0</v>
      </c>
      <c r="G170" s="7">
        <v>350.58</v>
      </c>
      <c r="H170" s="5" t="s">
        <v>1593</v>
      </c>
      <c r="I170" s="5">
        <v>94.2</v>
      </c>
      <c r="J170" s="3"/>
      <c r="K170" s="5" t="s">
        <v>40</v>
      </c>
      <c r="L170" s="8">
        <f>IFERROR(__xludf.DUMMYFUNCTION("IFERROR(GOOGLEFINANCE(C170, ""price""), IFERROR(GOOGLEFINANCE(""NASDAQ:""&amp;C170, ""price""), IFERROR(GOOGLEFINANCE(""NYSE:""&amp;C170, ""price""), """")))"),342.6)</f>
        <v>342.6</v>
      </c>
      <c r="M170" s="12">
        <f t="shared" si="3"/>
        <v>-0.02276227965</v>
      </c>
      <c r="N170" s="12">
        <f>IFERROR(__xludf.DUMMYFUNCTION("IFERROR(IF(OR(ISBLANK($G170), IFERROR(INDEX(GOOGLEFINANCE($C170, ""price"", WORKDAY(INT($B170), 1)), 2, 2), """")=""""), """", IF($D170=""LONG"", (IFERROR(INDEX(GOOGLEFINANCE($C170, ""price"", WORKDAY(INT($B170), 1)), 2, 2), """")-$G170)/$G170, ($G170-IFE"&amp;"RROR(INDEX(GOOGLEFINANCE($C170, ""price"", WORKDAY(INT($B170), 1)), 2, 2), """"))/$G170)), """")"),0.01098180158594336)</f>
        <v>0.01098180159</v>
      </c>
      <c r="O170" s="12">
        <f>IFERROR(__xludf.DUMMYFUNCTION("IFERROR(IF(OR(ISBLANK($G170), IFERROR(INDEX(GOOGLEFINANCE($C170, ""price"", WORKDAY(INT($B170), 5)), 2, 2), """")=""""), """", IF($D170=""LONG"", (IFERROR(INDEX(GOOGLEFINANCE($C170, ""price"", WORKDAY(INT($B170), 5)), 2, 2), """")-$G170)/$G170, ($G170-IFE"&amp;"RROR(INDEX(GOOGLEFINANCE($C170, ""price"", WORKDAY(INT($B170), 5)), 2, 2), """"))/$G170)), """")"),0.0136060243025844)</f>
        <v>0.0136060243</v>
      </c>
      <c r="P170" s="12" t="str">
        <f>IFERROR(__xludf.DUMMYFUNCTION("IFERROR(IF(OR(ISBLANK($G170), IFERROR(INDEX(GOOGLEFINANCE($C170, ""price"", WORKDAY(INT($B170), 20)), 2, 2), """")=""""), """", IF($D170=""LONG"", (IFERROR(INDEX(GOOGLEFINANCE($C170, ""price"", WORKDAY(INT($B170), 20)), 2, 2), """")-$G170)/$G170, ($G170-I"&amp;"FERROR(INDEX(GOOGLEFINANCE($C170, ""price"", WORKDAY(INT($B170), 20)), 2, 2), """"))/$G170)), """")"),"")</f>
        <v/>
      </c>
      <c r="Q170" s="5" t="s">
        <v>1598</v>
      </c>
      <c r="R170" s="21" t="s">
        <v>102</v>
      </c>
      <c r="S170" s="21" t="s">
        <v>1599</v>
      </c>
      <c r="T170" s="21" t="s">
        <v>51</v>
      </c>
      <c r="U170" s="21"/>
      <c r="V170" s="21"/>
      <c r="W170" s="21"/>
      <c r="X170" s="21"/>
      <c r="Y170" s="21"/>
      <c r="Z170" s="21"/>
    </row>
    <row r="171">
      <c r="A171" s="3">
        <f t="shared" si="1"/>
        <v>170</v>
      </c>
      <c r="B171" s="4">
        <v>46213.667708333334</v>
      </c>
      <c r="C171" s="5" t="s">
        <v>1198</v>
      </c>
      <c r="D171" s="5" t="s">
        <v>36</v>
      </c>
      <c r="E171" s="5" t="s">
        <v>37</v>
      </c>
      <c r="F171" s="6">
        <v>2.0</v>
      </c>
      <c r="G171" s="7">
        <v>347.8</v>
      </c>
      <c r="H171" s="5" t="s">
        <v>1600</v>
      </c>
      <c r="I171" s="5">
        <v>96.0</v>
      </c>
      <c r="J171" s="3"/>
      <c r="K171" s="5" t="s">
        <v>40</v>
      </c>
      <c r="L171" s="8">
        <f>IFERROR(__xludf.DUMMYFUNCTION("IFERROR(GOOGLEFINANCE(C171, ""price""), IFERROR(GOOGLEFINANCE(""NASDAQ:""&amp;C171, ""price""), IFERROR(GOOGLEFINANCE(""NYSE:""&amp;C171, ""price""), """")))"),354.03)</f>
        <v>354.03</v>
      </c>
      <c r="M171" s="12">
        <f t="shared" si="3"/>
        <v>0.01791259344</v>
      </c>
      <c r="N171" s="12">
        <f>IFERROR(__xludf.DUMMYFUNCTION("IFERROR(IF(OR(ISBLANK($G171), IFERROR(INDEX(GOOGLEFINANCE($C171, ""price"", WORKDAY(INT($B171), 1)), 2, 2), """")=""""), """", IF($D171=""LONG"", (IFERROR(INDEX(GOOGLEFINANCE($C171, ""price"", WORKDAY(INT($B171), 1)), 2, 2), """")-$G171)/$G171, ($G171-IFE"&amp;"RROR(INDEX(GOOGLEFINANCE($C171, ""price"", WORKDAY(INT($B171), 1)), 2, 2), """"))/$G171)), """")"),0.019953996549741223)</f>
        <v>0.01995399655</v>
      </c>
      <c r="O171" s="12">
        <f>IFERROR(__xludf.DUMMYFUNCTION("IFERROR(IF(OR(ISBLANK($G171), IFERROR(INDEX(GOOGLEFINANCE($C171, ""price"", WORKDAY(INT($B171), 5)), 2, 2), """")=""""), """", IF($D171=""LONG"", (IFERROR(INDEX(GOOGLEFINANCE($C171, ""price"", WORKDAY(INT($B171), 5)), 2, 2), """")-$G171)/$G171, ($G171-IFE"&amp;"RROR(INDEX(GOOGLEFINANCE($C171, ""price"", WORKDAY(INT($B171), 5)), 2, 2), """"))/$G171)), """")"),0.012535940195514702)</f>
        <v>0.0125359402</v>
      </c>
      <c r="P171" s="12" t="str">
        <f>IFERROR(__xludf.DUMMYFUNCTION("IFERROR(IF(OR(ISBLANK($G171), IFERROR(INDEX(GOOGLEFINANCE($C171, ""price"", WORKDAY(INT($B171), 20)), 2, 2), """")=""""), """", IF($D171=""LONG"", (IFERROR(INDEX(GOOGLEFINANCE($C171, ""price"", WORKDAY(INT($B171), 20)), 2, 2), """")-$G171)/$G171, ($G171-I"&amp;"FERROR(INDEX(GOOGLEFINANCE($C171, ""price"", WORKDAY(INT($B171), 20)), 2, 2), """"))/$G171)), """")"),"")</f>
        <v/>
      </c>
      <c r="Q171" s="5" t="s">
        <v>1606</v>
      </c>
      <c r="R171" s="21" t="s">
        <v>240</v>
      </c>
      <c r="S171" s="21" t="s">
        <v>1607</v>
      </c>
      <c r="T171" s="21" t="s">
        <v>51</v>
      </c>
      <c r="U171" s="21"/>
      <c r="V171" s="21"/>
      <c r="W171" s="21"/>
      <c r="X171" s="21"/>
      <c r="Y171" s="21"/>
      <c r="Z171" s="21"/>
    </row>
    <row r="172">
      <c r="A172" s="3">
        <f t="shared" si="1"/>
        <v>171</v>
      </c>
      <c r="B172" s="4">
        <v>46213.667662037034</v>
      </c>
      <c r="C172" s="5" t="s">
        <v>1216</v>
      </c>
      <c r="D172" s="5" t="s">
        <v>36</v>
      </c>
      <c r="E172" s="5" t="s">
        <v>37</v>
      </c>
      <c r="F172" s="6">
        <v>2.0</v>
      </c>
      <c r="G172" s="7">
        <v>77.32</v>
      </c>
      <c r="H172" s="5" t="s">
        <v>1610</v>
      </c>
      <c r="I172" s="5">
        <v>92.8</v>
      </c>
      <c r="J172" s="3"/>
      <c r="K172" s="5" t="s">
        <v>40</v>
      </c>
      <c r="L172" s="8">
        <f>IFERROR(__xludf.DUMMYFUNCTION("IFERROR(GOOGLEFINANCE(C172, ""price""), IFERROR(GOOGLEFINANCE(""NASDAQ:""&amp;C172, ""price""), IFERROR(GOOGLEFINANCE(""NYSE:""&amp;C172, ""price""), """")))"),79.02)</f>
        <v>79.02</v>
      </c>
      <c r="M172" s="12">
        <f t="shared" si="3"/>
        <v>0.02198654941</v>
      </c>
      <c r="N172" s="12">
        <f>IFERROR(__xludf.DUMMYFUNCTION("IFERROR(IF(OR(ISBLANK($G172), IFERROR(INDEX(GOOGLEFINANCE($C172, ""price"", WORKDAY(INT($B172), 1)), 2, 2), """")=""""), """", IF($D172=""LONG"", (IFERROR(INDEX(GOOGLEFINANCE($C172, ""price"", WORKDAY(INT($B172), 1)), 2, 2), """")-$G172)/$G172, ($G172-IFE"&amp;"RROR(INDEX(GOOGLEFINANCE($C172, ""price"", WORKDAY(INT($B172), 1)), 2, 2), """"))/$G172)), """")"),0.018106570098292883)</f>
        <v>0.0181065701</v>
      </c>
      <c r="O172" s="12">
        <f>IFERROR(__xludf.DUMMYFUNCTION("IFERROR(IF(OR(ISBLANK($G172), IFERROR(INDEX(GOOGLEFINANCE($C172, ""price"", WORKDAY(INT($B172), 5)), 2, 2), """")=""""), """", IF($D172=""LONG"", (IFERROR(INDEX(GOOGLEFINANCE($C172, ""price"", WORKDAY(INT($B172), 5)), 2, 2), """")-$G172)/$G172, ($G172-IFE"&amp;"RROR(INDEX(GOOGLEFINANCE($C172, ""price"", WORKDAY(INT($B172), 5)), 2, 2), """"))/$G172)), """")"),0.03388515261251946)</f>
        <v>0.03388515261</v>
      </c>
      <c r="P172" s="12" t="str">
        <f>IFERROR(__xludf.DUMMYFUNCTION("IFERROR(IF(OR(ISBLANK($G172), IFERROR(INDEX(GOOGLEFINANCE($C172, ""price"", WORKDAY(INT($B172), 20)), 2, 2), """")=""""), """", IF($D172=""LONG"", (IFERROR(INDEX(GOOGLEFINANCE($C172, ""price"", WORKDAY(INT($B172), 20)), 2, 2), """")-$G172)/$G172, ($G172-I"&amp;"FERROR(INDEX(GOOGLEFINANCE($C172, ""price"", WORKDAY(INT($B172), 20)), 2, 2), """"))/$G172)), """")"),"")</f>
        <v/>
      </c>
      <c r="Q172" s="5" t="s">
        <v>1613</v>
      </c>
      <c r="R172" s="21" t="s">
        <v>850</v>
      </c>
      <c r="S172" s="21" t="s">
        <v>1614</v>
      </c>
      <c r="T172" s="21" t="s">
        <v>51</v>
      </c>
      <c r="U172" s="21"/>
      <c r="V172" s="21"/>
      <c r="W172" s="21"/>
      <c r="X172" s="21"/>
      <c r="Y172" s="21"/>
      <c r="Z172" s="21"/>
    </row>
    <row r="173">
      <c r="A173" s="3">
        <f t="shared" si="1"/>
        <v>172</v>
      </c>
      <c r="B173" s="4">
        <v>46213.66755787037</v>
      </c>
      <c r="C173" s="5" t="s">
        <v>217</v>
      </c>
      <c r="D173" s="5" t="s">
        <v>36</v>
      </c>
      <c r="E173" s="5" t="s">
        <v>37</v>
      </c>
      <c r="F173" s="6">
        <v>2.0</v>
      </c>
      <c r="G173" s="7">
        <v>376.38</v>
      </c>
      <c r="H173" s="5" t="s">
        <v>1615</v>
      </c>
      <c r="I173" s="5">
        <v>84.3</v>
      </c>
      <c r="J173" s="3"/>
      <c r="K173" s="5" t="s">
        <v>40</v>
      </c>
      <c r="L173" s="8">
        <f>IFERROR(__xludf.DUMMYFUNCTION("IFERROR(GOOGLEFINANCE(C173, ""price""), IFERROR(GOOGLEFINANCE(""NASDAQ:""&amp;C173, ""price""), IFERROR(GOOGLEFINANCE(""NYSE:""&amp;C173, ""price""), """")))"),399.7)</f>
        <v>399.7</v>
      </c>
      <c r="M173" s="12">
        <f t="shared" si="3"/>
        <v>0.0619586588</v>
      </c>
      <c r="N173" s="12">
        <f>IFERROR(__xludf.DUMMYFUNCTION("IFERROR(IF(OR(ISBLANK($G173), IFERROR(INDEX(GOOGLEFINANCE($C173, ""price"", WORKDAY(INT($B173), 1)), 2, 2), """")=""""), """", IF($D173=""LONG"", (IFERROR(INDEX(GOOGLEFINANCE($C173, ""price"", WORKDAY(INT($B173), 1)), 2, 2), """")-$G173)/$G173, ($G173-IFE"&amp;"RROR(INDEX(GOOGLEFINANCE($C173, ""price"", WORKDAY(INT($B173), 1)), 2, 2), """"))/$G173)), """")"),-0.008395770232212042)</f>
        <v>-0.008395770232</v>
      </c>
      <c r="O173" s="12">
        <f>IFERROR(__xludf.DUMMYFUNCTION("IFERROR(IF(OR(ISBLANK($G173), IFERROR(INDEX(GOOGLEFINANCE($C173, ""price"", WORKDAY(INT($B173), 5)), 2, 2), """")=""""), """", IF($D173=""LONG"", (IFERROR(INDEX(GOOGLEFINANCE($C173, ""price"", WORKDAY(INT($B173), 5)), 2, 2), """")-$G173)/$G173, ($G173-IFE"&amp;"RROR(INDEX(GOOGLEFINANCE($C173, ""price"", WORKDAY(INT($B173), 5)), 2, 2), """"))/$G173)), """")"),-0.019660980923534667)</f>
        <v>-0.01966098092</v>
      </c>
      <c r="P173" s="12" t="str">
        <f>IFERROR(__xludf.DUMMYFUNCTION("IFERROR(IF(OR(ISBLANK($G173), IFERROR(INDEX(GOOGLEFINANCE($C173, ""price"", WORKDAY(INT($B173), 20)), 2, 2), """")=""""), """", IF($D173=""LONG"", (IFERROR(INDEX(GOOGLEFINANCE($C173, ""price"", WORKDAY(INT($B173), 20)), 2, 2), """")-$G173)/$G173, ($G173-I"&amp;"FERROR(INDEX(GOOGLEFINANCE($C173, ""price"", WORKDAY(INT($B173), 20)), 2, 2), """"))/$G173)), """")"),"")</f>
        <v/>
      </c>
      <c r="Q173" s="5" t="s">
        <v>1620</v>
      </c>
      <c r="R173" s="21" t="s">
        <v>525</v>
      </c>
      <c r="S173" s="21" t="s">
        <v>1621</v>
      </c>
      <c r="T173" s="21" t="s">
        <v>51</v>
      </c>
      <c r="U173" s="21"/>
      <c r="V173" s="21"/>
      <c r="W173" s="21"/>
      <c r="X173" s="21"/>
      <c r="Y173" s="21"/>
      <c r="Z173" s="21"/>
    </row>
    <row r="174">
      <c r="A174" s="3">
        <f t="shared" si="1"/>
        <v>173</v>
      </c>
      <c r="B174" s="4">
        <v>46213.66762731481</v>
      </c>
      <c r="C174" s="5" t="s">
        <v>564</v>
      </c>
      <c r="D174" s="5" t="s">
        <v>36</v>
      </c>
      <c r="E174" s="5" t="s">
        <v>133</v>
      </c>
      <c r="F174" s="6">
        <v>2.0</v>
      </c>
      <c r="G174" s="7">
        <v>416.23</v>
      </c>
      <c r="H174" s="5" t="s">
        <v>1625</v>
      </c>
      <c r="I174" s="5">
        <v>74.4</v>
      </c>
      <c r="J174" s="3"/>
      <c r="K174" s="5" t="s">
        <v>40</v>
      </c>
      <c r="L174" s="8">
        <f>IFERROR(__xludf.DUMMYFUNCTION("IFERROR(GOOGLEFINANCE(C174, ""price""), IFERROR(GOOGLEFINANCE(""NASDAQ:""&amp;C174, ""price""), IFERROR(GOOGLEFINANCE(""NYSE:""&amp;C174, ""price""), """")))"),391.4)</f>
        <v>391.4</v>
      </c>
      <c r="M174" s="12">
        <f t="shared" si="3"/>
        <v>-0.05965451793</v>
      </c>
      <c r="N174" s="12">
        <f>IFERROR(__xludf.DUMMYFUNCTION("IFERROR(IF(OR(ISBLANK($G174), IFERROR(INDEX(GOOGLEFINANCE($C174, ""price"", WORKDAY(INT($B174), 1)), 2, 2), """")=""""), """", IF($D174=""LONG"", (IFERROR(INDEX(GOOGLEFINANCE($C174, ""price"", WORKDAY(INT($B174), 1)), 2, 2), """")-$G174)/$G174, ($G174-IFE"&amp;"RROR(INDEX(GOOGLEFINANCE($C174, ""price"", WORKDAY(INT($B174), 1)), 2, 2), """"))/$G174)), """")"),0.021478509477932867)</f>
        <v>0.02147850948</v>
      </c>
      <c r="O174" s="12">
        <f>IFERROR(__xludf.DUMMYFUNCTION("IFERROR(IF(OR(ISBLANK($G174), IFERROR(INDEX(GOOGLEFINANCE($C174, ""price"", WORKDAY(INT($B174), 5)), 2, 2), """")=""""), """", IF($D174=""LONG"", (IFERROR(INDEX(GOOGLEFINANCE($C174, ""price"", WORKDAY(INT($B174), 5)), 2, 2), """")-$G174)/$G174, ($G174-IFE"&amp;"RROR(INDEX(GOOGLEFINANCE($C174, ""price"", WORKDAY(INT($B174), 5)), 2, 2), """"))/$G174)), """")"),-0.10359656920452635)</f>
        <v>-0.1035965692</v>
      </c>
      <c r="P174" s="12" t="str">
        <f>IFERROR(__xludf.DUMMYFUNCTION("IFERROR(IF(OR(ISBLANK($G174), IFERROR(INDEX(GOOGLEFINANCE($C174, ""price"", WORKDAY(INT($B174), 20)), 2, 2), """")=""""), """", IF($D174=""LONG"", (IFERROR(INDEX(GOOGLEFINANCE($C174, ""price"", WORKDAY(INT($B174), 20)), 2, 2), """")-$G174)/$G174, ($G174-I"&amp;"FERROR(INDEX(GOOGLEFINANCE($C174, ""price"", WORKDAY(INT($B174), 20)), 2, 2), """"))/$G174)), """")"),"")</f>
        <v/>
      </c>
      <c r="Q174" s="5" t="s">
        <v>1629</v>
      </c>
      <c r="R174" s="21" t="s">
        <v>704</v>
      </c>
      <c r="S174" s="21" t="s">
        <v>1630</v>
      </c>
      <c r="T174" s="21" t="s">
        <v>51</v>
      </c>
      <c r="U174" s="21"/>
      <c r="V174" s="21"/>
      <c r="W174" s="21"/>
      <c r="X174" s="21"/>
      <c r="Y174" s="21"/>
      <c r="Z174" s="21"/>
    </row>
    <row r="175">
      <c r="A175" s="3">
        <f t="shared" si="1"/>
        <v>174</v>
      </c>
      <c r="B175" s="4">
        <v>46213.66775462963</v>
      </c>
      <c r="C175" s="5" t="s">
        <v>1633</v>
      </c>
      <c r="D175" s="5" t="s">
        <v>36</v>
      </c>
      <c r="E175" s="5" t="s">
        <v>87</v>
      </c>
      <c r="F175" s="6">
        <v>2.0</v>
      </c>
      <c r="G175" s="7">
        <v>134.33</v>
      </c>
      <c r="H175" s="5" t="s">
        <v>1634</v>
      </c>
      <c r="I175" s="5">
        <v>88.8</v>
      </c>
      <c r="J175" s="3"/>
      <c r="K175" s="5" t="s">
        <v>40</v>
      </c>
      <c r="L175" s="8">
        <f>IFERROR(__xludf.DUMMYFUNCTION("IFERROR(GOOGLEFINANCE(C175, ""price""), IFERROR(GOOGLEFINANCE(""NASDAQ:""&amp;C175, ""price""), IFERROR(GOOGLEFINANCE(""NYSE:""&amp;C175, ""price""), """")))"),141.34)</f>
        <v>141.34</v>
      </c>
      <c r="M175" s="12">
        <f t="shared" si="3"/>
        <v>0.05218491774</v>
      </c>
      <c r="N175" s="12">
        <f>IFERROR(__xludf.DUMMYFUNCTION("IFERROR(IF(OR(ISBLANK($G175), IFERROR(INDEX(GOOGLEFINANCE($C175, ""price"", WORKDAY(INT($B175), 1)), 2, 2), """")=""""), """", IF($D175=""LONG"", (IFERROR(INDEX(GOOGLEFINANCE($C175, ""price"", WORKDAY(INT($B175), 1)), 2, 2), """")-$G175)/$G175, ($G175-IFE"&amp;"RROR(INDEX(GOOGLEFINANCE($C175, ""price"", WORKDAY(INT($B175), 1)), 2, 2), """"))/$G175)), """")"),-0.002158862502791785)</f>
        <v>-0.002158862503</v>
      </c>
      <c r="O175" s="12">
        <f>IFERROR(__xludf.DUMMYFUNCTION("IFERROR(IF(OR(ISBLANK($G175), IFERROR(INDEX(GOOGLEFINANCE($C175, ""price"", WORKDAY(INT($B175), 5)), 2, 2), """")=""""), """", IF($D175=""LONG"", (IFERROR(INDEX(GOOGLEFINANCE($C175, ""price"", WORKDAY(INT($B175), 5)), 2, 2), """")-$G175)/$G175, ($G175-IFE"&amp;"RROR(INDEX(GOOGLEFINANCE($C175, ""price"", WORKDAY(INT($B175), 5)), 2, 2), """"))/$G175)), """")"),-0.021365294424179292)</f>
        <v>-0.02136529442</v>
      </c>
      <c r="P175" s="12" t="str">
        <f>IFERROR(__xludf.DUMMYFUNCTION("IFERROR(IF(OR(ISBLANK($G175), IFERROR(INDEX(GOOGLEFINANCE($C175, ""price"", WORKDAY(INT($B175), 20)), 2, 2), """")=""""), """", IF($D175=""LONG"", (IFERROR(INDEX(GOOGLEFINANCE($C175, ""price"", WORKDAY(INT($B175), 20)), 2, 2), """")-$G175)/$G175, ($G175-I"&amp;"FERROR(INDEX(GOOGLEFINANCE($C175, ""price"", WORKDAY(INT($B175), 20)), 2, 2), """"))/$G175)), """")"),"")</f>
        <v/>
      </c>
      <c r="Q175" s="5" t="s">
        <v>1638</v>
      </c>
      <c r="R175" s="21" t="s">
        <v>219</v>
      </c>
      <c r="S175" s="21" t="s">
        <v>1639</v>
      </c>
      <c r="T175" s="21" t="s">
        <v>51</v>
      </c>
      <c r="U175" s="21"/>
      <c r="V175" s="21"/>
      <c r="W175" s="21"/>
      <c r="X175" s="21"/>
      <c r="Y175" s="21"/>
      <c r="Z175" s="21"/>
    </row>
    <row r="176">
      <c r="A176" s="3">
        <f t="shared" si="1"/>
        <v>175</v>
      </c>
      <c r="B176" s="4">
        <v>46213.66769675926</v>
      </c>
      <c r="C176" s="5" t="s">
        <v>264</v>
      </c>
      <c r="D176" s="5" t="s">
        <v>36</v>
      </c>
      <c r="E176" s="5" t="s">
        <v>37</v>
      </c>
      <c r="F176" s="6">
        <v>2.0</v>
      </c>
      <c r="G176" s="7">
        <v>325.9</v>
      </c>
      <c r="H176" s="5" t="s">
        <v>1640</v>
      </c>
      <c r="I176" s="5">
        <v>94.6</v>
      </c>
      <c r="J176" s="3"/>
      <c r="K176" s="5" t="s">
        <v>40</v>
      </c>
      <c r="L176" s="8">
        <f>IFERROR(__xludf.DUMMYFUNCTION("IFERROR(GOOGLEFINANCE(C176, ""price""), IFERROR(GOOGLEFINANCE(""NASDAQ:""&amp;C176, ""price""), IFERROR(GOOGLEFINANCE(""NYSE:""&amp;C176, ""price""), """")))"),359.49)</f>
        <v>359.49</v>
      </c>
      <c r="M176" s="12">
        <f t="shared" si="3"/>
        <v>0.1030684259</v>
      </c>
      <c r="N176" s="12">
        <f>IFERROR(__xludf.DUMMYFUNCTION("IFERROR(IF(OR(ISBLANK($G176), IFERROR(INDEX(GOOGLEFINANCE($C176, ""price"", WORKDAY(INT($B176), 1)), 2, 2), """")=""""), """", IF($D176=""LONG"", (IFERROR(INDEX(GOOGLEFINANCE($C176, ""price"", WORKDAY(INT($B176), 1)), 2, 2), """")-$G176)/$G176, ($G176-IFE"&amp;"RROR(INDEX(GOOGLEFINANCE($C176, ""price"", WORKDAY(INT($B176), 1)), 2, 2), """"))/$G176)), """")"),0.013501073949064236)</f>
        <v>0.01350107395</v>
      </c>
      <c r="O176" s="12">
        <f>IFERROR(__xludf.DUMMYFUNCTION("IFERROR(IF(OR(ISBLANK($G176), IFERROR(INDEX(GOOGLEFINANCE($C176, ""price"", WORKDAY(INT($B176), 5)), 2, 2), """")=""""), """", IF($D176=""LONG"", (IFERROR(INDEX(GOOGLEFINANCE($C176, ""price"", WORKDAY(INT($B176), 5)), 2, 2), """")-$G176)/$G176, ($G176-IFE"&amp;"RROR(INDEX(GOOGLEFINANCE($C176, ""price"", WORKDAY(INT($B176), 5)), 2, 2), """"))/$G176)), """")"),0.10058300092052787)</f>
        <v>0.1005830009</v>
      </c>
      <c r="P176" s="12" t="str">
        <f>IFERROR(__xludf.DUMMYFUNCTION("IFERROR(IF(OR(ISBLANK($G176), IFERROR(INDEX(GOOGLEFINANCE($C176, ""price"", WORKDAY(INT($B176), 20)), 2, 2), """")=""""), """", IF($D176=""LONG"", (IFERROR(INDEX(GOOGLEFINANCE($C176, ""price"", WORKDAY(INT($B176), 20)), 2, 2), """")-$G176)/$G176, ($G176-I"&amp;"FERROR(INDEX(GOOGLEFINANCE($C176, ""price"", WORKDAY(INT($B176), 20)), 2, 2), """"))/$G176)), """")"),"")</f>
        <v/>
      </c>
      <c r="Q176" s="5" t="s">
        <v>1645</v>
      </c>
      <c r="R176" s="21" t="s">
        <v>850</v>
      </c>
      <c r="S176" s="21" t="s">
        <v>1647</v>
      </c>
      <c r="T176" s="21" t="s">
        <v>51</v>
      </c>
      <c r="U176" s="21"/>
      <c r="V176" s="21"/>
      <c r="W176" s="21"/>
      <c r="X176" s="21"/>
      <c r="Y176" s="21"/>
      <c r="Z176" s="21"/>
    </row>
    <row r="177">
      <c r="A177" s="3">
        <f t="shared" si="1"/>
        <v>176</v>
      </c>
      <c r="B177" s="4">
        <v>46213.66768518519</v>
      </c>
      <c r="C177" s="5" t="s">
        <v>1226</v>
      </c>
      <c r="D177" s="5" t="s">
        <v>36</v>
      </c>
      <c r="E177" s="5" t="s">
        <v>37</v>
      </c>
      <c r="F177" s="6">
        <v>2.0</v>
      </c>
      <c r="G177" s="7">
        <v>243.24</v>
      </c>
      <c r="H177" s="5" t="s">
        <v>1648</v>
      </c>
      <c r="I177" s="5">
        <v>95.7</v>
      </c>
      <c r="J177" s="3"/>
      <c r="K177" s="5" t="s">
        <v>40</v>
      </c>
      <c r="L177" s="8">
        <f>IFERROR(__xludf.DUMMYFUNCTION("IFERROR(GOOGLEFINANCE(C177, ""price""), IFERROR(GOOGLEFINANCE(""NASDAQ:""&amp;C177, ""price""), IFERROR(GOOGLEFINANCE(""NYSE:""&amp;C177, ""price""), """")))"),232.47)</f>
        <v>232.47</v>
      </c>
      <c r="M177" s="12">
        <f t="shared" si="3"/>
        <v>-0.04427725703</v>
      </c>
      <c r="N177" s="12">
        <f>IFERROR(__xludf.DUMMYFUNCTION("IFERROR(IF(OR(ISBLANK($G177), IFERROR(INDEX(GOOGLEFINANCE($C177, ""price"", WORKDAY(INT($B177), 1)), 2, 2), """")=""""), """", IF($D177=""LONG"", (IFERROR(INDEX(GOOGLEFINANCE($C177, ""price"", WORKDAY(INT($B177), 1)), 2, 2), """")-$G177)/$G177, ($G177-IFE"&amp;"RROR(INDEX(GOOGLEFINANCE($C177, ""price"", WORKDAY(INT($B177), 1)), 2, 2), """"))/$G177)), """")"),0.003535602696924787)</f>
        <v>0.003535602697</v>
      </c>
      <c r="O177" s="12">
        <f>IFERROR(__xludf.DUMMYFUNCTION("IFERROR(IF(OR(ISBLANK($G177), IFERROR(INDEX(GOOGLEFINANCE($C177, ""price"", WORKDAY(INT($B177), 5)), 2, 2), """")=""""), """", IF($D177=""LONG"", (IFERROR(INDEX(GOOGLEFINANCE($C177, ""price"", WORKDAY(INT($B177), 5)), 2, 2), """")-$G177)/$G177, ($G177-IFE"&amp;"RROR(INDEX(GOOGLEFINANCE($C177, ""price"", WORKDAY(INT($B177), 5)), 2, 2), """"))/$G177)), """")"),-0.026969248478868616)</f>
        <v>-0.02696924848</v>
      </c>
      <c r="P177" s="12" t="str">
        <f>IFERROR(__xludf.DUMMYFUNCTION("IFERROR(IF(OR(ISBLANK($G177), IFERROR(INDEX(GOOGLEFINANCE($C177, ""price"", WORKDAY(INT($B177), 20)), 2, 2), """")=""""), """", IF($D177=""LONG"", (IFERROR(INDEX(GOOGLEFINANCE($C177, ""price"", WORKDAY(INT($B177), 20)), 2, 2), """")-$G177)/$G177, ($G177-I"&amp;"FERROR(INDEX(GOOGLEFINANCE($C177, ""price"", WORKDAY(INT($B177), 20)), 2, 2), """"))/$G177)), """")"),"")</f>
        <v/>
      </c>
      <c r="Q177" s="5" t="s">
        <v>1652</v>
      </c>
      <c r="R177" s="21" t="s">
        <v>722</v>
      </c>
      <c r="S177" s="21" t="s">
        <v>1653</v>
      </c>
      <c r="T177" s="21" t="s">
        <v>51</v>
      </c>
      <c r="U177" s="21"/>
      <c r="V177" s="21"/>
      <c r="W177" s="21"/>
      <c r="X177" s="21"/>
      <c r="Y177" s="21"/>
      <c r="Z177" s="21"/>
    </row>
    <row r="178">
      <c r="A178" s="3">
        <f t="shared" si="1"/>
        <v>177</v>
      </c>
      <c r="B178" s="4">
        <v>46213.667604166665</v>
      </c>
      <c r="C178" s="5" t="s">
        <v>594</v>
      </c>
      <c r="D178" s="5" t="s">
        <v>36</v>
      </c>
      <c r="E178" s="5" t="s">
        <v>37</v>
      </c>
      <c r="F178" s="6">
        <v>2.0</v>
      </c>
      <c r="G178" s="7">
        <v>79.13</v>
      </c>
      <c r="H178" s="5" t="s">
        <v>1655</v>
      </c>
      <c r="I178" s="5">
        <v>97.7</v>
      </c>
      <c r="J178" s="3"/>
      <c r="K178" s="5" t="s">
        <v>40</v>
      </c>
      <c r="L178" s="8">
        <f>IFERROR(__xludf.DUMMYFUNCTION("IFERROR(GOOGLEFINANCE(C178, ""price""), IFERROR(GOOGLEFINANCE(""NASDAQ:""&amp;C178, ""price""), IFERROR(GOOGLEFINANCE(""NYSE:""&amp;C178, ""price""), """")))"),79.97)</f>
        <v>79.97</v>
      </c>
      <c r="M178" s="12">
        <f t="shared" si="3"/>
        <v>0.01061544294</v>
      </c>
      <c r="N178" s="12">
        <f>IFERROR(__xludf.DUMMYFUNCTION("IFERROR(IF(OR(ISBLANK($G178), IFERROR(INDEX(GOOGLEFINANCE($C178, ""price"", WORKDAY(INT($B178), 1)), 2, 2), """")=""""), """", IF($D178=""LONG"", (IFERROR(INDEX(GOOGLEFINANCE($C178, ""price"", WORKDAY(INT($B178), 1)), 2, 2), """")-$G178)/$G178, ($G178-IFE"&amp;"RROR(INDEX(GOOGLEFINANCE($C178, ""price"", WORKDAY(INT($B178), 1)), 2, 2), """"))/$G178)), """")"),0.009730822696828135)</f>
        <v>0.009730822697</v>
      </c>
      <c r="O178" s="12">
        <f>IFERROR(__xludf.DUMMYFUNCTION("IFERROR(IF(OR(ISBLANK($G178), IFERROR(INDEX(GOOGLEFINANCE($C178, ""price"", WORKDAY(INT($B178), 5)), 2, 2), """")=""""), """", IF($D178=""LONG"", (IFERROR(INDEX(GOOGLEFINANCE($C178, ""price"", WORKDAY(INT($B178), 5)), 2, 2), """")-$G178)/$G178, ($G178-IFE"&amp;"RROR(INDEX(GOOGLEFINANCE($C178, ""price"", WORKDAY(INT($B178), 5)), 2, 2), """"))/$G178)), """")"),0.017313281941109624)</f>
        <v>0.01731328194</v>
      </c>
      <c r="P178" s="12" t="str">
        <f>IFERROR(__xludf.DUMMYFUNCTION("IFERROR(IF(OR(ISBLANK($G178), IFERROR(INDEX(GOOGLEFINANCE($C178, ""price"", WORKDAY(INT($B178), 20)), 2, 2), """")=""""), """", IF($D178=""LONG"", (IFERROR(INDEX(GOOGLEFINANCE($C178, ""price"", WORKDAY(INT($B178), 20)), 2, 2), """")-$G178)/$G178, ($G178-I"&amp;"FERROR(INDEX(GOOGLEFINANCE($C178, ""price"", WORKDAY(INT($B178), 20)), 2, 2), """"))/$G178)), """")"),"")</f>
        <v/>
      </c>
      <c r="Q178" s="5" t="s">
        <v>1660</v>
      </c>
      <c r="R178" s="21" t="s">
        <v>219</v>
      </c>
      <c r="S178" s="21" t="s">
        <v>1661</v>
      </c>
      <c r="T178" s="21" t="s">
        <v>51</v>
      </c>
      <c r="U178" s="21"/>
      <c r="V178" s="21"/>
      <c r="W178" s="21"/>
      <c r="X178" s="21"/>
      <c r="Y178" s="21"/>
      <c r="Z178" s="21"/>
    </row>
    <row r="179">
      <c r="A179" s="3">
        <f t="shared" si="1"/>
        <v>178</v>
      </c>
      <c r="B179" s="4">
        <v>46213.66758101852</v>
      </c>
      <c r="C179" s="5" t="s">
        <v>82</v>
      </c>
      <c r="D179" s="5" t="s">
        <v>36</v>
      </c>
      <c r="E179" s="5" t="s">
        <v>37</v>
      </c>
      <c r="F179" s="6">
        <v>2.0</v>
      </c>
      <c r="G179" s="7">
        <v>159.07</v>
      </c>
      <c r="H179" s="5" t="s">
        <v>1662</v>
      </c>
      <c r="I179" s="5">
        <v>93.6</v>
      </c>
      <c r="J179" s="3"/>
      <c r="K179" s="5" t="s">
        <v>40</v>
      </c>
      <c r="L179" s="8">
        <f>IFERROR(__xludf.DUMMYFUNCTION("IFERROR(GOOGLEFINANCE(C179, ""price""), IFERROR(GOOGLEFINANCE(""NASDAQ:""&amp;C179, ""price""), IFERROR(GOOGLEFINANCE(""NYSE:""&amp;C179, ""price""), """")))"),170.61)</f>
        <v>170.61</v>
      </c>
      <c r="M179" s="12">
        <f t="shared" si="3"/>
        <v>0.07254667756</v>
      </c>
      <c r="N179" s="12">
        <f>IFERROR(__xludf.DUMMYFUNCTION("IFERROR(IF(OR(ISBLANK($G179), IFERROR(INDEX(GOOGLEFINANCE($C179, ""price"", WORKDAY(INT($B179), 1)), 2, 2), """")=""""), """", IF($D179=""LONG"", (IFERROR(INDEX(GOOGLEFINANCE($C179, ""price"", WORKDAY(INT($B179), 1)), 2, 2), """")-$G179)/$G179, ($G179-IFE"&amp;"RROR(INDEX(GOOGLEFINANCE($C179, ""price"", WORKDAY(INT($B179), 1)), 2, 2), """"))/$G179)), """")"),-0.019362544791601082)</f>
        <v>-0.01936254479</v>
      </c>
      <c r="O179" s="12">
        <f>IFERROR(__xludf.DUMMYFUNCTION("IFERROR(IF(OR(ISBLANK($G179), IFERROR(INDEX(GOOGLEFINANCE($C179, ""price"", WORKDAY(INT($B179), 5)), 2, 2), """")=""""), """", IF($D179=""LONG"", (IFERROR(INDEX(GOOGLEFINANCE($C179, ""price"", WORKDAY(INT($B179), 5)), 2, 2), """")-$G179)/$G179, ($G179-IFE"&amp;"RROR(INDEX(GOOGLEFINANCE($C179, ""price"", WORKDAY(INT($B179), 5)), 2, 2), """"))/$G179)), """")"),-0.0494750738668511)</f>
        <v>-0.04947507387</v>
      </c>
      <c r="P179" s="12" t="str">
        <f>IFERROR(__xludf.DUMMYFUNCTION("IFERROR(IF(OR(ISBLANK($G179), IFERROR(INDEX(GOOGLEFINANCE($C179, ""price"", WORKDAY(INT($B179), 20)), 2, 2), """")=""""), """", IF($D179=""LONG"", (IFERROR(INDEX(GOOGLEFINANCE($C179, ""price"", WORKDAY(INT($B179), 20)), 2, 2), """")-$G179)/$G179, ($G179-I"&amp;"FERROR(INDEX(GOOGLEFINANCE($C179, ""price"", WORKDAY(INT($B179), 20)), 2, 2), """"))/$G179)), """")"),"")</f>
        <v/>
      </c>
      <c r="Q179" s="5" t="s">
        <v>1666</v>
      </c>
      <c r="R179" s="5" t="s">
        <v>704</v>
      </c>
      <c r="S179" s="5" t="s">
        <v>1667</v>
      </c>
      <c r="T179" s="5" t="s">
        <v>51</v>
      </c>
      <c r="U179" s="5"/>
      <c r="V179" s="5"/>
      <c r="W179" s="5"/>
      <c r="X179" s="5"/>
      <c r="Y179" s="5"/>
      <c r="Z179" s="5"/>
    </row>
    <row r="180">
      <c r="A180" s="3">
        <f t="shared" si="1"/>
        <v>179</v>
      </c>
      <c r="B180" s="4">
        <v>46213.667662037034</v>
      </c>
      <c r="C180" s="5" t="s">
        <v>721</v>
      </c>
      <c r="D180" s="5" t="s">
        <v>36</v>
      </c>
      <c r="E180" s="5" t="s">
        <v>133</v>
      </c>
      <c r="F180" s="6">
        <v>2.0</v>
      </c>
      <c r="G180" s="7">
        <v>430.27</v>
      </c>
      <c r="H180" s="5" t="s">
        <v>1671</v>
      </c>
      <c r="I180" s="5">
        <v>73.5</v>
      </c>
      <c r="J180" s="3"/>
      <c r="K180" s="5" t="s">
        <v>40</v>
      </c>
      <c r="L180" s="8">
        <f>IFERROR(__xludf.DUMMYFUNCTION("IFERROR(GOOGLEFINANCE(C180, ""price""), IFERROR(GOOGLEFINANCE(""NASDAQ:""&amp;C180, ""price""), IFERROR(GOOGLEFINANCE(""NYSE:""&amp;C180, ""price""), """")))"),413.07)</f>
        <v>413.07</v>
      </c>
      <c r="M180" s="12">
        <f t="shared" si="3"/>
        <v>-0.03997489948</v>
      </c>
      <c r="N180" s="12">
        <f>IFERROR(__xludf.DUMMYFUNCTION("IFERROR(IF(OR(ISBLANK($G180), IFERROR(INDEX(GOOGLEFINANCE($C180, ""price"", WORKDAY(INT($B180), 1)), 2, 2), """")=""""), """", IF($D180=""LONG"", (IFERROR(INDEX(GOOGLEFINANCE($C180, ""price"", WORKDAY(INT($B180), 1)), 2, 2), """")-$G180)/$G180, ($G180-IFE"&amp;"RROR(INDEX(GOOGLEFINANCE($C180, ""price"", WORKDAY(INT($B180), 1)), 2, 2), """"))/$G180)), """")"),-0.02166081762614171)</f>
        <v>-0.02166081763</v>
      </c>
      <c r="O180" s="12">
        <f>IFERROR(__xludf.DUMMYFUNCTION("IFERROR(IF(OR(ISBLANK($G180), IFERROR(INDEX(GOOGLEFINANCE($C180, ""price"", WORKDAY(INT($B180), 5)), 2, 2), """")=""""), """", IF($D180=""LONG"", (IFERROR(INDEX(GOOGLEFINANCE($C180, ""price"", WORKDAY(INT($B180), 5)), 2, 2), """")-$G180)/$G180, ($G180-IFE"&amp;"RROR(INDEX(GOOGLEFINANCE($C180, ""price"", WORKDAY(INT($B180), 5)), 2, 2), """"))/$G180)), """")"),-0.049201664071396936)</f>
        <v>-0.04920166407</v>
      </c>
      <c r="P180" s="12" t="str">
        <f>IFERROR(__xludf.DUMMYFUNCTION("IFERROR(IF(OR(ISBLANK($G180), IFERROR(INDEX(GOOGLEFINANCE($C180, ""price"", WORKDAY(INT($B180), 20)), 2, 2), """")=""""), """", IF($D180=""LONG"", (IFERROR(INDEX(GOOGLEFINANCE($C180, ""price"", WORKDAY(INT($B180), 20)), 2, 2), """")-$G180)/$G180, ($G180-I"&amp;"FERROR(INDEX(GOOGLEFINANCE($C180, ""price"", WORKDAY(INT($B180), 20)), 2, 2), """"))/$G180)), """")"),"")</f>
        <v/>
      </c>
      <c r="Q180" s="5" t="s">
        <v>1675</v>
      </c>
      <c r="R180" s="21" t="s">
        <v>722</v>
      </c>
      <c r="S180" s="21" t="s">
        <v>1676</v>
      </c>
      <c r="T180" s="21" t="s">
        <v>51</v>
      </c>
      <c r="U180" s="21"/>
      <c r="V180" s="21"/>
      <c r="W180" s="21"/>
      <c r="X180" s="21"/>
      <c r="Y180" s="21"/>
      <c r="Z180" s="21"/>
    </row>
    <row r="181">
      <c r="A181" s="3">
        <f t="shared" si="1"/>
        <v>180</v>
      </c>
      <c r="B181" s="4">
        <v>46213.667766203704</v>
      </c>
      <c r="C181" s="5" t="s">
        <v>682</v>
      </c>
      <c r="D181" s="5" t="s">
        <v>36</v>
      </c>
      <c r="E181" s="5" t="s">
        <v>133</v>
      </c>
      <c r="F181" s="6">
        <v>2.0</v>
      </c>
      <c r="G181" s="7">
        <v>67.34</v>
      </c>
      <c r="H181" s="5" t="s">
        <v>1680</v>
      </c>
      <c r="I181" s="5">
        <v>68.0</v>
      </c>
      <c r="J181" s="3"/>
      <c r="K181" s="5" t="s">
        <v>40</v>
      </c>
      <c r="L181" s="8">
        <f>IFERROR(__xludf.DUMMYFUNCTION("IFERROR(GOOGLEFINANCE(C181, ""price""), IFERROR(GOOGLEFINANCE(""NASDAQ:""&amp;C181, ""price""), IFERROR(GOOGLEFINANCE(""NYSE:""&amp;C181, ""price""), """")))"),64.2)</f>
        <v>64.2</v>
      </c>
      <c r="M181" s="12">
        <f t="shared" si="3"/>
        <v>-0.04662904663</v>
      </c>
      <c r="N181" s="12">
        <f>IFERROR(__xludf.DUMMYFUNCTION("IFERROR(IF(OR(ISBLANK($G181), IFERROR(INDEX(GOOGLEFINANCE($C181, ""price"", WORKDAY(INT($B181), 1)), 2, 2), """")=""""), """", IF($D181=""LONG"", (IFERROR(INDEX(GOOGLEFINANCE($C181, ""price"", WORKDAY(INT($B181), 1)), 2, 2), """")-$G181)/$G181, ($G181-IFE"&amp;"RROR(INDEX(GOOGLEFINANCE($C181, ""price"", WORKDAY(INT($B181), 1)), 2, 2), """"))/$G181)), """")"),0.014107514107514148)</f>
        <v>0.01410751411</v>
      </c>
      <c r="O181" s="12">
        <f>IFERROR(__xludf.DUMMYFUNCTION("IFERROR(IF(OR(ISBLANK($G181), IFERROR(INDEX(GOOGLEFINANCE($C181, ""price"", WORKDAY(INT($B181), 5)), 2, 2), """")=""""), """", IF($D181=""LONG"", (IFERROR(INDEX(GOOGLEFINANCE($C181, ""price"", WORKDAY(INT($B181), 5)), 2, 2), """")-$G181)/$G181, ($G181-IFE"&amp;"RROR(INDEX(GOOGLEFINANCE($C181, ""price"", WORKDAY(INT($B181), 5)), 2, 2), """"))/$G181)), """")"),-0.013365013365013449)</f>
        <v>-0.01336501337</v>
      </c>
      <c r="P181" s="12" t="str">
        <f>IFERROR(__xludf.DUMMYFUNCTION("IFERROR(IF(OR(ISBLANK($G181), IFERROR(INDEX(GOOGLEFINANCE($C181, ""price"", WORKDAY(INT($B181), 20)), 2, 2), """")=""""), """", IF($D181=""LONG"", (IFERROR(INDEX(GOOGLEFINANCE($C181, ""price"", WORKDAY(INT($B181), 20)), 2, 2), """")-$G181)/$G181, ($G181-I"&amp;"FERROR(INDEX(GOOGLEFINANCE($C181, ""price"", WORKDAY(INT($B181), 20)), 2, 2), """"))/$G181)), """")"),"")</f>
        <v/>
      </c>
      <c r="Q181" s="5" t="s">
        <v>1683</v>
      </c>
      <c r="R181" s="21" t="s">
        <v>102</v>
      </c>
      <c r="S181" s="21" t="s">
        <v>1685</v>
      </c>
      <c r="T181" s="21" t="s">
        <v>51</v>
      </c>
      <c r="U181" s="21"/>
      <c r="V181" s="21"/>
      <c r="W181" s="21"/>
      <c r="X181" s="21"/>
      <c r="Y181" s="21"/>
      <c r="Z181" s="21"/>
    </row>
    <row r="182">
      <c r="A182" s="3">
        <f t="shared" si="1"/>
        <v>181</v>
      </c>
      <c r="B182" s="4">
        <v>46213.6678125</v>
      </c>
      <c r="C182" s="5" t="s">
        <v>185</v>
      </c>
      <c r="D182" s="5" t="s">
        <v>36</v>
      </c>
      <c r="E182" s="5" t="s">
        <v>37</v>
      </c>
      <c r="F182" s="6">
        <v>2.0</v>
      </c>
      <c r="G182" s="7">
        <v>77.84</v>
      </c>
      <c r="H182" s="5" t="s">
        <v>1687</v>
      </c>
      <c r="I182" s="5">
        <v>91.9</v>
      </c>
      <c r="J182" s="3"/>
      <c r="K182" s="5" t="s">
        <v>40</v>
      </c>
      <c r="L182" s="8">
        <f>IFERROR(__xludf.DUMMYFUNCTION("IFERROR(GOOGLEFINANCE(C182, ""price""), IFERROR(GOOGLEFINANCE(""NASDAQ:""&amp;C182, ""price""), IFERROR(GOOGLEFINANCE(""NYSE:""&amp;C182, ""price""), """")))"),75.47)</f>
        <v>75.47</v>
      </c>
      <c r="M182" s="12">
        <f t="shared" si="3"/>
        <v>-0.03044707091</v>
      </c>
      <c r="N182" s="12">
        <f>IFERROR(__xludf.DUMMYFUNCTION("IFERROR(IF(OR(ISBLANK($G182), IFERROR(INDEX(GOOGLEFINANCE($C182, ""price"", WORKDAY(INT($B182), 1)), 2, 2), """")=""""), """", IF($D182=""LONG"", (IFERROR(INDEX(GOOGLEFINANCE($C182, ""price"", WORKDAY(INT($B182), 1)), 2, 2), """")-$G182)/$G182, ($G182-IFE"&amp;"RROR(INDEX(GOOGLEFINANCE($C182, ""price"", WORKDAY(INT($B182), 1)), 2, 2), """"))/$G182)), """")"),-0.021325796505652576)</f>
        <v>-0.02132579651</v>
      </c>
      <c r="O182" s="12">
        <f>IFERROR(__xludf.DUMMYFUNCTION("IFERROR(IF(OR(ISBLANK($G182), IFERROR(INDEX(GOOGLEFINANCE($C182, ""price"", WORKDAY(INT($B182), 5)), 2, 2), """")=""""), """", IF($D182=""LONG"", (IFERROR(INDEX(GOOGLEFINANCE($C182, ""price"", WORKDAY(INT($B182), 5)), 2, 2), """")-$G182)/$G182, ($G182-IFE"&amp;"RROR(INDEX(GOOGLEFINANCE($C182, ""price"", WORKDAY(INT($B182), 5)), 2, 2), """"))/$G182)), """")"),0.01040596094552932)</f>
        <v>0.01040596095</v>
      </c>
      <c r="P182" s="12" t="str">
        <f>IFERROR(__xludf.DUMMYFUNCTION("IFERROR(IF(OR(ISBLANK($G182), IFERROR(INDEX(GOOGLEFINANCE($C182, ""price"", WORKDAY(INT($B182), 20)), 2, 2), """")=""""), """", IF($D182=""LONG"", (IFERROR(INDEX(GOOGLEFINANCE($C182, ""price"", WORKDAY(INT($B182), 20)), 2, 2), """")-$G182)/$G182, ($G182-I"&amp;"FERROR(INDEX(GOOGLEFINANCE($C182, ""price"", WORKDAY(INT($B182), 20)), 2, 2), """"))/$G182)), """")"),"")</f>
        <v/>
      </c>
      <c r="Q182" s="5" t="s">
        <v>1690</v>
      </c>
      <c r="R182" s="21" t="s">
        <v>402</v>
      </c>
      <c r="S182" s="21" t="s">
        <v>1692</v>
      </c>
      <c r="T182" s="21" t="s">
        <v>51</v>
      </c>
      <c r="U182" s="21"/>
      <c r="V182" s="21"/>
      <c r="W182" s="21"/>
      <c r="X182" s="21"/>
      <c r="Y182" s="21"/>
      <c r="Z182" s="21"/>
    </row>
    <row r="183">
      <c r="A183" s="3">
        <f t="shared" si="1"/>
        <v>182</v>
      </c>
      <c r="B183" s="4">
        <v>46213.667604166665</v>
      </c>
      <c r="C183" s="5" t="s">
        <v>260</v>
      </c>
      <c r="D183" s="5" t="s">
        <v>36</v>
      </c>
      <c r="E183" s="5" t="s">
        <v>37</v>
      </c>
      <c r="F183" s="6">
        <v>2.0</v>
      </c>
      <c r="G183" s="7">
        <v>111.99</v>
      </c>
      <c r="H183" s="5" t="s">
        <v>1694</v>
      </c>
      <c r="I183" s="5">
        <v>93.3</v>
      </c>
      <c r="J183" s="3"/>
      <c r="K183" s="5" t="s">
        <v>40</v>
      </c>
      <c r="L183" s="8">
        <f>IFERROR(__xludf.DUMMYFUNCTION("IFERROR(GOOGLEFINANCE(C183, ""price""), IFERROR(GOOGLEFINANCE(""NASDAQ:""&amp;C183, ""price""), IFERROR(GOOGLEFINANCE(""NYSE:""&amp;C183, ""price""), """")))"),90.71)</f>
        <v>90.71</v>
      </c>
      <c r="M183" s="12">
        <f t="shared" si="3"/>
        <v>-0.1900169658</v>
      </c>
      <c r="N183" s="12">
        <f>IFERROR(__xludf.DUMMYFUNCTION("IFERROR(IF(OR(ISBLANK($G183), IFERROR(INDEX(GOOGLEFINANCE($C183, ""price"", WORKDAY(INT($B183), 1)), 2, 2), """")=""""), """", IF($D183=""LONG"", (IFERROR(INDEX(GOOGLEFINANCE($C183, ""price"", WORKDAY(INT($B183), 1)), 2, 2), """")-$G183)/$G183, ($G183-IFE"&amp;"RROR(INDEX(GOOGLEFINANCE($C183, ""price"", WORKDAY(INT($B183), 1)), 2, 2), """"))/$G183)), """")"),-0.019019555317439017)</f>
        <v>-0.01901955532</v>
      </c>
      <c r="O183" s="12">
        <f>IFERROR(__xludf.DUMMYFUNCTION("IFERROR(IF(OR(ISBLANK($G183), IFERROR(INDEX(GOOGLEFINANCE($C183, ""price"", WORKDAY(INT($B183), 5)), 2, 2), """")=""""), """", IF($D183=""LONG"", (IFERROR(INDEX(GOOGLEFINANCE($C183, ""price"", WORKDAY(INT($B183), 5)), 2, 2), """")-$G183)/$G183, ($G183-IFE"&amp;"RROR(INDEX(GOOGLEFINANCE($C183, ""price"", WORKDAY(INT($B183), 5)), 2, 2), """"))/$G183)), """")"),-0.10742030538440933)</f>
        <v>-0.1074203054</v>
      </c>
      <c r="P183" s="12" t="str">
        <f>IFERROR(__xludf.DUMMYFUNCTION("IFERROR(IF(OR(ISBLANK($G183), IFERROR(INDEX(GOOGLEFINANCE($C183, ""price"", WORKDAY(INT($B183), 20)), 2, 2), """")=""""), """", IF($D183=""LONG"", (IFERROR(INDEX(GOOGLEFINANCE($C183, ""price"", WORKDAY(INT($B183), 20)), 2, 2), """")-$G183)/$G183, ($G183-I"&amp;"FERROR(INDEX(GOOGLEFINANCE($C183, ""price"", WORKDAY(INT($B183), 20)), 2, 2), """"))/$G183)), """")"),"")</f>
        <v/>
      </c>
      <c r="Q183" s="5" t="s">
        <v>1698</v>
      </c>
      <c r="R183" s="21" t="s">
        <v>219</v>
      </c>
      <c r="S183" s="21" t="s">
        <v>1699</v>
      </c>
      <c r="T183" s="21" t="s">
        <v>51</v>
      </c>
      <c r="U183" s="21"/>
      <c r="V183" s="21"/>
      <c r="W183" s="21"/>
      <c r="X183" s="21"/>
      <c r="Y183" s="21"/>
      <c r="Z183" s="21"/>
    </row>
    <row r="184">
      <c r="A184" s="3">
        <f t="shared" si="1"/>
        <v>183</v>
      </c>
      <c r="B184" s="4">
        <v>46213.66763888889</v>
      </c>
      <c r="C184" s="5" t="s">
        <v>381</v>
      </c>
      <c r="D184" s="5" t="s">
        <v>36</v>
      </c>
      <c r="E184" s="5" t="s">
        <v>37</v>
      </c>
      <c r="F184" s="6">
        <v>2.0</v>
      </c>
      <c r="G184" s="7">
        <v>222.29</v>
      </c>
      <c r="H184" s="5" t="s">
        <v>1701</v>
      </c>
      <c r="I184" s="5">
        <v>58.6</v>
      </c>
      <c r="J184" s="3"/>
      <c r="K184" s="5" t="s">
        <v>40</v>
      </c>
      <c r="L184" s="8">
        <f>IFERROR(__xludf.DUMMYFUNCTION("IFERROR(GOOGLEFINANCE(C184, ""price""), IFERROR(GOOGLEFINANCE(""NASDAQ:""&amp;C184, ""price""), IFERROR(GOOGLEFINANCE(""NYSE:""&amp;C184, ""price""), """")))"),213.75)</f>
        <v>213.75</v>
      </c>
      <c r="M184" s="12">
        <f t="shared" si="3"/>
        <v>-0.03841828242</v>
      </c>
      <c r="N184" s="12">
        <f>IFERROR(__xludf.DUMMYFUNCTION("IFERROR(IF(OR(ISBLANK($G184), IFERROR(INDEX(GOOGLEFINANCE($C184, ""price"", WORKDAY(INT($B184), 1)), 2, 2), """")=""""), """", IF($D184=""LONG"", (IFERROR(INDEX(GOOGLEFINANCE($C184, ""price"", WORKDAY(INT($B184), 1)), 2, 2), """")-$G184)/$G184, ($G184-IFE"&amp;"RROR(INDEX(GOOGLEFINANCE($C184, ""price"", WORKDAY(INT($B184), 1)), 2, 2), """"))/$G184)), """")"),-0.005398353502181784)</f>
        <v>-0.005398353502</v>
      </c>
      <c r="O184" s="12">
        <f>IFERROR(__xludf.DUMMYFUNCTION("IFERROR(IF(OR(ISBLANK($G184), IFERROR(INDEX(GOOGLEFINANCE($C184, ""price"", WORKDAY(INT($B184), 5)), 2, 2), """")=""""), """", IF($D184=""LONG"", (IFERROR(INDEX(GOOGLEFINANCE($C184, ""price"", WORKDAY(INT($B184), 5)), 2, 2), """")-$G184)/$G184, ($G184-IFE"&amp;"RROR(INDEX(GOOGLEFINANCE($C184, ""price"", WORKDAY(INT($B184), 5)), 2, 2), """"))/$G184)), """")"),-0.030545683566512178)</f>
        <v>-0.03054568357</v>
      </c>
      <c r="P184" s="12" t="str">
        <f>IFERROR(__xludf.DUMMYFUNCTION("IFERROR(IF(OR(ISBLANK($G184), IFERROR(INDEX(GOOGLEFINANCE($C184, ""price"", WORKDAY(INT($B184), 20)), 2, 2), """")=""""), """", IF($D184=""LONG"", (IFERROR(INDEX(GOOGLEFINANCE($C184, ""price"", WORKDAY(INT($B184), 20)), 2, 2), """")-$G184)/$G184, ($G184-I"&amp;"FERROR(INDEX(GOOGLEFINANCE($C184, ""price"", WORKDAY(INT($B184), 20)), 2, 2), """"))/$G184)), """")"),"")</f>
        <v/>
      </c>
      <c r="Q184" s="5" t="s">
        <v>1706</v>
      </c>
      <c r="R184" s="21" t="s">
        <v>176</v>
      </c>
      <c r="S184" s="21" t="s">
        <v>1707</v>
      </c>
      <c r="T184" s="21" t="s">
        <v>51</v>
      </c>
      <c r="U184" s="21"/>
      <c r="V184" s="21"/>
      <c r="W184" s="21"/>
      <c r="X184" s="21"/>
      <c r="Y184" s="21"/>
      <c r="Z184" s="21"/>
    </row>
    <row r="185">
      <c r="A185" s="3">
        <f t="shared" si="1"/>
        <v>184</v>
      </c>
      <c r="B185" s="4">
        <v>46213.667719907404</v>
      </c>
      <c r="C185" s="5" t="s">
        <v>180</v>
      </c>
      <c r="D185" s="5" t="s">
        <v>36</v>
      </c>
      <c r="E185" s="5" t="s">
        <v>37</v>
      </c>
      <c r="F185" s="6">
        <v>2.0</v>
      </c>
      <c r="G185" s="7">
        <v>424.63</v>
      </c>
      <c r="H185" s="5" t="s">
        <v>1708</v>
      </c>
      <c r="I185" s="5">
        <v>89.4</v>
      </c>
      <c r="J185" s="3"/>
      <c r="K185" s="5" t="s">
        <v>40</v>
      </c>
      <c r="L185" s="8">
        <f>IFERROR(__xludf.DUMMYFUNCTION("IFERROR(GOOGLEFINANCE(C185, ""price""), IFERROR(GOOGLEFINANCE(""NASDAQ:""&amp;C185, ""price""), IFERROR(GOOGLEFINANCE(""NYSE:""&amp;C185, ""price""), """")))"),403.97)</f>
        <v>403.97</v>
      </c>
      <c r="M185" s="12">
        <f t="shared" si="3"/>
        <v>-0.04865412241</v>
      </c>
      <c r="N185" s="12">
        <f>IFERROR(__xludf.DUMMYFUNCTION("IFERROR(IF(OR(ISBLANK($G185), IFERROR(INDEX(GOOGLEFINANCE($C185, ""price"", WORKDAY(INT($B185), 1)), 2, 2), """")=""""), """", IF($D185=""LONG"", (IFERROR(INDEX(GOOGLEFINANCE($C185, ""price"", WORKDAY(INT($B185), 1)), 2, 2), """")-$G185)/$G185, ($G185-IFE"&amp;"RROR(INDEX(GOOGLEFINANCE($C185, ""price"", WORKDAY(INT($B185), 1)), 2, 2), """"))/$G185)), """")"),0.010503261663094881)</f>
        <v>0.01050326166</v>
      </c>
      <c r="O185" s="12">
        <f>IFERROR(__xludf.DUMMYFUNCTION("IFERROR(IF(OR(ISBLANK($G185), IFERROR(INDEX(GOOGLEFINANCE($C185, ""price"", WORKDAY(INT($B185), 5)), 2, 2), """")=""""), """", IF($D185=""LONG"", (IFERROR(INDEX(GOOGLEFINANCE($C185, ""price"", WORKDAY(INT($B185), 5)), 2, 2), """")-$G185)/$G185, ($G185-IFE"&amp;"RROR(INDEX(GOOGLEFINANCE($C185, ""price"", WORKDAY(INT($B185), 5)), 2, 2), """"))/$G185)), """")"),0.0034382874502507585)</f>
        <v>0.00343828745</v>
      </c>
      <c r="P185" s="12" t="str">
        <f>IFERROR(__xludf.DUMMYFUNCTION("IFERROR(IF(OR(ISBLANK($G185), IFERROR(INDEX(GOOGLEFINANCE($C185, ""price"", WORKDAY(INT($B185), 20)), 2, 2), """")=""""), """", IF($D185=""LONG"", (IFERROR(INDEX(GOOGLEFINANCE($C185, ""price"", WORKDAY(INT($B185), 20)), 2, 2), """")-$G185)/$G185, ($G185-I"&amp;"FERROR(INDEX(GOOGLEFINANCE($C185, ""price"", WORKDAY(INT($B185), 20)), 2, 2), """"))/$G185)), """")"),"")</f>
        <v/>
      </c>
      <c r="Q185" s="5" t="s">
        <v>1713</v>
      </c>
      <c r="R185" s="21" t="s">
        <v>722</v>
      </c>
      <c r="S185" s="21" t="s">
        <v>1714</v>
      </c>
      <c r="T185" s="21" t="s">
        <v>51</v>
      </c>
      <c r="U185" s="21"/>
      <c r="V185" s="21"/>
      <c r="W185" s="21"/>
      <c r="X185" s="21"/>
      <c r="Y185" s="21"/>
      <c r="Z185" s="21"/>
    </row>
    <row r="186">
      <c r="A186" s="3">
        <f t="shared" si="1"/>
        <v>185</v>
      </c>
      <c r="B186" s="4">
        <v>46213.66755787037</v>
      </c>
      <c r="C186" s="5" t="s">
        <v>386</v>
      </c>
      <c r="D186" s="5" t="s">
        <v>36</v>
      </c>
      <c r="E186" s="5" t="s">
        <v>37</v>
      </c>
      <c r="F186" s="6">
        <v>2.0</v>
      </c>
      <c r="G186" s="7">
        <v>392.36</v>
      </c>
      <c r="H186" s="5" t="s">
        <v>1715</v>
      </c>
      <c r="I186" s="5">
        <v>93.4</v>
      </c>
      <c r="J186" s="3"/>
      <c r="K186" s="5" t="s">
        <v>40</v>
      </c>
      <c r="L186" s="8">
        <f>IFERROR(__xludf.DUMMYFUNCTION("IFERROR(GOOGLEFINANCE(C186, ""price""), IFERROR(GOOGLEFINANCE(""NASDAQ:""&amp;C186, ""price""), IFERROR(GOOGLEFINANCE(""NYSE:""&amp;C186, ""price""), """")))"),367.24)</f>
        <v>367.24</v>
      </c>
      <c r="M186" s="12">
        <f t="shared" si="3"/>
        <v>-0.06402283617</v>
      </c>
      <c r="N186" s="12">
        <f>IFERROR(__xludf.DUMMYFUNCTION("IFERROR(IF(OR(ISBLANK($G186), IFERROR(INDEX(GOOGLEFINANCE($C186, ""price"", WORKDAY(INT($B186), 1)), 2, 2), """")=""""), """", IF($D186=""LONG"", (IFERROR(INDEX(GOOGLEFINANCE($C186, ""price"", WORKDAY(INT($B186), 1)), 2, 2), """")-$G186)/$G186, ($G186-IFE"&amp;"RROR(INDEX(GOOGLEFINANCE($C186, ""price"", WORKDAY(INT($B186), 1)), 2, 2), """"))/$G186)), """")"),0.03476399225201342)</f>
        <v>0.03476399225</v>
      </c>
      <c r="O186" s="12">
        <f>IFERROR(__xludf.DUMMYFUNCTION("IFERROR(IF(OR(ISBLANK($G186), IFERROR(INDEX(GOOGLEFINANCE($C186, ""price"", WORKDAY(INT($B186), 5)), 2, 2), """")=""""), """", IF($D186=""LONG"", (IFERROR(INDEX(GOOGLEFINANCE($C186, ""price"", WORKDAY(INT($B186), 5)), 2, 2), """")-$G186)/$G186, ($G186-IFE"&amp;"RROR(INDEX(GOOGLEFINANCE($C186, ""price"", WORKDAY(INT($B186), 5)), 2, 2), """"))/$G186)), """")"),0.019471913548781694)</f>
        <v>0.01947191355</v>
      </c>
      <c r="P186" s="12" t="str">
        <f>IFERROR(__xludf.DUMMYFUNCTION("IFERROR(IF(OR(ISBLANK($G186), IFERROR(INDEX(GOOGLEFINANCE($C186, ""price"", WORKDAY(INT($B186), 20)), 2, 2), """")=""""), """", IF($D186=""LONG"", (IFERROR(INDEX(GOOGLEFINANCE($C186, ""price"", WORKDAY(INT($B186), 20)), 2, 2), """")-$G186)/$G186, ($G186-I"&amp;"FERROR(INDEX(GOOGLEFINANCE($C186, ""price"", WORKDAY(INT($B186), 20)), 2, 2), """"))/$G186)), """")"),"")</f>
        <v/>
      </c>
      <c r="Q186" s="5" t="s">
        <v>1719</v>
      </c>
      <c r="R186" s="21" t="s">
        <v>704</v>
      </c>
      <c r="S186" s="21" t="s">
        <v>1720</v>
      </c>
      <c r="T186" s="21" t="s">
        <v>51</v>
      </c>
      <c r="U186" s="21"/>
      <c r="V186" s="21"/>
      <c r="W186" s="21"/>
      <c r="X186" s="21"/>
      <c r="Y186" s="21"/>
      <c r="Z186" s="21"/>
    </row>
    <row r="187">
      <c r="A187" s="3">
        <f t="shared" si="1"/>
        <v>186</v>
      </c>
      <c r="B187" s="4">
        <v>46213.66769675926</v>
      </c>
      <c r="C187" s="5" t="s">
        <v>419</v>
      </c>
      <c r="D187" s="5" t="s">
        <v>36</v>
      </c>
      <c r="E187" s="5" t="s">
        <v>37</v>
      </c>
      <c r="F187" s="6">
        <v>2.0</v>
      </c>
      <c r="G187" s="7">
        <v>87.39</v>
      </c>
      <c r="H187" s="5" t="s">
        <v>1721</v>
      </c>
      <c r="I187" s="5">
        <v>88.5</v>
      </c>
      <c r="J187" s="3"/>
      <c r="K187" s="5" t="s">
        <v>40</v>
      </c>
      <c r="L187" s="8">
        <f>IFERROR(__xludf.DUMMYFUNCTION("IFERROR(GOOGLEFINANCE(C187, ""price""), IFERROR(GOOGLEFINANCE(""NASDAQ:""&amp;C187, ""price""), IFERROR(GOOGLEFINANCE(""NYSE:""&amp;C187, ""price""), """")))"),91.98)</f>
        <v>91.98</v>
      </c>
      <c r="M187" s="12">
        <f t="shared" si="3"/>
        <v>0.05252317199</v>
      </c>
      <c r="N187" s="12">
        <f>IFERROR(__xludf.DUMMYFUNCTION("IFERROR(IF(OR(ISBLANK($G187), IFERROR(INDEX(GOOGLEFINANCE($C187, ""price"", WORKDAY(INT($B187), 1)), 2, 2), """")=""""), """", IF($D187=""LONG"", (IFERROR(INDEX(GOOGLEFINANCE($C187, ""price"", WORKDAY(INT($B187), 1)), 2, 2), """")-$G187)/$G187, ($G187-IFE"&amp;"RROR(INDEX(GOOGLEFINANCE($C187, ""price"", WORKDAY(INT($B187), 1)), 2, 2), """"))/$G187)), """")"),-0.013731548232063198)</f>
        <v>-0.01373154823</v>
      </c>
      <c r="O187" s="12">
        <f>IFERROR(__xludf.DUMMYFUNCTION("IFERROR(IF(OR(ISBLANK($G187), IFERROR(INDEX(GOOGLEFINANCE($C187, ""price"", WORKDAY(INT($B187), 5)), 2, 2), """")=""""), """", IF($D187=""LONG"", (IFERROR(INDEX(GOOGLEFINANCE($C187, ""price"", WORKDAY(INT($B187), 5)), 2, 2), """")-$G187)/$G187, ($G187-IFE"&amp;"RROR(INDEX(GOOGLEFINANCE($C187, ""price"", WORKDAY(INT($B187), 5)), 2, 2), """"))/$G187)), """")"),-0.03684632108936948)</f>
        <v>-0.03684632109</v>
      </c>
      <c r="P187" s="12" t="str">
        <f>IFERROR(__xludf.DUMMYFUNCTION("IFERROR(IF(OR(ISBLANK($G187), IFERROR(INDEX(GOOGLEFINANCE($C187, ""price"", WORKDAY(INT($B187), 20)), 2, 2), """")=""""), """", IF($D187=""LONG"", (IFERROR(INDEX(GOOGLEFINANCE($C187, ""price"", WORKDAY(INT($B187), 20)), 2, 2), """")-$G187)/$G187, ($G187-I"&amp;"FERROR(INDEX(GOOGLEFINANCE($C187, ""price"", WORKDAY(INT($B187), 20)), 2, 2), """"))/$G187)), """")"),"")</f>
        <v/>
      </c>
      <c r="Q187" s="5" t="s">
        <v>1726</v>
      </c>
      <c r="R187" s="21" t="s">
        <v>240</v>
      </c>
      <c r="S187" s="21" t="s">
        <v>1727</v>
      </c>
      <c r="T187" s="21" t="s">
        <v>51</v>
      </c>
      <c r="U187" s="21"/>
      <c r="V187" s="21"/>
      <c r="W187" s="21"/>
      <c r="X187" s="21"/>
      <c r="Y187" s="21"/>
      <c r="Z187" s="21"/>
    </row>
    <row r="188">
      <c r="A188" s="3">
        <f t="shared" si="1"/>
        <v>187</v>
      </c>
      <c r="B188" s="4">
        <v>46213.66741898148</v>
      </c>
      <c r="C188" s="5" t="s">
        <v>47</v>
      </c>
      <c r="D188" s="5" t="s">
        <v>36</v>
      </c>
      <c r="E188" s="5" t="s">
        <v>37</v>
      </c>
      <c r="F188" s="6">
        <v>2.0</v>
      </c>
      <c r="G188" s="7">
        <v>293.59</v>
      </c>
      <c r="H188" s="5" t="s">
        <v>1728</v>
      </c>
      <c r="I188" s="5">
        <v>95.1</v>
      </c>
      <c r="J188" s="3"/>
      <c r="K188" s="5" t="s">
        <v>40</v>
      </c>
      <c r="L188" s="8">
        <f>IFERROR(__xludf.DUMMYFUNCTION("IFERROR(GOOGLEFINANCE(C188, ""price""), IFERROR(GOOGLEFINANCE(""NASDAQ:""&amp;C188, ""price""), IFERROR(GOOGLEFINANCE(""NYSE:""&amp;C188, ""price""), """")))"),285.12)</f>
        <v>285.12</v>
      </c>
      <c r="M188" s="12">
        <f t="shared" si="3"/>
        <v>-0.02884975646</v>
      </c>
      <c r="N188" s="12">
        <f>IFERROR(__xludf.DUMMYFUNCTION("IFERROR(IF(OR(ISBLANK($G188), IFERROR(INDEX(GOOGLEFINANCE($C188, ""price"", WORKDAY(INT($B188), 1)), 2, 2), """")=""""), """", IF($D188=""LONG"", (IFERROR(INDEX(GOOGLEFINANCE($C188, ""price"", WORKDAY(INT($B188), 1)), 2, 2), """")-$G188)/$G188, ($G188-IFE"&amp;"RROR(INDEX(GOOGLEFINANCE($C188, ""price"", WORKDAY(INT($B188), 1)), 2, 2), """"))/$G188)), """")"),0.01324977008753719)</f>
        <v>0.01324977009</v>
      </c>
      <c r="O188" s="12">
        <f>IFERROR(__xludf.DUMMYFUNCTION("IFERROR(IF(OR(ISBLANK($G188), IFERROR(INDEX(GOOGLEFINANCE($C188, ""price"", WORKDAY(INT($B188), 5)), 2, 2), """")=""""), """", IF($D188=""LONG"", (IFERROR(INDEX(GOOGLEFINANCE($C188, ""price"", WORKDAY(INT($B188), 5)), 2, 2), """")-$G188)/$G188, ($G188-IFE"&amp;"RROR(INDEX(GOOGLEFINANCE($C188, ""price"", WORKDAY(INT($B188), 5)), 2, 2), """"))/$G188)), """")"),-0.002248032971150135)</f>
        <v>-0.002248032971</v>
      </c>
      <c r="P188" s="12" t="str">
        <f>IFERROR(__xludf.DUMMYFUNCTION("IFERROR(IF(OR(ISBLANK($G188), IFERROR(INDEX(GOOGLEFINANCE($C188, ""price"", WORKDAY(INT($B188), 20)), 2, 2), """")=""""), """", IF($D188=""LONG"", (IFERROR(INDEX(GOOGLEFINANCE($C188, ""price"", WORKDAY(INT($B188), 20)), 2, 2), """")-$G188)/$G188, ($G188-I"&amp;"FERROR(INDEX(GOOGLEFINANCE($C188, ""price"", WORKDAY(INT($B188), 20)), 2, 2), """"))/$G188)), """")"),"")</f>
        <v/>
      </c>
      <c r="Q188" s="5" t="s">
        <v>1733</v>
      </c>
      <c r="R188" s="21" t="s">
        <v>102</v>
      </c>
      <c r="S188" s="21" t="s">
        <v>1734</v>
      </c>
      <c r="T188" s="21" t="s">
        <v>51</v>
      </c>
      <c r="U188" s="21"/>
      <c r="V188" s="21"/>
      <c r="W188" s="21"/>
      <c r="X188" s="21"/>
      <c r="Y188" s="21"/>
      <c r="Z188" s="21"/>
    </row>
    <row r="189">
      <c r="A189" s="3">
        <f t="shared" si="1"/>
        <v>188</v>
      </c>
      <c r="B189" s="4">
        <v>46213.66743055556</v>
      </c>
      <c r="C189" s="5" t="s">
        <v>1735</v>
      </c>
      <c r="D189" s="5" t="s">
        <v>36</v>
      </c>
      <c r="E189" s="5" t="s">
        <v>133</v>
      </c>
      <c r="F189" s="6">
        <v>2.0</v>
      </c>
      <c r="G189" s="7">
        <v>117.17</v>
      </c>
      <c r="H189" s="5" t="s">
        <v>1736</v>
      </c>
      <c r="I189" s="5">
        <v>78.2</v>
      </c>
      <c r="J189" s="3"/>
      <c r="K189" s="5" t="s">
        <v>40</v>
      </c>
      <c r="L189" s="8">
        <f>IFERROR(__xludf.DUMMYFUNCTION("IFERROR(GOOGLEFINANCE(C189, ""price""), IFERROR(GOOGLEFINANCE(""NASDAQ:""&amp;C189, ""price""), IFERROR(GOOGLEFINANCE(""NYSE:""&amp;C189, ""price""), """")))"),110.14)</f>
        <v>110.14</v>
      </c>
      <c r="M189" s="12">
        <f t="shared" si="3"/>
        <v>-0.05999829308</v>
      </c>
      <c r="N189" s="12">
        <f>IFERROR(__xludf.DUMMYFUNCTION("IFERROR(IF(OR(ISBLANK($G189), IFERROR(INDEX(GOOGLEFINANCE($C189, ""price"", WORKDAY(INT($B189), 1)), 2, 2), """")=""""), """", IF($D189=""LONG"", (IFERROR(INDEX(GOOGLEFINANCE($C189, ""price"", WORKDAY(INT($B189), 1)), 2, 2), """")-$G189)/$G189, ($G189-IFE"&amp;"RROR(INDEX(GOOGLEFINANCE($C189, ""price"", WORKDAY(INT($B189), 1)), 2, 2), """"))/$G189)), """")"),-0.01775198429632157)</f>
        <v>-0.0177519843</v>
      </c>
      <c r="O189" s="12">
        <f>IFERROR(__xludf.DUMMYFUNCTION("IFERROR(IF(OR(ISBLANK($G189), IFERROR(INDEX(GOOGLEFINANCE($C189, ""price"", WORKDAY(INT($B189), 5)), 2, 2), """")=""""), """", IF($D189=""LONG"", (IFERROR(INDEX(GOOGLEFINANCE($C189, ""price"", WORKDAY(INT($B189), 5)), 2, 2), """")-$G189)/$G189, ($G189-IFE"&amp;"RROR(INDEX(GOOGLEFINANCE($C189, ""price"", WORKDAY(INT($B189), 5)), 2, 2), """"))/$G189)), """")"),-0.04361184603567465)</f>
        <v>-0.04361184604</v>
      </c>
      <c r="P189" s="12" t="str">
        <f>IFERROR(__xludf.DUMMYFUNCTION("IFERROR(IF(OR(ISBLANK($G189), IFERROR(INDEX(GOOGLEFINANCE($C189, ""price"", WORKDAY(INT($B189), 20)), 2, 2), """")=""""), """", IF($D189=""LONG"", (IFERROR(INDEX(GOOGLEFINANCE($C189, ""price"", WORKDAY(INT($B189), 20)), 2, 2), """")-$G189)/$G189, ($G189-I"&amp;"FERROR(INDEX(GOOGLEFINANCE($C189, ""price"", WORKDAY(INT($B189), 20)), 2, 2), """"))/$G189)), """")"),"")</f>
        <v/>
      </c>
      <c r="Q189" s="5" t="s">
        <v>1742</v>
      </c>
      <c r="R189" s="21" t="s">
        <v>704</v>
      </c>
      <c r="S189" s="21" t="s">
        <v>1743</v>
      </c>
      <c r="T189" s="21" t="s">
        <v>51</v>
      </c>
      <c r="U189" s="21"/>
      <c r="V189" s="21"/>
      <c r="W189" s="21"/>
      <c r="X189" s="21"/>
      <c r="Y189" s="21"/>
      <c r="Z189" s="21"/>
    </row>
    <row r="190">
      <c r="A190" s="44"/>
      <c r="B190" s="44"/>
      <c r="C190" s="44"/>
      <c r="D190" s="44"/>
      <c r="E190" s="44"/>
      <c r="F190" s="44"/>
      <c r="G190" s="44"/>
      <c r="H190" s="44"/>
      <c r="I190" s="44"/>
      <c r="J190" s="44"/>
      <c r="K190" s="44"/>
      <c r="L190" s="44" t="str">
        <f>IFERROR(__xludf.DUMMYFUNCTION("IFERROR(IF(ISBLANK($C190), """", GOOGLEFINANCE($C190, ""price"")), """")"),"")</f>
        <v/>
      </c>
      <c r="M190" s="44" t="str">
        <f t="shared" si="3"/>
        <v/>
      </c>
      <c r="N190" s="44" t="str">
        <f>IFERROR(__xludf.DUMMYFUNCTION("IFERROR(IF(OR(ISBLANK($G190), IFERROR(INDEX(GOOGLEFINANCE($C190, ""price"", WORKDAY(INT($B190), 1)), 2, 2), """")=""""), """", IF($D190=""LONG"", (IFERROR(INDEX(GOOGLEFINANCE($C190, ""price"", WORKDAY(INT($B190), 1)), 2, 2), """")-$G190)/$G190, ($G190-IFE"&amp;"RROR(INDEX(GOOGLEFINANCE($C190, ""price"", WORKDAY(INT($B190), 1)), 2, 2), """"))/$G190)), """")"),"")</f>
        <v/>
      </c>
      <c r="O190" s="44" t="str">
        <f>IFERROR(__xludf.DUMMYFUNCTION("IFERROR(IF(OR(ISBLANK($G190), IFERROR(INDEX(GOOGLEFINANCE($C190, ""price"", WORKDAY(INT($B190), 5)), 2, 2), """")=""""), """", IF($D190=""LONG"", (IFERROR(INDEX(GOOGLEFINANCE($C190, ""price"", WORKDAY(INT($B190), 5)), 2, 2), """")-$G190)/$G190, ($G190-IFE"&amp;"RROR(INDEX(GOOGLEFINANCE($C190, ""price"", WORKDAY(INT($B190), 5)), 2, 2), """"))/$G190)), """")"),"")</f>
        <v/>
      </c>
      <c r="P190" s="44" t="str">
        <f>IFERROR(__xludf.DUMMYFUNCTION("IFERROR(IF(OR(ISBLANK($G190), IFERROR(INDEX(GOOGLEFINANCE($C190, ""price"", WORKDAY(INT($B190), 20)), 2, 2), """")=""""), """", IF($D190=""LONG"", (IFERROR(INDEX(GOOGLEFINANCE($C190, ""price"", WORKDAY(INT($B190), 20)), 2, 2), """")-$G190)/$G190, ($G190-I"&amp;"FERROR(INDEX(GOOGLEFINANCE($C190, ""price"", WORKDAY(INT($B190), 20)), 2, 2), """"))/$G190)), """")"),"")</f>
        <v/>
      </c>
      <c r="Q190" s="44"/>
      <c r="R190" s="44"/>
      <c r="S190" s="44"/>
      <c r="T190" s="44"/>
      <c r="U190" s="44"/>
      <c r="V190" s="44"/>
      <c r="W190" s="44"/>
      <c r="X190" s="44"/>
      <c r="Y190" s="44"/>
      <c r="Z190" s="44"/>
    </row>
    <row r="191">
      <c r="A191" s="44"/>
      <c r="B191" s="44"/>
      <c r="C191" s="44"/>
      <c r="D191" s="44"/>
      <c r="E191" s="44"/>
      <c r="F191" s="44"/>
      <c r="G191" s="44"/>
      <c r="H191" s="44"/>
      <c r="I191" s="44"/>
      <c r="J191" s="44"/>
      <c r="K191" s="44"/>
      <c r="L191" s="44" t="str">
        <f>IFERROR(__xludf.DUMMYFUNCTION("IFERROR(IF(ISBLANK($C191), """", GOOGLEFINANCE($C191, ""price"")), """")"),"")</f>
        <v/>
      </c>
      <c r="M191" s="44" t="str">
        <f t="shared" si="3"/>
        <v/>
      </c>
      <c r="N191" s="44" t="str">
        <f>IFERROR(__xludf.DUMMYFUNCTION("IFERROR(IF(OR(ISBLANK($G191), IFERROR(INDEX(GOOGLEFINANCE($C191, ""price"", WORKDAY(INT($B191), 1)), 2, 2), """")=""""), """", IF($D191=""LONG"", (IFERROR(INDEX(GOOGLEFINANCE($C191, ""price"", WORKDAY(INT($B191), 1)), 2, 2), """")-$G191)/$G191, ($G191-IFE"&amp;"RROR(INDEX(GOOGLEFINANCE($C191, ""price"", WORKDAY(INT($B191), 1)), 2, 2), """"))/$G191)), """")"),"")</f>
        <v/>
      </c>
      <c r="O191" s="44" t="str">
        <f>IFERROR(__xludf.DUMMYFUNCTION("IFERROR(IF(OR(ISBLANK($G191), IFERROR(INDEX(GOOGLEFINANCE($C191, ""price"", WORKDAY(INT($B191), 5)), 2, 2), """")=""""), """", IF($D191=""LONG"", (IFERROR(INDEX(GOOGLEFINANCE($C191, ""price"", WORKDAY(INT($B191), 5)), 2, 2), """")-$G191)/$G191, ($G191-IFE"&amp;"RROR(INDEX(GOOGLEFINANCE($C191, ""price"", WORKDAY(INT($B191), 5)), 2, 2), """"))/$G191)), """")"),"")</f>
        <v/>
      </c>
      <c r="P191" s="44" t="str">
        <f>IFERROR(__xludf.DUMMYFUNCTION("IFERROR(IF(OR(ISBLANK($G191), IFERROR(INDEX(GOOGLEFINANCE($C191, ""price"", WORKDAY(INT($B191), 20)), 2, 2), """")=""""), """", IF($D191=""LONG"", (IFERROR(INDEX(GOOGLEFINANCE($C191, ""price"", WORKDAY(INT($B191), 20)), 2, 2), """")-$G191)/$G191, ($G191-I"&amp;"FERROR(INDEX(GOOGLEFINANCE($C191, ""price"", WORKDAY(INT($B191), 20)), 2, 2), """"))/$G191)), """")"),"")</f>
        <v/>
      </c>
      <c r="Q191" s="44"/>
      <c r="R191" s="44"/>
      <c r="S191" s="44"/>
      <c r="T191" s="44"/>
      <c r="U191" s="44"/>
      <c r="V191" s="44"/>
      <c r="W191" s="44"/>
      <c r="X191" s="44"/>
      <c r="Y191" s="44"/>
      <c r="Z191" s="44"/>
    </row>
    <row r="192">
      <c r="A192" s="44"/>
      <c r="B192" s="44"/>
      <c r="C192" s="44"/>
      <c r="D192" s="44"/>
      <c r="E192" s="44"/>
      <c r="F192" s="44"/>
      <c r="G192" s="44"/>
      <c r="H192" s="44"/>
      <c r="I192" s="44"/>
      <c r="J192" s="44"/>
      <c r="K192" s="44"/>
      <c r="L192" s="44" t="str">
        <f>IFERROR(__xludf.DUMMYFUNCTION("IFERROR(IF(ISBLANK($C192), """", GOOGLEFINANCE($C192, ""price"")), """")"),"")</f>
        <v/>
      </c>
      <c r="M192" s="44" t="str">
        <f t="shared" si="3"/>
        <v/>
      </c>
      <c r="N192" s="44" t="str">
        <f>IFERROR(__xludf.DUMMYFUNCTION("IFERROR(IF(OR(ISBLANK($G192), IFERROR(INDEX(GOOGLEFINANCE($C192, ""price"", WORKDAY(INT($B192), 1)), 2, 2), """")=""""), """", IF($D192=""LONG"", (IFERROR(INDEX(GOOGLEFINANCE($C192, ""price"", WORKDAY(INT($B192), 1)), 2, 2), """")-$G192)/$G192, ($G192-IFE"&amp;"RROR(INDEX(GOOGLEFINANCE($C192, ""price"", WORKDAY(INT($B192), 1)), 2, 2), """"))/$G192)), """")"),"")</f>
        <v/>
      </c>
      <c r="O192" s="44" t="str">
        <f>IFERROR(__xludf.DUMMYFUNCTION("IFERROR(IF(OR(ISBLANK($G192), IFERROR(INDEX(GOOGLEFINANCE($C192, ""price"", WORKDAY(INT($B192), 5)), 2, 2), """")=""""), """", IF($D192=""LONG"", (IFERROR(INDEX(GOOGLEFINANCE($C192, ""price"", WORKDAY(INT($B192), 5)), 2, 2), """")-$G192)/$G192, ($G192-IFE"&amp;"RROR(INDEX(GOOGLEFINANCE($C192, ""price"", WORKDAY(INT($B192), 5)), 2, 2), """"))/$G192)), """")"),"")</f>
        <v/>
      </c>
      <c r="P192" s="44" t="str">
        <f>IFERROR(__xludf.DUMMYFUNCTION("IFERROR(IF(OR(ISBLANK($G192), IFERROR(INDEX(GOOGLEFINANCE($C192, ""price"", WORKDAY(INT($B192), 20)), 2, 2), """")=""""), """", IF($D192=""LONG"", (IFERROR(INDEX(GOOGLEFINANCE($C192, ""price"", WORKDAY(INT($B192), 20)), 2, 2), """")-$G192)/$G192, ($G192-I"&amp;"FERROR(INDEX(GOOGLEFINANCE($C192, ""price"", WORKDAY(INT($B192), 20)), 2, 2), """"))/$G192)), """")"),"")</f>
        <v/>
      </c>
      <c r="Q192" s="44"/>
      <c r="R192" s="44"/>
      <c r="S192" s="44"/>
      <c r="T192" s="44"/>
      <c r="U192" s="44"/>
      <c r="V192" s="44"/>
      <c r="W192" s="44"/>
      <c r="X192" s="44"/>
      <c r="Y192" s="44"/>
      <c r="Z192" s="44"/>
    </row>
    <row r="193">
      <c r="A193" s="44"/>
      <c r="B193" s="44"/>
      <c r="C193" s="44"/>
      <c r="D193" s="44"/>
      <c r="E193" s="44"/>
      <c r="F193" s="44"/>
      <c r="G193" s="44"/>
      <c r="H193" s="44"/>
      <c r="I193" s="44"/>
      <c r="J193" s="44"/>
      <c r="K193" s="44"/>
      <c r="L193" s="44" t="str">
        <f>IFERROR(__xludf.DUMMYFUNCTION("IFERROR(IF(ISBLANK($C193), """", GOOGLEFINANCE($C193, ""price"")), """")"),"")</f>
        <v/>
      </c>
      <c r="M193" s="44" t="str">
        <f t="shared" si="3"/>
        <v/>
      </c>
      <c r="N193" s="44" t="str">
        <f>IFERROR(__xludf.DUMMYFUNCTION("IFERROR(IF(OR(ISBLANK($G193), IFERROR(INDEX(GOOGLEFINANCE($C193, ""price"", WORKDAY(INT($B193), 1)), 2, 2), """")=""""), """", IF($D193=""LONG"", (IFERROR(INDEX(GOOGLEFINANCE($C193, ""price"", WORKDAY(INT($B193), 1)), 2, 2), """")-$G193)/$G193, ($G193-IFE"&amp;"RROR(INDEX(GOOGLEFINANCE($C193, ""price"", WORKDAY(INT($B193), 1)), 2, 2), """"))/$G193)), """")"),"")</f>
        <v/>
      </c>
      <c r="O193" s="44" t="str">
        <f>IFERROR(__xludf.DUMMYFUNCTION("IFERROR(IF(OR(ISBLANK($G193), IFERROR(INDEX(GOOGLEFINANCE($C193, ""price"", WORKDAY(INT($B193), 5)), 2, 2), """")=""""), """", IF($D193=""LONG"", (IFERROR(INDEX(GOOGLEFINANCE($C193, ""price"", WORKDAY(INT($B193), 5)), 2, 2), """")-$G193)/$G193, ($G193-IFE"&amp;"RROR(INDEX(GOOGLEFINANCE($C193, ""price"", WORKDAY(INT($B193), 5)), 2, 2), """"))/$G193)), """")"),"")</f>
        <v/>
      </c>
      <c r="P193" s="44" t="str">
        <f>IFERROR(__xludf.DUMMYFUNCTION("IFERROR(IF(OR(ISBLANK($G193), IFERROR(INDEX(GOOGLEFINANCE($C193, ""price"", WORKDAY(INT($B193), 20)), 2, 2), """")=""""), """", IF($D193=""LONG"", (IFERROR(INDEX(GOOGLEFINANCE($C193, ""price"", WORKDAY(INT($B193), 20)), 2, 2), """")-$G193)/$G193, ($G193-I"&amp;"FERROR(INDEX(GOOGLEFINANCE($C193, ""price"", WORKDAY(INT($B193), 20)), 2, 2), """"))/$G193)), """")"),"")</f>
        <v/>
      </c>
      <c r="Q193" s="44"/>
      <c r="R193" s="44"/>
      <c r="S193" s="44"/>
      <c r="T193" s="44"/>
      <c r="U193" s="44"/>
      <c r="V193" s="44"/>
      <c r="W193" s="44"/>
      <c r="X193" s="44"/>
      <c r="Y193" s="44"/>
      <c r="Z193" s="44"/>
    </row>
    <row r="194">
      <c r="A194" s="44"/>
      <c r="B194" s="44"/>
      <c r="C194" s="44"/>
      <c r="D194" s="44"/>
      <c r="E194" s="44"/>
      <c r="F194" s="44"/>
      <c r="G194" s="44"/>
      <c r="H194" s="44"/>
      <c r="I194" s="44"/>
      <c r="J194" s="44"/>
      <c r="K194" s="44"/>
      <c r="L194" s="44" t="str">
        <f>IFERROR(__xludf.DUMMYFUNCTION("IFERROR(IF(ISBLANK($C194), """", GOOGLEFINANCE($C194, ""price"")), """")"),"")</f>
        <v/>
      </c>
      <c r="M194" s="44" t="str">
        <f t="shared" si="3"/>
        <v/>
      </c>
      <c r="N194" s="44" t="str">
        <f>IFERROR(__xludf.DUMMYFUNCTION("IFERROR(IF(OR(ISBLANK($G194), IFERROR(INDEX(GOOGLEFINANCE($C194, ""price"", WORKDAY(INT($B194), 1)), 2, 2), """")=""""), """", IF($D194=""LONG"", (IFERROR(INDEX(GOOGLEFINANCE($C194, ""price"", WORKDAY(INT($B194), 1)), 2, 2), """")-$G194)/$G194, ($G194-IFE"&amp;"RROR(INDEX(GOOGLEFINANCE($C194, ""price"", WORKDAY(INT($B194), 1)), 2, 2), """"))/$G194)), """")"),"")</f>
        <v/>
      </c>
      <c r="O194" s="44" t="str">
        <f>IFERROR(__xludf.DUMMYFUNCTION("IFERROR(IF(OR(ISBLANK($G194), IFERROR(INDEX(GOOGLEFINANCE($C194, ""price"", WORKDAY(INT($B194), 5)), 2, 2), """")=""""), """", IF($D194=""LONG"", (IFERROR(INDEX(GOOGLEFINANCE($C194, ""price"", WORKDAY(INT($B194), 5)), 2, 2), """")-$G194)/$G194, ($G194-IFE"&amp;"RROR(INDEX(GOOGLEFINANCE($C194, ""price"", WORKDAY(INT($B194), 5)), 2, 2), """"))/$G194)), """")"),"")</f>
        <v/>
      </c>
      <c r="P194" s="44" t="str">
        <f>IFERROR(__xludf.DUMMYFUNCTION("IFERROR(IF(OR(ISBLANK($G194), IFERROR(INDEX(GOOGLEFINANCE($C194, ""price"", WORKDAY(INT($B194), 20)), 2, 2), """")=""""), """", IF($D194=""LONG"", (IFERROR(INDEX(GOOGLEFINANCE($C194, ""price"", WORKDAY(INT($B194), 20)), 2, 2), """")-$G194)/$G194, ($G194-I"&amp;"FERROR(INDEX(GOOGLEFINANCE($C194, ""price"", WORKDAY(INT($B194), 20)), 2, 2), """"))/$G194)), """")"),"")</f>
        <v/>
      </c>
      <c r="Q194" s="44"/>
      <c r="R194" s="44"/>
      <c r="S194" s="44"/>
      <c r="T194" s="44"/>
      <c r="U194" s="44"/>
      <c r="V194" s="44"/>
      <c r="W194" s="44"/>
      <c r="X194" s="44"/>
      <c r="Y194" s="44"/>
      <c r="Z194" s="44"/>
    </row>
    <row r="195">
      <c r="A195" s="44"/>
      <c r="B195" s="44"/>
      <c r="C195" s="44"/>
      <c r="D195" s="44"/>
      <c r="E195" s="44"/>
      <c r="F195" s="44"/>
      <c r="G195" s="44"/>
      <c r="H195" s="44"/>
      <c r="I195" s="44"/>
      <c r="J195" s="44"/>
      <c r="K195" s="44"/>
      <c r="L195" s="44" t="str">
        <f>IFERROR(__xludf.DUMMYFUNCTION("IFERROR(IF(ISBLANK($C195), """", GOOGLEFINANCE($C195, ""price"")), """")"),"")</f>
        <v/>
      </c>
      <c r="M195" s="44" t="str">
        <f t="shared" si="3"/>
        <v/>
      </c>
      <c r="N195" s="44" t="str">
        <f>IFERROR(__xludf.DUMMYFUNCTION("IFERROR(IF(OR(ISBLANK($G195), IFERROR(INDEX(GOOGLEFINANCE($C195, ""price"", WORKDAY(INT($B195), 1)), 2, 2), """")=""""), """", IF($D195=""LONG"", (IFERROR(INDEX(GOOGLEFINANCE($C195, ""price"", WORKDAY(INT($B195), 1)), 2, 2), """")-$G195)/$G195, ($G195-IFE"&amp;"RROR(INDEX(GOOGLEFINANCE($C195, ""price"", WORKDAY(INT($B195), 1)), 2, 2), """"))/$G195)), """")"),"")</f>
        <v/>
      </c>
      <c r="O195" s="44" t="str">
        <f>IFERROR(__xludf.DUMMYFUNCTION("IFERROR(IF(OR(ISBLANK($G195), IFERROR(INDEX(GOOGLEFINANCE($C195, ""price"", WORKDAY(INT($B195), 5)), 2, 2), """")=""""), """", IF($D195=""LONG"", (IFERROR(INDEX(GOOGLEFINANCE($C195, ""price"", WORKDAY(INT($B195), 5)), 2, 2), """")-$G195)/$G195, ($G195-IFE"&amp;"RROR(INDEX(GOOGLEFINANCE($C195, ""price"", WORKDAY(INT($B195), 5)), 2, 2), """"))/$G195)), """")"),"")</f>
        <v/>
      </c>
      <c r="P195" s="44" t="str">
        <f>IFERROR(__xludf.DUMMYFUNCTION("IFERROR(IF(OR(ISBLANK($G195), IFERROR(INDEX(GOOGLEFINANCE($C195, ""price"", WORKDAY(INT($B195), 20)), 2, 2), """")=""""), """", IF($D195=""LONG"", (IFERROR(INDEX(GOOGLEFINANCE($C195, ""price"", WORKDAY(INT($B195), 20)), 2, 2), """")-$G195)/$G195, ($G195-I"&amp;"FERROR(INDEX(GOOGLEFINANCE($C195, ""price"", WORKDAY(INT($B195), 20)), 2, 2), """"))/$G195)), """")"),"")</f>
        <v/>
      </c>
      <c r="Q195" s="44"/>
      <c r="R195" s="44"/>
      <c r="S195" s="44"/>
      <c r="T195" s="44"/>
      <c r="U195" s="44"/>
      <c r="V195" s="44"/>
      <c r="W195" s="44"/>
      <c r="X195" s="44"/>
      <c r="Y195" s="44"/>
      <c r="Z195" s="44"/>
    </row>
    <row r="196">
      <c r="A196" s="44"/>
      <c r="B196" s="44"/>
      <c r="C196" s="44"/>
      <c r="D196" s="44"/>
      <c r="E196" s="44"/>
      <c r="F196" s="44"/>
      <c r="G196" s="44"/>
      <c r="H196" s="44"/>
      <c r="I196" s="44"/>
      <c r="J196" s="44"/>
      <c r="K196" s="44"/>
      <c r="L196" s="44" t="str">
        <f>IFERROR(__xludf.DUMMYFUNCTION("IFERROR(IF(ISBLANK($C196), """", GOOGLEFINANCE($C196, ""price"")), """")"),"")</f>
        <v/>
      </c>
      <c r="M196" s="44" t="str">
        <f t="shared" si="3"/>
        <v/>
      </c>
      <c r="N196" s="44" t="str">
        <f>IFERROR(__xludf.DUMMYFUNCTION("IFERROR(IF(OR(ISBLANK($G196), IFERROR(INDEX(GOOGLEFINANCE($C196, ""price"", WORKDAY(INT($B196), 1)), 2, 2), """")=""""), """", IF($D196=""LONG"", (IFERROR(INDEX(GOOGLEFINANCE($C196, ""price"", WORKDAY(INT($B196), 1)), 2, 2), """")-$G196)/$G196, ($G196-IFE"&amp;"RROR(INDEX(GOOGLEFINANCE($C196, ""price"", WORKDAY(INT($B196), 1)), 2, 2), """"))/$G196)), """")"),"")</f>
        <v/>
      </c>
      <c r="O196" s="44" t="str">
        <f>IFERROR(__xludf.DUMMYFUNCTION("IFERROR(IF(OR(ISBLANK($G196), IFERROR(INDEX(GOOGLEFINANCE($C196, ""price"", WORKDAY(INT($B196), 5)), 2, 2), """")=""""), """", IF($D196=""LONG"", (IFERROR(INDEX(GOOGLEFINANCE($C196, ""price"", WORKDAY(INT($B196), 5)), 2, 2), """")-$G196)/$G196, ($G196-IFE"&amp;"RROR(INDEX(GOOGLEFINANCE($C196, ""price"", WORKDAY(INT($B196), 5)), 2, 2), """"))/$G196)), """")"),"")</f>
        <v/>
      </c>
      <c r="P196" s="44" t="str">
        <f>IFERROR(__xludf.DUMMYFUNCTION("IFERROR(IF(OR(ISBLANK($G196), IFERROR(INDEX(GOOGLEFINANCE($C196, ""price"", WORKDAY(INT($B196), 20)), 2, 2), """")=""""), """", IF($D196=""LONG"", (IFERROR(INDEX(GOOGLEFINANCE($C196, ""price"", WORKDAY(INT($B196), 20)), 2, 2), """")-$G196)/$G196, ($G196-I"&amp;"FERROR(INDEX(GOOGLEFINANCE($C196, ""price"", WORKDAY(INT($B196), 20)), 2, 2), """"))/$G196)), """")"),"")</f>
        <v/>
      </c>
      <c r="Q196" s="44"/>
      <c r="R196" s="44"/>
      <c r="S196" s="44"/>
      <c r="T196" s="44"/>
      <c r="U196" s="44"/>
      <c r="V196" s="44"/>
      <c r="W196" s="44"/>
      <c r="X196" s="44"/>
      <c r="Y196" s="44"/>
      <c r="Z196" s="44"/>
    </row>
    <row r="197">
      <c r="A197" s="44"/>
      <c r="B197" s="44"/>
      <c r="C197" s="44"/>
      <c r="D197" s="44"/>
      <c r="E197" s="44"/>
      <c r="F197" s="44"/>
      <c r="G197" s="44"/>
      <c r="H197" s="44"/>
      <c r="I197" s="44"/>
      <c r="J197" s="44"/>
      <c r="K197" s="44"/>
      <c r="L197" s="44" t="str">
        <f>IFERROR(__xludf.DUMMYFUNCTION("IFERROR(IF(ISBLANK($C197), """", GOOGLEFINANCE($C197, ""price"")), """")"),"")</f>
        <v/>
      </c>
      <c r="M197" s="44" t="str">
        <f t="shared" si="3"/>
        <v/>
      </c>
      <c r="N197" s="44" t="str">
        <f>IFERROR(__xludf.DUMMYFUNCTION("IFERROR(IF(OR(ISBLANK($G197), IFERROR(INDEX(GOOGLEFINANCE($C197, ""price"", WORKDAY(INT($B197), 1)), 2, 2), """")=""""), """", IF($D197=""LONG"", (IFERROR(INDEX(GOOGLEFINANCE($C197, ""price"", WORKDAY(INT($B197), 1)), 2, 2), """")-$G197)/$G197, ($G197-IFE"&amp;"RROR(INDEX(GOOGLEFINANCE($C197, ""price"", WORKDAY(INT($B197), 1)), 2, 2), """"))/$G197)), """")"),"")</f>
        <v/>
      </c>
      <c r="O197" s="44" t="str">
        <f>IFERROR(__xludf.DUMMYFUNCTION("IFERROR(IF(OR(ISBLANK($G197), IFERROR(INDEX(GOOGLEFINANCE($C197, ""price"", WORKDAY(INT($B197), 5)), 2, 2), """")=""""), """", IF($D197=""LONG"", (IFERROR(INDEX(GOOGLEFINANCE($C197, ""price"", WORKDAY(INT($B197), 5)), 2, 2), """")-$G197)/$G197, ($G197-IFE"&amp;"RROR(INDEX(GOOGLEFINANCE($C197, ""price"", WORKDAY(INT($B197), 5)), 2, 2), """"))/$G197)), """")"),"")</f>
        <v/>
      </c>
      <c r="P197" s="44" t="str">
        <f>IFERROR(__xludf.DUMMYFUNCTION("IFERROR(IF(OR(ISBLANK($G197), IFERROR(INDEX(GOOGLEFINANCE($C197, ""price"", WORKDAY(INT($B197), 20)), 2, 2), """")=""""), """", IF($D197=""LONG"", (IFERROR(INDEX(GOOGLEFINANCE($C197, ""price"", WORKDAY(INT($B197), 20)), 2, 2), """")-$G197)/$G197, ($G197-I"&amp;"FERROR(INDEX(GOOGLEFINANCE($C197, ""price"", WORKDAY(INT($B197), 20)), 2, 2), """"))/$G197)), """")"),"")</f>
        <v/>
      </c>
      <c r="Q197" s="44"/>
      <c r="R197" s="44"/>
      <c r="S197" s="44"/>
      <c r="T197" s="44"/>
      <c r="U197" s="44"/>
      <c r="V197" s="44"/>
      <c r="W197" s="44"/>
      <c r="X197" s="44"/>
      <c r="Y197" s="44"/>
      <c r="Z197" s="44"/>
    </row>
    <row r="198">
      <c r="A198" s="44"/>
      <c r="B198" s="44"/>
      <c r="C198" s="44"/>
      <c r="D198" s="44"/>
      <c r="E198" s="44"/>
      <c r="F198" s="44"/>
      <c r="G198" s="44"/>
      <c r="H198" s="44"/>
      <c r="I198" s="44"/>
      <c r="J198" s="44"/>
      <c r="K198" s="44"/>
      <c r="L198" s="44" t="str">
        <f>IFERROR(__xludf.DUMMYFUNCTION("IFERROR(IF(ISBLANK($C198), """", GOOGLEFINANCE($C198, ""price"")), """")"),"")</f>
        <v/>
      </c>
      <c r="M198" s="44" t="str">
        <f t="shared" si="3"/>
        <v/>
      </c>
      <c r="N198" s="44" t="str">
        <f>IFERROR(__xludf.DUMMYFUNCTION("IFERROR(IF(OR(ISBLANK($G198), IFERROR(INDEX(GOOGLEFINANCE($C198, ""price"", WORKDAY(INT($B198), 1)), 2, 2), """")=""""), """", IF($D198=""LONG"", (IFERROR(INDEX(GOOGLEFINANCE($C198, ""price"", WORKDAY(INT($B198), 1)), 2, 2), """")-$G198)/$G198, ($G198-IFE"&amp;"RROR(INDEX(GOOGLEFINANCE($C198, ""price"", WORKDAY(INT($B198), 1)), 2, 2), """"))/$G198)), """")"),"")</f>
        <v/>
      </c>
      <c r="O198" s="44" t="str">
        <f>IFERROR(__xludf.DUMMYFUNCTION("IFERROR(IF(OR(ISBLANK($G198), IFERROR(INDEX(GOOGLEFINANCE($C198, ""price"", WORKDAY(INT($B198), 5)), 2, 2), """")=""""), """", IF($D198=""LONG"", (IFERROR(INDEX(GOOGLEFINANCE($C198, ""price"", WORKDAY(INT($B198), 5)), 2, 2), """")-$G198)/$G198, ($G198-IFE"&amp;"RROR(INDEX(GOOGLEFINANCE($C198, ""price"", WORKDAY(INT($B198), 5)), 2, 2), """"))/$G198)), """")"),"")</f>
        <v/>
      </c>
      <c r="P198" s="44" t="str">
        <f>IFERROR(__xludf.DUMMYFUNCTION("IFERROR(IF(OR(ISBLANK($G198), IFERROR(INDEX(GOOGLEFINANCE($C198, ""price"", WORKDAY(INT($B198), 20)), 2, 2), """")=""""), """", IF($D198=""LONG"", (IFERROR(INDEX(GOOGLEFINANCE($C198, ""price"", WORKDAY(INT($B198), 20)), 2, 2), """")-$G198)/$G198, ($G198-I"&amp;"FERROR(INDEX(GOOGLEFINANCE($C198, ""price"", WORKDAY(INT($B198), 20)), 2, 2), """"))/$G198)), """")"),"")</f>
        <v/>
      </c>
      <c r="Q198" s="44"/>
      <c r="R198" s="44"/>
      <c r="S198" s="44"/>
      <c r="T198" s="44"/>
      <c r="U198" s="44"/>
      <c r="V198" s="44"/>
      <c r="W198" s="44"/>
      <c r="X198" s="44"/>
      <c r="Y198" s="44"/>
      <c r="Z198" s="44"/>
    </row>
    <row r="199">
      <c r="A199" s="44"/>
      <c r="B199" s="44"/>
      <c r="C199" s="44"/>
      <c r="D199" s="44"/>
      <c r="E199" s="44"/>
      <c r="F199" s="44"/>
      <c r="G199" s="44"/>
      <c r="H199" s="44"/>
      <c r="I199" s="44"/>
      <c r="J199" s="44"/>
      <c r="K199" s="44"/>
      <c r="L199" s="44" t="str">
        <f>IFERROR(__xludf.DUMMYFUNCTION("IFERROR(IF(ISBLANK($C199), """", GOOGLEFINANCE($C199, ""price"")), """")"),"")</f>
        <v/>
      </c>
      <c r="M199" s="44" t="str">
        <f t="shared" si="3"/>
        <v/>
      </c>
      <c r="N199" s="44" t="str">
        <f>IFERROR(__xludf.DUMMYFUNCTION("IFERROR(IF(OR(ISBLANK($G199), IFERROR(INDEX(GOOGLEFINANCE($C199, ""price"", WORKDAY(INT($B199), 1)), 2, 2), """")=""""), """", IF($D199=""LONG"", (IFERROR(INDEX(GOOGLEFINANCE($C199, ""price"", WORKDAY(INT($B199), 1)), 2, 2), """")-$G199)/$G199, ($G199-IFE"&amp;"RROR(INDEX(GOOGLEFINANCE($C199, ""price"", WORKDAY(INT($B199), 1)), 2, 2), """"))/$G199)), """")"),"")</f>
        <v/>
      </c>
      <c r="O199" s="44" t="str">
        <f>IFERROR(__xludf.DUMMYFUNCTION("IFERROR(IF(OR(ISBLANK($G199), IFERROR(INDEX(GOOGLEFINANCE($C199, ""price"", WORKDAY(INT($B199), 5)), 2, 2), """")=""""), """", IF($D199=""LONG"", (IFERROR(INDEX(GOOGLEFINANCE($C199, ""price"", WORKDAY(INT($B199), 5)), 2, 2), """")-$G199)/$G199, ($G199-IFE"&amp;"RROR(INDEX(GOOGLEFINANCE($C199, ""price"", WORKDAY(INT($B199), 5)), 2, 2), """"))/$G199)), """")"),"")</f>
        <v/>
      </c>
      <c r="P199" s="44" t="str">
        <f>IFERROR(__xludf.DUMMYFUNCTION("IFERROR(IF(OR(ISBLANK($G199), IFERROR(INDEX(GOOGLEFINANCE($C199, ""price"", WORKDAY(INT($B199), 20)), 2, 2), """")=""""), """", IF($D199=""LONG"", (IFERROR(INDEX(GOOGLEFINANCE($C199, ""price"", WORKDAY(INT($B199), 20)), 2, 2), """")-$G199)/$G199, ($G199-I"&amp;"FERROR(INDEX(GOOGLEFINANCE($C199, ""price"", WORKDAY(INT($B199), 20)), 2, 2), """"))/$G199)), """")"),"")</f>
        <v/>
      </c>
      <c r="Q199" s="44"/>
      <c r="R199" s="44"/>
      <c r="S199" s="44"/>
      <c r="T199" s="44"/>
      <c r="U199" s="44"/>
      <c r="V199" s="44"/>
      <c r="W199" s="44"/>
      <c r="X199" s="44"/>
      <c r="Y199" s="44"/>
      <c r="Z199" s="44"/>
    </row>
    <row r="200">
      <c r="A200" s="44"/>
      <c r="B200" s="44"/>
      <c r="C200" s="44"/>
      <c r="D200" s="44"/>
      <c r="E200" s="44"/>
      <c r="F200" s="44"/>
      <c r="G200" s="44"/>
      <c r="H200" s="44"/>
      <c r="I200" s="44"/>
      <c r="J200" s="44"/>
      <c r="K200" s="44"/>
      <c r="L200" s="44" t="str">
        <f>IFERROR(__xludf.DUMMYFUNCTION("IFERROR(IF(ISBLANK($C200), """", GOOGLEFINANCE($C200, ""price"")), """")"),"")</f>
        <v/>
      </c>
      <c r="M200" s="44" t="str">
        <f t="shared" si="3"/>
        <v/>
      </c>
      <c r="N200" s="44" t="str">
        <f>IFERROR(__xludf.DUMMYFUNCTION("IFERROR(IF(OR(ISBLANK($G200), IFERROR(INDEX(GOOGLEFINANCE($C200, ""price"", WORKDAY(INT($B200), 1)), 2, 2), """")=""""), """", IF($D200=""LONG"", (IFERROR(INDEX(GOOGLEFINANCE($C200, ""price"", WORKDAY(INT($B200), 1)), 2, 2), """")-$G200)/$G200, ($G200-IFE"&amp;"RROR(INDEX(GOOGLEFINANCE($C200, ""price"", WORKDAY(INT($B200), 1)), 2, 2), """"))/$G200)), """")"),"")</f>
        <v/>
      </c>
      <c r="O200" s="44" t="str">
        <f>IFERROR(__xludf.DUMMYFUNCTION("IFERROR(IF(OR(ISBLANK($G200), IFERROR(INDEX(GOOGLEFINANCE($C200, ""price"", WORKDAY(INT($B200), 5)), 2, 2), """")=""""), """", IF($D200=""LONG"", (IFERROR(INDEX(GOOGLEFINANCE($C200, ""price"", WORKDAY(INT($B200), 5)), 2, 2), """")-$G200)/$G200, ($G200-IFE"&amp;"RROR(INDEX(GOOGLEFINANCE($C200, ""price"", WORKDAY(INT($B200), 5)), 2, 2), """"))/$G200)), """")"),"")</f>
        <v/>
      </c>
      <c r="P200" s="44" t="str">
        <f>IFERROR(__xludf.DUMMYFUNCTION("IFERROR(IF(OR(ISBLANK($G200), IFERROR(INDEX(GOOGLEFINANCE($C200, ""price"", WORKDAY(INT($B200), 20)), 2, 2), """")=""""), """", IF($D200=""LONG"", (IFERROR(INDEX(GOOGLEFINANCE($C200, ""price"", WORKDAY(INT($B200), 20)), 2, 2), """")-$G200)/$G200, ($G200-I"&amp;"FERROR(INDEX(GOOGLEFINANCE($C200, ""price"", WORKDAY(INT($B200), 20)), 2, 2), """"))/$G200)), """")"),"")</f>
        <v/>
      </c>
      <c r="Q200" s="44"/>
      <c r="R200" s="44"/>
      <c r="S200" s="44"/>
      <c r="T200" s="44"/>
      <c r="U200" s="44"/>
      <c r="V200" s="44"/>
      <c r="W200" s="44"/>
      <c r="X200" s="44"/>
      <c r="Y200" s="44"/>
      <c r="Z200" s="44"/>
    </row>
    <row r="201">
      <c r="A201" s="44"/>
      <c r="B201" s="44"/>
      <c r="C201" s="44"/>
      <c r="D201" s="44"/>
      <c r="E201" s="44"/>
      <c r="F201" s="44"/>
      <c r="G201" s="44"/>
      <c r="H201" s="44"/>
      <c r="I201" s="44"/>
      <c r="J201" s="44"/>
      <c r="K201" s="44"/>
      <c r="L201" s="44" t="str">
        <f>IFERROR(__xludf.DUMMYFUNCTION("IFERROR(IF(ISBLANK($C201), """", GOOGLEFINANCE($C201, ""price"")), """")"),"")</f>
        <v/>
      </c>
      <c r="M201" s="44" t="str">
        <f t="shared" si="3"/>
        <v/>
      </c>
      <c r="N201" s="44" t="str">
        <f>IFERROR(__xludf.DUMMYFUNCTION("IFERROR(IF(OR(ISBLANK($G201), IFERROR(INDEX(GOOGLEFINANCE($C201, ""price"", WORKDAY(INT($B201), 1)), 2, 2), """")=""""), """", IF($D201=""LONG"", (IFERROR(INDEX(GOOGLEFINANCE($C201, ""price"", WORKDAY(INT($B201), 1)), 2, 2), """")-$G201)/$G201, ($G201-IFE"&amp;"RROR(INDEX(GOOGLEFINANCE($C201, ""price"", WORKDAY(INT($B201), 1)), 2, 2), """"))/$G201)), """")"),"")</f>
        <v/>
      </c>
      <c r="O201" s="44" t="str">
        <f>IFERROR(__xludf.DUMMYFUNCTION("IFERROR(IF(OR(ISBLANK($G201), IFERROR(INDEX(GOOGLEFINANCE($C201, ""price"", WORKDAY(INT($B201), 5)), 2, 2), """")=""""), """", IF($D201=""LONG"", (IFERROR(INDEX(GOOGLEFINANCE($C201, ""price"", WORKDAY(INT($B201), 5)), 2, 2), """")-$G201)/$G201, ($G201-IFE"&amp;"RROR(INDEX(GOOGLEFINANCE($C201, ""price"", WORKDAY(INT($B201), 5)), 2, 2), """"))/$G201)), """")"),"")</f>
        <v/>
      </c>
      <c r="P201" s="44" t="str">
        <f>IFERROR(__xludf.DUMMYFUNCTION("IFERROR(IF(OR(ISBLANK($G201), IFERROR(INDEX(GOOGLEFINANCE($C201, ""price"", WORKDAY(INT($B201), 20)), 2, 2), """")=""""), """", IF($D201=""LONG"", (IFERROR(INDEX(GOOGLEFINANCE($C201, ""price"", WORKDAY(INT($B201), 20)), 2, 2), """")-$G201)/$G201, ($G201-I"&amp;"FERROR(INDEX(GOOGLEFINANCE($C201, ""price"", WORKDAY(INT($B201), 20)), 2, 2), """"))/$G201)), """")"),"")</f>
        <v/>
      </c>
      <c r="Q201" s="44"/>
      <c r="R201" s="44"/>
      <c r="S201" s="44"/>
      <c r="T201" s="44"/>
      <c r="U201" s="44"/>
      <c r="V201" s="44"/>
      <c r="W201" s="44"/>
      <c r="X201" s="44"/>
      <c r="Y201" s="44"/>
      <c r="Z201" s="44"/>
    </row>
    <row r="202">
      <c r="A202" s="44"/>
      <c r="B202" s="44"/>
      <c r="C202" s="44"/>
      <c r="D202" s="44"/>
      <c r="E202" s="44"/>
      <c r="F202" s="44"/>
      <c r="G202" s="44"/>
      <c r="H202" s="44"/>
      <c r="I202" s="44"/>
      <c r="J202" s="44"/>
      <c r="K202" s="44"/>
      <c r="L202" s="44" t="str">
        <f>IFERROR(__xludf.DUMMYFUNCTION("IFERROR(IF(ISBLANK($C202), """", GOOGLEFINANCE($C202, ""price"")), """")"),"")</f>
        <v/>
      </c>
      <c r="M202" s="44" t="str">
        <f t="shared" si="3"/>
        <v/>
      </c>
      <c r="N202" s="44" t="str">
        <f>IFERROR(__xludf.DUMMYFUNCTION("IFERROR(IF(OR(ISBLANK($G202), IFERROR(INDEX(GOOGLEFINANCE($C202, ""price"", WORKDAY(INT($B202), 1)), 2, 2), """")=""""), """", IF($D202=""LONG"", (IFERROR(INDEX(GOOGLEFINANCE($C202, ""price"", WORKDAY(INT($B202), 1)), 2, 2), """")-$G202)/$G202, ($G202-IFE"&amp;"RROR(INDEX(GOOGLEFINANCE($C202, ""price"", WORKDAY(INT($B202), 1)), 2, 2), """"))/$G202)), """")"),"")</f>
        <v/>
      </c>
      <c r="O202" s="44" t="str">
        <f>IFERROR(__xludf.DUMMYFUNCTION("IFERROR(IF(OR(ISBLANK($G202), IFERROR(INDEX(GOOGLEFINANCE($C202, ""price"", WORKDAY(INT($B202), 5)), 2, 2), """")=""""), """", IF($D202=""LONG"", (IFERROR(INDEX(GOOGLEFINANCE($C202, ""price"", WORKDAY(INT($B202), 5)), 2, 2), """")-$G202)/$G202, ($G202-IFE"&amp;"RROR(INDEX(GOOGLEFINANCE($C202, ""price"", WORKDAY(INT($B202), 5)), 2, 2), """"))/$G202)), """")"),"")</f>
        <v/>
      </c>
      <c r="P202" s="44" t="str">
        <f>IFERROR(__xludf.DUMMYFUNCTION("IFERROR(IF(OR(ISBLANK($G202), IFERROR(INDEX(GOOGLEFINANCE($C202, ""price"", WORKDAY(INT($B202), 20)), 2, 2), """")=""""), """", IF($D202=""LONG"", (IFERROR(INDEX(GOOGLEFINANCE($C202, ""price"", WORKDAY(INT($B202), 20)), 2, 2), """")-$G202)/$G202, ($G202-I"&amp;"FERROR(INDEX(GOOGLEFINANCE($C202, ""price"", WORKDAY(INT($B202), 20)), 2, 2), """"))/$G202)), """")"),"")</f>
        <v/>
      </c>
      <c r="Q202" s="44"/>
      <c r="R202" s="44"/>
      <c r="S202" s="44"/>
      <c r="T202" s="44"/>
      <c r="U202" s="44"/>
      <c r="V202" s="44"/>
      <c r="W202" s="44"/>
      <c r="X202" s="44"/>
      <c r="Y202" s="44"/>
      <c r="Z202" s="44"/>
    </row>
    <row r="203">
      <c r="A203" s="44"/>
      <c r="B203" s="44"/>
      <c r="C203" s="44"/>
      <c r="D203" s="44"/>
      <c r="E203" s="44"/>
      <c r="F203" s="44"/>
      <c r="G203" s="44"/>
      <c r="H203" s="44"/>
      <c r="I203" s="44"/>
      <c r="J203" s="44"/>
      <c r="K203" s="44"/>
      <c r="L203" s="44" t="str">
        <f>IFERROR(__xludf.DUMMYFUNCTION("IFERROR(IF(ISBLANK($C203), """", GOOGLEFINANCE($C203, ""price"")), """")"),"")</f>
        <v/>
      </c>
      <c r="M203" s="44" t="str">
        <f t="shared" si="3"/>
        <v/>
      </c>
      <c r="N203" s="44" t="str">
        <f>IFERROR(__xludf.DUMMYFUNCTION("IFERROR(IF(OR(ISBLANK($G203), IFERROR(INDEX(GOOGLEFINANCE($C203, ""price"", WORKDAY(INT($B203), 1)), 2, 2), """")=""""), """", IF($D203=""LONG"", (IFERROR(INDEX(GOOGLEFINANCE($C203, ""price"", WORKDAY(INT($B203), 1)), 2, 2), """")-$G203)/$G203, ($G203-IFE"&amp;"RROR(INDEX(GOOGLEFINANCE($C203, ""price"", WORKDAY(INT($B203), 1)), 2, 2), """"))/$G203)), """")"),"")</f>
        <v/>
      </c>
      <c r="O203" s="44" t="str">
        <f>IFERROR(__xludf.DUMMYFUNCTION("IFERROR(IF(OR(ISBLANK($G203), IFERROR(INDEX(GOOGLEFINANCE($C203, ""price"", WORKDAY(INT($B203), 5)), 2, 2), """")=""""), """", IF($D203=""LONG"", (IFERROR(INDEX(GOOGLEFINANCE($C203, ""price"", WORKDAY(INT($B203), 5)), 2, 2), """")-$G203)/$G203, ($G203-IFE"&amp;"RROR(INDEX(GOOGLEFINANCE($C203, ""price"", WORKDAY(INT($B203), 5)), 2, 2), """"))/$G203)), """")"),"")</f>
        <v/>
      </c>
      <c r="P203" s="44" t="str">
        <f>IFERROR(__xludf.DUMMYFUNCTION("IFERROR(IF(OR(ISBLANK($G203), IFERROR(INDEX(GOOGLEFINANCE($C203, ""price"", WORKDAY(INT($B203), 20)), 2, 2), """")=""""), """", IF($D203=""LONG"", (IFERROR(INDEX(GOOGLEFINANCE($C203, ""price"", WORKDAY(INT($B203), 20)), 2, 2), """")-$G203)/$G203, ($G203-I"&amp;"FERROR(INDEX(GOOGLEFINANCE($C203, ""price"", WORKDAY(INT($B203), 20)), 2, 2), """"))/$G203)), """")"),"")</f>
        <v/>
      </c>
      <c r="Q203" s="44"/>
      <c r="R203" s="44"/>
      <c r="S203" s="44"/>
      <c r="T203" s="44"/>
      <c r="U203" s="44"/>
      <c r="V203" s="44"/>
      <c r="W203" s="44"/>
      <c r="X203" s="44"/>
      <c r="Y203" s="44"/>
      <c r="Z203" s="44"/>
    </row>
    <row r="204">
      <c r="A204" s="44"/>
      <c r="B204" s="44"/>
      <c r="C204" s="44"/>
      <c r="D204" s="44"/>
      <c r="E204" s="44"/>
      <c r="F204" s="44"/>
      <c r="G204" s="44"/>
      <c r="H204" s="44"/>
      <c r="I204" s="44"/>
      <c r="J204" s="44"/>
      <c r="K204" s="44"/>
      <c r="L204" s="44" t="str">
        <f>IFERROR(__xludf.DUMMYFUNCTION("IFERROR(IF(ISBLANK($C204), """", GOOGLEFINANCE($C204, ""price"")), """")"),"")</f>
        <v/>
      </c>
      <c r="M204" s="44" t="str">
        <f t="shared" si="3"/>
        <v/>
      </c>
      <c r="N204" s="44" t="str">
        <f>IFERROR(__xludf.DUMMYFUNCTION("IFERROR(IF(OR(ISBLANK($G204), IFERROR(INDEX(GOOGLEFINANCE($C204, ""price"", WORKDAY(INT($B204), 1)), 2, 2), """")=""""), """", IF($D204=""LONG"", (IFERROR(INDEX(GOOGLEFINANCE($C204, ""price"", WORKDAY(INT($B204), 1)), 2, 2), """")-$G204)/$G204, ($G204-IFE"&amp;"RROR(INDEX(GOOGLEFINANCE($C204, ""price"", WORKDAY(INT($B204), 1)), 2, 2), """"))/$G204)), """")"),"")</f>
        <v/>
      </c>
      <c r="O204" s="44" t="str">
        <f>IFERROR(__xludf.DUMMYFUNCTION("IFERROR(IF(OR(ISBLANK($G204), IFERROR(INDEX(GOOGLEFINANCE($C204, ""price"", WORKDAY(INT($B204), 5)), 2, 2), """")=""""), """", IF($D204=""LONG"", (IFERROR(INDEX(GOOGLEFINANCE($C204, ""price"", WORKDAY(INT($B204), 5)), 2, 2), """")-$G204)/$G204, ($G204-IFE"&amp;"RROR(INDEX(GOOGLEFINANCE($C204, ""price"", WORKDAY(INT($B204), 5)), 2, 2), """"))/$G204)), """")"),"")</f>
        <v/>
      </c>
      <c r="P204" s="44" t="str">
        <f>IFERROR(__xludf.DUMMYFUNCTION("IFERROR(IF(OR(ISBLANK($G204), IFERROR(INDEX(GOOGLEFINANCE($C204, ""price"", WORKDAY(INT($B204), 20)), 2, 2), """")=""""), """", IF($D204=""LONG"", (IFERROR(INDEX(GOOGLEFINANCE($C204, ""price"", WORKDAY(INT($B204), 20)), 2, 2), """")-$G204)/$G204, ($G204-I"&amp;"FERROR(INDEX(GOOGLEFINANCE($C204, ""price"", WORKDAY(INT($B204), 20)), 2, 2), """"))/$G204)), """")"),"")</f>
        <v/>
      </c>
      <c r="Q204" s="44"/>
      <c r="R204" s="44"/>
      <c r="S204" s="44"/>
      <c r="T204" s="44"/>
      <c r="U204" s="44"/>
      <c r="V204" s="44"/>
      <c r="W204" s="44"/>
      <c r="X204" s="44"/>
      <c r="Y204" s="44"/>
      <c r="Z204" s="44"/>
    </row>
    <row r="205">
      <c r="A205" s="44"/>
      <c r="B205" s="44"/>
      <c r="C205" s="44"/>
      <c r="D205" s="44"/>
      <c r="E205" s="44"/>
      <c r="F205" s="44"/>
      <c r="G205" s="44"/>
      <c r="H205" s="44"/>
      <c r="I205" s="44"/>
      <c r="J205" s="44"/>
      <c r="K205" s="44"/>
      <c r="L205" s="44" t="str">
        <f>IFERROR(__xludf.DUMMYFUNCTION("IFERROR(IF(ISBLANK($C205), """", GOOGLEFINANCE($C205, ""price"")), """")"),"")</f>
        <v/>
      </c>
      <c r="M205" s="44" t="str">
        <f t="shared" si="3"/>
        <v/>
      </c>
      <c r="N205" s="44" t="str">
        <f>IFERROR(__xludf.DUMMYFUNCTION("IFERROR(IF(OR(ISBLANK($G205), IFERROR(INDEX(GOOGLEFINANCE($C205, ""price"", WORKDAY(INT($B205), 1)), 2, 2), """")=""""), """", IF($D205=""LONG"", (IFERROR(INDEX(GOOGLEFINANCE($C205, ""price"", WORKDAY(INT($B205), 1)), 2, 2), """")-$G205)/$G205, ($G205-IFE"&amp;"RROR(INDEX(GOOGLEFINANCE($C205, ""price"", WORKDAY(INT($B205), 1)), 2, 2), """"))/$G205)), """")"),"")</f>
        <v/>
      </c>
      <c r="O205" s="44" t="str">
        <f>IFERROR(__xludf.DUMMYFUNCTION("IFERROR(IF(OR(ISBLANK($G205), IFERROR(INDEX(GOOGLEFINANCE($C205, ""price"", WORKDAY(INT($B205), 5)), 2, 2), """")=""""), """", IF($D205=""LONG"", (IFERROR(INDEX(GOOGLEFINANCE($C205, ""price"", WORKDAY(INT($B205), 5)), 2, 2), """")-$G205)/$G205, ($G205-IFE"&amp;"RROR(INDEX(GOOGLEFINANCE($C205, ""price"", WORKDAY(INT($B205), 5)), 2, 2), """"))/$G205)), """")"),"")</f>
        <v/>
      </c>
      <c r="P205" s="44" t="str">
        <f>IFERROR(__xludf.DUMMYFUNCTION("IFERROR(IF(OR(ISBLANK($G205), IFERROR(INDEX(GOOGLEFINANCE($C205, ""price"", WORKDAY(INT($B205), 20)), 2, 2), """")=""""), """", IF($D205=""LONG"", (IFERROR(INDEX(GOOGLEFINANCE($C205, ""price"", WORKDAY(INT($B205), 20)), 2, 2), """")-$G205)/$G205, ($G205-I"&amp;"FERROR(INDEX(GOOGLEFINANCE($C205, ""price"", WORKDAY(INT($B205), 20)), 2, 2), """"))/$G205)), """")"),"")</f>
        <v/>
      </c>
      <c r="Q205" s="44"/>
      <c r="R205" s="44"/>
      <c r="S205" s="44"/>
      <c r="T205" s="44"/>
      <c r="U205" s="44"/>
      <c r="V205" s="44"/>
      <c r="W205" s="44"/>
      <c r="X205" s="44"/>
      <c r="Y205" s="44"/>
      <c r="Z205" s="44"/>
    </row>
    <row r="206">
      <c r="A206" s="44"/>
      <c r="B206" s="44"/>
      <c r="C206" s="44"/>
      <c r="D206" s="44"/>
      <c r="E206" s="44"/>
      <c r="F206" s="44"/>
      <c r="G206" s="44"/>
      <c r="H206" s="44"/>
      <c r="I206" s="44"/>
      <c r="J206" s="44"/>
      <c r="K206" s="44"/>
      <c r="L206" s="44" t="str">
        <f>IFERROR(__xludf.DUMMYFUNCTION("IFERROR(IF(ISBLANK($C206), """", GOOGLEFINANCE($C206, ""price"")), """")"),"")</f>
        <v/>
      </c>
      <c r="M206" s="44" t="str">
        <f t="shared" si="3"/>
        <v/>
      </c>
      <c r="N206" s="44" t="str">
        <f>IFERROR(__xludf.DUMMYFUNCTION("IFERROR(IF(OR(ISBLANK($G206), IFERROR(INDEX(GOOGLEFINANCE($C206, ""price"", WORKDAY(INT($B206), 1)), 2, 2), """")=""""), """", IF($D206=""LONG"", (IFERROR(INDEX(GOOGLEFINANCE($C206, ""price"", WORKDAY(INT($B206), 1)), 2, 2), """")-$G206)/$G206, ($G206-IFE"&amp;"RROR(INDEX(GOOGLEFINANCE($C206, ""price"", WORKDAY(INT($B206), 1)), 2, 2), """"))/$G206)), """")"),"")</f>
        <v/>
      </c>
      <c r="O206" s="44" t="str">
        <f>IFERROR(__xludf.DUMMYFUNCTION("IFERROR(IF(OR(ISBLANK($G206), IFERROR(INDEX(GOOGLEFINANCE($C206, ""price"", WORKDAY(INT($B206), 5)), 2, 2), """")=""""), """", IF($D206=""LONG"", (IFERROR(INDEX(GOOGLEFINANCE($C206, ""price"", WORKDAY(INT($B206), 5)), 2, 2), """")-$G206)/$G206, ($G206-IFE"&amp;"RROR(INDEX(GOOGLEFINANCE($C206, ""price"", WORKDAY(INT($B206), 5)), 2, 2), """"))/$G206)), """")"),"")</f>
        <v/>
      </c>
      <c r="P206" s="44" t="str">
        <f>IFERROR(__xludf.DUMMYFUNCTION("IFERROR(IF(OR(ISBLANK($G206), IFERROR(INDEX(GOOGLEFINANCE($C206, ""price"", WORKDAY(INT($B206), 20)), 2, 2), """")=""""), """", IF($D206=""LONG"", (IFERROR(INDEX(GOOGLEFINANCE($C206, ""price"", WORKDAY(INT($B206), 20)), 2, 2), """")-$G206)/$G206, ($G206-I"&amp;"FERROR(INDEX(GOOGLEFINANCE($C206, ""price"", WORKDAY(INT($B206), 20)), 2, 2), """"))/$G206)), """")"),"")</f>
        <v/>
      </c>
      <c r="Q206" s="44"/>
      <c r="R206" s="44"/>
      <c r="S206" s="44"/>
      <c r="T206" s="44"/>
      <c r="U206" s="44"/>
      <c r="V206" s="44"/>
      <c r="W206" s="44"/>
      <c r="X206" s="44"/>
      <c r="Y206" s="44"/>
      <c r="Z206" s="44"/>
    </row>
    <row r="207">
      <c r="A207" s="44"/>
      <c r="B207" s="44"/>
      <c r="C207" s="44"/>
      <c r="D207" s="44"/>
      <c r="E207" s="44"/>
      <c r="F207" s="44"/>
      <c r="G207" s="44"/>
      <c r="H207" s="44"/>
      <c r="I207" s="44"/>
      <c r="J207" s="44"/>
      <c r="K207" s="44"/>
      <c r="L207" s="44" t="str">
        <f>IFERROR(__xludf.DUMMYFUNCTION("IFERROR(IF(ISBLANK($C207), """", GOOGLEFINANCE($C207, ""price"")), """")"),"")</f>
        <v/>
      </c>
      <c r="M207" s="44" t="str">
        <f t="shared" si="3"/>
        <v/>
      </c>
      <c r="N207" s="44" t="str">
        <f>IFERROR(__xludf.DUMMYFUNCTION("IFERROR(IF(OR(ISBLANK($G207), IFERROR(INDEX(GOOGLEFINANCE($C207, ""price"", WORKDAY(INT($B207), 1)), 2, 2), """")=""""), """", IF($D207=""LONG"", (IFERROR(INDEX(GOOGLEFINANCE($C207, ""price"", WORKDAY(INT($B207), 1)), 2, 2), """")-$G207)/$G207, ($G207-IFE"&amp;"RROR(INDEX(GOOGLEFINANCE($C207, ""price"", WORKDAY(INT($B207), 1)), 2, 2), """"))/$G207)), """")"),"")</f>
        <v/>
      </c>
      <c r="O207" s="44" t="str">
        <f>IFERROR(__xludf.DUMMYFUNCTION("IFERROR(IF(OR(ISBLANK($G207), IFERROR(INDEX(GOOGLEFINANCE($C207, ""price"", WORKDAY(INT($B207), 5)), 2, 2), """")=""""), """", IF($D207=""LONG"", (IFERROR(INDEX(GOOGLEFINANCE($C207, ""price"", WORKDAY(INT($B207), 5)), 2, 2), """")-$G207)/$G207, ($G207-IFE"&amp;"RROR(INDEX(GOOGLEFINANCE($C207, ""price"", WORKDAY(INT($B207), 5)), 2, 2), """"))/$G207)), """")"),"")</f>
        <v/>
      </c>
      <c r="P207" s="44" t="str">
        <f>IFERROR(__xludf.DUMMYFUNCTION("IFERROR(IF(OR(ISBLANK($G207), IFERROR(INDEX(GOOGLEFINANCE($C207, ""price"", WORKDAY(INT($B207), 20)), 2, 2), """")=""""), """", IF($D207=""LONG"", (IFERROR(INDEX(GOOGLEFINANCE($C207, ""price"", WORKDAY(INT($B207), 20)), 2, 2), """")-$G207)/$G207, ($G207-I"&amp;"FERROR(INDEX(GOOGLEFINANCE($C207, ""price"", WORKDAY(INT($B207), 20)), 2, 2), """"))/$G207)), """")"),"")</f>
        <v/>
      </c>
      <c r="Q207" s="44"/>
      <c r="R207" s="44"/>
      <c r="S207" s="44"/>
      <c r="T207" s="44"/>
      <c r="U207" s="44"/>
      <c r="V207" s="44"/>
      <c r="W207" s="44"/>
      <c r="X207" s="44"/>
      <c r="Y207" s="44"/>
      <c r="Z207" s="44"/>
    </row>
    <row r="208">
      <c r="A208" s="44"/>
      <c r="B208" s="44"/>
      <c r="C208" s="44"/>
      <c r="D208" s="44"/>
      <c r="E208" s="44"/>
      <c r="F208" s="44"/>
      <c r="G208" s="44"/>
      <c r="H208" s="44"/>
      <c r="I208" s="44"/>
      <c r="J208" s="44"/>
      <c r="K208" s="44"/>
      <c r="L208" s="44" t="str">
        <f>IFERROR(__xludf.DUMMYFUNCTION("IFERROR(IF(ISBLANK($C208), """", GOOGLEFINANCE($C208, ""price"")), """")"),"")</f>
        <v/>
      </c>
      <c r="M208" s="44" t="str">
        <f t="shared" si="3"/>
        <v/>
      </c>
      <c r="N208" s="44" t="str">
        <f>IFERROR(__xludf.DUMMYFUNCTION("IFERROR(IF(OR(ISBLANK($G208), IFERROR(INDEX(GOOGLEFINANCE($C208, ""price"", WORKDAY(INT($B208), 1)), 2, 2), """")=""""), """", IF($D208=""LONG"", (IFERROR(INDEX(GOOGLEFINANCE($C208, ""price"", WORKDAY(INT($B208), 1)), 2, 2), """")-$G208)/$G208, ($G208-IFE"&amp;"RROR(INDEX(GOOGLEFINANCE($C208, ""price"", WORKDAY(INT($B208), 1)), 2, 2), """"))/$G208)), """")"),"")</f>
        <v/>
      </c>
      <c r="O208" s="44" t="str">
        <f>IFERROR(__xludf.DUMMYFUNCTION("IFERROR(IF(OR(ISBLANK($G208), IFERROR(INDEX(GOOGLEFINANCE($C208, ""price"", WORKDAY(INT($B208), 5)), 2, 2), """")=""""), """", IF($D208=""LONG"", (IFERROR(INDEX(GOOGLEFINANCE($C208, ""price"", WORKDAY(INT($B208), 5)), 2, 2), """")-$G208)/$G208, ($G208-IFE"&amp;"RROR(INDEX(GOOGLEFINANCE($C208, ""price"", WORKDAY(INT($B208), 5)), 2, 2), """"))/$G208)), """")"),"")</f>
        <v/>
      </c>
      <c r="P208" s="44" t="str">
        <f>IFERROR(__xludf.DUMMYFUNCTION("IFERROR(IF(OR(ISBLANK($G208), IFERROR(INDEX(GOOGLEFINANCE($C208, ""price"", WORKDAY(INT($B208), 20)), 2, 2), """")=""""), """", IF($D208=""LONG"", (IFERROR(INDEX(GOOGLEFINANCE($C208, ""price"", WORKDAY(INT($B208), 20)), 2, 2), """")-$G208)/$G208, ($G208-I"&amp;"FERROR(INDEX(GOOGLEFINANCE($C208, ""price"", WORKDAY(INT($B208), 20)), 2, 2), """"))/$G208)), """")"),"")</f>
        <v/>
      </c>
      <c r="Q208" s="44"/>
      <c r="R208" s="44"/>
      <c r="S208" s="44"/>
      <c r="T208" s="44"/>
      <c r="U208" s="44"/>
      <c r="V208" s="44"/>
      <c r="W208" s="44"/>
      <c r="X208" s="44"/>
      <c r="Y208" s="44"/>
      <c r="Z208" s="44"/>
    </row>
    <row r="209">
      <c r="A209" s="44"/>
      <c r="B209" s="44"/>
      <c r="C209" s="44"/>
      <c r="D209" s="44"/>
      <c r="E209" s="44"/>
      <c r="F209" s="44"/>
      <c r="G209" s="44"/>
      <c r="H209" s="44"/>
      <c r="I209" s="44"/>
      <c r="J209" s="44"/>
      <c r="K209" s="44"/>
      <c r="L209" s="44" t="str">
        <f>IFERROR(__xludf.DUMMYFUNCTION("IFERROR(IF(ISBLANK($C209), """", GOOGLEFINANCE($C209, ""price"")), """")"),"")</f>
        <v/>
      </c>
      <c r="M209" s="44" t="str">
        <f t="shared" si="3"/>
        <v/>
      </c>
      <c r="N209" s="44" t="str">
        <f>IFERROR(__xludf.DUMMYFUNCTION("IFERROR(IF(OR(ISBLANK($G209), IFERROR(INDEX(GOOGLEFINANCE($C209, ""price"", WORKDAY(INT($B209), 1)), 2, 2), """")=""""), """", IF($D209=""LONG"", (IFERROR(INDEX(GOOGLEFINANCE($C209, ""price"", WORKDAY(INT($B209), 1)), 2, 2), """")-$G209)/$G209, ($G209-IFE"&amp;"RROR(INDEX(GOOGLEFINANCE($C209, ""price"", WORKDAY(INT($B209), 1)), 2, 2), """"))/$G209)), """")"),"")</f>
        <v/>
      </c>
      <c r="O209" s="44" t="str">
        <f>IFERROR(__xludf.DUMMYFUNCTION("IFERROR(IF(OR(ISBLANK($G209), IFERROR(INDEX(GOOGLEFINANCE($C209, ""price"", WORKDAY(INT($B209), 5)), 2, 2), """")=""""), """", IF($D209=""LONG"", (IFERROR(INDEX(GOOGLEFINANCE($C209, ""price"", WORKDAY(INT($B209), 5)), 2, 2), """")-$G209)/$G209, ($G209-IFE"&amp;"RROR(INDEX(GOOGLEFINANCE($C209, ""price"", WORKDAY(INT($B209), 5)), 2, 2), """"))/$G209)), """")"),"")</f>
        <v/>
      </c>
      <c r="P209" s="44" t="str">
        <f>IFERROR(__xludf.DUMMYFUNCTION("IFERROR(IF(OR(ISBLANK($G209), IFERROR(INDEX(GOOGLEFINANCE($C209, ""price"", WORKDAY(INT($B209), 20)), 2, 2), """")=""""), """", IF($D209=""LONG"", (IFERROR(INDEX(GOOGLEFINANCE($C209, ""price"", WORKDAY(INT($B209), 20)), 2, 2), """")-$G209)/$G209, ($G209-I"&amp;"FERROR(INDEX(GOOGLEFINANCE($C209, ""price"", WORKDAY(INT($B209), 20)), 2, 2), """"))/$G209)), """")"),"")</f>
        <v/>
      </c>
      <c r="Q209" s="44"/>
      <c r="R209" s="44"/>
      <c r="S209" s="44"/>
      <c r="T209" s="44"/>
      <c r="U209" s="44"/>
      <c r="V209" s="44"/>
      <c r="W209" s="44"/>
      <c r="X209" s="44"/>
      <c r="Y209" s="44"/>
      <c r="Z209" s="44"/>
    </row>
    <row r="210">
      <c r="A210" s="44"/>
      <c r="B210" s="44"/>
      <c r="C210" s="44"/>
      <c r="D210" s="44"/>
      <c r="E210" s="44"/>
      <c r="F210" s="44"/>
      <c r="G210" s="44"/>
      <c r="H210" s="44"/>
      <c r="I210" s="44"/>
      <c r="J210" s="44"/>
      <c r="K210" s="44"/>
      <c r="L210" s="44" t="str">
        <f>IFERROR(__xludf.DUMMYFUNCTION("IFERROR(IF(ISBLANK($C210), """", GOOGLEFINANCE($C210, ""price"")), """")"),"")</f>
        <v/>
      </c>
      <c r="M210" s="44" t="str">
        <f t="shared" si="3"/>
        <v/>
      </c>
      <c r="N210" s="44" t="str">
        <f>IFERROR(__xludf.DUMMYFUNCTION("IFERROR(IF(OR(ISBLANK($G210), IFERROR(INDEX(GOOGLEFINANCE($C210, ""price"", WORKDAY(INT($B210), 1)), 2, 2), """")=""""), """", IF($D210=""LONG"", (IFERROR(INDEX(GOOGLEFINANCE($C210, ""price"", WORKDAY(INT($B210), 1)), 2, 2), """")-$G210)/$G210, ($G210-IFE"&amp;"RROR(INDEX(GOOGLEFINANCE($C210, ""price"", WORKDAY(INT($B210), 1)), 2, 2), """"))/$G210)), """")"),"")</f>
        <v/>
      </c>
      <c r="O210" s="44" t="str">
        <f>IFERROR(__xludf.DUMMYFUNCTION("IFERROR(IF(OR(ISBLANK($G210), IFERROR(INDEX(GOOGLEFINANCE($C210, ""price"", WORKDAY(INT($B210), 5)), 2, 2), """")=""""), """", IF($D210=""LONG"", (IFERROR(INDEX(GOOGLEFINANCE($C210, ""price"", WORKDAY(INT($B210), 5)), 2, 2), """")-$G210)/$G210, ($G210-IFE"&amp;"RROR(INDEX(GOOGLEFINANCE($C210, ""price"", WORKDAY(INT($B210), 5)), 2, 2), """"))/$G210)), """")"),"")</f>
        <v/>
      </c>
      <c r="P210" s="44" t="str">
        <f>IFERROR(__xludf.DUMMYFUNCTION("IFERROR(IF(OR(ISBLANK($G210), IFERROR(INDEX(GOOGLEFINANCE($C210, ""price"", WORKDAY(INT($B210), 20)), 2, 2), """")=""""), """", IF($D210=""LONG"", (IFERROR(INDEX(GOOGLEFINANCE($C210, ""price"", WORKDAY(INT($B210), 20)), 2, 2), """")-$G210)/$G210, ($G210-I"&amp;"FERROR(INDEX(GOOGLEFINANCE($C210, ""price"", WORKDAY(INT($B210), 20)), 2, 2), """"))/$G210)), """")"),"")</f>
        <v/>
      </c>
      <c r="Q210" s="44"/>
      <c r="R210" s="44"/>
      <c r="S210" s="44"/>
      <c r="T210" s="44"/>
      <c r="U210" s="44"/>
      <c r="V210" s="44"/>
      <c r="W210" s="44"/>
      <c r="X210" s="44"/>
      <c r="Y210" s="44"/>
      <c r="Z210" s="44"/>
    </row>
    <row r="211">
      <c r="A211" s="44"/>
      <c r="B211" s="44"/>
      <c r="C211" s="44"/>
      <c r="D211" s="44"/>
      <c r="E211" s="44"/>
      <c r="F211" s="44"/>
      <c r="G211" s="44"/>
      <c r="H211" s="44"/>
      <c r="I211" s="44"/>
      <c r="J211" s="44"/>
      <c r="K211" s="44"/>
      <c r="L211" s="44" t="str">
        <f>IFERROR(__xludf.DUMMYFUNCTION("IFERROR(IF(ISBLANK($C211), """", GOOGLEFINANCE($C211, ""price"")), """")"),"")</f>
        <v/>
      </c>
      <c r="M211" s="44" t="str">
        <f t="shared" si="3"/>
        <v/>
      </c>
      <c r="N211" s="44" t="str">
        <f>IFERROR(__xludf.DUMMYFUNCTION("IFERROR(IF(OR(ISBLANK($G211), IFERROR(INDEX(GOOGLEFINANCE($C211, ""price"", WORKDAY(INT($B211), 1)), 2, 2), """")=""""), """", IF($D211=""LONG"", (IFERROR(INDEX(GOOGLEFINANCE($C211, ""price"", WORKDAY(INT($B211), 1)), 2, 2), """")-$G211)/$G211, ($G211-IFE"&amp;"RROR(INDEX(GOOGLEFINANCE($C211, ""price"", WORKDAY(INT($B211), 1)), 2, 2), """"))/$G211)), """")"),"")</f>
        <v/>
      </c>
      <c r="O211" s="44" t="str">
        <f>IFERROR(__xludf.DUMMYFUNCTION("IFERROR(IF(OR(ISBLANK($G211), IFERROR(INDEX(GOOGLEFINANCE($C211, ""price"", WORKDAY(INT($B211), 5)), 2, 2), """")=""""), """", IF($D211=""LONG"", (IFERROR(INDEX(GOOGLEFINANCE($C211, ""price"", WORKDAY(INT($B211), 5)), 2, 2), """")-$G211)/$G211, ($G211-IFE"&amp;"RROR(INDEX(GOOGLEFINANCE($C211, ""price"", WORKDAY(INT($B211), 5)), 2, 2), """"))/$G211)), """")"),"")</f>
        <v/>
      </c>
      <c r="P211" s="44" t="str">
        <f>IFERROR(__xludf.DUMMYFUNCTION("IFERROR(IF(OR(ISBLANK($G211), IFERROR(INDEX(GOOGLEFINANCE($C211, ""price"", WORKDAY(INT($B211), 20)), 2, 2), """")=""""), """", IF($D211=""LONG"", (IFERROR(INDEX(GOOGLEFINANCE($C211, ""price"", WORKDAY(INT($B211), 20)), 2, 2), """")-$G211)/$G211, ($G211-I"&amp;"FERROR(INDEX(GOOGLEFINANCE($C211, ""price"", WORKDAY(INT($B211), 20)), 2, 2), """"))/$G211)), """")"),"")</f>
        <v/>
      </c>
      <c r="Q211" s="44"/>
      <c r="R211" s="44"/>
      <c r="S211" s="44"/>
      <c r="T211" s="44"/>
      <c r="U211" s="44"/>
      <c r="V211" s="44"/>
      <c r="W211" s="44"/>
      <c r="X211" s="44"/>
      <c r="Y211" s="44"/>
      <c r="Z211" s="44"/>
    </row>
    <row r="212">
      <c r="A212" s="44"/>
      <c r="B212" s="44"/>
      <c r="C212" s="44"/>
      <c r="D212" s="44"/>
      <c r="E212" s="44"/>
      <c r="F212" s="44"/>
      <c r="G212" s="44"/>
      <c r="H212" s="44"/>
      <c r="I212" s="44"/>
      <c r="J212" s="44"/>
      <c r="K212" s="44"/>
      <c r="L212" s="44" t="str">
        <f>IFERROR(__xludf.DUMMYFUNCTION("IFERROR(IF(ISBLANK($C212), """", GOOGLEFINANCE($C212, ""price"")), """")"),"")</f>
        <v/>
      </c>
      <c r="M212" s="44" t="str">
        <f t="shared" si="3"/>
        <v/>
      </c>
      <c r="N212" s="44" t="str">
        <f>IFERROR(__xludf.DUMMYFUNCTION("IFERROR(IF(OR(ISBLANK($G212), IFERROR(INDEX(GOOGLEFINANCE($C212, ""price"", WORKDAY(INT($B212), 1)), 2, 2), """")=""""), """", IF($D212=""LONG"", (IFERROR(INDEX(GOOGLEFINANCE($C212, ""price"", WORKDAY(INT($B212), 1)), 2, 2), """")-$G212)/$G212, ($G212-IFE"&amp;"RROR(INDEX(GOOGLEFINANCE($C212, ""price"", WORKDAY(INT($B212), 1)), 2, 2), """"))/$G212)), """")"),"")</f>
        <v/>
      </c>
      <c r="O212" s="44" t="str">
        <f>IFERROR(__xludf.DUMMYFUNCTION("IFERROR(IF(OR(ISBLANK($G212), IFERROR(INDEX(GOOGLEFINANCE($C212, ""price"", WORKDAY(INT($B212), 5)), 2, 2), """")=""""), """", IF($D212=""LONG"", (IFERROR(INDEX(GOOGLEFINANCE($C212, ""price"", WORKDAY(INT($B212), 5)), 2, 2), """")-$G212)/$G212, ($G212-IFE"&amp;"RROR(INDEX(GOOGLEFINANCE($C212, ""price"", WORKDAY(INT($B212), 5)), 2, 2), """"))/$G212)), """")"),"")</f>
        <v/>
      </c>
      <c r="P212" s="44" t="str">
        <f>IFERROR(__xludf.DUMMYFUNCTION("IFERROR(IF(OR(ISBLANK($G212), IFERROR(INDEX(GOOGLEFINANCE($C212, ""price"", WORKDAY(INT($B212), 20)), 2, 2), """")=""""), """", IF($D212=""LONG"", (IFERROR(INDEX(GOOGLEFINANCE($C212, ""price"", WORKDAY(INT($B212), 20)), 2, 2), """")-$G212)/$G212, ($G212-I"&amp;"FERROR(INDEX(GOOGLEFINANCE($C212, ""price"", WORKDAY(INT($B212), 20)), 2, 2), """"))/$G212)), """")"),"")</f>
        <v/>
      </c>
      <c r="Q212" s="44"/>
      <c r="R212" s="44"/>
      <c r="S212" s="44"/>
      <c r="T212" s="44"/>
      <c r="U212" s="44"/>
      <c r="V212" s="44"/>
      <c r="W212" s="44"/>
      <c r="X212" s="44"/>
      <c r="Y212" s="44"/>
      <c r="Z212" s="44"/>
    </row>
    <row r="213">
      <c r="A213" s="44"/>
      <c r="B213" s="44"/>
      <c r="C213" s="44"/>
      <c r="D213" s="44"/>
      <c r="E213" s="44"/>
      <c r="F213" s="44"/>
      <c r="G213" s="44"/>
      <c r="H213" s="44"/>
      <c r="I213" s="44"/>
      <c r="J213" s="44"/>
      <c r="K213" s="44"/>
      <c r="L213" s="44" t="str">
        <f>IFERROR(__xludf.DUMMYFUNCTION("IFERROR(IF(ISBLANK($C213), """", GOOGLEFINANCE($C213, ""price"")), """")"),"")</f>
        <v/>
      </c>
      <c r="M213" s="44" t="str">
        <f t="shared" si="3"/>
        <v/>
      </c>
      <c r="N213" s="44" t="str">
        <f>IFERROR(__xludf.DUMMYFUNCTION("IFERROR(IF(OR(ISBLANK($G213), IFERROR(INDEX(GOOGLEFINANCE($C213, ""price"", WORKDAY(INT($B213), 1)), 2, 2), """")=""""), """", IF($D213=""LONG"", (IFERROR(INDEX(GOOGLEFINANCE($C213, ""price"", WORKDAY(INT($B213), 1)), 2, 2), """")-$G213)/$G213, ($G213-IFE"&amp;"RROR(INDEX(GOOGLEFINANCE($C213, ""price"", WORKDAY(INT($B213), 1)), 2, 2), """"))/$G213)), """")"),"")</f>
        <v/>
      </c>
      <c r="O213" s="44" t="str">
        <f>IFERROR(__xludf.DUMMYFUNCTION("IFERROR(IF(OR(ISBLANK($G213), IFERROR(INDEX(GOOGLEFINANCE($C213, ""price"", WORKDAY(INT($B213), 5)), 2, 2), """")=""""), """", IF($D213=""LONG"", (IFERROR(INDEX(GOOGLEFINANCE($C213, ""price"", WORKDAY(INT($B213), 5)), 2, 2), """")-$G213)/$G213, ($G213-IFE"&amp;"RROR(INDEX(GOOGLEFINANCE($C213, ""price"", WORKDAY(INT($B213), 5)), 2, 2), """"))/$G213)), """")"),"")</f>
        <v/>
      </c>
      <c r="P213" s="44" t="str">
        <f>IFERROR(__xludf.DUMMYFUNCTION("IFERROR(IF(OR(ISBLANK($G213), IFERROR(INDEX(GOOGLEFINANCE($C213, ""price"", WORKDAY(INT($B213), 20)), 2, 2), """")=""""), """", IF($D213=""LONG"", (IFERROR(INDEX(GOOGLEFINANCE($C213, ""price"", WORKDAY(INT($B213), 20)), 2, 2), """")-$G213)/$G213, ($G213-I"&amp;"FERROR(INDEX(GOOGLEFINANCE($C213, ""price"", WORKDAY(INT($B213), 20)), 2, 2), """"))/$G213)), """")"),"")</f>
        <v/>
      </c>
      <c r="Q213" s="44"/>
      <c r="R213" s="44"/>
      <c r="S213" s="44"/>
      <c r="T213" s="44"/>
      <c r="U213" s="44"/>
      <c r="V213" s="44"/>
      <c r="W213" s="44"/>
      <c r="X213" s="44"/>
      <c r="Y213" s="44"/>
      <c r="Z213" s="44"/>
    </row>
    <row r="214">
      <c r="A214" s="44"/>
      <c r="B214" s="44"/>
      <c r="C214" s="44"/>
      <c r="D214" s="44"/>
      <c r="E214" s="44"/>
      <c r="F214" s="44"/>
      <c r="G214" s="44"/>
      <c r="H214" s="44"/>
      <c r="I214" s="44"/>
      <c r="J214" s="44"/>
      <c r="K214" s="44"/>
      <c r="L214" s="44" t="str">
        <f>IFERROR(__xludf.DUMMYFUNCTION("IFERROR(IF(ISBLANK($C214), """", GOOGLEFINANCE($C214, ""price"")), """")"),"")</f>
        <v/>
      </c>
      <c r="M214" s="44" t="str">
        <f t="shared" si="3"/>
        <v/>
      </c>
      <c r="N214" s="44" t="str">
        <f>IFERROR(__xludf.DUMMYFUNCTION("IFERROR(IF(OR(ISBLANK($G214), IFERROR(INDEX(GOOGLEFINANCE($C214, ""price"", WORKDAY(INT($B214), 1)), 2, 2), """")=""""), """", IF($D214=""LONG"", (IFERROR(INDEX(GOOGLEFINANCE($C214, ""price"", WORKDAY(INT($B214), 1)), 2, 2), """")-$G214)/$G214, ($G214-IFE"&amp;"RROR(INDEX(GOOGLEFINANCE($C214, ""price"", WORKDAY(INT($B214), 1)), 2, 2), """"))/$G214)), """")"),"")</f>
        <v/>
      </c>
      <c r="O214" s="44" t="str">
        <f>IFERROR(__xludf.DUMMYFUNCTION("IFERROR(IF(OR(ISBLANK($G214), IFERROR(INDEX(GOOGLEFINANCE($C214, ""price"", WORKDAY(INT($B214), 5)), 2, 2), """")=""""), """", IF($D214=""LONG"", (IFERROR(INDEX(GOOGLEFINANCE($C214, ""price"", WORKDAY(INT($B214), 5)), 2, 2), """")-$G214)/$G214, ($G214-IFE"&amp;"RROR(INDEX(GOOGLEFINANCE($C214, ""price"", WORKDAY(INT($B214), 5)), 2, 2), """"))/$G214)), """")"),"")</f>
        <v/>
      </c>
      <c r="P214" s="44" t="str">
        <f>IFERROR(__xludf.DUMMYFUNCTION("IFERROR(IF(OR(ISBLANK($G214), IFERROR(INDEX(GOOGLEFINANCE($C214, ""price"", WORKDAY(INT($B214), 20)), 2, 2), """")=""""), """", IF($D214=""LONG"", (IFERROR(INDEX(GOOGLEFINANCE($C214, ""price"", WORKDAY(INT($B214), 20)), 2, 2), """")-$G214)/$G214, ($G214-I"&amp;"FERROR(INDEX(GOOGLEFINANCE($C214, ""price"", WORKDAY(INT($B214), 20)), 2, 2), """"))/$G214)), """")"),"")</f>
        <v/>
      </c>
      <c r="Q214" s="44"/>
      <c r="R214" s="44"/>
      <c r="S214" s="44"/>
      <c r="T214" s="44"/>
      <c r="U214" s="44"/>
      <c r="V214" s="44"/>
      <c r="W214" s="44"/>
      <c r="X214" s="44"/>
      <c r="Y214" s="44"/>
      <c r="Z214" s="44"/>
    </row>
    <row r="215">
      <c r="A215" s="44"/>
      <c r="B215" s="44"/>
      <c r="C215" s="44"/>
      <c r="D215" s="44"/>
      <c r="E215" s="44"/>
      <c r="F215" s="44"/>
      <c r="G215" s="44"/>
      <c r="H215" s="44"/>
      <c r="I215" s="44"/>
      <c r="J215" s="44"/>
      <c r="K215" s="44"/>
      <c r="L215" s="44" t="str">
        <f>IFERROR(__xludf.DUMMYFUNCTION("IFERROR(IF(ISBLANK($C215), """", GOOGLEFINANCE($C215, ""price"")), """")"),"")</f>
        <v/>
      </c>
      <c r="M215" s="44" t="str">
        <f t="shared" si="3"/>
        <v/>
      </c>
      <c r="N215" s="44" t="str">
        <f>IFERROR(__xludf.DUMMYFUNCTION("IFERROR(IF(OR(ISBLANK($G215), IFERROR(INDEX(GOOGLEFINANCE($C215, ""price"", WORKDAY(INT($B215), 1)), 2, 2), """")=""""), """", IF($D215=""LONG"", (IFERROR(INDEX(GOOGLEFINANCE($C215, ""price"", WORKDAY(INT($B215), 1)), 2, 2), """")-$G215)/$G215, ($G215-IFE"&amp;"RROR(INDEX(GOOGLEFINANCE($C215, ""price"", WORKDAY(INT($B215), 1)), 2, 2), """"))/$G215)), """")"),"")</f>
        <v/>
      </c>
      <c r="O215" s="44" t="str">
        <f>IFERROR(__xludf.DUMMYFUNCTION("IFERROR(IF(OR(ISBLANK($G215), IFERROR(INDEX(GOOGLEFINANCE($C215, ""price"", WORKDAY(INT($B215), 5)), 2, 2), """")=""""), """", IF($D215=""LONG"", (IFERROR(INDEX(GOOGLEFINANCE($C215, ""price"", WORKDAY(INT($B215), 5)), 2, 2), """")-$G215)/$G215, ($G215-IFE"&amp;"RROR(INDEX(GOOGLEFINANCE($C215, ""price"", WORKDAY(INT($B215), 5)), 2, 2), """"))/$G215)), """")"),"")</f>
        <v/>
      </c>
      <c r="P215" s="44" t="str">
        <f>IFERROR(__xludf.DUMMYFUNCTION("IFERROR(IF(OR(ISBLANK($G215), IFERROR(INDEX(GOOGLEFINANCE($C215, ""price"", WORKDAY(INT($B215), 20)), 2, 2), """")=""""), """", IF($D215=""LONG"", (IFERROR(INDEX(GOOGLEFINANCE($C215, ""price"", WORKDAY(INT($B215), 20)), 2, 2), """")-$G215)/$G215, ($G215-I"&amp;"FERROR(INDEX(GOOGLEFINANCE($C215, ""price"", WORKDAY(INT($B215), 20)), 2, 2), """"))/$G215)), """")"),"")</f>
        <v/>
      </c>
      <c r="Q215" s="44"/>
      <c r="R215" s="44"/>
      <c r="S215" s="44"/>
      <c r="T215" s="44"/>
      <c r="U215" s="44"/>
      <c r="V215" s="44"/>
      <c r="W215" s="44"/>
      <c r="X215" s="44"/>
      <c r="Y215" s="44"/>
      <c r="Z215" s="44"/>
    </row>
    <row r="216">
      <c r="A216" s="44"/>
      <c r="B216" s="44"/>
      <c r="C216" s="44"/>
      <c r="D216" s="44"/>
      <c r="E216" s="44"/>
      <c r="F216" s="44"/>
      <c r="G216" s="44"/>
      <c r="H216" s="44"/>
      <c r="I216" s="44"/>
      <c r="J216" s="44"/>
      <c r="K216" s="44"/>
      <c r="L216" s="44" t="str">
        <f>IFERROR(__xludf.DUMMYFUNCTION("IFERROR(IF(ISBLANK($C216), """", GOOGLEFINANCE($C216, ""price"")), """")"),"")</f>
        <v/>
      </c>
      <c r="M216" s="44" t="str">
        <f t="shared" si="3"/>
        <v/>
      </c>
      <c r="N216" s="44" t="str">
        <f>IFERROR(__xludf.DUMMYFUNCTION("IFERROR(IF(OR(ISBLANK($G216), IFERROR(INDEX(GOOGLEFINANCE($C216, ""price"", WORKDAY(INT($B216), 1)), 2, 2), """")=""""), """", IF($D216=""LONG"", (IFERROR(INDEX(GOOGLEFINANCE($C216, ""price"", WORKDAY(INT($B216), 1)), 2, 2), """")-$G216)/$G216, ($G216-IFE"&amp;"RROR(INDEX(GOOGLEFINANCE($C216, ""price"", WORKDAY(INT($B216), 1)), 2, 2), """"))/$G216)), """")"),"")</f>
        <v/>
      </c>
      <c r="O216" s="44" t="str">
        <f>IFERROR(__xludf.DUMMYFUNCTION("IFERROR(IF(OR(ISBLANK($G216), IFERROR(INDEX(GOOGLEFINANCE($C216, ""price"", WORKDAY(INT($B216), 5)), 2, 2), """")=""""), """", IF($D216=""LONG"", (IFERROR(INDEX(GOOGLEFINANCE($C216, ""price"", WORKDAY(INT($B216), 5)), 2, 2), """")-$G216)/$G216, ($G216-IFE"&amp;"RROR(INDEX(GOOGLEFINANCE($C216, ""price"", WORKDAY(INT($B216), 5)), 2, 2), """"))/$G216)), """")"),"")</f>
        <v/>
      </c>
      <c r="P216" s="44" t="str">
        <f>IFERROR(__xludf.DUMMYFUNCTION("IFERROR(IF(OR(ISBLANK($G216), IFERROR(INDEX(GOOGLEFINANCE($C216, ""price"", WORKDAY(INT($B216), 20)), 2, 2), """")=""""), """", IF($D216=""LONG"", (IFERROR(INDEX(GOOGLEFINANCE($C216, ""price"", WORKDAY(INT($B216), 20)), 2, 2), """")-$G216)/$G216, ($G216-I"&amp;"FERROR(INDEX(GOOGLEFINANCE($C216, ""price"", WORKDAY(INT($B216), 20)), 2, 2), """"))/$G216)), """")"),"")</f>
        <v/>
      </c>
      <c r="Q216" s="44"/>
      <c r="R216" s="44"/>
      <c r="S216" s="44"/>
      <c r="T216" s="44"/>
      <c r="U216" s="44"/>
      <c r="V216" s="44"/>
      <c r="W216" s="44"/>
      <c r="X216" s="44"/>
      <c r="Y216" s="44"/>
      <c r="Z216" s="44"/>
    </row>
    <row r="217">
      <c r="A217" s="44"/>
      <c r="B217" s="44"/>
      <c r="C217" s="44"/>
      <c r="D217" s="44"/>
      <c r="E217" s="44"/>
      <c r="F217" s="44"/>
      <c r="G217" s="44"/>
      <c r="H217" s="44"/>
      <c r="I217" s="44"/>
      <c r="J217" s="44"/>
      <c r="K217" s="44"/>
      <c r="L217" s="44" t="str">
        <f>IFERROR(__xludf.DUMMYFUNCTION("IFERROR(IF(ISBLANK($C217), """", GOOGLEFINANCE($C217, ""price"")), """")"),"")</f>
        <v/>
      </c>
      <c r="M217" s="44" t="str">
        <f t="shared" si="3"/>
        <v/>
      </c>
      <c r="N217" s="44" t="str">
        <f>IFERROR(__xludf.DUMMYFUNCTION("IFERROR(IF(OR(ISBLANK($G217), IFERROR(INDEX(GOOGLEFINANCE($C217, ""price"", WORKDAY(INT($B217), 1)), 2, 2), """")=""""), """", IF($D217=""LONG"", (IFERROR(INDEX(GOOGLEFINANCE($C217, ""price"", WORKDAY(INT($B217), 1)), 2, 2), """")-$G217)/$G217, ($G217-IFE"&amp;"RROR(INDEX(GOOGLEFINANCE($C217, ""price"", WORKDAY(INT($B217), 1)), 2, 2), """"))/$G217)), """")"),"")</f>
        <v/>
      </c>
      <c r="O217" s="44" t="str">
        <f>IFERROR(__xludf.DUMMYFUNCTION("IFERROR(IF(OR(ISBLANK($G217), IFERROR(INDEX(GOOGLEFINANCE($C217, ""price"", WORKDAY(INT($B217), 5)), 2, 2), """")=""""), """", IF($D217=""LONG"", (IFERROR(INDEX(GOOGLEFINANCE($C217, ""price"", WORKDAY(INT($B217), 5)), 2, 2), """")-$G217)/$G217, ($G217-IFE"&amp;"RROR(INDEX(GOOGLEFINANCE($C217, ""price"", WORKDAY(INT($B217), 5)), 2, 2), """"))/$G217)), """")"),"")</f>
        <v/>
      </c>
      <c r="P217" s="44" t="str">
        <f>IFERROR(__xludf.DUMMYFUNCTION("IFERROR(IF(OR(ISBLANK($G217), IFERROR(INDEX(GOOGLEFINANCE($C217, ""price"", WORKDAY(INT($B217), 20)), 2, 2), """")=""""), """", IF($D217=""LONG"", (IFERROR(INDEX(GOOGLEFINANCE($C217, ""price"", WORKDAY(INT($B217), 20)), 2, 2), """")-$G217)/$G217, ($G217-I"&amp;"FERROR(INDEX(GOOGLEFINANCE($C217, ""price"", WORKDAY(INT($B217), 20)), 2, 2), """"))/$G217)), """")"),"")</f>
        <v/>
      </c>
      <c r="Q217" s="44"/>
      <c r="R217" s="44"/>
      <c r="S217" s="44"/>
      <c r="T217" s="44"/>
      <c r="U217" s="44"/>
      <c r="V217" s="44"/>
      <c r="W217" s="44"/>
      <c r="X217" s="44"/>
      <c r="Y217" s="44"/>
      <c r="Z217" s="44"/>
    </row>
    <row r="218">
      <c r="A218" s="44"/>
      <c r="B218" s="44"/>
      <c r="C218" s="44"/>
      <c r="D218" s="44"/>
      <c r="E218" s="44"/>
      <c r="F218" s="44"/>
      <c r="G218" s="44"/>
      <c r="H218" s="44"/>
      <c r="I218" s="44"/>
      <c r="J218" s="44"/>
      <c r="K218" s="44"/>
      <c r="L218" s="44" t="str">
        <f>IFERROR(__xludf.DUMMYFUNCTION("IFERROR(IF(ISBLANK($C218), """", GOOGLEFINANCE($C218, ""price"")), """")"),"")</f>
        <v/>
      </c>
      <c r="M218" s="44" t="str">
        <f t="shared" si="3"/>
        <v/>
      </c>
      <c r="N218" s="44" t="str">
        <f>IFERROR(__xludf.DUMMYFUNCTION("IFERROR(IF(OR(ISBLANK($G218), IFERROR(INDEX(GOOGLEFINANCE($C218, ""price"", WORKDAY(INT($B218), 1)), 2, 2), """")=""""), """", IF($D218=""LONG"", (IFERROR(INDEX(GOOGLEFINANCE($C218, ""price"", WORKDAY(INT($B218), 1)), 2, 2), """")-$G218)/$G218, ($G218-IFE"&amp;"RROR(INDEX(GOOGLEFINANCE($C218, ""price"", WORKDAY(INT($B218), 1)), 2, 2), """"))/$G218)), """")"),"")</f>
        <v/>
      </c>
      <c r="O218" s="44" t="str">
        <f>IFERROR(__xludf.DUMMYFUNCTION("IFERROR(IF(OR(ISBLANK($G218), IFERROR(INDEX(GOOGLEFINANCE($C218, ""price"", WORKDAY(INT($B218), 5)), 2, 2), """")=""""), """", IF($D218=""LONG"", (IFERROR(INDEX(GOOGLEFINANCE($C218, ""price"", WORKDAY(INT($B218), 5)), 2, 2), """")-$G218)/$G218, ($G218-IFE"&amp;"RROR(INDEX(GOOGLEFINANCE($C218, ""price"", WORKDAY(INT($B218), 5)), 2, 2), """"))/$G218)), """")"),"")</f>
        <v/>
      </c>
      <c r="P218" s="44" t="str">
        <f>IFERROR(__xludf.DUMMYFUNCTION("IFERROR(IF(OR(ISBLANK($G218), IFERROR(INDEX(GOOGLEFINANCE($C218, ""price"", WORKDAY(INT($B218), 20)), 2, 2), """")=""""), """", IF($D218=""LONG"", (IFERROR(INDEX(GOOGLEFINANCE($C218, ""price"", WORKDAY(INT($B218), 20)), 2, 2), """")-$G218)/$G218, ($G218-I"&amp;"FERROR(INDEX(GOOGLEFINANCE($C218, ""price"", WORKDAY(INT($B218), 20)), 2, 2), """"))/$G218)), """")"),"")</f>
        <v/>
      </c>
      <c r="Q218" s="44"/>
      <c r="R218" s="44"/>
      <c r="S218" s="44"/>
      <c r="T218" s="44"/>
      <c r="U218" s="44"/>
      <c r="V218" s="44"/>
      <c r="W218" s="44"/>
      <c r="X218" s="44"/>
      <c r="Y218" s="44"/>
      <c r="Z218" s="44"/>
    </row>
    <row r="219">
      <c r="A219" s="44"/>
      <c r="B219" s="44"/>
      <c r="C219" s="44"/>
      <c r="D219" s="44"/>
      <c r="E219" s="44"/>
      <c r="F219" s="44"/>
      <c r="G219" s="44"/>
      <c r="H219" s="44"/>
      <c r="I219" s="44"/>
      <c r="J219" s="44"/>
      <c r="K219" s="44"/>
      <c r="L219" s="44" t="str">
        <f>IFERROR(__xludf.DUMMYFUNCTION("IFERROR(IF(ISBLANK($C219), """", GOOGLEFINANCE($C219, ""price"")), """")"),"")</f>
        <v/>
      </c>
      <c r="M219" s="44" t="str">
        <f t="shared" si="3"/>
        <v/>
      </c>
      <c r="N219" s="44" t="str">
        <f>IFERROR(__xludf.DUMMYFUNCTION("IFERROR(IF(OR(ISBLANK($G219), IFERROR(INDEX(GOOGLEFINANCE($C219, ""price"", WORKDAY(INT($B219), 1)), 2, 2), """")=""""), """", IF($D219=""LONG"", (IFERROR(INDEX(GOOGLEFINANCE($C219, ""price"", WORKDAY(INT($B219), 1)), 2, 2), """")-$G219)/$G219, ($G219-IFE"&amp;"RROR(INDEX(GOOGLEFINANCE($C219, ""price"", WORKDAY(INT($B219), 1)), 2, 2), """"))/$G219)), """")"),"")</f>
        <v/>
      </c>
      <c r="O219" s="44" t="str">
        <f>IFERROR(__xludf.DUMMYFUNCTION("IFERROR(IF(OR(ISBLANK($G219), IFERROR(INDEX(GOOGLEFINANCE($C219, ""price"", WORKDAY(INT($B219), 5)), 2, 2), """")=""""), """", IF($D219=""LONG"", (IFERROR(INDEX(GOOGLEFINANCE($C219, ""price"", WORKDAY(INT($B219), 5)), 2, 2), """")-$G219)/$G219, ($G219-IFE"&amp;"RROR(INDEX(GOOGLEFINANCE($C219, ""price"", WORKDAY(INT($B219), 5)), 2, 2), """"))/$G219)), """")"),"")</f>
        <v/>
      </c>
      <c r="P219" s="44" t="str">
        <f>IFERROR(__xludf.DUMMYFUNCTION("IFERROR(IF(OR(ISBLANK($G219), IFERROR(INDEX(GOOGLEFINANCE($C219, ""price"", WORKDAY(INT($B219), 20)), 2, 2), """")=""""), """", IF($D219=""LONG"", (IFERROR(INDEX(GOOGLEFINANCE($C219, ""price"", WORKDAY(INT($B219), 20)), 2, 2), """")-$G219)/$G219, ($G219-I"&amp;"FERROR(INDEX(GOOGLEFINANCE($C219, ""price"", WORKDAY(INT($B219), 20)), 2, 2), """"))/$G219)), """")"),"")</f>
        <v/>
      </c>
      <c r="Q219" s="44"/>
      <c r="R219" s="44"/>
      <c r="S219" s="44"/>
      <c r="T219" s="44"/>
      <c r="U219" s="44"/>
      <c r="V219" s="44"/>
      <c r="W219" s="44"/>
      <c r="X219" s="44"/>
      <c r="Y219" s="44"/>
      <c r="Z219" s="44"/>
    </row>
    <row r="220">
      <c r="A220" s="44"/>
      <c r="B220" s="44"/>
      <c r="C220" s="44"/>
      <c r="D220" s="44"/>
      <c r="E220" s="44"/>
      <c r="F220" s="44"/>
      <c r="G220" s="44"/>
      <c r="H220" s="44"/>
      <c r="I220" s="44"/>
      <c r="J220" s="44"/>
      <c r="K220" s="44"/>
      <c r="L220" s="44" t="str">
        <f>IFERROR(__xludf.DUMMYFUNCTION("IFERROR(IF(ISBLANK($C220), """", GOOGLEFINANCE($C220, ""price"")), """")"),"")</f>
        <v/>
      </c>
      <c r="M220" s="44" t="str">
        <f t="shared" si="3"/>
        <v/>
      </c>
      <c r="N220" s="44" t="str">
        <f>IFERROR(__xludf.DUMMYFUNCTION("IFERROR(IF(OR(ISBLANK($G220), IFERROR(INDEX(GOOGLEFINANCE($C220, ""price"", WORKDAY(INT($B220), 1)), 2, 2), """")=""""), """", IF($D220=""LONG"", (IFERROR(INDEX(GOOGLEFINANCE($C220, ""price"", WORKDAY(INT($B220), 1)), 2, 2), """")-$G220)/$G220, ($G220-IFE"&amp;"RROR(INDEX(GOOGLEFINANCE($C220, ""price"", WORKDAY(INT($B220), 1)), 2, 2), """"))/$G220)), """")"),"")</f>
        <v/>
      </c>
      <c r="O220" s="44" t="str">
        <f>IFERROR(__xludf.DUMMYFUNCTION("IFERROR(IF(OR(ISBLANK($G220), IFERROR(INDEX(GOOGLEFINANCE($C220, ""price"", WORKDAY(INT($B220), 5)), 2, 2), """")=""""), """", IF($D220=""LONG"", (IFERROR(INDEX(GOOGLEFINANCE($C220, ""price"", WORKDAY(INT($B220), 5)), 2, 2), """")-$G220)/$G220, ($G220-IFE"&amp;"RROR(INDEX(GOOGLEFINANCE($C220, ""price"", WORKDAY(INT($B220), 5)), 2, 2), """"))/$G220)), """")"),"")</f>
        <v/>
      </c>
      <c r="P220" s="44" t="str">
        <f>IFERROR(__xludf.DUMMYFUNCTION("IFERROR(IF(OR(ISBLANK($G220), IFERROR(INDEX(GOOGLEFINANCE($C220, ""price"", WORKDAY(INT($B220), 20)), 2, 2), """")=""""), """", IF($D220=""LONG"", (IFERROR(INDEX(GOOGLEFINANCE($C220, ""price"", WORKDAY(INT($B220), 20)), 2, 2), """")-$G220)/$G220, ($G220-I"&amp;"FERROR(INDEX(GOOGLEFINANCE($C220, ""price"", WORKDAY(INT($B220), 20)), 2, 2), """"))/$G220)), """")"),"")</f>
        <v/>
      </c>
      <c r="Q220" s="44"/>
      <c r="R220" s="44"/>
      <c r="S220" s="44"/>
      <c r="T220" s="44"/>
      <c r="U220" s="44"/>
      <c r="V220" s="44"/>
      <c r="W220" s="44"/>
      <c r="X220" s="44"/>
      <c r="Y220" s="44"/>
      <c r="Z220" s="44"/>
    </row>
    <row r="221">
      <c r="A221" s="44"/>
      <c r="B221" s="44"/>
      <c r="C221" s="44"/>
      <c r="D221" s="44"/>
      <c r="E221" s="44"/>
      <c r="F221" s="44"/>
      <c r="G221" s="44"/>
      <c r="H221" s="44"/>
      <c r="I221" s="44"/>
      <c r="J221" s="44"/>
      <c r="K221" s="44"/>
      <c r="L221" s="44" t="str">
        <f>IFERROR(__xludf.DUMMYFUNCTION("IFERROR(IF(ISBLANK($C221), """", GOOGLEFINANCE($C221, ""price"")), """")"),"")</f>
        <v/>
      </c>
      <c r="M221" s="44" t="str">
        <f t="shared" si="3"/>
        <v/>
      </c>
      <c r="N221" s="44" t="str">
        <f>IFERROR(__xludf.DUMMYFUNCTION("IFERROR(IF(OR(ISBLANK($G221), IFERROR(INDEX(GOOGLEFINANCE($C221, ""price"", WORKDAY(INT($B221), 1)), 2, 2), """")=""""), """", IF($D221=""LONG"", (IFERROR(INDEX(GOOGLEFINANCE($C221, ""price"", WORKDAY(INT($B221), 1)), 2, 2), """")-$G221)/$G221, ($G221-IFE"&amp;"RROR(INDEX(GOOGLEFINANCE($C221, ""price"", WORKDAY(INT($B221), 1)), 2, 2), """"))/$G221)), """")"),"")</f>
        <v/>
      </c>
      <c r="O221" s="44" t="str">
        <f>IFERROR(__xludf.DUMMYFUNCTION("IFERROR(IF(OR(ISBLANK($G221), IFERROR(INDEX(GOOGLEFINANCE($C221, ""price"", WORKDAY(INT($B221), 5)), 2, 2), """")=""""), """", IF($D221=""LONG"", (IFERROR(INDEX(GOOGLEFINANCE($C221, ""price"", WORKDAY(INT($B221), 5)), 2, 2), """")-$G221)/$G221, ($G221-IFE"&amp;"RROR(INDEX(GOOGLEFINANCE($C221, ""price"", WORKDAY(INT($B221), 5)), 2, 2), """"))/$G221)), """")"),"")</f>
        <v/>
      </c>
      <c r="P221" s="44" t="str">
        <f>IFERROR(__xludf.DUMMYFUNCTION("IFERROR(IF(OR(ISBLANK($G221), IFERROR(INDEX(GOOGLEFINANCE($C221, ""price"", WORKDAY(INT($B221), 20)), 2, 2), """")=""""), """", IF($D221=""LONG"", (IFERROR(INDEX(GOOGLEFINANCE($C221, ""price"", WORKDAY(INT($B221), 20)), 2, 2), """")-$G221)/$G221, ($G221-I"&amp;"FERROR(INDEX(GOOGLEFINANCE($C221, ""price"", WORKDAY(INT($B221), 20)), 2, 2), """"))/$G221)), """")"),"")</f>
        <v/>
      </c>
      <c r="Q221" s="44"/>
      <c r="R221" s="44"/>
      <c r="S221" s="44"/>
      <c r="T221" s="44"/>
      <c r="U221" s="44"/>
      <c r="V221" s="44"/>
      <c r="W221" s="44"/>
      <c r="X221" s="44"/>
      <c r="Y221" s="44"/>
      <c r="Z221" s="44"/>
    </row>
    <row r="222">
      <c r="A222" s="44"/>
      <c r="B222" s="44"/>
      <c r="C222" s="44"/>
      <c r="D222" s="44"/>
      <c r="E222" s="44"/>
      <c r="F222" s="44"/>
      <c r="G222" s="44"/>
      <c r="H222" s="44"/>
      <c r="I222" s="44"/>
      <c r="J222" s="44"/>
      <c r="K222" s="44"/>
      <c r="L222" s="44" t="str">
        <f>IFERROR(__xludf.DUMMYFUNCTION("IFERROR(IF(ISBLANK($C222), """", GOOGLEFINANCE($C222, ""price"")), """")"),"")</f>
        <v/>
      </c>
      <c r="M222" s="44" t="str">
        <f t="shared" si="3"/>
        <v/>
      </c>
      <c r="N222" s="44" t="str">
        <f>IFERROR(__xludf.DUMMYFUNCTION("IFERROR(IF(OR(ISBLANK($G222), IFERROR(INDEX(GOOGLEFINANCE($C222, ""price"", WORKDAY(INT($B222), 1)), 2, 2), """")=""""), """", IF($D222=""LONG"", (IFERROR(INDEX(GOOGLEFINANCE($C222, ""price"", WORKDAY(INT($B222), 1)), 2, 2), """")-$G222)/$G222, ($G222-IFE"&amp;"RROR(INDEX(GOOGLEFINANCE($C222, ""price"", WORKDAY(INT($B222), 1)), 2, 2), """"))/$G222)), """")"),"")</f>
        <v/>
      </c>
      <c r="O222" s="44" t="str">
        <f>IFERROR(__xludf.DUMMYFUNCTION("IFERROR(IF(OR(ISBLANK($G222), IFERROR(INDEX(GOOGLEFINANCE($C222, ""price"", WORKDAY(INT($B222), 5)), 2, 2), """")=""""), """", IF($D222=""LONG"", (IFERROR(INDEX(GOOGLEFINANCE($C222, ""price"", WORKDAY(INT($B222), 5)), 2, 2), """")-$G222)/$G222, ($G222-IFE"&amp;"RROR(INDEX(GOOGLEFINANCE($C222, ""price"", WORKDAY(INT($B222), 5)), 2, 2), """"))/$G222)), """")"),"")</f>
        <v/>
      </c>
      <c r="P222" s="44" t="str">
        <f>IFERROR(__xludf.DUMMYFUNCTION("IFERROR(IF(OR(ISBLANK($G222), IFERROR(INDEX(GOOGLEFINANCE($C222, ""price"", WORKDAY(INT($B222), 20)), 2, 2), """")=""""), """", IF($D222=""LONG"", (IFERROR(INDEX(GOOGLEFINANCE($C222, ""price"", WORKDAY(INT($B222), 20)), 2, 2), """")-$G222)/$G222, ($G222-I"&amp;"FERROR(INDEX(GOOGLEFINANCE($C222, ""price"", WORKDAY(INT($B222), 20)), 2, 2), """"))/$G222)), """")"),"")</f>
        <v/>
      </c>
      <c r="Q222" s="44"/>
      <c r="R222" s="44"/>
      <c r="S222" s="44"/>
      <c r="T222" s="44"/>
      <c r="U222" s="44"/>
      <c r="V222" s="44"/>
      <c r="W222" s="44"/>
      <c r="X222" s="44"/>
      <c r="Y222" s="44"/>
      <c r="Z222" s="44"/>
    </row>
    <row r="223">
      <c r="A223" s="44"/>
      <c r="B223" s="44"/>
      <c r="C223" s="44"/>
      <c r="D223" s="44"/>
      <c r="E223" s="44"/>
      <c r="F223" s="44"/>
      <c r="G223" s="44"/>
      <c r="H223" s="44"/>
      <c r="I223" s="44"/>
      <c r="J223" s="44"/>
      <c r="K223" s="44"/>
      <c r="L223" s="44" t="str">
        <f>IFERROR(__xludf.DUMMYFUNCTION("IFERROR(IF(ISBLANK($C223), """", GOOGLEFINANCE($C223, ""price"")), """")"),"")</f>
        <v/>
      </c>
      <c r="M223" s="44" t="str">
        <f t="shared" si="3"/>
        <v/>
      </c>
      <c r="N223" s="44" t="str">
        <f>IFERROR(__xludf.DUMMYFUNCTION("IFERROR(IF(OR(ISBLANK($G223), IFERROR(INDEX(GOOGLEFINANCE($C223, ""price"", WORKDAY(INT($B223), 1)), 2, 2), """")=""""), """", IF($D223=""LONG"", (IFERROR(INDEX(GOOGLEFINANCE($C223, ""price"", WORKDAY(INT($B223), 1)), 2, 2), """")-$G223)/$G223, ($G223-IFE"&amp;"RROR(INDEX(GOOGLEFINANCE($C223, ""price"", WORKDAY(INT($B223), 1)), 2, 2), """"))/$G223)), """")"),"")</f>
        <v/>
      </c>
      <c r="O223" s="44" t="str">
        <f>IFERROR(__xludf.DUMMYFUNCTION("IFERROR(IF(OR(ISBLANK($G223), IFERROR(INDEX(GOOGLEFINANCE($C223, ""price"", WORKDAY(INT($B223), 5)), 2, 2), """")=""""), """", IF($D223=""LONG"", (IFERROR(INDEX(GOOGLEFINANCE($C223, ""price"", WORKDAY(INT($B223), 5)), 2, 2), """")-$G223)/$G223, ($G223-IFE"&amp;"RROR(INDEX(GOOGLEFINANCE($C223, ""price"", WORKDAY(INT($B223), 5)), 2, 2), """"))/$G223)), """")"),"")</f>
        <v/>
      </c>
      <c r="P223" s="44" t="str">
        <f>IFERROR(__xludf.DUMMYFUNCTION("IFERROR(IF(OR(ISBLANK($G223), IFERROR(INDEX(GOOGLEFINANCE($C223, ""price"", WORKDAY(INT($B223), 20)), 2, 2), """")=""""), """", IF($D223=""LONG"", (IFERROR(INDEX(GOOGLEFINANCE($C223, ""price"", WORKDAY(INT($B223), 20)), 2, 2), """")-$G223)/$G223, ($G223-I"&amp;"FERROR(INDEX(GOOGLEFINANCE($C223, ""price"", WORKDAY(INT($B223), 20)), 2, 2), """"))/$G223)), """")"),"")</f>
        <v/>
      </c>
      <c r="Q223" s="44"/>
      <c r="R223" s="44"/>
      <c r="S223" s="44"/>
      <c r="T223" s="44"/>
      <c r="U223" s="44"/>
      <c r="V223" s="44"/>
      <c r="W223" s="44"/>
      <c r="X223" s="44"/>
      <c r="Y223" s="44"/>
      <c r="Z223" s="44"/>
    </row>
    <row r="224">
      <c r="A224" s="44"/>
      <c r="B224" s="44"/>
      <c r="C224" s="44"/>
      <c r="D224" s="44"/>
      <c r="E224" s="44"/>
      <c r="F224" s="44"/>
      <c r="G224" s="44"/>
      <c r="H224" s="44"/>
      <c r="I224" s="44"/>
      <c r="J224" s="44"/>
      <c r="K224" s="44"/>
      <c r="L224" s="44" t="str">
        <f>IFERROR(__xludf.DUMMYFUNCTION("IFERROR(IF(ISBLANK($C224), """", GOOGLEFINANCE($C224, ""price"")), """")"),"")</f>
        <v/>
      </c>
      <c r="M224" s="44" t="str">
        <f t="shared" si="3"/>
        <v/>
      </c>
      <c r="N224" s="44" t="str">
        <f>IFERROR(__xludf.DUMMYFUNCTION("IFERROR(IF(OR(ISBLANK($G224), IFERROR(INDEX(GOOGLEFINANCE($C224, ""price"", WORKDAY(INT($B224), 1)), 2, 2), """")=""""), """", IF($D224=""LONG"", (IFERROR(INDEX(GOOGLEFINANCE($C224, ""price"", WORKDAY(INT($B224), 1)), 2, 2), """")-$G224)/$G224, ($G224-IFE"&amp;"RROR(INDEX(GOOGLEFINANCE($C224, ""price"", WORKDAY(INT($B224), 1)), 2, 2), """"))/$G224)), """")"),"")</f>
        <v/>
      </c>
      <c r="O224" s="44" t="str">
        <f>IFERROR(__xludf.DUMMYFUNCTION("IFERROR(IF(OR(ISBLANK($G224), IFERROR(INDEX(GOOGLEFINANCE($C224, ""price"", WORKDAY(INT($B224), 5)), 2, 2), """")=""""), """", IF($D224=""LONG"", (IFERROR(INDEX(GOOGLEFINANCE($C224, ""price"", WORKDAY(INT($B224), 5)), 2, 2), """")-$G224)/$G224, ($G224-IFE"&amp;"RROR(INDEX(GOOGLEFINANCE($C224, ""price"", WORKDAY(INT($B224), 5)), 2, 2), """"))/$G224)), """")"),"")</f>
        <v/>
      </c>
      <c r="P224" s="44" t="str">
        <f>IFERROR(__xludf.DUMMYFUNCTION("IFERROR(IF(OR(ISBLANK($G224), IFERROR(INDEX(GOOGLEFINANCE($C224, ""price"", WORKDAY(INT($B224), 20)), 2, 2), """")=""""), """", IF($D224=""LONG"", (IFERROR(INDEX(GOOGLEFINANCE($C224, ""price"", WORKDAY(INT($B224), 20)), 2, 2), """")-$G224)/$G224, ($G224-I"&amp;"FERROR(INDEX(GOOGLEFINANCE($C224, ""price"", WORKDAY(INT($B224), 20)), 2, 2), """"))/$G224)), """")"),"")</f>
        <v/>
      </c>
      <c r="Q224" s="44"/>
      <c r="R224" s="44"/>
      <c r="S224" s="44"/>
      <c r="T224" s="44"/>
      <c r="U224" s="44"/>
      <c r="V224" s="44"/>
      <c r="W224" s="44"/>
      <c r="X224" s="44"/>
      <c r="Y224" s="44"/>
      <c r="Z224" s="44"/>
    </row>
    <row r="225">
      <c r="A225" s="44"/>
      <c r="B225" s="44"/>
      <c r="C225" s="44"/>
      <c r="D225" s="44"/>
      <c r="E225" s="44"/>
      <c r="F225" s="44"/>
      <c r="G225" s="44"/>
      <c r="H225" s="44"/>
      <c r="I225" s="44"/>
      <c r="J225" s="44"/>
      <c r="K225" s="44"/>
      <c r="L225" s="44" t="str">
        <f>IFERROR(__xludf.DUMMYFUNCTION("IFERROR(IF(ISBLANK($C225), """", GOOGLEFINANCE($C225, ""price"")), """")"),"")</f>
        <v/>
      </c>
      <c r="M225" s="44" t="str">
        <f t="shared" si="3"/>
        <v/>
      </c>
      <c r="N225" s="44" t="str">
        <f>IFERROR(__xludf.DUMMYFUNCTION("IFERROR(IF(OR(ISBLANK($G225), IFERROR(INDEX(GOOGLEFINANCE($C225, ""price"", WORKDAY(INT($B225), 1)), 2, 2), """")=""""), """", IF($D225=""LONG"", (IFERROR(INDEX(GOOGLEFINANCE($C225, ""price"", WORKDAY(INT($B225), 1)), 2, 2), """")-$G225)/$G225, ($G225-IFE"&amp;"RROR(INDEX(GOOGLEFINANCE($C225, ""price"", WORKDAY(INT($B225), 1)), 2, 2), """"))/$G225)), """")"),"")</f>
        <v/>
      </c>
      <c r="O225" s="44" t="str">
        <f>IFERROR(__xludf.DUMMYFUNCTION("IFERROR(IF(OR(ISBLANK($G225), IFERROR(INDEX(GOOGLEFINANCE($C225, ""price"", WORKDAY(INT($B225), 5)), 2, 2), """")=""""), """", IF($D225=""LONG"", (IFERROR(INDEX(GOOGLEFINANCE($C225, ""price"", WORKDAY(INT($B225), 5)), 2, 2), """")-$G225)/$G225, ($G225-IFE"&amp;"RROR(INDEX(GOOGLEFINANCE($C225, ""price"", WORKDAY(INT($B225), 5)), 2, 2), """"))/$G225)), """")"),"")</f>
        <v/>
      </c>
      <c r="P225" s="44" t="str">
        <f>IFERROR(__xludf.DUMMYFUNCTION("IFERROR(IF(OR(ISBLANK($G225), IFERROR(INDEX(GOOGLEFINANCE($C225, ""price"", WORKDAY(INT($B225), 20)), 2, 2), """")=""""), """", IF($D225=""LONG"", (IFERROR(INDEX(GOOGLEFINANCE($C225, ""price"", WORKDAY(INT($B225), 20)), 2, 2), """")-$G225)/$G225, ($G225-I"&amp;"FERROR(INDEX(GOOGLEFINANCE($C225, ""price"", WORKDAY(INT($B225), 20)), 2, 2), """"))/$G225)), """")"),"")</f>
        <v/>
      </c>
      <c r="Q225" s="44"/>
      <c r="R225" s="44"/>
      <c r="S225" s="44"/>
      <c r="T225" s="44"/>
      <c r="U225" s="44"/>
      <c r="V225" s="44"/>
      <c r="W225" s="44"/>
      <c r="X225" s="44"/>
      <c r="Y225" s="44"/>
      <c r="Z225" s="44"/>
    </row>
    <row r="226">
      <c r="A226" s="44"/>
      <c r="B226" s="44"/>
      <c r="C226" s="44"/>
      <c r="D226" s="44"/>
      <c r="E226" s="44"/>
      <c r="F226" s="44"/>
      <c r="G226" s="44"/>
      <c r="H226" s="44"/>
      <c r="I226" s="44"/>
      <c r="J226" s="44"/>
      <c r="K226" s="44"/>
      <c r="L226" s="44" t="str">
        <f>IFERROR(__xludf.DUMMYFUNCTION("IFERROR(IF(ISBLANK($C226), """", GOOGLEFINANCE($C226, ""price"")), """")"),"")</f>
        <v/>
      </c>
      <c r="M226" s="44" t="str">
        <f t="shared" si="3"/>
        <v/>
      </c>
      <c r="N226" s="44" t="str">
        <f>IFERROR(__xludf.DUMMYFUNCTION("IFERROR(IF(OR(ISBLANK($G226), IFERROR(INDEX(GOOGLEFINANCE($C226, ""price"", WORKDAY(INT($B226), 1)), 2, 2), """")=""""), """", IF($D226=""LONG"", (IFERROR(INDEX(GOOGLEFINANCE($C226, ""price"", WORKDAY(INT($B226), 1)), 2, 2), """")-$G226)/$G226, ($G226-IFE"&amp;"RROR(INDEX(GOOGLEFINANCE($C226, ""price"", WORKDAY(INT($B226), 1)), 2, 2), """"))/$G226)), """")"),"")</f>
        <v/>
      </c>
      <c r="O226" s="44" t="str">
        <f>IFERROR(__xludf.DUMMYFUNCTION("IFERROR(IF(OR(ISBLANK($G226), IFERROR(INDEX(GOOGLEFINANCE($C226, ""price"", WORKDAY(INT($B226), 5)), 2, 2), """")=""""), """", IF($D226=""LONG"", (IFERROR(INDEX(GOOGLEFINANCE($C226, ""price"", WORKDAY(INT($B226), 5)), 2, 2), """")-$G226)/$G226, ($G226-IFE"&amp;"RROR(INDEX(GOOGLEFINANCE($C226, ""price"", WORKDAY(INT($B226), 5)), 2, 2), """"))/$G226)), """")"),"")</f>
        <v/>
      </c>
      <c r="P226" s="44" t="str">
        <f>IFERROR(__xludf.DUMMYFUNCTION("IFERROR(IF(OR(ISBLANK($G226), IFERROR(INDEX(GOOGLEFINANCE($C226, ""price"", WORKDAY(INT($B226), 20)), 2, 2), """")=""""), """", IF($D226=""LONG"", (IFERROR(INDEX(GOOGLEFINANCE($C226, ""price"", WORKDAY(INT($B226), 20)), 2, 2), """")-$G226)/$G226, ($G226-I"&amp;"FERROR(INDEX(GOOGLEFINANCE($C226, ""price"", WORKDAY(INT($B226), 20)), 2, 2), """"))/$G226)), """")"),"")</f>
        <v/>
      </c>
      <c r="Q226" s="44"/>
      <c r="R226" s="44"/>
      <c r="S226" s="44"/>
      <c r="T226" s="44"/>
      <c r="U226" s="44"/>
      <c r="V226" s="44"/>
      <c r="W226" s="44"/>
      <c r="X226" s="44"/>
      <c r="Y226" s="44"/>
      <c r="Z226" s="44"/>
    </row>
    <row r="227">
      <c r="A227" s="44"/>
      <c r="B227" s="44"/>
      <c r="C227" s="44"/>
      <c r="D227" s="44"/>
      <c r="E227" s="44"/>
      <c r="F227" s="44"/>
      <c r="G227" s="44"/>
      <c r="H227" s="44"/>
      <c r="I227" s="44"/>
      <c r="J227" s="44"/>
      <c r="K227" s="44"/>
      <c r="L227" s="44" t="str">
        <f>IFERROR(__xludf.DUMMYFUNCTION("IFERROR(IF(ISBLANK($C227), """", GOOGLEFINANCE($C227, ""price"")), """")"),"")</f>
        <v/>
      </c>
      <c r="M227" s="44" t="str">
        <f t="shared" si="3"/>
        <v/>
      </c>
      <c r="N227" s="44" t="str">
        <f>IFERROR(__xludf.DUMMYFUNCTION("IFERROR(IF(OR(ISBLANK($G227), IFERROR(INDEX(GOOGLEFINANCE($C227, ""price"", WORKDAY(INT($B227), 1)), 2, 2), """")=""""), """", IF($D227=""LONG"", (IFERROR(INDEX(GOOGLEFINANCE($C227, ""price"", WORKDAY(INT($B227), 1)), 2, 2), """")-$G227)/$G227, ($G227-IFE"&amp;"RROR(INDEX(GOOGLEFINANCE($C227, ""price"", WORKDAY(INT($B227), 1)), 2, 2), """"))/$G227)), """")"),"")</f>
        <v/>
      </c>
      <c r="O227" s="44" t="str">
        <f>IFERROR(__xludf.DUMMYFUNCTION("IFERROR(IF(OR(ISBLANK($G227), IFERROR(INDEX(GOOGLEFINANCE($C227, ""price"", WORKDAY(INT($B227), 5)), 2, 2), """")=""""), """", IF($D227=""LONG"", (IFERROR(INDEX(GOOGLEFINANCE($C227, ""price"", WORKDAY(INT($B227), 5)), 2, 2), """")-$G227)/$G227, ($G227-IFE"&amp;"RROR(INDEX(GOOGLEFINANCE($C227, ""price"", WORKDAY(INT($B227), 5)), 2, 2), """"))/$G227)), """")"),"")</f>
        <v/>
      </c>
      <c r="P227" s="44" t="str">
        <f>IFERROR(__xludf.DUMMYFUNCTION("IFERROR(IF(OR(ISBLANK($G227), IFERROR(INDEX(GOOGLEFINANCE($C227, ""price"", WORKDAY(INT($B227), 20)), 2, 2), """")=""""), """", IF($D227=""LONG"", (IFERROR(INDEX(GOOGLEFINANCE($C227, ""price"", WORKDAY(INT($B227), 20)), 2, 2), """")-$G227)/$G227, ($G227-I"&amp;"FERROR(INDEX(GOOGLEFINANCE($C227, ""price"", WORKDAY(INT($B227), 20)), 2, 2), """"))/$G227)), """")"),"")</f>
        <v/>
      </c>
      <c r="Q227" s="44"/>
      <c r="R227" s="44"/>
      <c r="S227" s="44"/>
      <c r="T227" s="44"/>
      <c r="U227" s="44"/>
      <c r="V227" s="44"/>
      <c r="W227" s="44"/>
      <c r="X227" s="44"/>
      <c r="Y227" s="44"/>
      <c r="Z227" s="44"/>
    </row>
    <row r="228">
      <c r="A228" s="44"/>
      <c r="B228" s="44"/>
      <c r="C228" s="44"/>
      <c r="D228" s="44"/>
      <c r="E228" s="44"/>
      <c r="F228" s="44"/>
      <c r="G228" s="44"/>
      <c r="H228" s="44"/>
      <c r="I228" s="44"/>
      <c r="J228" s="44"/>
      <c r="K228" s="44"/>
      <c r="L228" s="44" t="str">
        <f>IFERROR(__xludf.DUMMYFUNCTION("IFERROR(IF(ISBLANK($C228), """", GOOGLEFINANCE($C228, ""price"")), """")"),"")</f>
        <v/>
      </c>
      <c r="M228" s="44" t="str">
        <f t="shared" si="3"/>
        <v/>
      </c>
      <c r="N228" s="44" t="str">
        <f>IFERROR(__xludf.DUMMYFUNCTION("IFERROR(IF(OR(ISBLANK($G228), IFERROR(INDEX(GOOGLEFINANCE($C228, ""price"", WORKDAY(INT($B228), 1)), 2, 2), """")=""""), """", IF($D228=""LONG"", (IFERROR(INDEX(GOOGLEFINANCE($C228, ""price"", WORKDAY(INT($B228), 1)), 2, 2), """")-$G228)/$G228, ($G228-IFE"&amp;"RROR(INDEX(GOOGLEFINANCE($C228, ""price"", WORKDAY(INT($B228), 1)), 2, 2), """"))/$G228)), """")"),"")</f>
        <v/>
      </c>
      <c r="O228" s="44" t="str">
        <f>IFERROR(__xludf.DUMMYFUNCTION("IFERROR(IF(OR(ISBLANK($G228), IFERROR(INDEX(GOOGLEFINANCE($C228, ""price"", WORKDAY(INT($B228), 5)), 2, 2), """")=""""), """", IF($D228=""LONG"", (IFERROR(INDEX(GOOGLEFINANCE($C228, ""price"", WORKDAY(INT($B228), 5)), 2, 2), """")-$G228)/$G228, ($G228-IFE"&amp;"RROR(INDEX(GOOGLEFINANCE($C228, ""price"", WORKDAY(INT($B228), 5)), 2, 2), """"))/$G228)), """")"),"")</f>
        <v/>
      </c>
      <c r="P228" s="44" t="str">
        <f>IFERROR(__xludf.DUMMYFUNCTION("IFERROR(IF(OR(ISBLANK($G228), IFERROR(INDEX(GOOGLEFINANCE($C228, ""price"", WORKDAY(INT($B228), 20)), 2, 2), """")=""""), """", IF($D228=""LONG"", (IFERROR(INDEX(GOOGLEFINANCE($C228, ""price"", WORKDAY(INT($B228), 20)), 2, 2), """")-$G228)/$G228, ($G228-I"&amp;"FERROR(INDEX(GOOGLEFINANCE($C228, ""price"", WORKDAY(INT($B228), 20)), 2, 2), """"))/$G228)), """")"),"")</f>
        <v/>
      </c>
      <c r="Q228" s="44"/>
      <c r="R228" s="44"/>
      <c r="S228" s="44"/>
      <c r="T228" s="44"/>
      <c r="U228" s="44"/>
      <c r="V228" s="44"/>
      <c r="W228" s="44"/>
      <c r="X228" s="44"/>
      <c r="Y228" s="44"/>
      <c r="Z228" s="44"/>
    </row>
    <row r="229">
      <c r="A229" s="44"/>
      <c r="B229" s="44"/>
      <c r="C229" s="44"/>
      <c r="D229" s="44"/>
      <c r="E229" s="44"/>
      <c r="F229" s="44"/>
      <c r="G229" s="44"/>
      <c r="H229" s="44"/>
      <c r="I229" s="44"/>
      <c r="J229" s="44"/>
      <c r="K229" s="44"/>
      <c r="L229" s="44" t="str">
        <f>IFERROR(__xludf.DUMMYFUNCTION("IFERROR(IF(ISBLANK($C229), """", GOOGLEFINANCE($C229, ""price"")), """")"),"")</f>
        <v/>
      </c>
      <c r="M229" s="44" t="str">
        <f t="shared" si="3"/>
        <v/>
      </c>
      <c r="N229" s="44" t="str">
        <f>IFERROR(__xludf.DUMMYFUNCTION("IFERROR(IF(OR(ISBLANK($G229), IFERROR(INDEX(GOOGLEFINANCE($C229, ""price"", WORKDAY(INT($B229), 1)), 2, 2), """")=""""), """", IF($D229=""LONG"", (IFERROR(INDEX(GOOGLEFINANCE($C229, ""price"", WORKDAY(INT($B229), 1)), 2, 2), """")-$G229)/$G229, ($G229-IFE"&amp;"RROR(INDEX(GOOGLEFINANCE($C229, ""price"", WORKDAY(INT($B229), 1)), 2, 2), """"))/$G229)), """")"),"")</f>
        <v/>
      </c>
      <c r="O229" s="44" t="str">
        <f>IFERROR(__xludf.DUMMYFUNCTION("IFERROR(IF(OR(ISBLANK($G229), IFERROR(INDEX(GOOGLEFINANCE($C229, ""price"", WORKDAY(INT($B229), 5)), 2, 2), """")=""""), """", IF($D229=""LONG"", (IFERROR(INDEX(GOOGLEFINANCE($C229, ""price"", WORKDAY(INT($B229), 5)), 2, 2), """")-$G229)/$G229, ($G229-IFE"&amp;"RROR(INDEX(GOOGLEFINANCE($C229, ""price"", WORKDAY(INT($B229), 5)), 2, 2), """"))/$G229)), """")"),"")</f>
        <v/>
      </c>
      <c r="P229" s="44" t="str">
        <f>IFERROR(__xludf.DUMMYFUNCTION("IFERROR(IF(OR(ISBLANK($G229), IFERROR(INDEX(GOOGLEFINANCE($C229, ""price"", WORKDAY(INT($B229), 20)), 2, 2), """")=""""), """", IF($D229=""LONG"", (IFERROR(INDEX(GOOGLEFINANCE($C229, ""price"", WORKDAY(INT($B229), 20)), 2, 2), """")-$G229)/$G229, ($G229-I"&amp;"FERROR(INDEX(GOOGLEFINANCE($C229, ""price"", WORKDAY(INT($B229), 20)), 2, 2), """"))/$G229)), """")"),"")</f>
        <v/>
      </c>
      <c r="Q229" s="44"/>
      <c r="R229" s="44"/>
      <c r="S229" s="44"/>
      <c r="T229" s="44"/>
      <c r="U229" s="44"/>
      <c r="V229" s="44"/>
      <c r="W229" s="44"/>
      <c r="X229" s="44"/>
      <c r="Y229" s="44"/>
      <c r="Z229" s="44"/>
    </row>
    <row r="230">
      <c r="A230" s="44"/>
      <c r="B230" s="44"/>
      <c r="C230" s="44"/>
      <c r="D230" s="44"/>
      <c r="E230" s="44"/>
      <c r="F230" s="44"/>
      <c r="G230" s="44"/>
      <c r="H230" s="44"/>
      <c r="I230" s="44"/>
      <c r="J230" s="44"/>
      <c r="K230" s="44"/>
      <c r="L230" s="44" t="str">
        <f>IFERROR(__xludf.DUMMYFUNCTION("IFERROR(IF(ISBLANK($C230), """", GOOGLEFINANCE($C230, ""price"")), """")"),"")</f>
        <v/>
      </c>
      <c r="M230" s="44" t="str">
        <f t="shared" si="3"/>
        <v/>
      </c>
      <c r="N230" s="44" t="str">
        <f>IFERROR(__xludf.DUMMYFUNCTION("IFERROR(IF(OR(ISBLANK($G230), IFERROR(INDEX(GOOGLEFINANCE($C230, ""price"", WORKDAY(INT($B230), 1)), 2, 2), """")=""""), """", IF($D230=""LONG"", (IFERROR(INDEX(GOOGLEFINANCE($C230, ""price"", WORKDAY(INT($B230), 1)), 2, 2), """")-$G230)/$G230, ($G230-IFE"&amp;"RROR(INDEX(GOOGLEFINANCE($C230, ""price"", WORKDAY(INT($B230), 1)), 2, 2), """"))/$G230)), """")"),"")</f>
        <v/>
      </c>
      <c r="O230" s="44" t="str">
        <f>IFERROR(__xludf.DUMMYFUNCTION("IFERROR(IF(OR(ISBLANK($G230), IFERROR(INDEX(GOOGLEFINANCE($C230, ""price"", WORKDAY(INT($B230), 5)), 2, 2), """")=""""), """", IF($D230=""LONG"", (IFERROR(INDEX(GOOGLEFINANCE($C230, ""price"", WORKDAY(INT($B230), 5)), 2, 2), """")-$G230)/$G230, ($G230-IFE"&amp;"RROR(INDEX(GOOGLEFINANCE($C230, ""price"", WORKDAY(INT($B230), 5)), 2, 2), """"))/$G230)), """")"),"")</f>
        <v/>
      </c>
      <c r="P230" s="44" t="str">
        <f>IFERROR(__xludf.DUMMYFUNCTION("IFERROR(IF(OR(ISBLANK($G230), IFERROR(INDEX(GOOGLEFINANCE($C230, ""price"", WORKDAY(INT($B230), 20)), 2, 2), """")=""""), """", IF($D230=""LONG"", (IFERROR(INDEX(GOOGLEFINANCE($C230, ""price"", WORKDAY(INT($B230), 20)), 2, 2), """")-$G230)/$G230, ($G230-I"&amp;"FERROR(INDEX(GOOGLEFINANCE($C230, ""price"", WORKDAY(INT($B230), 20)), 2, 2), """"))/$G230)), """")"),"")</f>
        <v/>
      </c>
      <c r="Q230" s="44"/>
      <c r="R230" s="44"/>
      <c r="S230" s="44"/>
      <c r="T230" s="44"/>
      <c r="U230" s="44"/>
      <c r="V230" s="44"/>
      <c r="W230" s="44"/>
      <c r="X230" s="44"/>
      <c r="Y230" s="44"/>
      <c r="Z230" s="44"/>
    </row>
    <row r="231">
      <c r="A231" s="44"/>
      <c r="B231" s="44"/>
      <c r="C231" s="44"/>
      <c r="D231" s="44"/>
      <c r="E231" s="44"/>
      <c r="F231" s="44"/>
      <c r="G231" s="44"/>
      <c r="H231" s="44"/>
      <c r="I231" s="44"/>
      <c r="J231" s="44"/>
      <c r="K231" s="44"/>
      <c r="L231" s="44" t="str">
        <f>IFERROR(__xludf.DUMMYFUNCTION("IFERROR(IF(ISBLANK($C231), """", GOOGLEFINANCE($C231, ""price"")), """")"),"")</f>
        <v/>
      </c>
      <c r="M231" s="44" t="str">
        <f t="shared" si="3"/>
        <v/>
      </c>
      <c r="N231" s="44" t="str">
        <f>IFERROR(__xludf.DUMMYFUNCTION("IFERROR(IF(OR(ISBLANK($G231), IFERROR(INDEX(GOOGLEFINANCE($C231, ""price"", WORKDAY(INT($B231), 1)), 2, 2), """")=""""), """", IF($D231=""LONG"", (IFERROR(INDEX(GOOGLEFINANCE($C231, ""price"", WORKDAY(INT($B231), 1)), 2, 2), """")-$G231)/$G231, ($G231-IFE"&amp;"RROR(INDEX(GOOGLEFINANCE($C231, ""price"", WORKDAY(INT($B231), 1)), 2, 2), """"))/$G231)), """")"),"")</f>
        <v/>
      </c>
      <c r="O231" s="44" t="str">
        <f>IFERROR(__xludf.DUMMYFUNCTION("IFERROR(IF(OR(ISBLANK($G231), IFERROR(INDEX(GOOGLEFINANCE($C231, ""price"", WORKDAY(INT($B231), 5)), 2, 2), """")=""""), """", IF($D231=""LONG"", (IFERROR(INDEX(GOOGLEFINANCE($C231, ""price"", WORKDAY(INT($B231), 5)), 2, 2), """")-$G231)/$G231, ($G231-IFE"&amp;"RROR(INDEX(GOOGLEFINANCE($C231, ""price"", WORKDAY(INT($B231), 5)), 2, 2), """"))/$G231)), """")"),"")</f>
        <v/>
      </c>
      <c r="P231" s="44" t="str">
        <f>IFERROR(__xludf.DUMMYFUNCTION("IFERROR(IF(OR(ISBLANK($G231), IFERROR(INDEX(GOOGLEFINANCE($C231, ""price"", WORKDAY(INT($B231), 20)), 2, 2), """")=""""), """", IF($D231=""LONG"", (IFERROR(INDEX(GOOGLEFINANCE($C231, ""price"", WORKDAY(INT($B231), 20)), 2, 2), """")-$G231)/$G231, ($G231-I"&amp;"FERROR(INDEX(GOOGLEFINANCE($C231, ""price"", WORKDAY(INT($B231), 20)), 2, 2), """"))/$G231)), """")"),"")</f>
        <v/>
      </c>
      <c r="Q231" s="44"/>
      <c r="R231" s="44"/>
      <c r="S231" s="44"/>
      <c r="T231" s="44"/>
      <c r="U231" s="44"/>
      <c r="V231" s="44"/>
      <c r="W231" s="44"/>
      <c r="X231" s="44"/>
      <c r="Y231" s="44"/>
      <c r="Z231" s="44"/>
    </row>
    <row r="232">
      <c r="A232" s="44"/>
      <c r="B232" s="44"/>
      <c r="C232" s="44"/>
      <c r="D232" s="44"/>
      <c r="E232" s="44"/>
      <c r="F232" s="44"/>
      <c r="G232" s="44"/>
      <c r="H232" s="44"/>
      <c r="I232" s="44"/>
      <c r="J232" s="44"/>
      <c r="K232" s="44"/>
      <c r="L232" s="44" t="str">
        <f>IFERROR(__xludf.DUMMYFUNCTION("IFERROR(IF(ISBLANK($C232), """", GOOGLEFINANCE($C232, ""price"")), """")"),"")</f>
        <v/>
      </c>
      <c r="M232" s="44" t="str">
        <f t="shared" si="3"/>
        <v/>
      </c>
      <c r="N232" s="44" t="str">
        <f>IFERROR(__xludf.DUMMYFUNCTION("IFERROR(IF(OR(ISBLANK($G232), IFERROR(INDEX(GOOGLEFINANCE($C232, ""price"", WORKDAY(INT($B232), 1)), 2, 2), """")=""""), """", IF($D232=""LONG"", (IFERROR(INDEX(GOOGLEFINANCE($C232, ""price"", WORKDAY(INT($B232), 1)), 2, 2), """")-$G232)/$G232, ($G232-IFE"&amp;"RROR(INDEX(GOOGLEFINANCE($C232, ""price"", WORKDAY(INT($B232), 1)), 2, 2), """"))/$G232)), """")"),"")</f>
        <v/>
      </c>
      <c r="O232" s="44" t="str">
        <f>IFERROR(__xludf.DUMMYFUNCTION("IFERROR(IF(OR(ISBLANK($G232), IFERROR(INDEX(GOOGLEFINANCE($C232, ""price"", WORKDAY(INT($B232), 5)), 2, 2), """")=""""), """", IF($D232=""LONG"", (IFERROR(INDEX(GOOGLEFINANCE($C232, ""price"", WORKDAY(INT($B232), 5)), 2, 2), """")-$G232)/$G232, ($G232-IFE"&amp;"RROR(INDEX(GOOGLEFINANCE($C232, ""price"", WORKDAY(INT($B232), 5)), 2, 2), """"))/$G232)), """")"),"")</f>
        <v/>
      </c>
      <c r="P232" s="44" t="str">
        <f>IFERROR(__xludf.DUMMYFUNCTION("IFERROR(IF(OR(ISBLANK($G232), IFERROR(INDEX(GOOGLEFINANCE($C232, ""price"", WORKDAY(INT($B232), 20)), 2, 2), """")=""""), """", IF($D232=""LONG"", (IFERROR(INDEX(GOOGLEFINANCE($C232, ""price"", WORKDAY(INT($B232), 20)), 2, 2), """")-$G232)/$G232, ($G232-I"&amp;"FERROR(INDEX(GOOGLEFINANCE($C232, ""price"", WORKDAY(INT($B232), 20)), 2, 2), """"))/$G232)), """")"),"")</f>
        <v/>
      </c>
      <c r="Q232" s="44"/>
      <c r="R232" s="44"/>
      <c r="S232" s="44"/>
      <c r="T232" s="44"/>
      <c r="U232" s="44"/>
      <c r="V232" s="44"/>
      <c r="W232" s="44"/>
      <c r="X232" s="44"/>
      <c r="Y232" s="44"/>
      <c r="Z232" s="44"/>
    </row>
    <row r="233">
      <c r="A233" s="44"/>
      <c r="B233" s="44"/>
      <c r="C233" s="44"/>
      <c r="D233" s="44"/>
      <c r="E233" s="44"/>
      <c r="F233" s="44"/>
      <c r="G233" s="44"/>
      <c r="H233" s="44"/>
      <c r="I233" s="44"/>
      <c r="J233" s="44"/>
      <c r="K233" s="44"/>
      <c r="L233" s="44" t="str">
        <f>IFERROR(__xludf.DUMMYFUNCTION("IFERROR(IF(ISBLANK($C233), """", GOOGLEFINANCE($C233, ""price"")), """")"),"")</f>
        <v/>
      </c>
      <c r="M233" s="44" t="str">
        <f t="shared" si="3"/>
        <v/>
      </c>
      <c r="N233" s="44" t="str">
        <f>IFERROR(__xludf.DUMMYFUNCTION("IFERROR(IF(OR(ISBLANK($G233), IFERROR(INDEX(GOOGLEFINANCE($C233, ""price"", WORKDAY(INT($B233), 1)), 2, 2), """")=""""), """", IF($D233=""LONG"", (IFERROR(INDEX(GOOGLEFINANCE($C233, ""price"", WORKDAY(INT($B233), 1)), 2, 2), """")-$G233)/$G233, ($G233-IFE"&amp;"RROR(INDEX(GOOGLEFINANCE($C233, ""price"", WORKDAY(INT($B233), 1)), 2, 2), """"))/$G233)), """")"),"")</f>
        <v/>
      </c>
      <c r="O233" s="44" t="str">
        <f>IFERROR(__xludf.DUMMYFUNCTION("IFERROR(IF(OR(ISBLANK($G233), IFERROR(INDEX(GOOGLEFINANCE($C233, ""price"", WORKDAY(INT($B233), 5)), 2, 2), """")=""""), """", IF($D233=""LONG"", (IFERROR(INDEX(GOOGLEFINANCE($C233, ""price"", WORKDAY(INT($B233), 5)), 2, 2), """")-$G233)/$G233, ($G233-IFE"&amp;"RROR(INDEX(GOOGLEFINANCE($C233, ""price"", WORKDAY(INT($B233), 5)), 2, 2), """"))/$G233)), """")"),"")</f>
        <v/>
      </c>
      <c r="P233" s="44" t="str">
        <f>IFERROR(__xludf.DUMMYFUNCTION("IFERROR(IF(OR(ISBLANK($G233), IFERROR(INDEX(GOOGLEFINANCE($C233, ""price"", WORKDAY(INT($B233), 20)), 2, 2), """")=""""), """", IF($D233=""LONG"", (IFERROR(INDEX(GOOGLEFINANCE($C233, ""price"", WORKDAY(INT($B233), 20)), 2, 2), """")-$G233)/$G233, ($G233-I"&amp;"FERROR(INDEX(GOOGLEFINANCE($C233, ""price"", WORKDAY(INT($B233), 20)), 2, 2), """"))/$G233)), """")"),"")</f>
        <v/>
      </c>
      <c r="Q233" s="44"/>
      <c r="R233" s="44"/>
      <c r="S233" s="44"/>
      <c r="T233" s="44"/>
      <c r="U233" s="44"/>
      <c r="V233" s="44"/>
      <c r="W233" s="44"/>
      <c r="X233" s="44"/>
      <c r="Y233" s="44"/>
      <c r="Z233" s="44"/>
    </row>
    <row r="234">
      <c r="A234" s="44"/>
      <c r="B234" s="44"/>
      <c r="C234" s="44"/>
      <c r="D234" s="44"/>
      <c r="E234" s="44"/>
      <c r="F234" s="44"/>
      <c r="G234" s="44"/>
      <c r="H234" s="44"/>
      <c r="I234" s="44"/>
      <c r="J234" s="44"/>
      <c r="K234" s="44"/>
      <c r="L234" s="44" t="str">
        <f>IFERROR(__xludf.DUMMYFUNCTION("IFERROR(IF(ISBLANK($C234), """", GOOGLEFINANCE($C234, ""price"")), """")"),"")</f>
        <v/>
      </c>
      <c r="M234" s="44" t="str">
        <f t="shared" si="3"/>
        <v/>
      </c>
      <c r="N234" s="44" t="str">
        <f>IFERROR(__xludf.DUMMYFUNCTION("IFERROR(IF(OR(ISBLANK($G234), IFERROR(INDEX(GOOGLEFINANCE($C234, ""price"", WORKDAY(INT($B234), 1)), 2, 2), """")=""""), """", IF($D234=""LONG"", (IFERROR(INDEX(GOOGLEFINANCE($C234, ""price"", WORKDAY(INT($B234), 1)), 2, 2), """")-$G234)/$G234, ($G234-IFE"&amp;"RROR(INDEX(GOOGLEFINANCE($C234, ""price"", WORKDAY(INT($B234), 1)), 2, 2), """"))/$G234)), """")"),"")</f>
        <v/>
      </c>
      <c r="O234" s="44" t="str">
        <f>IFERROR(__xludf.DUMMYFUNCTION("IFERROR(IF(OR(ISBLANK($G234), IFERROR(INDEX(GOOGLEFINANCE($C234, ""price"", WORKDAY(INT($B234), 5)), 2, 2), """")=""""), """", IF($D234=""LONG"", (IFERROR(INDEX(GOOGLEFINANCE($C234, ""price"", WORKDAY(INT($B234), 5)), 2, 2), """")-$G234)/$G234, ($G234-IFE"&amp;"RROR(INDEX(GOOGLEFINANCE($C234, ""price"", WORKDAY(INT($B234), 5)), 2, 2), """"))/$G234)), """")"),"")</f>
        <v/>
      </c>
      <c r="P234" s="44" t="str">
        <f>IFERROR(__xludf.DUMMYFUNCTION("IFERROR(IF(OR(ISBLANK($G234), IFERROR(INDEX(GOOGLEFINANCE($C234, ""price"", WORKDAY(INT($B234), 20)), 2, 2), """")=""""), """", IF($D234=""LONG"", (IFERROR(INDEX(GOOGLEFINANCE($C234, ""price"", WORKDAY(INT($B234), 20)), 2, 2), """")-$G234)/$G234, ($G234-I"&amp;"FERROR(INDEX(GOOGLEFINANCE($C234, ""price"", WORKDAY(INT($B234), 20)), 2, 2), """"))/$G234)), """")"),"")</f>
        <v/>
      </c>
      <c r="Q234" s="44"/>
      <c r="R234" s="44"/>
      <c r="S234" s="44"/>
      <c r="T234" s="44"/>
      <c r="U234" s="44"/>
      <c r="V234" s="44"/>
      <c r="W234" s="44"/>
      <c r="X234" s="44"/>
      <c r="Y234" s="44"/>
      <c r="Z234" s="44"/>
    </row>
    <row r="235">
      <c r="A235" s="44"/>
      <c r="B235" s="44"/>
      <c r="C235" s="44"/>
      <c r="D235" s="44"/>
      <c r="E235" s="44"/>
      <c r="F235" s="44"/>
      <c r="G235" s="44"/>
      <c r="H235" s="44"/>
      <c r="I235" s="44"/>
      <c r="J235" s="44"/>
      <c r="K235" s="44"/>
      <c r="L235" s="44" t="str">
        <f>IFERROR(__xludf.DUMMYFUNCTION("IFERROR(IF(ISBLANK($C235), """", GOOGLEFINANCE($C235, ""price"")), """")"),"")</f>
        <v/>
      </c>
      <c r="M235" s="44" t="str">
        <f t="shared" si="3"/>
        <v/>
      </c>
      <c r="N235" s="44" t="str">
        <f>IFERROR(__xludf.DUMMYFUNCTION("IFERROR(IF(OR(ISBLANK($G235), IFERROR(INDEX(GOOGLEFINANCE($C235, ""price"", WORKDAY(INT($B235), 1)), 2, 2), """")=""""), """", IF($D235=""LONG"", (IFERROR(INDEX(GOOGLEFINANCE($C235, ""price"", WORKDAY(INT($B235), 1)), 2, 2), """")-$G235)/$G235, ($G235-IFE"&amp;"RROR(INDEX(GOOGLEFINANCE($C235, ""price"", WORKDAY(INT($B235), 1)), 2, 2), """"))/$G235)), """")"),"")</f>
        <v/>
      </c>
      <c r="O235" s="44" t="str">
        <f>IFERROR(__xludf.DUMMYFUNCTION("IFERROR(IF(OR(ISBLANK($G235), IFERROR(INDEX(GOOGLEFINANCE($C235, ""price"", WORKDAY(INT($B235), 5)), 2, 2), """")=""""), """", IF($D235=""LONG"", (IFERROR(INDEX(GOOGLEFINANCE($C235, ""price"", WORKDAY(INT($B235), 5)), 2, 2), """")-$G235)/$G235, ($G235-IFE"&amp;"RROR(INDEX(GOOGLEFINANCE($C235, ""price"", WORKDAY(INT($B235), 5)), 2, 2), """"))/$G235)), """")"),"")</f>
        <v/>
      </c>
      <c r="P235" s="44" t="str">
        <f>IFERROR(__xludf.DUMMYFUNCTION("IFERROR(IF(OR(ISBLANK($G235), IFERROR(INDEX(GOOGLEFINANCE($C235, ""price"", WORKDAY(INT($B235), 20)), 2, 2), """")=""""), """", IF($D235=""LONG"", (IFERROR(INDEX(GOOGLEFINANCE($C235, ""price"", WORKDAY(INT($B235), 20)), 2, 2), """")-$G235)/$G235, ($G235-I"&amp;"FERROR(INDEX(GOOGLEFINANCE($C235, ""price"", WORKDAY(INT($B235), 20)), 2, 2), """"))/$G235)), """")"),"")</f>
        <v/>
      </c>
      <c r="Q235" s="44"/>
      <c r="R235" s="44"/>
      <c r="S235" s="44"/>
      <c r="T235" s="44"/>
      <c r="U235" s="44"/>
      <c r="V235" s="44"/>
      <c r="W235" s="44"/>
      <c r="X235" s="44"/>
      <c r="Y235" s="44"/>
      <c r="Z235" s="44"/>
    </row>
    <row r="236">
      <c r="A236" s="44"/>
      <c r="B236" s="44"/>
      <c r="C236" s="44"/>
      <c r="D236" s="44"/>
      <c r="E236" s="44"/>
      <c r="F236" s="44"/>
      <c r="G236" s="44"/>
      <c r="H236" s="44"/>
      <c r="I236" s="44"/>
      <c r="J236" s="44"/>
      <c r="K236" s="44"/>
      <c r="L236" s="44" t="str">
        <f>IFERROR(__xludf.DUMMYFUNCTION("IFERROR(IF(ISBLANK($C236), """", GOOGLEFINANCE($C236, ""price"")), """")"),"")</f>
        <v/>
      </c>
      <c r="M236" s="44" t="str">
        <f t="shared" si="3"/>
        <v/>
      </c>
      <c r="N236" s="44" t="str">
        <f>IFERROR(__xludf.DUMMYFUNCTION("IFERROR(IF(OR(ISBLANK($G236), IFERROR(INDEX(GOOGLEFINANCE($C236, ""price"", WORKDAY(INT($B236), 1)), 2, 2), """")=""""), """", IF($D236=""LONG"", (IFERROR(INDEX(GOOGLEFINANCE($C236, ""price"", WORKDAY(INT($B236), 1)), 2, 2), """")-$G236)/$G236, ($G236-IFE"&amp;"RROR(INDEX(GOOGLEFINANCE($C236, ""price"", WORKDAY(INT($B236), 1)), 2, 2), """"))/$G236)), """")"),"")</f>
        <v/>
      </c>
      <c r="O236" s="44" t="str">
        <f>IFERROR(__xludf.DUMMYFUNCTION("IFERROR(IF(OR(ISBLANK($G236), IFERROR(INDEX(GOOGLEFINANCE($C236, ""price"", WORKDAY(INT($B236), 5)), 2, 2), """")=""""), """", IF($D236=""LONG"", (IFERROR(INDEX(GOOGLEFINANCE($C236, ""price"", WORKDAY(INT($B236), 5)), 2, 2), """")-$G236)/$G236, ($G236-IFE"&amp;"RROR(INDEX(GOOGLEFINANCE($C236, ""price"", WORKDAY(INT($B236), 5)), 2, 2), """"))/$G236)), """")"),"")</f>
        <v/>
      </c>
      <c r="P236" s="44" t="str">
        <f>IFERROR(__xludf.DUMMYFUNCTION("IFERROR(IF(OR(ISBLANK($G236), IFERROR(INDEX(GOOGLEFINANCE($C236, ""price"", WORKDAY(INT($B236), 20)), 2, 2), """")=""""), """", IF($D236=""LONG"", (IFERROR(INDEX(GOOGLEFINANCE($C236, ""price"", WORKDAY(INT($B236), 20)), 2, 2), """")-$G236)/$G236, ($G236-I"&amp;"FERROR(INDEX(GOOGLEFINANCE($C236, ""price"", WORKDAY(INT($B236), 20)), 2, 2), """"))/$G236)), """")"),"")</f>
        <v/>
      </c>
      <c r="Q236" s="44"/>
      <c r="R236" s="44"/>
      <c r="S236" s="44"/>
      <c r="T236" s="44"/>
      <c r="U236" s="44"/>
      <c r="V236" s="44"/>
      <c r="W236" s="44"/>
      <c r="X236" s="44"/>
      <c r="Y236" s="44"/>
      <c r="Z236" s="44"/>
    </row>
    <row r="237">
      <c r="A237" s="44"/>
      <c r="B237" s="44"/>
      <c r="C237" s="44"/>
      <c r="D237" s="44"/>
      <c r="E237" s="44"/>
      <c r="F237" s="44"/>
      <c r="G237" s="44"/>
      <c r="H237" s="44"/>
      <c r="I237" s="44"/>
      <c r="J237" s="44"/>
      <c r="K237" s="44"/>
      <c r="L237" s="44" t="str">
        <f>IFERROR(__xludf.DUMMYFUNCTION("IFERROR(IF(ISBLANK($C237), """", GOOGLEFINANCE($C237, ""price"")), """")"),"")</f>
        <v/>
      </c>
      <c r="M237" s="44" t="str">
        <f t="shared" si="3"/>
        <v/>
      </c>
      <c r="N237" s="44" t="str">
        <f>IFERROR(__xludf.DUMMYFUNCTION("IFERROR(IF(OR(ISBLANK($G237), IFERROR(INDEX(GOOGLEFINANCE($C237, ""price"", WORKDAY(INT($B237), 1)), 2, 2), """")=""""), """", IF($D237=""LONG"", (IFERROR(INDEX(GOOGLEFINANCE($C237, ""price"", WORKDAY(INT($B237), 1)), 2, 2), """")-$G237)/$G237, ($G237-IFE"&amp;"RROR(INDEX(GOOGLEFINANCE($C237, ""price"", WORKDAY(INT($B237), 1)), 2, 2), """"))/$G237)), """")"),"")</f>
        <v/>
      </c>
      <c r="O237" s="44" t="str">
        <f>IFERROR(__xludf.DUMMYFUNCTION("IFERROR(IF(OR(ISBLANK($G237), IFERROR(INDEX(GOOGLEFINANCE($C237, ""price"", WORKDAY(INT($B237), 5)), 2, 2), """")=""""), """", IF($D237=""LONG"", (IFERROR(INDEX(GOOGLEFINANCE($C237, ""price"", WORKDAY(INT($B237), 5)), 2, 2), """")-$G237)/$G237, ($G237-IFE"&amp;"RROR(INDEX(GOOGLEFINANCE($C237, ""price"", WORKDAY(INT($B237), 5)), 2, 2), """"))/$G237)), """")"),"")</f>
        <v/>
      </c>
      <c r="P237" s="44" t="str">
        <f>IFERROR(__xludf.DUMMYFUNCTION("IFERROR(IF(OR(ISBLANK($G237), IFERROR(INDEX(GOOGLEFINANCE($C237, ""price"", WORKDAY(INT($B237), 20)), 2, 2), """")=""""), """", IF($D237=""LONG"", (IFERROR(INDEX(GOOGLEFINANCE($C237, ""price"", WORKDAY(INT($B237), 20)), 2, 2), """")-$G237)/$G237, ($G237-I"&amp;"FERROR(INDEX(GOOGLEFINANCE($C237, ""price"", WORKDAY(INT($B237), 20)), 2, 2), """"))/$G237)), """")"),"")</f>
        <v/>
      </c>
      <c r="Q237" s="44"/>
      <c r="R237" s="44"/>
      <c r="S237" s="44"/>
      <c r="T237" s="44"/>
      <c r="U237" s="44"/>
      <c r="V237" s="44"/>
      <c r="W237" s="44"/>
      <c r="X237" s="44"/>
      <c r="Y237" s="44"/>
      <c r="Z237" s="44"/>
    </row>
    <row r="238">
      <c r="A238" s="44"/>
      <c r="B238" s="44"/>
      <c r="C238" s="44"/>
      <c r="D238" s="44"/>
      <c r="E238" s="44"/>
      <c r="F238" s="44"/>
      <c r="G238" s="44"/>
      <c r="H238" s="44"/>
      <c r="I238" s="44"/>
      <c r="J238" s="44"/>
      <c r="K238" s="44"/>
      <c r="L238" s="44" t="str">
        <f>IFERROR(__xludf.DUMMYFUNCTION("IFERROR(IF(ISBLANK($C238), """", GOOGLEFINANCE($C238, ""price"")), """")"),"")</f>
        <v/>
      </c>
      <c r="M238" s="44" t="str">
        <f t="shared" si="3"/>
        <v/>
      </c>
      <c r="N238" s="44" t="str">
        <f>IFERROR(__xludf.DUMMYFUNCTION("IFERROR(IF(OR(ISBLANK($G238), IFERROR(INDEX(GOOGLEFINANCE($C238, ""price"", WORKDAY(INT($B238), 1)), 2, 2), """")=""""), """", IF($D238=""LONG"", (IFERROR(INDEX(GOOGLEFINANCE($C238, ""price"", WORKDAY(INT($B238), 1)), 2, 2), """")-$G238)/$G238, ($G238-IFE"&amp;"RROR(INDEX(GOOGLEFINANCE($C238, ""price"", WORKDAY(INT($B238), 1)), 2, 2), """"))/$G238)), """")"),"")</f>
        <v/>
      </c>
      <c r="O238" s="44" t="str">
        <f>IFERROR(__xludf.DUMMYFUNCTION("IFERROR(IF(OR(ISBLANK($G238), IFERROR(INDEX(GOOGLEFINANCE($C238, ""price"", WORKDAY(INT($B238), 5)), 2, 2), """")=""""), """", IF($D238=""LONG"", (IFERROR(INDEX(GOOGLEFINANCE($C238, ""price"", WORKDAY(INT($B238), 5)), 2, 2), """")-$G238)/$G238, ($G238-IFE"&amp;"RROR(INDEX(GOOGLEFINANCE($C238, ""price"", WORKDAY(INT($B238), 5)), 2, 2), """"))/$G238)), """")"),"")</f>
        <v/>
      </c>
      <c r="P238" s="44" t="str">
        <f>IFERROR(__xludf.DUMMYFUNCTION("IFERROR(IF(OR(ISBLANK($G238), IFERROR(INDEX(GOOGLEFINANCE($C238, ""price"", WORKDAY(INT($B238), 20)), 2, 2), """")=""""), """", IF($D238=""LONG"", (IFERROR(INDEX(GOOGLEFINANCE($C238, ""price"", WORKDAY(INT($B238), 20)), 2, 2), """")-$G238)/$G238, ($G238-I"&amp;"FERROR(INDEX(GOOGLEFINANCE($C238, ""price"", WORKDAY(INT($B238), 20)), 2, 2), """"))/$G238)), """")"),"")</f>
        <v/>
      </c>
      <c r="Q238" s="44"/>
      <c r="R238" s="44"/>
      <c r="S238" s="44"/>
      <c r="T238" s="44"/>
      <c r="U238" s="44"/>
      <c r="V238" s="44"/>
      <c r="W238" s="44"/>
      <c r="X238" s="44"/>
      <c r="Y238" s="44"/>
      <c r="Z238" s="44"/>
    </row>
    <row r="239">
      <c r="A239" s="44"/>
      <c r="B239" s="44"/>
      <c r="C239" s="44"/>
      <c r="D239" s="44"/>
      <c r="E239" s="44"/>
      <c r="F239" s="44"/>
      <c r="G239" s="44"/>
      <c r="H239" s="44"/>
      <c r="I239" s="44"/>
      <c r="J239" s="44"/>
      <c r="K239" s="44"/>
      <c r="L239" s="44" t="str">
        <f>IFERROR(__xludf.DUMMYFUNCTION("IFERROR(IF(ISBLANK($C239), """", GOOGLEFINANCE($C239, ""price"")), """")"),"")</f>
        <v/>
      </c>
      <c r="M239" s="44" t="str">
        <f t="shared" si="3"/>
        <v/>
      </c>
      <c r="N239" s="44" t="str">
        <f>IFERROR(__xludf.DUMMYFUNCTION("IFERROR(IF(OR(ISBLANK($G239), IFERROR(INDEX(GOOGLEFINANCE($C239, ""price"", WORKDAY(INT($B239), 1)), 2, 2), """")=""""), """", IF($D239=""LONG"", (IFERROR(INDEX(GOOGLEFINANCE($C239, ""price"", WORKDAY(INT($B239), 1)), 2, 2), """")-$G239)/$G239, ($G239-IFE"&amp;"RROR(INDEX(GOOGLEFINANCE($C239, ""price"", WORKDAY(INT($B239), 1)), 2, 2), """"))/$G239)), """")"),"")</f>
        <v/>
      </c>
      <c r="O239" s="44" t="str">
        <f>IFERROR(__xludf.DUMMYFUNCTION("IFERROR(IF(OR(ISBLANK($G239), IFERROR(INDEX(GOOGLEFINANCE($C239, ""price"", WORKDAY(INT($B239), 5)), 2, 2), """")=""""), """", IF($D239=""LONG"", (IFERROR(INDEX(GOOGLEFINANCE($C239, ""price"", WORKDAY(INT($B239), 5)), 2, 2), """")-$G239)/$G239, ($G239-IFE"&amp;"RROR(INDEX(GOOGLEFINANCE($C239, ""price"", WORKDAY(INT($B239), 5)), 2, 2), """"))/$G239)), """")"),"")</f>
        <v/>
      </c>
      <c r="P239" s="44" t="str">
        <f>IFERROR(__xludf.DUMMYFUNCTION("IFERROR(IF(OR(ISBLANK($G239), IFERROR(INDEX(GOOGLEFINANCE($C239, ""price"", WORKDAY(INT($B239), 20)), 2, 2), """")=""""), """", IF($D239=""LONG"", (IFERROR(INDEX(GOOGLEFINANCE($C239, ""price"", WORKDAY(INT($B239), 20)), 2, 2), """")-$G239)/$G239, ($G239-I"&amp;"FERROR(INDEX(GOOGLEFINANCE($C239, ""price"", WORKDAY(INT($B239), 20)), 2, 2), """"))/$G239)), """")"),"")</f>
        <v/>
      </c>
      <c r="Q239" s="44"/>
      <c r="R239" s="44"/>
      <c r="S239" s="44"/>
      <c r="T239" s="44"/>
      <c r="U239" s="44"/>
      <c r="V239" s="44"/>
      <c r="W239" s="44"/>
      <c r="X239" s="44"/>
      <c r="Y239" s="44"/>
      <c r="Z239" s="44"/>
    </row>
    <row r="240">
      <c r="A240" s="44"/>
      <c r="B240" s="44"/>
      <c r="C240" s="44"/>
      <c r="D240" s="44"/>
      <c r="E240" s="44"/>
      <c r="F240" s="44"/>
      <c r="G240" s="44"/>
      <c r="H240" s="44"/>
      <c r="I240" s="44"/>
      <c r="J240" s="44"/>
      <c r="K240" s="44"/>
      <c r="L240" s="44" t="str">
        <f>IFERROR(__xludf.DUMMYFUNCTION("IFERROR(IF(ISBLANK($C240), """", GOOGLEFINANCE($C240, ""price"")), """")"),"")</f>
        <v/>
      </c>
      <c r="M240" s="44" t="str">
        <f t="shared" si="3"/>
        <v/>
      </c>
      <c r="N240" s="44" t="str">
        <f>IFERROR(__xludf.DUMMYFUNCTION("IFERROR(IF(OR(ISBLANK($G240), IFERROR(INDEX(GOOGLEFINANCE($C240, ""price"", WORKDAY(INT($B240), 1)), 2, 2), """")=""""), """", IF($D240=""LONG"", (IFERROR(INDEX(GOOGLEFINANCE($C240, ""price"", WORKDAY(INT($B240), 1)), 2, 2), """")-$G240)/$G240, ($G240-IFE"&amp;"RROR(INDEX(GOOGLEFINANCE($C240, ""price"", WORKDAY(INT($B240), 1)), 2, 2), """"))/$G240)), """")"),"")</f>
        <v/>
      </c>
      <c r="O240" s="44" t="str">
        <f>IFERROR(__xludf.DUMMYFUNCTION("IFERROR(IF(OR(ISBLANK($G240), IFERROR(INDEX(GOOGLEFINANCE($C240, ""price"", WORKDAY(INT($B240), 5)), 2, 2), """")=""""), """", IF($D240=""LONG"", (IFERROR(INDEX(GOOGLEFINANCE($C240, ""price"", WORKDAY(INT($B240), 5)), 2, 2), """")-$G240)/$G240, ($G240-IFE"&amp;"RROR(INDEX(GOOGLEFINANCE($C240, ""price"", WORKDAY(INT($B240), 5)), 2, 2), """"))/$G240)), """")"),"")</f>
        <v/>
      </c>
      <c r="P240" s="44" t="str">
        <f>IFERROR(__xludf.DUMMYFUNCTION("IFERROR(IF(OR(ISBLANK($G240), IFERROR(INDEX(GOOGLEFINANCE($C240, ""price"", WORKDAY(INT($B240), 20)), 2, 2), """")=""""), """", IF($D240=""LONG"", (IFERROR(INDEX(GOOGLEFINANCE($C240, ""price"", WORKDAY(INT($B240), 20)), 2, 2), """")-$G240)/$G240, ($G240-I"&amp;"FERROR(INDEX(GOOGLEFINANCE($C240, ""price"", WORKDAY(INT($B240), 20)), 2, 2), """"))/$G240)), """")"),"")</f>
        <v/>
      </c>
      <c r="Q240" s="44"/>
      <c r="R240" s="44"/>
      <c r="S240" s="44"/>
      <c r="T240" s="44"/>
      <c r="U240" s="44"/>
      <c r="V240" s="44"/>
      <c r="W240" s="44"/>
      <c r="X240" s="44"/>
      <c r="Y240" s="44"/>
      <c r="Z240" s="44"/>
    </row>
    <row r="241">
      <c r="A241" s="44"/>
      <c r="B241" s="44"/>
      <c r="C241" s="44"/>
      <c r="D241" s="44"/>
      <c r="E241" s="44"/>
      <c r="F241" s="44"/>
      <c r="G241" s="44"/>
      <c r="H241" s="44"/>
      <c r="I241" s="44"/>
      <c r="J241" s="44"/>
      <c r="K241" s="44"/>
      <c r="L241" s="44" t="str">
        <f>IFERROR(__xludf.DUMMYFUNCTION("IFERROR(IF(ISBLANK($C241), """", GOOGLEFINANCE($C241, ""price"")), """")"),"")</f>
        <v/>
      </c>
      <c r="M241" s="44" t="str">
        <f t="shared" si="3"/>
        <v/>
      </c>
      <c r="N241" s="44" t="str">
        <f>IFERROR(__xludf.DUMMYFUNCTION("IFERROR(IF(OR(ISBLANK($G241), IFERROR(INDEX(GOOGLEFINANCE($C241, ""price"", WORKDAY(INT($B241), 1)), 2, 2), """")=""""), """", IF($D241=""LONG"", (IFERROR(INDEX(GOOGLEFINANCE($C241, ""price"", WORKDAY(INT($B241), 1)), 2, 2), """")-$G241)/$G241, ($G241-IFE"&amp;"RROR(INDEX(GOOGLEFINANCE($C241, ""price"", WORKDAY(INT($B241), 1)), 2, 2), """"))/$G241)), """")"),"")</f>
        <v/>
      </c>
      <c r="O241" s="44" t="str">
        <f>IFERROR(__xludf.DUMMYFUNCTION("IFERROR(IF(OR(ISBLANK($G241), IFERROR(INDEX(GOOGLEFINANCE($C241, ""price"", WORKDAY(INT($B241), 5)), 2, 2), """")=""""), """", IF($D241=""LONG"", (IFERROR(INDEX(GOOGLEFINANCE($C241, ""price"", WORKDAY(INT($B241), 5)), 2, 2), """")-$G241)/$G241, ($G241-IFE"&amp;"RROR(INDEX(GOOGLEFINANCE($C241, ""price"", WORKDAY(INT($B241), 5)), 2, 2), """"))/$G241)), """")"),"")</f>
        <v/>
      </c>
      <c r="P241" s="44" t="str">
        <f>IFERROR(__xludf.DUMMYFUNCTION("IFERROR(IF(OR(ISBLANK($G241), IFERROR(INDEX(GOOGLEFINANCE($C241, ""price"", WORKDAY(INT($B241), 20)), 2, 2), """")=""""), """", IF($D241=""LONG"", (IFERROR(INDEX(GOOGLEFINANCE($C241, ""price"", WORKDAY(INT($B241), 20)), 2, 2), """")-$G241)/$G241, ($G241-I"&amp;"FERROR(INDEX(GOOGLEFINANCE($C241, ""price"", WORKDAY(INT($B241), 20)), 2, 2), """"))/$G241)), """")"),"")</f>
        <v/>
      </c>
      <c r="Q241" s="44"/>
      <c r="R241" s="44"/>
      <c r="S241" s="44"/>
      <c r="T241" s="44"/>
      <c r="U241" s="44"/>
      <c r="V241" s="44"/>
      <c r="W241" s="44"/>
      <c r="X241" s="44"/>
      <c r="Y241" s="44"/>
      <c r="Z241" s="44"/>
    </row>
    <row r="242">
      <c r="A242" s="44"/>
      <c r="B242" s="44"/>
      <c r="C242" s="44"/>
      <c r="D242" s="44"/>
      <c r="E242" s="44"/>
      <c r="F242" s="44"/>
      <c r="G242" s="44"/>
      <c r="H242" s="44"/>
      <c r="I242" s="44"/>
      <c r="J242" s="44"/>
      <c r="K242" s="44"/>
      <c r="L242" s="44" t="str">
        <f>IFERROR(__xludf.DUMMYFUNCTION("IFERROR(IF(ISBLANK($C242), """", GOOGLEFINANCE($C242, ""price"")), """")"),"")</f>
        <v/>
      </c>
      <c r="M242" s="44" t="str">
        <f t="shared" si="3"/>
        <v/>
      </c>
      <c r="N242" s="44" t="str">
        <f>IFERROR(__xludf.DUMMYFUNCTION("IFERROR(IF(OR(ISBLANK($G242), IFERROR(INDEX(GOOGLEFINANCE($C242, ""price"", WORKDAY(INT($B242), 1)), 2, 2), """")=""""), """", IF($D242=""LONG"", (IFERROR(INDEX(GOOGLEFINANCE($C242, ""price"", WORKDAY(INT($B242), 1)), 2, 2), """")-$G242)/$G242, ($G242-IFE"&amp;"RROR(INDEX(GOOGLEFINANCE($C242, ""price"", WORKDAY(INT($B242), 1)), 2, 2), """"))/$G242)), """")"),"")</f>
        <v/>
      </c>
      <c r="O242" s="44" t="str">
        <f>IFERROR(__xludf.DUMMYFUNCTION("IFERROR(IF(OR(ISBLANK($G242), IFERROR(INDEX(GOOGLEFINANCE($C242, ""price"", WORKDAY(INT($B242), 5)), 2, 2), """")=""""), """", IF($D242=""LONG"", (IFERROR(INDEX(GOOGLEFINANCE($C242, ""price"", WORKDAY(INT($B242), 5)), 2, 2), """")-$G242)/$G242, ($G242-IFE"&amp;"RROR(INDEX(GOOGLEFINANCE($C242, ""price"", WORKDAY(INT($B242), 5)), 2, 2), """"))/$G242)), """")"),"")</f>
        <v/>
      </c>
      <c r="P242" s="44" t="str">
        <f>IFERROR(__xludf.DUMMYFUNCTION("IFERROR(IF(OR(ISBLANK($G242), IFERROR(INDEX(GOOGLEFINANCE($C242, ""price"", WORKDAY(INT($B242), 20)), 2, 2), """")=""""), """", IF($D242=""LONG"", (IFERROR(INDEX(GOOGLEFINANCE($C242, ""price"", WORKDAY(INT($B242), 20)), 2, 2), """")-$G242)/$G242, ($G242-I"&amp;"FERROR(INDEX(GOOGLEFINANCE($C242, ""price"", WORKDAY(INT($B242), 20)), 2, 2), """"))/$G242)), """")"),"")</f>
        <v/>
      </c>
      <c r="Q242" s="44"/>
      <c r="R242" s="44"/>
      <c r="S242" s="44"/>
      <c r="T242" s="44"/>
      <c r="U242" s="44"/>
      <c r="V242" s="44"/>
      <c r="W242" s="44"/>
      <c r="X242" s="44"/>
      <c r="Y242" s="44"/>
      <c r="Z242" s="44"/>
    </row>
    <row r="243">
      <c r="A243" s="44"/>
      <c r="B243" s="44"/>
      <c r="C243" s="44"/>
      <c r="D243" s="44"/>
      <c r="E243" s="44"/>
      <c r="F243" s="44"/>
      <c r="G243" s="44"/>
      <c r="H243" s="44"/>
      <c r="I243" s="44"/>
      <c r="J243" s="44"/>
      <c r="K243" s="44"/>
      <c r="L243" s="44" t="str">
        <f>IFERROR(__xludf.DUMMYFUNCTION("IFERROR(IF(ISBLANK($C243), """", GOOGLEFINANCE($C243, ""price"")), """")"),"")</f>
        <v/>
      </c>
      <c r="M243" s="44" t="str">
        <f t="shared" si="3"/>
        <v/>
      </c>
      <c r="N243" s="44" t="str">
        <f>IFERROR(__xludf.DUMMYFUNCTION("IFERROR(IF(OR(ISBLANK($G243), IFERROR(INDEX(GOOGLEFINANCE($C243, ""price"", WORKDAY(INT($B243), 1)), 2, 2), """")=""""), """", IF($D243=""LONG"", (IFERROR(INDEX(GOOGLEFINANCE($C243, ""price"", WORKDAY(INT($B243), 1)), 2, 2), """")-$G243)/$G243, ($G243-IFE"&amp;"RROR(INDEX(GOOGLEFINANCE($C243, ""price"", WORKDAY(INT($B243), 1)), 2, 2), """"))/$G243)), """")"),"")</f>
        <v/>
      </c>
      <c r="O243" s="44" t="str">
        <f>IFERROR(__xludf.DUMMYFUNCTION("IFERROR(IF(OR(ISBLANK($G243), IFERROR(INDEX(GOOGLEFINANCE($C243, ""price"", WORKDAY(INT($B243), 5)), 2, 2), """")=""""), """", IF($D243=""LONG"", (IFERROR(INDEX(GOOGLEFINANCE($C243, ""price"", WORKDAY(INT($B243), 5)), 2, 2), """")-$G243)/$G243, ($G243-IFE"&amp;"RROR(INDEX(GOOGLEFINANCE($C243, ""price"", WORKDAY(INT($B243), 5)), 2, 2), """"))/$G243)), """")"),"")</f>
        <v/>
      </c>
      <c r="P243" s="44" t="str">
        <f>IFERROR(__xludf.DUMMYFUNCTION("IFERROR(IF(OR(ISBLANK($G243), IFERROR(INDEX(GOOGLEFINANCE($C243, ""price"", WORKDAY(INT($B243), 20)), 2, 2), """")=""""), """", IF($D243=""LONG"", (IFERROR(INDEX(GOOGLEFINANCE($C243, ""price"", WORKDAY(INT($B243), 20)), 2, 2), """")-$G243)/$G243, ($G243-I"&amp;"FERROR(INDEX(GOOGLEFINANCE($C243, ""price"", WORKDAY(INT($B243), 20)), 2, 2), """"))/$G243)), """")"),"")</f>
        <v/>
      </c>
      <c r="Q243" s="44"/>
      <c r="R243" s="44"/>
      <c r="S243" s="44"/>
      <c r="T243" s="44"/>
      <c r="U243" s="44"/>
      <c r="V243" s="44"/>
      <c r="W243" s="44"/>
      <c r="X243" s="44"/>
      <c r="Y243" s="44"/>
      <c r="Z243" s="44"/>
    </row>
    <row r="244">
      <c r="A244" s="44"/>
      <c r="B244" s="44"/>
      <c r="C244" s="44"/>
      <c r="D244" s="44"/>
      <c r="E244" s="44"/>
      <c r="F244" s="44"/>
      <c r="G244" s="44"/>
      <c r="H244" s="44"/>
      <c r="I244" s="44"/>
      <c r="J244" s="44"/>
      <c r="K244" s="44"/>
      <c r="L244" s="44" t="str">
        <f>IFERROR(__xludf.DUMMYFUNCTION("IFERROR(IF(ISBLANK($C244), """", GOOGLEFINANCE($C244, ""price"")), """")"),"")</f>
        <v/>
      </c>
      <c r="M244" s="44" t="str">
        <f t="shared" si="3"/>
        <v/>
      </c>
      <c r="N244" s="44" t="str">
        <f>IFERROR(__xludf.DUMMYFUNCTION("IFERROR(IF(OR(ISBLANK($G244), IFERROR(INDEX(GOOGLEFINANCE($C244, ""price"", WORKDAY(INT($B244), 1)), 2, 2), """")=""""), """", IF($D244=""LONG"", (IFERROR(INDEX(GOOGLEFINANCE($C244, ""price"", WORKDAY(INT($B244), 1)), 2, 2), """")-$G244)/$G244, ($G244-IFE"&amp;"RROR(INDEX(GOOGLEFINANCE($C244, ""price"", WORKDAY(INT($B244), 1)), 2, 2), """"))/$G244)), """")"),"")</f>
        <v/>
      </c>
      <c r="O244" s="44" t="str">
        <f>IFERROR(__xludf.DUMMYFUNCTION("IFERROR(IF(OR(ISBLANK($G244), IFERROR(INDEX(GOOGLEFINANCE($C244, ""price"", WORKDAY(INT($B244), 5)), 2, 2), """")=""""), """", IF($D244=""LONG"", (IFERROR(INDEX(GOOGLEFINANCE($C244, ""price"", WORKDAY(INT($B244), 5)), 2, 2), """")-$G244)/$G244, ($G244-IFE"&amp;"RROR(INDEX(GOOGLEFINANCE($C244, ""price"", WORKDAY(INT($B244), 5)), 2, 2), """"))/$G244)), """")"),"")</f>
        <v/>
      </c>
      <c r="P244" s="44" t="str">
        <f>IFERROR(__xludf.DUMMYFUNCTION("IFERROR(IF(OR(ISBLANK($G244), IFERROR(INDEX(GOOGLEFINANCE($C244, ""price"", WORKDAY(INT($B244), 20)), 2, 2), """")=""""), """", IF($D244=""LONG"", (IFERROR(INDEX(GOOGLEFINANCE($C244, ""price"", WORKDAY(INT($B244), 20)), 2, 2), """")-$G244)/$G244, ($G244-I"&amp;"FERROR(INDEX(GOOGLEFINANCE($C244, ""price"", WORKDAY(INT($B244), 20)), 2, 2), """"))/$G244)), """")"),"")</f>
        <v/>
      </c>
      <c r="Q244" s="44"/>
      <c r="R244" s="44"/>
      <c r="S244" s="44"/>
      <c r="T244" s="44"/>
      <c r="U244" s="44"/>
      <c r="V244" s="44"/>
      <c r="W244" s="44"/>
      <c r="X244" s="44"/>
      <c r="Y244" s="44"/>
      <c r="Z244" s="44"/>
    </row>
    <row r="245">
      <c r="A245" s="44"/>
      <c r="B245" s="44"/>
      <c r="C245" s="44"/>
      <c r="D245" s="44"/>
      <c r="E245" s="44"/>
      <c r="F245" s="44"/>
      <c r="G245" s="44"/>
      <c r="H245" s="44"/>
      <c r="I245" s="44"/>
      <c r="J245" s="44"/>
      <c r="K245" s="44"/>
      <c r="L245" s="44" t="str">
        <f>IFERROR(__xludf.DUMMYFUNCTION("IFERROR(IF(ISBLANK($C245), """", GOOGLEFINANCE($C245, ""price"")), """")"),"")</f>
        <v/>
      </c>
      <c r="M245" s="44" t="str">
        <f t="shared" si="3"/>
        <v/>
      </c>
      <c r="N245" s="44" t="str">
        <f>IFERROR(__xludf.DUMMYFUNCTION("IFERROR(IF(OR(ISBLANK($G245), IFERROR(INDEX(GOOGLEFINANCE($C245, ""price"", WORKDAY(INT($B245), 1)), 2, 2), """")=""""), """", IF($D245=""LONG"", (IFERROR(INDEX(GOOGLEFINANCE($C245, ""price"", WORKDAY(INT($B245), 1)), 2, 2), """")-$G245)/$G245, ($G245-IFE"&amp;"RROR(INDEX(GOOGLEFINANCE($C245, ""price"", WORKDAY(INT($B245), 1)), 2, 2), """"))/$G245)), """")"),"")</f>
        <v/>
      </c>
      <c r="O245" s="44" t="str">
        <f>IFERROR(__xludf.DUMMYFUNCTION("IFERROR(IF(OR(ISBLANK($G245), IFERROR(INDEX(GOOGLEFINANCE($C245, ""price"", WORKDAY(INT($B245), 5)), 2, 2), """")=""""), """", IF($D245=""LONG"", (IFERROR(INDEX(GOOGLEFINANCE($C245, ""price"", WORKDAY(INT($B245), 5)), 2, 2), """")-$G245)/$G245, ($G245-IFE"&amp;"RROR(INDEX(GOOGLEFINANCE($C245, ""price"", WORKDAY(INT($B245), 5)), 2, 2), """"))/$G245)), """")"),"")</f>
        <v/>
      </c>
      <c r="P245" s="44" t="str">
        <f>IFERROR(__xludf.DUMMYFUNCTION("IFERROR(IF(OR(ISBLANK($G245), IFERROR(INDEX(GOOGLEFINANCE($C245, ""price"", WORKDAY(INT($B245), 20)), 2, 2), """")=""""), """", IF($D245=""LONG"", (IFERROR(INDEX(GOOGLEFINANCE($C245, ""price"", WORKDAY(INT($B245), 20)), 2, 2), """")-$G245)/$G245, ($G245-I"&amp;"FERROR(INDEX(GOOGLEFINANCE($C245, ""price"", WORKDAY(INT($B245), 20)), 2, 2), """"))/$G245)), """")"),"")</f>
        <v/>
      </c>
      <c r="Q245" s="44"/>
      <c r="R245" s="44"/>
      <c r="S245" s="44"/>
      <c r="T245" s="44"/>
      <c r="U245" s="44"/>
      <c r="V245" s="44"/>
      <c r="W245" s="44"/>
      <c r="X245" s="44"/>
      <c r="Y245" s="44"/>
      <c r="Z245" s="44"/>
    </row>
    <row r="246">
      <c r="A246" s="44"/>
      <c r="B246" s="44"/>
      <c r="C246" s="44"/>
      <c r="D246" s="44"/>
      <c r="E246" s="44"/>
      <c r="F246" s="44"/>
      <c r="G246" s="44"/>
      <c r="H246" s="44"/>
      <c r="I246" s="44"/>
      <c r="J246" s="44"/>
      <c r="K246" s="44"/>
      <c r="L246" s="44" t="str">
        <f>IFERROR(__xludf.DUMMYFUNCTION("IFERROR(IF(ISBLANK($C246), """", GOOGLEFINANCE($C246, ""price"")), """")"),"")</f>
        <v/>
      </c>
      <c r="M246" s="44" t="str">
        <f t="shared" si="3"/>
        <v/>
      </c>
      <c r="N246" s="44" t="str">
        <f>IFERROR(__xludf.DUMMYFUNCTION("IFERROR(IF(OR(ISBLANK($G246), IFERROR(INDEX(GOOGLEFINANCE($C246, ""price"", WORKDAY(INT($B246), 1)), 2, 2), """")=""""), """", IF($D246=""LONG"", (IFERROR(INDEX(GOOGLEFINANCE($C246, ""price"", WORKDAY(INT($B246), 1)), 2, 2), """")-$G246)/$G246, ($G246-IFE"&amp;"RROR(INDEX(GOOGLEFINANCE($C246, ""price"", WORKDAY(INT($B246), 1)), 2, 2), """"))/$G246)), """")"),"")</f>
        <v/>
      </c>
      <c r="O246" s="44" t="str">
        <f>IFERROR(__xludf.DUMMYFUNCTION("IFERROR(IF(OR(ISBLANK($G246), IFERROR(INDEX(GOOGLEFINANCE($C246, ""price"", WORKDAY(INT($B246), 5)), 2, 2), """")=""""), """", IF($D246=""LONG"", (IFERROR(INDEX(GOOGLEFINANCE($C246, ""price"", WORKDAY(INT($B246), 5)), 2, 2), """")-$G246)/$G246, ($G246-IFE"&amp;"RROR(INDEX(GOOGLEFINANCE($C246, ""price"", WORKDAY(INT($B246), 5)), 2, 2), """"))/$G246)), """")"),"")</f>
        <v/>
      </c>
      <c r="P246" s="44" t="str">
        <f>IFERROR(__xludf.DUMMYFUNCTION("IFERROR(IF(OR(ISBLANK($G246), IFERROR(INDEX(GOOGLEFINANCE($C246, ""price"", WORKDAY(INT($B246), 20)), 2, 2), """")=""""), """", IF($D246=""LONG"", (IFERROR(INDEX(GOOGLEFINANCE($C246, ""price"", WORKDAY(INT($B246), 20)), 2, 2), """")-$G246)/$G246, ($G246-I"&amp;"FERROR(INDEX(GOOGLEFINANCE($C246, ""price"", WORKDAY(INT($B246), 20)), 2, 2), """"))/$G246)), """")"),"")</f>
        <v/>
      </c>
      <c r="Q246" s="44"/>
      <c r="R246" s="44"/>
      <c r="S246" s="44"/>
      <c r="T246" s="44"/>
      <c r="U246" s="44"/>
      <c r="V246" s="44"/>
      <c r="W246" s="44"/>
      <c r="X246" s="44"/>
      <c r="Y246" s="44"/>
      <c r="Z246" s="44"/>
    </row>
    <row r="247">
      <c r="A247" s="44"/>
      <c r="B247" s="44"/>
      <c r="C247" s="44"/>
      <c r="D247" s="44"/>
      <c r="E247" s="44"/>
      <c r="F247" s="44"/>
      <c r="G247" s="44"/>
      <c r="H247" s="44"/>
      <c r="I247" s="44"/>
      <c r="J247" s="44"/>
      <c r="K247" s="44"/>
      <c r="L247" s="44" t="str">
        <f>IFERROR(__xludf.DUMMYFUNCTION("IFERROR(IF(ISBLANK($C247), """", GOOGLEFINANCE($C247, ""price"")), """")"),"")</f>
        <v/>
      </c>
      <c r="M247" s="44" t="str">
        <f t="shared" si="3"/>
        <v/>
      </c>
      <c r="N247" s="44" t="str">
        <f>IFERROR(__xludf.DUMMYFUNCTION("IFERROR(IF(OR(ISBLANK($G247), IFERROR(INDEX(GOOGLEFINANCE($C247, ""price"", WORKDAY(INT($B247), 1)), 2, 2), """")=""""), """", IF($D247=""LONG"", (IFERROR(INDEX(GOOGLEFINANCE($C247, ""price"", WORKDAY(INT($B247), 1)), 2, 2), """")-$G247)/$G247, ($G247-IFE"&amp;"RROR(INDEX(GOOGLEFINANCE($C247, ""price"", WORKDAY(INT($B247), 1)), 2, 2), """"))/$G247)), """")"),"")</f>
        <v/>
      </c>
      <c r="O247" s="44" t="str">
        <f>IFERROR(__xludf.DUMMYFUNCTION("IFERROR(IF(OR(ISBLANK($G247), IFERROR(INDEX(GOOGLEFINANCE($C247, ""price"", WORKDAY(INT($B247), 5)), 2, 2), """")=""""), """", IF($D247=""LONG"", (IFERROR(INDEX(GOOGLEFINANCE($C247, ""price"", WORKDAY(INT($B247), 5)), 2, 2), """")-$G247)/$G247, ($G247-IFE"&amp;"RROR(INDEX(GOOGLEFINANCE($C247, ""price"", WORKDAY(INT($B247), 5)), 2, 2), """"))/$G247)), """")"),"")</f>
        <v/>
      </c>
      <c r="P247" s="44" t="str">
        <f>IFERROR(__xludf.DUMMYFUNCTION("IFERROR(IF(OR(ISBLANK($G247), IFERROR(INDEX(GOOGLEFINANCE($C247, ""price"", WORKDAY(INT($B247), 20)), 2, 2), """")=""""), """", IF($D247=""LONG"", (IFERROR(INDEX(GOOGLEFINANCE($C247, ""price"", WORKDAY(INT($B247), 20)), 2, 2), """")-$G247)/$G247, ($G247-I"&amp;"FERROR(INDEX(GOOGLEFINANCE($C247, ""price"", WORKDAY(INT($B247), 20)), 2, 2), """"))/$G247)), """")"),"")</f>
        <v/>
      </c>
      <c r="Q247" s="44"/>
      <c r="R247" s="44"/>
      <c r="S247" s="44"/>
      <c r="T247" s="44"/>
      <c r="U247" s="44"/>
      <c r="V247" s="44"/>
      <c r="W247" s="44"/>
      <c r="X247" s="44"/>
      <c r="Y247" s="44"/>
      <c r="Z247" s="44"/>
    </row>
    <row r="248">
      <c r="A248" s="44"/>
      <c r="B248" s="44"/>
      <c r="C248" s="44"/>
      <c r="D248" s="44"/>
      <c r="E248" s="44"/>
      <c r="F248" s="44"/>
      <c r="G248" s="44"/>
      <c r="H248" s="44"/>
      <c r="I248" s="44"/>
      <c r="J248" s="44"/>
      <c r="K248" s="44"/>
      <c r="L248" s="44" t="str">
        <f>IFERROR(__xludf.DUMMYFUNCTION("IFERROR(IF(ISBLANK($C248), """", GOOGLEFINANCE($C248, ""price"")), """")"),"")</f>
        <v/>
      </c>
      <c r="M248" s="44" t="str">
        <f t="shared" si="3"/>
        <v/>
      </c>
      <c r="N248" s="44" t="str">
        <f>IFERROR(__xludf.DUMMYFUNCTION("IFERROR(IF(OR(ISBLANK($G248), IFERROR(INDEX(GOOGLEFINANCE($C248, ""price"", WORKDAY(INT($B248), 1)), 2, 2), """")=""""), """", IF($D248=""LONG"", (IFERROR(INDEX(GOOGLEFINANCE($C248, ""price"", WORKDAY(INT($B248), 1)), 2, 2), """")-$G248)/$G248, ($G248-IFE"&amp;"RROR(INDEX(GOOGLEFINANCE($C248, ""price"", WORKDAY(INT($B248), 1)), 2, 2), """"))/$G248)), """")"),"")</f>
        <v/>
      </c>
      <c r="O248" s="44" t="str">
        <f>IFERROR(__xludf.DUMMYFUNCTION("IFERROR(IF(OR(ISBLANK($G248), IFERROR(INDEX(GOOGLEFINANCE($C248, ""price"", WORKDAY(INT($B248), 5)), 2, 2), """")=""""), """", IF($D248=""LONG"", (IFERROR(INDEX(GOOGLEFINANCE($C248, ""price"", WORKDAY(INT($B248), 5)), 2, 2), """")-$G248)/$G248, ($G248-IFE"&amp;"RROR(INDEX(GOOGLEFINANCE($C248, ""price"", WORKDAY(INT($B248), 5)), 2, 2), """"))/$G248)), """")"),"")</f>
        <v/>
      </c>
      <c r="P248" s="44" t="str">
        <f>IFERROR(__xludf.DUMMYFUNCTION("IFERROR(IF(OR(ISBLANK($G248), IFERROR(INDEX(GOOGLEFINANCE($C248, ""price"", WORKDAY(INT($B248), 20)), 2, 2), """")=""""), """", IF($D248=""LONG"", (IFERROR(INDEX(GOOGLEFINANCE($C248, ""price"", WORKDAY(INT($B248), 20)), 2, 2), """")-$G248)/$G248, ($G248-I"&amp;"FERROR(INDEX(GOOGLEFINANCE($C248, ""price"", WORKDAY(INT($B248), 20)), 2, 2), """"))/$G248)), """")"),"")</f>
        <v/>
      </c>
      <c r="Q248" s="44"/>
      <c r="R248" s="44"/>
      <c r="S248" s="44"/>
      <c r="T248" s="44"/>
      <c r="U248" s="44"/>
      <c r="V248" s="44"/>
      <c r="W248" s="44"/>
      <c r="X248" s="44"/>
      <c r="Y248" s="44"/>
      <c r="Z248" s="44"/>
    </row>
    <row r="249">
      <c r="A249" s="44"/>
      <c r="B249" s="44"/>
      <c r="C249" s="44"/>
      <c r="D249" s="44"/>
      <c r="E249" s="44"/>
      <c r="F249" s="44"/>
      <c r="G249" s="44"/>
      <c r="H249" s="44"/>
      <c r="I249" s="44"/>
      <c r="J249" s="44"/>
      <c r="K249" s="44"/>
      <c r="L249" s="44" t="str">
        <f>IFERROR(__xludf.DUMMYFUNCTION("IFERROR(IF(ISBLANK($C249), """", GOOGLEFINANCE($C249, ""price"")), """")"),"")</f>
        <v/>
      </c>
      <c r="M249" s="44" t="str">
        <f t="shared" si="3"/>
        <v/>
      </c>
      <c r="N249" s="44" t="str">
        <f>IFERROR(__xludf.DUMMYFUNCTION("IFERROR(IF(OR(ISBLANK($G249), IFERROR(INDEX(GOOGLEFINANCE($C249, ""price"", WORKDAY(INT($B249), 1)), 2, 2), """")=""""), """", IF($D249=""LONG"", (IFERROR(INDEX(GOOGLEFINANCE($C249, ""price"", WORKDAY(INT($B249), 1)), 2, 2), """")-$G249)/$G249, ($G249-IFE"&amp;"RROR(INDEX(GOOGLEFINANCE($C249, ""price"", WORKDAY(INT($B249), 1)), 2, 2), """"))/$G249)), """")"),"")</f>
        <v/>
      </c>
      <c r="O249" s="44" t="str">
        <f>IFERROR(__xludf.DUMMYFUNCTION("IFERROR(IF(OR(ISBLANK($G249), IFERROR(INDEX(GOOGLEFINANCE($C249, ""price"", WORKDAY(INT($B249), 5)), 2, 2), """")=""""), """", IF($D249=""LONG"", (IFERROR(INDEX(GOOGLEFINANCE($C249, ""price"", WORKDAY(INT($B249), 5)), 2, 2), """")-$G249)/$G249, ($G249-IFE"&amp;"RROR(INDEX(GOOGLEFINANCE($C249, ""price"", WORKDAY(INT($B249), 5)), 2, 2), """"))/$G249)), """")"),"")</f>
        <v/>
      </c>
      <c r="P249" s="44" t="str">
        <f>IFERROR(__xludf.DUMMYFUNCTION("IFERROR(IF(OR(ISBLANK($G249), IFERROR(INDEX(GOOGLEFINANCE($C249, ""price"", WORKDAY(INT($B249), 20)), 2, 2), """")=""""), """", IF($D249=""LONG"", (IFERROR(INDEX(GOOGLEFINANCE($C249, ""price"", WORKDAY(INT($B249), 20)), 2, 2), """")-$G249)/$G249, ($G249-I"&amp;"FERROR(INDEX(GOOGLEFINANCE($C249, ""price"", WORKDAY(INT($B249), 20)), 2, 2), """"))/$G249)), """")"),"")</f>
        <v/>
      </c>
      <c r="Q249" s="44"/>
      <c r="R249" s="44"/>
      <c r="S249" s="44"/>
      <c r="T249" s="44"/>
      <c r="U249" s="44"/>
      <c r="V249" s="44"/>
      <c r="W249" s="44"/>
      <c r="X249" s="44"/>
      <c r="Y249" s="44"/>
      <c r="Z249" s="44"/>
    </row>
    <row r="250">
      <c r="A250" s="44"/>
      <c r="B250" s="44"/>
      <c r="C250" s="44"/>
      <c r="D250" s="44"/>
      <c r="E250" s="44"/>
      <c r="F250" s="44"/>
      <c r="G250" s="44"/>
      <c r="H250" s="44"/>
      <c r="I250" s="44"/>
      <c r="J250" s="44"/>
      <c r="K250" s="44"/>
      <c r="L250" s="44" t="str">
        <f>IFERROR(__xludf.DUMMYFUNCTION("IFERROR(IF(ISBLANK($C250), """", GOOGLEFINANCE($C250, ""price"")), """")"),"")</f>
        <v/>
      </c>
      <c r="M250" s="44" t="str">
        <f t="shared" si="3"/>
        <v/>
      </c>
      <c r="N250" s="44" t="str">
        <f>IFERROR(__xludf.DUMMYFUNCTION("IFERROR(IF(OR(ISBLANK($G250), IFERROR(INDEX(GOOGLEFINANCE($C250, ""price"", WORKDAY(INT($B250), 1)), 2, 2), """")=""""), """", IF($D250=""LONG"", (IFERROR(INDEX(GOOGLEFINANCE($C250, ""price"", WORKDAY(INT($B250), 1)), 2, 2), """")-$G250)/$G250, ($G250-IFE"&amp;"RROR(INDEX(GOOGLEFINANCE($C250, ""price"", WORKDAY(INT($B250), 1)), 2, 2), """"))/$G250)), """")"),"")</f>
        <v/>
      </c>
      <c r="O250" s="44" t="str">
        <f>IFERROR(__xludf.DUMMYFUNCTION("IFERROR(IF(OR(ISBLANK($G250), IFERROR(INDEX(GOOGLEFINANCE($C250, ""price"", WORKDAY(INT($B250), 5)), 2, 2), """")=""""), """", IF($D250=""LONG"", (IFERROR(INDEX(GOOGLEFINANCE($C250, ""price"", WORKDAY(INT($B250), 5)), 2, 2), """")-$G250)/$G250, ($G250-IFE"&amp;"RROR(INDEX(GOOGLEFINANCE($C250, ""price"", WORKDAY(INT($B250), 5)), 2, 2), """"))/$G250)), """")"),"")</f>
        <v/>
      </c>
      <c r="P250" s="44" t="str">
        <f>IFERROR(__xludf.DUMMYFUNCTION("IFERROR(IF(OR(ISBLANK($G250), IFERROR(INDEX(GOOGLEFINANCE($C250, ""price"", WORKDAY(INT($B250), 20)), 2, 2), """")=""""), """", IF($D250=""LONG"", (IFERROR(INDEX(GOOGLEFINANCE($C250, ""price"", WORKDAY(INT($B250), 20)), 2, 2), """")-$G250)/$G250, ($G250-I"&amp;"FERROR(INDEX(GOOGLEFINANCE($C250, ""price"", WORKDAY(INT($B250), 20)), 2, 2), """"))/$G250)), """")"),"")</f>
        <v/>
      </c>
      <c r="Q250" s="44"/>
      <c r="R250" s="44"/>
      <c r="S250" s="44"/>
      <c r="T250" s="44"/>
      <c r="U250" s="44"/>
      <c r="V250" s="44"/>
      <c r="W250" s="44"/>
      <c r="X250" s="44"/>
      <c r="Y250" s="44"/>
      <c r="Z250" s="44"/>
    </row>
    <row r="251">
      <c r="A251" s="44"/>
      <c r="B251" s="44"/>
      <c r="C251" s="44"/>
      <c r="D251" s="44"/>
      <c r="E251" s="44"/>
      <c r="F251" s="44"/>
      <c r="G251" s="44"/>
      <c r="H251" s="44"/>
      <c r="I251" s="44"/>
      <c r="J251" s="44"/>
      <c r="K251" s="44"/>
      <c r="L251" s="44" t="str">
        <f>IFERROR(__xludf.DUMMYFUNCTION("IFERROR(IF(ISBLANK($C251), """", GOOGLEFINANCE($C251, ""price"")), """")"),"")</f>
        <v/>
      </c>
      <c r="M251" s="44" t="str">
        <f t="shared" si="3"/>
        <v/>
      </c>
      <c r="N251" s="44" t="str">
        <f>IFERROR(__xludf.DUMMYFUNCTION("IFERROR(IF(OR(ISBLANK($G251), IFERROR(INDEX(GOOGLEFINANCE($C251, ""price"", WORKDAY(INT($B251), 1)), 2, 2), """")=""""), """", IF($D251=""LONG"", (IFERROR(INDEX(GOOGLEFINANCE($C251, ""price"", WORKDAY(INT($B251), 1)), 2, 2), """")-$G251)/$G251, ($G251-IFE"&amp;"RROR(INDEX(GOOGLEFINANCE($C251, ""price"", WORKDAY(INT($B251), 1)), 2, 2), """"))/$G251)), """")"),"")</f>
        <v/>
      </c>
      <c r="O251" s="44" t="str">
        <f>IFERROR(__xludf.DUMMYFUNCTION("IFERROR(IF(OR(ISBLANK($G251), IFERROR(INDEX(GOOGLEFINANCE($C251, ""price"", WORKDAY(INT($B251), 5)), 2, 2), """")=""""), """", IF($D251=""LONG"", (IFERROR(INDEX(GOOGLEFINANCE($C251, ""price"", WORKDAY(INT($B251), 5)), 2, 2), """")-$G251)/$G251, ($G251-IFE"&amp;"RROR(INDEX(GOOGLEFINANCE($C251, ""price"", WORKDAY(INT($B251), 5)), 2, 2), """"))/$G251)), """")"),"")</f>
        <v/>
      </c>
      <c r="P251" s="44" t="str">
        <f>IFERROR(__xludf.DUMMYFUNCTION("IFERROR(IF(OR(ISBLANK($G251), IFERROR(INDEX(GOOGLEFINANCE($C251, ""price"", WORKDAY(INT($B251), 20)), 2, 2), """")=""""), """", IF($D251=""LONG"", (IFERROR(INDEX(GOOGLEFINANCE($C251, ""price"", WORKDAY(INT($B251), 20)), 2, 2), """")-$G251)/$G251, ($G251-I"&amp;"FERROR(INDEX(GOOGLEFINANCE($C251, ""price"", WORKDAY(INT($B251), 20)), 2, 2), """"))/$G251)), """")"),"")</f>
        <v/>
      </c>
      <c r="Q251" s="44"/>
      <c r="R251" s="44"/>
      <c r="S251" s="44"/>
      <c r="T251" s="44"/>
      <c r="U251" s="44"/>
      <c r="V251" s="44"/>
      <c r="W251" s="44"/>
      <c r="X251" s="44"/>
      <c r="Y251" s="44"/>
      <c r="Z251" s="44"/>
    </row>
    <row r="252">
      <c r="A252" s="44"/>
      <c r="B252" s="44"/>
      <c r="C252" s="44"/>
      <c r="D252" s="44"/>
      <c r="E252" s="44"/>
      <c r="F252" s="44"/>
      <c r="G252" s="44"/>
      <c r="H252" s="44"/>
      <c r="I252" s="44"/>
      <c r="J252" s="44"/>
      <c r="K252" s="44"/>
      <c r="L252" s="44" t="str">
        <f>IFERROR(__xludf.DUMMYFUNCTION("IFERROR(IF(ISBLANK($C252), """", GOOGLEFINANCE($C252, ""price"")), """")"),"")</f>
        <v/>
      </c>
      <c r="M252" s="44" t="str">
        <f t="shared" si="3"/>
        <v/>
      </c>
      <c r="N252" s="44" t="str">
        <f>IFERROR(__xludf.DUMMYFUNCTION("IFERROR(IF(OR(ISBLANK($G252), IFERROR(INDEX(GOOGLEFINANCE($C252, ""price"", WORKDAY(INT($B252), 1)), 2, 2), """")=""""), """", IF($D252=""LONG"", (IFERROR(INDEX(GOOGLEFINANCE($C252, ""price"", WORKDAY(INT($B252), 1)), 2, 2), """")-$G252)/$G252, ($G252-IFE"&amp;"RROR(INDEX(GOOGLEFINANCE($C252, ""price"", WORKDAY(INT($B252), 1)), 2, 2), """"))/$G252)), """")"),"")</f>
        <v/>
      </c>
      <c r="O252" s="44" t="str">
        <f>IFERROR(__xludf.DUMMYFUNCTION("IFERROR(IF(OR(ISBLANK($G252), IFERROR(INDEX(GOOGLEFINANCE($C252, ""price"", WORKDAY(INT($B252), 5)), 2, 2), """")=""""), """", IF($D252=""LONG"", (IFERROR(INDEX(GOOGLEFINANCE($C252, ""price"", WORKDAY(INT($B252), 5)), 2, 2), """")-$G252)/$G252, ($G252-IFE"&amp;"RROR(INDEX(GOOGLEFINANCE($C252, ""price"", WORKDAY(INT($B252), 5)), 2, 2), """"))/$G252)), """")"),"")</f>
        <v/>
      </c>
      <c r="P252" s="44" t="str">
        <f>IFERROR(__xludf.DUMMYFUNCTION("IFERROR(IF(OR(ISBLANK($G252), IFERROR(INDEX(GOOGLEFINANCE($C252, ""price"", WORKDAY(INT($B252), 20)), 2, 2), """")=""""), """", IF($D252=""LONG"", (IFERROR(INDEX(GOOGLEFINANCE($C252, ""price"", WORKDAY(INT($B252), 20)), 2, 2), """")-$G252)/$G252, ($G252-I"&amp;"FERROR(INDEX(GOOGLEFINANCE($C252, ""price"", WORKDAY(INT($B252), 20)), 2, 2), """"))/$G252)), """")"),"")</f>
        <v/>
      </c>
      <c r="Q252" s="44"/>
      <c r="R252" s="44"/>
      <c r="S252" s="44"/>
      <c r="T252" s="44"/>
      <c r="U252" s="44"/>
      <c r="V252" s="44"/>
      <c r="W252" s="44"/>
      <c r="X252" s="44"/>
      <c r="Y252" s="44"/>
      <c r="Z252" s="44"/>
    </row>
    <row r="253">
      <c r="A253" s="44"/>
      <c r="B253" s="44"/>
      <c r="C253" s="44"/>
      <c r="D253" s="44"/>
      <c r="E253" s="44"/>
      <c r="F253" s="44"/>
      <c r="G253" s="44"/>
      <c r="H253" s="44"/>
      <c r="I253" s="44"/>
      <c r="J253" s="44"/>
      <c r="K253" s="44"/>
      <c r="L253" s="44" t="str">
        <f>IFERROR(__xludf.DUMMYFUNCTION("IFERROR(IF(ISBLANK($C253), """", GOOGLEFINANCE($C253, ""price"")), """")"),"")</f>
        <v/>
      </c>
      <c r="M253" s="44" t="str">
        <f t="shared" si="3"/>
        <v/>
      </c>
      <c r="N253" s="44" t="str">
        <f>IFERROR(__xludf.DUMMYFUNCTION("IFERROR(IF(OR(ISBLANK($G253), IFERROR(INDEX(GOOGLEFINANCE($C253, ""price"", WORKDAY(INT($B253), 1)), 2, 2), """")=""""), """", IF($D253=""LONG"", (IFERROR(INDEX(GOOGLEFINANCE($C253, ""price"", WORKDAY(INT($B253), 1)), 2, 2), """")-$G253)/$G253, ($G253-IFE"&amp;"RROR(INDEX(GOOGLEFINANCE($C253, ""price"", WORKDAY(INT($B253), 1)), 2, 2), """"))/$G253)), """")"),"")</f>
        <v/>
      </c>
      <c r="O253" s="44" t="str">
        <f>IFERROR(__xludf.DUMMYFUNCTION("IFERROR(IF(OR(ISBLANK($G253), IFERROR(INDEX(GOOGLEFINANCE($C253, ""price"", WORKDAY(INT($B253), 5)), 2, 2), """")=""""), """", IF($D253=""LONG"", (IFERROR(INDEX(GOOGLEFINANCE($C253, ""price"", WORKDAY(INT($B253), 5)), 2, 2), """")-$G253)/$G253, ($G253-IFE"&amp;"RROR(INDEX(GOOGLEFINANCE($C253, ""price"", WORKDAY(INT($B253), 5)), 2, 2), """"))/$G253)), """")"),"")</f>
        <v/>
      </c>
      <c r="P253" s="44" t="str">
        <f>IFERROR(__xludf.DUMMYFUNCTION("IFERROR(IF(OR(ISBLANK($G253), IFERROR(INDEX(GOOGLEFINANCE($C253, ""price"", WORKDAY(INT($B253), 20)), 2, 2), """")=""""), """", IF($D253=""LONG"", (IFERROR(INDEX(GOOGLEFINANCE($C253, ""price"", WORKDAY(INT($B253), 20)), 2, 2), """")-$G253)/$G253, ($G253-I"&amp;"FERROR(INDEX(GOOGLEFINANCE($C253, ""price"", WORKDAY(INT($B253), 20)), 2, 2), """"))/$G253)), """")"),"")</f>
        <v/>
      </c>
      <c r="Q253" s="44"/>
      <c r="R253" s="44"/>
      <c r="S253" s="44"/>
      <c r="T253" s="44"/>
      <c r="U253" s="44"/>
      <c r="V253" s="44"/>
      <c r="W253" s="44"/>
      <c r="X253" s="44"/>
      <c r="Y253" s="44"/>
      <c r="Z253" s="44"/>
    </row>
    <row r="254">
      <c r="A254" s="44"/>
      <c r="B254" s="44"/>
      <c r="C254" s="44"/>
      <c r="D254" s="44"/>
      <c r="E254" s="44"/>
      <c r="F254" s="44"/>
      <c r="G254" s="44"/>
      <c r="H254" s="44"/>
      <c r="I254" s="44"/>
      <c r="J254" s="44"/>
      <c r="K254" s="44"/>
      <c r="L254" s="44" t="str">
        <f>IFERROR(__xludf.DUMMYFUNCTION("IFERROR(IF(ISBLANK($C254), """", GOOGLEFINANCE($C254, ""price"")), """")"),"")</f>
        <v/>
      </c>
      <c r="M254" s="44" t="str">
        <f t="shared" si="3"/>
        <v/>
      </c>
      <c r="N254" s="44" t="str">
        <f>IFERROR(__xludf.DUMMYFUNCTION("IFERROR(IF(OR(ISBLANK($G254), IFERROR(INDEX(GOOGLEFINANCE($C254, ""price"", WORKDAY(INT($B254), 1)), 2, 2), """")=""""), """", IF($D254=""LONG"", (IFERROR(INDEX(GOOGLEFINANCE($C254, ""price"", WORKDAY(INT($B254), 1)), 2, 2), """")-$G254)/$G254, ($G254-IFE"&amp;"RROR(INDEX(GOOGLEFINANCE($C254, ""price"", WORKDAY(INT($B254), 1)), 2, 2), """"))/$G254)), """")"),"")</f>
        <v/>
      </c>
      <c r="O254" s="44" t="str">
        <f>IFERROR(__xludf.DUMMYFUNCTION("IFERROR(IF(OR(ISBLANK($G254), IFERROR(INDEX(GOOGLEFINANCE($C254, ""price"", WORKDAY(INT($B254), 5)), 2, 2), """")=""""), """", IF($D254=""LONG"", (IFERROR(INDEX(GOOGLEFINANCE($C254, ""price"", WORKDAY(INT($B254), 5)), 2, 2), """")-$G254)/$G254, ($G254-IFE"&amp;"RROR(INDEX(GOOGLEFINANCE($C254, ""price"", WORKDAY(INT($B254), 5)), 2, 2), """"))/$G254)), """")"),"")</f>
        <v/>
      </c>
      <c r="P254" s="44" t="str">
        <f>IFERROR(__xludf.DUMMYFUNCTION("IFERROR(IF(OR(ISBLANK($G254), IFERROR(INDEX(GOOGLEFINANCE($C254, ""price"", WORKDAY(INT($B254), 20)), 2, 2), """")=""""), """", IF($D254=""LONG"", (IFERROR(INDEX(GOOGLEFINANCE($C254, ""price"", WORKDAY(INT($B254), 20)), 2, 2), """")-$G254)/$G254, ($G254-I"&amp;"FERROR(INDEX(GOOGLEFINANCE($C254, ""price"", WORKDAY(INT($B254), 20)), 2, 2), """"))/$G254)), """")"),"")</f>
        <v/>
      </c>
      <c r="Q254" s="44"/>
      <c r="R254" s="44"/>
      <c r="S254" s="44"/>
      <c r="T254" s="44"/>
      <c r="U254" s="44"/>
      <c r="V254" s="44"/>
      <c r="W254" s="44"/>
      <c r="X254" s="44"/>
      <c r="Y254" s="44"/>
      <c r="Z254" s="44"/>
    </row>
    <row r="255">
      <c r="A255" s="44"/>
      <c r="B255" s="44"/>
      <c r="C255" s="44"/>
      <c r="D255" s="44"/>
      <c r="E255" s="44"/>
      <c r="F255" s="44"/>
      <c r="G255" s="44"/>
      <c r="H255" s="44"/>
      <c r="I255" s="44"/>
      <c r="J255" s="44"/>
      <c r="K255" s="44"/>
      <c r="L255" s="44" t="str">
        <f>IFERROR(__xludf.DUMMYFUNCTION("IFERROR(IF(ISBLANK($C255), """", GOOGLEFINANCE($C255, ""price"")), """")"),"")</f>
        <v/>
      </c>
      <c r="M255" s="44" t="str">
        <f t="shared" si="3"/>
        <v/>
      </c>
      <c r="N255" s="44" t="str">
        <f>IFERROR(__xludf.DUMMYFUNCTION("IFERROR(IF(OR(ISBLANK($G255), IFERROR(INDEX(GOOGLEFINANCE($C255, ""price"", WORKDAY(INT($B255), 1)), 2, 2), """")=""""), """", IF($D255=""LONG"", (IFERROR(INDEX(GOOGLEFINANCE($C255, ""price"", WORKDAY(INT($B255), 1)), 2, 2), """")-$G255)/$G255, ($G255-IFE"&amp;"RROR(INDEX(GOOGLEFINANCE($C255, ""price"", WORKDAY(INT($B255), 1)), 2, 2), """"))/$G255)), """")"),"")</f>
        <v/>
      </c>
      <c r="O255" s="44" t="str">
        <f>IFERROR(__xludf.DUMMYFUNCTION("IFERROR(IF(OR(ISBLANK($G255), IFERROR(INDEX(GOOGLEFINANCE($C255, ""price"", WORKDAY(INT($B255), 5)), 2, 2), """")=""""), """", IF($D255=""LONG"", (IFERROR(INDEX(GOOGLEFINANCE($C255, ""price"", WORKDAY(INT($B255), 5)), 2, 2), """")-$G255)/$G255, ($G255-IFE"&amp;"RROR(INDEX(GOOGLEFINANCE($C255, ""price"", WORKDAY(INT($B255), 5)), 2, 2), """"))/$G255)), """")"),"")</f>
        <v/>
      </c>
      <c r="P255" s="44" t="str">
        <f>IFERROR(__xludf.DUMMYFUNCTION("IFERROR(IF(OR(ISBLANK($G255), IFERROR(INDEX(GOOGLEFINANCE($C255, ""price"", WORKDAY(INT($B255), 20)), 2, 2), """")=""""), """", IF($D255=""LONG"", (IFERROR(INDEX(GOOGLEFINANCE($C255, ""price"", WORKDAY(INT($B255), 20)), 2, 2), """")-$G255)/$G255, ($G255-I"&amp;"FERROR(INDEX(GOOGLEFINANCE($C255, ""price"", WORKDAY(INT($B255), 20)), 2, 2), """"))/$G255)), """")"),"")</f>
        <v/>
      </c>
      <c r="Q255" s="44"/>
      <c r="R255" s="44"/>
      <c r="S255" s="44"/>
      <c r="T255" s="44"/>
      <c r="U255" s="44"/>
      <c r="V255" s="44"/>
      <c r="W255" s="44"/>
      <c r="X255" s="44"/>
      <c r="Y255" s="44"/>
      <c r="Z255" s="44"/>
    </row>
    <row r="256">
      <c r="A256" s="44"/>
      <c r="B256" s="44"/>
      <c r="C256" s="44"/>
      <c r="D256" s="44"/>
      <c r="E256" s="44"/>
      <c r="F256" s="44"/>
      <c r="G256" s="44"/>
      <c r="H256" s="44"/>
      <c r="I256" s="44"/>
      <c r="J256" s="44"/>
      <c r="K256" s="44"/>
      <c r="L256" s="44" t="str">
        <f>IFERROR(__xludf.DUMMYFUNCTION("IFERROR(IF(ISBLANK($C256), """", GOOGLEFINANCE($C256, ""price"")), """")"),"")</f>
        <v/>
      </c>
      <c r="M256" s="44" t="str">
        <f t="shared" si="3"/>
        <v/>
      </c>
      <c r="N256" s="44" t="str">
        <f>IFERROR(__xludf.DUMMYFUNCTION("IFERROR(IF(OR(ISBLANK($G256), IFERROR(INDEX(GOOGLEFINANCE($C256, ""price"", WORKDAY(INT($B256), 1)), 2, 2), """")=""""), """", IF($D256=""LONG"", (IFERROR(INDEX(GOOGLEFINANCE($C256, ""price"", WORKDAY(INT($B256), 1)), 2, 2), """")-$G256)/$G256, ($G256-IFE"&amp;"RROR(INDEX(GOOGLEFINANCE($C256, ""price"", WORKDAY(INT($B256), 1)), 2, 2), """"))/$G256)), """")"),"")</f>
        <v/>
      </c>
      <c r="O256" s="44" t="str">
        <f>IFERROR(__xludf.DUMMYFUNCTION("IFERROR(IF(OR(ISBLANK($G256), IFERROR(INDEX(GOOGLEFINANCE($C256, ""price"", WORKDAY(INT($B256), 5)), 2, 2), """")=""""), """", IF($D256=""LONG"", (IFERROR(INDEX(GOOGLEFINANCE($C256, ""price"", WORKDAY(INT($B256), 5)), 2, 2), """")-$G256)/$G256, ($G256-IFE"&amp;"RROR(INDEX(GOOGLEFINANCE($C256, ""price"", WORKDAY(INT($B256), 5)), 2, 2), """"))/$G256)), """")"),"")</f>
        <v/>
      </c>
      <c r="P256" s="44" t="str">
        <f>IFERROR(__xludf.DUMMYFUNCTION("IFERROR(IF(OR(ISBLANK($G256), IFERROR(INDEX(GOOGLEFINANCE($C256, ""price"", WORKDAY(INT($B256), 20)), 2, 2), """")=""""), """", IF($D256=""LONG"", (IFERROR(INDEX(GOOGLEFINANCE($C256, ""price"", WORKDAY(INT($B256), 20)), 2, 2), """")-$G256)/$G256, ($G256-I"&amp;"FERROR(INDEX(GOOGLEFINANCE($C256, ""price"", WORKDAY(INT($B256), 20)), 2, 2), """"))/$G256)), """")"),"")</f>
        <v/>
      </c>
      <c r="Q256" s="44"/>
      <c r="R256" s="44"/>
      <c r="S256" s="44"/>
      <c r="T256" s="44"/>
      <c r="U256" s="44"/>
      <c r="V256" s="44"/>
      <c r="W256" s="44"/>
      <c r="X256" s="44"/>
      <c r="Y256" s="44"/>
      <c r="Z256" s="44"/>
    </row>
    <row r="257">
      <c r="A257" s="44"/>
      <c r="B257" s="44"/>
      <c r="C257" s="44"/>
      <c r="D257" s="44"/>
      <c r="E257" s="44"/>
      <c r="F257" s="44"/>
      <c r="G257" s="44"/>
      <c r="H257" s="44"/>
      <c r="I257" s="44"/>
      <c r="J257" s="44"/>
      <c r="K257" s="44"/>
      <c r="L257" s="44" t="str">
        <f>IFERROR(__xludf.DUMMYFUNCTION("IFERROR(IF(ISBLANK($C257), """", GOOGLEFINANCE($C257, ""price"")), """")"),"")</f>
        <v/>
      </c>
      <c r="M257" s="44" t="str">
        <f t="shared" si="3"/>
        <v/>
      </c>
      <c r="N257" s="44" t="str">
        <f>IFERROR(__xludf.DUMMYFUNCTION("IFERROR(IF(OR(ISBLANK($G257), IFERROR(INDEX(GOOGLEFINANCE($C257, ""price"", WORKDAY(INT($B257), 1)), 2, 2), """")=""""), """", IF($D257=""LONG"", (IFERROR(INDEX(GOOGLEFINANCE($C257, ""price"", WORKDAY(INT($B257), 1)), 2, 2), """")-$G257)/$G257, ($G257-IFE"&amp;"RROR(INDEX(GOOGLEFINANCE($C257, ""price"", WORKDAY(INT($B257), 1)), 2, 2), """"))/$G257)), """")"),"")</f>
        <v/>
      </c>
      <c r="O257" s="44" t="str">
        <f>IFERROR(__xludf.DUMMYFUNCTION("IFERROR(IF(OR(ISBLANK($G257), IFERROR(INDEX(GOOGLEFINANCE($C257, ""price"", WORKDAY(INT($B257), 5)), 2, 2), """")=""""), """", IF($D257=""LONG"", (IFERROR(INDEX(GOOGLEFINANCE($C257, ""price"", WORKDAY(INT($B257), 5)), 2, 2), """")-$G257)/$G257, ($G257-IFE"&amp;"RROR(INDEX(GOOGLEFINANCE($C257, ""price"", WORKDAY(INT($B257), 5)), 2, 2), """"))/$G257)), """")"),"")</f>
        <v/>
      </c>
      <c r="P257" s="44" t="str">
        <f>IFERROR(__xludf.DUMMYFUNCTION("IFERROR(IF(OR(ISBLANK($G257), IFERROR(INDEX(GOOGLEFINANCE($C257, ""price"", WORKDAY(INT($B257), 20)), 2, 2), """")=""""), """", IF($D257=""LONG"", (IFERROR(INDEX(GOOGLEFINANCE($C257, ""price"", WORKDAY(INT($B257), 20)), 2, 2), """")-$G257)/$G257, ($G257-I"&amp;"FERROR(INDEX(GOOGLEFINANCE($C257, ""price"", WORKDAY(INT($B257), 20)), 2, 2), """"))/$G257)), """")"),"")</f>
        <v/>
      </c>
      <c r="Q257" s="44"/>
      <c r="R257" s="44"/>
      <c r="S257" s="44"/>
      <c r="T257" s="44"/>
      <c r="U257" s="44"/>
      <c r="V257" s="44"/>
      <c r="W257" s="44"/>
      <c r="X257" s="44"/>
      <c r="Y257" s="44"/>
      <c r="Z257" s="44"/>
    </row>
    <row r="258">
      <c r="A258" s="44"/>
      <c r="B258" s="44"/>
      <c r="C258" s="44"/>
      <c r="D258" s="44"/>
      <c r="E258" s="44"/>
      <c r="F258" s="44"/>
      <c r="G258" s="44"/>
      <c r="H258" s="44"/>
      <c r="I258" s="44"/>
      <c r="J258" s="44"/>
      <c r="K258" s="44"/>
      <c r="L258" s="44" t="str">
        <f>IFERROR(__xludf.DUMMYFUNCTION("IFERROR(IF(ISBLANK($C258), """", GOOGLEFINANCE($C258, ""price"")), """")"),"")</f>
        <v/>
      </c>
      <c r="M258" s="44" t="str">
        <f t="shared" si="3"/>
        <v/>
      </c>
      <c r="N258" s="44" t="str">
        <f>IFERROR(__xludf.DUMMYFUNCTION("IFERROR(IF(OR(ISBLANK($G258), IFERROR(INDEX(GOOGLEFINANCE($C258, ""price"", WORKDAY(INT($B258), 1)), 2, 2), """")=""""), """", IF($D258=""LONG"", (IFERROR(INDEX(GOOGLEFINANCE($C258, ""price"", WORKDAY(INT($B258), 1)), 2, 2), """")-$G258)/$G258, ($G258-IFE"&amp;"RROR(INDEX(GOOGLEFINANCE($C258, ""price"", WORKDAY(INT($B258), 1)), 2, 2), """"))/$G258)), """")"),"")</f>
        <v/>
      </c>
      <c r="O258" s="44" t="str">
        <f>IFERROR(__xludf.DUMMYFUNCTION("IFERROR(IF(OR(ISBLANK($G258), IFERROR(INDEX(GOOGLEFINANCE($C258, ""price"", WORKDAY(INT($B258), 5)), 2, 2), """")=""""), """", IF($D258=""LONG"", (IFERROR(INDEX(GOOGLEFINANCE($C258, ""price"", WORKDAY(INT($B258), 5)), 2, 2), """")-$G258)/$G258, ($G258-IFE"&amp;"RROR(INDEX(GOOGLEFINANCE($C258, ""price"", WORKDAY(INT($B258), 5)), 2, 2), """"))/$G258)), """")"),"")</f>
        <v/>
      </c>
      <c r="P258" s="44" t="str">
        <f>IFERROR(__xludf.DUMMYFUNCTION("IFERROR(IF(OR(ISBLANK($G258), IFERROR(INDEX(GOOGLEFINANCE($C258, ""price"", WORKDAY(INT($B258), 20)), 2, 2), """")=""""), """", IF($D258=""LONG"", (IFERROR(INDEX(GOOGLEFINANCE($C258, ""price"", WORKDAY(INT($B258), 20)), 2, 2), """")-$G258)/$G258, ($G258-I"&amp;"FERROR(INDEX(GOOGLEFINANCE($C258, ""price"", WORKDAY(INT($B258), 20)), 2, 2), """"))/$G258)), """")"),"")</f>
        <v/>
      </c>
      <c r="Q258" s="44"/>
      <c r="R258" s="44"/>
      <c r="S258" s="44"/>
      <c r="T258" s="44"/>
      <c r="U258" s="44"/>
      <c r="V258" s="44"/>
      <c r="W258" s="44"/>
      <c r="X258" s="44"/>
      <c r="Y258" s="44"/>
      <c r="Z258" s="44"/>
    </row>
    <row r="259">
      <c r="A259" s="44"/>
      <c r="B259" s="44"/>
      <c r="C259" s="44"/>
      <c r="D259" s="44"/>
      <c r="E259" s="44"/>
      <c r="F259" s="44"/>
      <c r="G259" s="44"/>
      <c r="H259" s="44"/>
      <c r="I259" s="44"/>
      <c r="J259" s="44"/>
      <c r="K259" s="44"/>
      <c r="L259" s="44" t="str">
        <f>IFERROR(__xludf.DUMMYFUNCTION("IFERROR(IF(ISBLANK($C259), """", GOOGLEFINANCE($C259, ""price"")), """")"),"")</f>
        <v/>
      </c>
      <c r="M259" s="44" t="str">
        <f t="shared" si="3"/>
        <v/>
      </c>
      <c r="N259" s="44" t="str">
        <f>IFERROR(__xludf.DUMMYFUNCTION("IFERROR(IF(OR(ISBLANK($G259), IFERROR(INDEX(GOOGLEFINANCE($C259, ""price"", WORKDAY(INT($B259), 1)), 2, 2), """")=""""), """", IF($D259=""LONG"", (IFERROR(INDEX(GOOGLEFINANCE($C259, ""price"", WORKDAY(INT($B259), 1)), 2, 2), """")-$G259)/$G259, ($G259-IFE"&amp;"RROR(INDEX(GOOGLEFINANCE($C259, ""price"", WORKDAY(INT($B259), 1)), 2, 2), """"))/$G259)), """")"),"")</f>
        <v/>
      </c>
      <c r="O259" s="44" t="str">
        <f>IFERROR(__xludf.DUMMYFUNCTION("IFERROR(IF(OR(ISBLANK($G259), IFERROR(INDEX(GOOGLEFINANCE($C259, ""price"", WORKDAY(INT($B259), 5)), 2, 2), """")=""""), """", IF($D259=""LONG"", (IFERROR(INDEX(GOOGLEFINANCE($C259, ""price"", WORKDAY(INT($B259), 5)), 2, 2), """")-$G259)/$G259, ($G259-IFE"&amp;"RROR(INDEX(GOOGLEFINANCE($C259, ""price"", WORKDAY(INT($B259), 5)), 2, 2), """"))/$G259)), """")"),"")</f>
        <v/>
      </c>
      <c r="P259" s="44" t="str">
        <f>IFERROR(__xludf.DUMMYFUNCTION("IFERROR(IF(OR(ISBLANK($G259), IFERROR(INDEX(GOOGLEFINANCE($C259, ""price"", WORKDAY(INT($B259), 20)), 2, 2), """")=""""), """", IF($D259=""LONG"", (IFERROR(INDEX(GOOGLEFINANCE($C259, ""price"", WORKDAY(INT($B259), 20)), 2, 2), """")-$G259)/$G259, ($G259-I"&amp;"FERROR(INDEX(GOOGLEFINANCE($C259, ""price"", WORKDAY(INT($B259), 20)), 2, 2), """"))/$G259)), """")"),"")</f>
        <v/>
      </c>
      <c r="Q259" s="44"/>
      <c r="R259" s="44"/>
      <c r="S259" s="44"/>
      <c r="T259" s="44"/>
      <c r="U259" s="44"/>
      <c r="V259" s="44"/>
      <c r="W259" s="44"/>
      <c r="X259" s="44"/>
      <c r="Y259" s="44"/>
      <c r="Z259" s="44"/>
    </row>
    <row r="260">
      <c r="A260" s="44"/>
      <c r="B260" s="44"/>
      <c r="C260" s="44"/>
      <c r="D260" s="44"/>
      <c r="E260" s="44"/>
      <c r="F260" s="44"/>
      <c r="G260" s="44"/>
      <c r="H260" s="44"/>
      <c r="I260" s="44"/>
      <c r="J260" s="44"/>
      <c r="K260" s="44"/>
      <c r="L260" s="44" t="str">
        <f>IFERROR(__xludf.DUMMYFUNCTION("IFERROR(IF(ISBLANK($C260), """", GOOGLEFINANCE($C260, ""price"")), """")"),"")</f>
        <v/>
      </c>
      <c r="M260" s="44" t="str">
        <f t="shared" si="3"/>
        <v/>
      </c>
      <c r="N260" s="44" t="str">
        <f>IFERROR(__xludf.DUMMYFUNCTION("IFERROR(IF(OR(ISBLANK($G260), IFERROR(INDEX(GOOGLEFINANCE($C260, ""price"", WORKDAY(INT($B260), 1)), 2, 2), """")=""""), """", IF($D260=""LONG"", (IFERROR(INDEX(GOOGLEFINANCE($C260, ""price"", WORKDAY(INT($B260), 1)), 2, 2), """")-$G260)/$G260, ($G260-IFE"&amp;"RROR(INDEX(GOOGLEFINANCE($C260, ""price"", WORKDAY(INT($B260), 1)), 2, 2), """"))/$G260)), """")"),"")</f>
        <v/>
      </c>
      <c r="O260" s="44" t="str">
        <f>IFERROR(__xludf.DUMMYFUNCTION("IFERROR(IF(OR(ISBLANK($G260), IFERROR(INDEX(GOOGLEFINANCE($C260, ""price"", WORKDAY(INT($B260), 5)), 2, 2), """")=""""), """", IF($D260=""LONG"", (IFERROR(INDEX(GOOGLEFINANCE($C260, ""price"", WORKDAY(INT($B260), 5)), 2, 2), """")-$G260)/$G260, ($G260-IFE"&amp;"RROR(INDEX(GOOGLEFINANCE($C260, ""price"", WORKDAY(INT($B260), 5)), 2, 2), """"))/$G260)), """")"),"")</f>
        <v/>
      </c>
      <c r="P260" s="44" t="str">
        <f>IFERROR(__xludf.DUMMYFUNCTION("IFERROR(IF(OR(ISBLANK($G260), IFERROR(INDEX(GOOGLEFINANCE($C260, ""price"", WORKDAY(INT($B260), 20)), 2, 2), """")=""""), """", IF($D260=""LONG"", (IFERROR(INDEX(GOOGLEFINANCE($C260, ""price"", WORKDAY(INT($B260), 20)), 2, 2), """")-$G260)/$G260, ($G260-I"&amp;"FERROR(INDEX(GOOGLEFINANCE($C260, ""price"", WORKDAY(INT($B260), 20)), 2, 2), """"))/$G260)), """")"),"")</f>
        <v/>
      </c>
      <c r="Q260" s="44"/>
      <c r="R260" s="44"/>
      <c r="S260" s="44"/>
      <c r="T260" s="44"/>
      <c r="U260" s="44"/>
      <c r="V260" s="44"/>
      <c r="W260" s="44"/>
      <c r="X260" s="44"/>
      <c r="Y260" s="44"/>
      <c r="Z260" s="44"/>
    </row>
    <row r="261">
      <c r="A261" s="44"/>
      <c r="B261" s="44"/>
      <c r="C261" s="44"/>
      <c r="D261" s="44"/>
      <c r="E261" s="44"/>
      <c r="F261" s="44"/>
      <c r="G261" s="44"/>
      <c r="H261" s="44"/>
      <c r="I261" s="44"/>
      <c r="J261" s="44"/>
      <c r="K261" s="44"/>
      <c r="L261" s="44" t="str">
        <f>IFERROR(__xludf.DUMMYFUNCTION("IFERROR(IF(ISBLANK($C261), """", GOOGLEFINANCE($C261, ""price"")), """")"),"")</f>
        <v/>
      </c>
      <c r="M261" s="44" t="str">
        <f t="shared" si="3"/>
        <v/>
      </c>
      <c r="N261" s="44" t="str">
        <f>IFERROR(__xludf.DUMMYFUNCTION("IFERROR(IF(OR(ISBLANK($G261), IFERROR(INDEX(GOOGLEFINANCE($C261, ""price"", WORKDAY(INT($B261), 1)), 2, 2), """")=""""), """", IF($D261=""LONG"", (IFERROR(INDEX(GOOGLEFINANCE($C261, ""price"", WORKDAY(INT($B261), 1)), 2, 2), """")-$G261)/$G261, ($G261-IFE"&amp;"RROR(INDEX(GOOGLEFINANCE($C261, ""price"", WORKDAY(INT($B261), 1)), 2, 2), """"))/$G261)), """")"),"")</f>
        <v/>
      </c>
      <c r="O261" s="44" t="str">
        <f>IFERROR(__xludf.DUMMYFUNCTION("IFERROR(IF(OR(ISBLANK($G261), IFERROR(INDEX(GOOGLEFINANCE($C261, ""price"", WORKDAY(INT($B261), 5)), 2, 2), """")=""""), """", IF($D261=""LONG"", (IFERROR(INDEX(GOOGLEFINANCE($C261, ""price"", WORKDAY(INT($B261), 5)), 2, 2), """")-$G261)/$G261, ($G261-IFE"&amp;"RROR(INDEX(GOOGLEFINANCE($C261, ""price"", WORKDAY(INT($B261), 5)), 2, 2), """"))/$G261)), """")"),"")</f>
        <v/>
      </c>
      <c r="P261" s="44" t="str">
        <f>IFERROR(__xludf.DUMMYFUNCTION("IFERROR(IF(OR(ISBLANK($G261), IFERROR(INDEX(GOOGLEFINANCE($C261, ""price"", WORKDAY(INT($B261), 20)), 2, 2), """")=""""), """", IF($D261=""LONG"", (IFERROR(INDEX(GOOGLEFINANCE($C261, ""price"", WORKDAY(INT($B261), 20)), 2, 2), """")-$G261)/$G261, ($G261-I"&amp;"FERROR(INDEX(GOOGLEFINANCE($C261, ""price"", WORKDAY(INT($B261), 20)), 2, 2), """"))/$G261)), """")"),"")</f>
        <v/>
      </c>
      <c r="Q261" s="44"/>
      <c r="R261" s="44"/>
      <c r="S261" s="44"/>
      <c r="T261" s="44"/>
      <c r="U261" s="44"/>
      <c r="V261" s="44"/>
      <c r="W261" s="44"/>
      <c r="X261" s="44"/>
      <c r="Y261" s="44"/>
      <c r="Z261" s="44"/>
    </row>
    <row r="262">
      <c r="A262" s="44"/>
      <c r="B262" s="44"/>
      <c r="C262" s="44"/>
      <c r="D262" s="44"/>
      <c r="E262" s="44"/>
      <c r="F262" s="44"/>
      <c r="G262" s="44"/>
      <c r="H262" s="44"/>
      <c r="I262" s="44"/>
      <c r="J262" s="44"/>
      <c r="K262" s="44"/>
      <c r="L262" s="44" t="str">
        <f>IFERROR(__xludf.DUMMYFUNCTION("IFERROR(IF(ISBLANK($C262), """", GOOGLEFINANCE($C262, ""price"")), """")"),"")</f>
        <v/>
      </c>
      <c r="M262" s="44" t="str">
        <f t="shared" si="3"/>
        <v/>
      </c>
      <c r="N262" s="44" t="str">
        <f>IFERROR(__xludf.DUMMYFUNCTION("IFERROR(IF(OR(ISBLANK($G262), IFERROR(INDEX(GOOGLEFINANCE($C262, ""price"", WORKDAY(INT($B262), 1)), 2, 2), """")=""""), """", IF($D262=""LONG"", (IFERROR(INDEX(GOOGLEFINANCE($C262, ""price"", WORKDAY(INT($B262), 1)), 2, 2), """")-$G262)/$G262, ($G262-IFE"&amp;"RROR(INDEX(GOOGLEFINANCE($C262, ""price"", WORKDAY(INT($B262), 1)), 2, 2), """"))/$G262)), """")"),"")</f>
        <v/>
      </c>
      <c r="O262" s="44" t="str">
        <f>IFERROR(__xludf.DUMMYFUNCTION("IFERROR(IF(OR(ISBLANK($G262), IFERROR(INDEX(GOOGLEFINANCE($C262, ""price"", WORKDAY(INT($B262), 5)), 2, 2), """")=""""), """", IF($D262=""LONG"", (IFERROR(INDEX(GOOGLEFINANCE($C262, ""price"", WORKDAY(INT($B262), 5)), 2, 2), """")-$G262)/$G262, ($G262-IFE"&amp;"RROR(INDEX(GOOGLEFINANCE($C262, ""price"", WORKDAY(INT($B262), 5)), 2, 2), """"))/$G262)), """")"),"")</f>
        <v/>
      </c>
      <c r="P262" s="44" t="str">
        <f>IFERROR(__xludf.DUMMYFUNCTION("IFERROR(IF(OR(ISBLANK($G262), IFERROR(INDEX(GOOGLEFINANCE($C262, ""price"", WORKDAY(INT($B262), 20)), 2, 2), """")=""""), """", IF($D262=""LONG"", (IFERROR(INDEX(GOOGLEFINANCE($C262, ""price"", WORKDAY(INT($B262), 20)), 2, 2), """")-$G262)/$G262, ($G262-I"&amp;"FERROR(INDEX(GOOGLEFINANCE($C262, ""price"", WORKDAY(INT($B262), 20)), 2, 2), """"))/$G262)), """")"),"")</f>
        <v/>
      </c>
      <c r="Q262" s="44"/>
      <c r="R262" s="44"/>
      <c r="S262" s="44"/>
      <c r="T262" s="44"/>
      <c r="U262" s="44"/>
      <c r="V262" s="44"/>
      <c r="W262" s="44"/>
      <c r="X262" s="44"/>
      <c r="Y262" s="44"/>
      <c r="Z262" s="44"/>
    </row>
    <row r="263">
      <c r="A263" s="44"/>
      <c r="B263" s="44"/>
      <c r="C263" s="44"/>
      <c r="D263" s="44"/>
      <c r="E263" s="44"/>
      <c r="F263" s="44"/>
      <c r="G263" s="44"/>
      <c r="H263" s="44"/>
      <c r="I263" s="44"/>
      <c r="J263" s="44"/>
      <c r="K263" s="44"/>
      <c r="L263" s="44" t="str">
        <f>IFERROR(__xludf.DUMMYFUNCTION("IFERROR(IF(ISBLANK($C263), """", GOOGLEFINANCE($C263, ""price"")), """")"),"")</f>
        <v/>
      </c>
      <c r="M263" s="44" t="str">
        <f t="shared" si="3"/>
        <v/>
      </c>
      <c r="N263" s="44" t="str">
        <f>IFERROR(__xludf.DUMMYFUNCTION("IFERROR(IF(OR(ISBLANK($G263), IFERROR(INDEX(GOOGLEFINANCE($C263, ""price"", WORKDAY(INT($B263), 1)), 2, 2), """")=""""), """", IF($D263=""LONG"", (IFERROR(INDEX(GOOGLEFINANCE($C263, ""price"", WORKDAY(INT($B263), 1)), 2, 2), """")-$G263)/$G263, ($G263-IFE"&amp;"RROR(INDEX(GOOGLEFINANCE($C263, ""price"", WORKDAY(INT($B263), 1)), 2, 2), """"))/$G263)), """")"),"")</f>
        <v/>
      </c>
      <c r="O263" s="44" t="str">
        <f>IFERROR(__xludf.DUMMYFUNCTION("IFERROR(IF(OR(ISBLANK($G263), IFERROR(INDEX(GOOGLEFINANCE($C263, ""price"", WORKDAY(INT($B263), 5)), 2, 2), """")=""""), """", IF($D263=""LONG"", (IFERROR(INDEX(GOOGLEFINANCE($C263, ""price"", WORKDAY(INT($B263), 5)), 2, 2), """")-$G263)/$G263, ($G263-IFE"&amp;"RROR(INDEX(GOOGLEFINANCE($C263, ""price"", WORKDAY(INT($B263), 5)), 2, 2), """"))/$G263)), """")"),"")</f>
        <v/>
      </c>
      <c r="P263" s="44" t="str">
        <f>IFERROR(__xludf.DUMMYFUNCTION("IFERROR(IF(OR(ISBLANK($G263), IFERROR(INDEX(GOOGLEFINANCE($C263, ""price"", WORKDAY(INT($B263), 20)), 2, 2), """")=""""), """", IF($D263=""LONG"", (IFERROR(INDEX(GOOGLEFINANCE($C263, ""price"", WORKDAY(INT($B263), 20)), 2, 2), """")-$G263)/$G263, ($G263-I"&amp;"FERROR(INDEX(GOOGLEFINANCE($C263, ""price"", WORKDAY(INT($B263), 20)), 2, 2), """"))/$G263)), """")"),"")</f>
        <v/>
      </c>
      <c r="Q263" s="44"/>
      <c r="R263" s="44"/>
      <c r="S263" s="44"/>
      <c r="T263" s="44"/>
      <c r="U263" s="44"/>
      <c r="V263" s="44"/>
      <c r="W263" s="44"/>
      <c r="X263" s="44"/>
      <c r="Y263" s="44"/>
      <c r="Z263" s="44"/>
    </row>
    <row r="264">
      <c r="A264" s="44"/>
      <c r="B264" s="44"/>
      <c r="C264" s="44"/>
      <c r="D264" s="44"/>
      <c r="E264" s="44"/>
      <c r="F264" s="44"/>
      <c r="G264" s="44"/>
      <c r="H264" s="44"/>
      <c r="I264" s="44"/>
      <c r="J264" s="44"/>
      <c r="K264" s="44"/>
      <c r="L264" s="44" t="str">
        <f>IFERROR(__xludf.DUMMYFUNCTION("IFERROR(IF(ISBLANK($C264), """", GOOGLEFINANCE($C264, ""price"")), """")"),"")</f>
        <v/>
      </c>
      <c r="M264" s="44" t="str">
        <f t="shared" si="3"/>
        <v/>
      </c>
      <c r="N264" s="44" t="str">
        <f>IFERROR(__xludf.DUMMYFUNCTION("IFERROR(IF(OR(ISBLANK($G264), IFERROR(INDEX(GOOGLEFINANCE($C264, ""price"", WORKDAY(INT($B264), 1)), 2, 2), """")=""""), """", IF($D264=""LONG"", (IFERROR(INDEX(GOOGLEFINANCE($C264, ""price"", WORKDAY(INT($B264), 1)), 2, 2), """")-$G264)/$G264, ($G264-IFE"&amp;"RROR(INDEX(GOOGLEFINANCE($C264, ""price"", WORKDAY(INT($B264), 1)), 2, 2), """"))/$G264)), """")"),"")</f>
        <v/>
      </c>
      <c r="O264" s="44" t="str">
        <f>IFERROR(__xludf.DUMMYFUNCTION("IFERROR(IF(OR(ISBLANK($G264), IFERROR(INDEX(GOOGLEFINANCE($C264, ""price"", WORKDAY(INT($B264), 5)), 2, 2), """")=""""), """", IF($D264=""LONG"", (IFERROR(INDEX(GOOGLEFINANCE($C264, ""price"", WORKDAY(INT($B264), 5)), 2, 2), """")-$G264)/$G264, ($G264-IFE"&amp;"RROR(INDEX(GOOGLEFINANCE($C264, ""price"", WORKDAY(INT($B264), 5)), 2, 2), """"))/$G264)), """")"),"")</f>
        <v/>
      </c>
      <c r="P264" s="44" t="str">
        <f>IFERROR(__xludf.DUMMYFUNCTION("IFERROR(IF(OR(ISBLANK($G264), IFERROR(INDEX(GOOGLEFINANCE($C264, ""price"", WORKDAY(INT($B264), 20)), 2, 2), """")=""""), """", IF($D264=""LONG"", (IFERROR(INDEX(GOOGLEFINANCE($C264, ""price"", WORKDAY(INT($B264), 20)), 2, 2), """")-$G264)/$G264, ($G264-I"&amp;"FERROR(INDEX(GOOGLEFINANCE($C264, ""price"", WORKDAY(INT($B264), 20)), 2, 2), """"))/$G264)), """")"),"")</f>
        <v/>
      </c>
      <c r="Q264" s="44"/>
      <c r="R264" s="44"/>
      <c r="S264" s="44"/>
      <c r="T264" s="44"/>
      <c r="U264" s="44"/>
      <c r="V264" s="44"/>
      <c r="W264" s="44"/>
      <c r="X264" s="44"/>
      <c r="Y264" s="44"/>
      <c r="Z264" s="44"/>
    </row>
    <row r="265">
      <c r="A265" s="44"/>
      <c r="B265" s="44"/>
      <c r="C265" s="44"/>
      <c r="D265" s="44"/>
      <c r="E265" s="44"/>
      <c r="F265" s="44"/>
      <c r="G265" s="44"/>
      <c r="H265" s="44"/>
      <c r="I265" s="44"/>
      <c r="J265" s="44"/>
      <c r="K265" s="44"/>
      <c r="L265" s="44" t="str">
        <f>IFERROR(__xludf.DUMMYFUNCTION("IFERROR(IF(ISBLANK($C265), """", GOOGLEFINANCE($C265, ""price"")), """")"),"")</f>
        <v/>
      </c>
      <c r="M265" s="44" t="str">
        <f t="shared" si="3"/>
        <v/>
      </c>
      <c r="N265" s="44" t="str">
        <f>IFERROR(__xludf.DUMMYFUNCTION("IFERROR(IF(OR(ISBLANK($G265), IFERROR(INDEX(GOOGLEFINANCE($C265, ""price"", WORKDAY(INT($B265), 1)), 2, 2), """")=""""), """", IF($D265=""LONG"", (IFERROR(INDEX(GOOGLEFINANCE($C265, ""price"", WORKDAY(INT($B265), 1)), 2, 2), """")-$G265)/$G265, ($G265-IFE"&amp;"RROR(INDEX(GOOGLEFINANCE($C265, ""price"", WORKDAY(INT($B265), 1)), 2, 2), """"))/$G265)), """")"),"")</f>
        <v/>
      </c>
      <c r="O265" s="44" t="str">
        <f>IFERROR(__xludf.DUMMYFUNCTION("IFERROR(IF(OR(ISBLANK($G265), IFERROR(INDEX(GOOGLEFINANCE($C265, ""price"", WORKDAY(INT($B265), 5)), 2, 2), """")=""""), """", IF($D265=""LONG"", (IFERROR(INDEX(GOOGLEFINANCE($C265, ""price"", WORKDAY(INT($B265), 5)), 2, 2), """")-$G265)/$G265, ($G265-IFE"&amp;"RROR(INDEX(GOOGLEFINANCE($C265, ""price"", WORKDAY(INT($B265), 5)), 2, 2), """"))/$G265)), """")"),"")</f>
        <v/>
      </c>
      <c r="P265" s="44" t="str">
        <f>IFERROR(__xludf.DUMMYFUNCTION("IFERROR(IF(OR(ISBLANK($G265), IFERROR(INDEX(GOOGLEFINANCE($C265, ""price"", WORKDAY(INT($B265), 20)), 2, 2), """")=""""), """", IF($D265=""LONG"", (IFERROR(INDEX(GOOGLEFINANCE($C265, ""price"", WORKDAY(INT($B265), 20)), 2, 2), """")-$G265)/$G265, ($G265-I"&amp;"FERROR(INDEX(GOOGLEFINANCE($C265, ""price"", WORKDAY(INT($B265), 20)), 2, 2), """"))/$G265)), """")"),"")</f>
        <v/>
      </c>
      <c r="Q265" s="44"/>
      <c r="R265" s="44"/>
      <c r="S265" s="44"/>
      <c r="T265" s="44"/>
      <c r="U265" s="44"/>
      <c r="V265" s="44"/>
      <c r="W265" s="44"/>
      <c r="X265" s="44"/>
      <c r="Y265" s="44"/>
      <c r="Z265" s="44"/>
    </row>
    <row r="266">
      <c r="A266" s="44"/>
      <c r="B266" s="44"/>
      <c r="C266" s="44"/>
      <c r="D266" s="44"/>
      <c r="E266" s="44"/>
      <c r="F266" s="44"/>
      <c r="G266" s="44"/>
      <c r="H266" s="44"/>
      <c r="I266" s="44"/>
      <c r="J266" s="44"/>
      <c r="K266" s="44"/>
      <c r="L266" s="44" t="str">
        <f>IFERROR(__xludf.DUMMYFUNCTION("IFERROR(IF(ISBLANK($C266), """", GOOGLEFINANCE($C266, ""price"")), """")"),"")</f>
        <v/>
      </c>
      <c r="M266" s="44" t="str">
        <f t="shared" si="3"/>
        <v/>
      </c>
      <c r="N266" s="44" t="str">
        <f>IFERROR(__xludf.DUMMYFUNCTION("IFERROR(IF(OR(ISBLANK($G266), IFERROR(INDEX(GOOGLEFINANCE($C266, ""price"", WORKDAY(INT($B266), 1)), 2, 2), """")=""""), """", IF($D266=""LONG"", (IFERROR(INDEX(GOOGLEFINANCE($C266, ""price"", WORKDAY(INT($B266), 1)), 2, 2), """")-$G266)/$G266, ($G266-IFE"&amp;"RROR(INDEX(GOOGLEFINANCE($C266, ""price"", WORKDAY(INT($B266), 1)), 2, 2), """"))/$G266)), """")"),"")</f>
        <v/>
      </c>
      <c r="O266" s="44" t="str">
        <f>IFERROR(__xludf.DUMMYFUNCTION("IFERROR(IF(OR(ISBLANK($G266), IFERROR(INDEX(GOOGLEFINANCE($C266, ""price"", WORKDAY(INT($B266), 5)), 2, 2), """")=""""), """", IF($D266=""LONG"", (IFERROR(INDEX(GOOGLEFINANCE($C266, ""price"", WORKDAY(INT($B266), 5)), 2, 2), """")-$G266)/$G266, ($G266-IFE"&amp;"RROR(INDEX(GOOGLEFINANCE($C266, ""price"", WORKDAY(INT($B266), 5)), 2, 2), """"))/$G266)), """")"),"")</f>
        <v/>
      </c>
      <c r="P266" s="44" t="str">
        <f>IFERROR(__xludf.DUMMYFUNCTION("IFERROR(IF(OR(ISBLANK($G266), IFERROR(INDEX(GOOGLEFINANCE($C266, ""price"", WORKDAY(INT($B266), 20)), 2, 2), """")=""""), """", IF($D266=""LONG"", (IFERROR(INDEX(GOOGLEFINANCE($C266, ""price"", WORKDAY(INT($B266), 20)), 2, 2), """")-$G266)/$G266, ($G266-I"&amp;"FERROR(INDEX(GOOGLEFINANCE($C266, ""price"", WORKDAY(INT($B266), 20)), 2, 2), """"))/$G266)), """")"),"")</f>
        <v/>
      </c>
      <c r="Q266" s="44"/>
      <c r="R266" s="44"/>
      <c r="S266" s="44"/>
      <c r="T266" s="44"/>
      <c r="U266" s="44"/>
      <c r="V266" s="44"/>
      <c r="W266" s="44"/>
      <c r="X266" s="44"/>
      <c r="Y266" s="44"/>
      <c r="Z266" s="44"/>
    </row>
    <row r="267">
      <c r="A267" s="44"/>
      <c r="B267" s="44"/>
      <c r="C267" s="44"/>
      <c r="D267" s="44"/>
      <c r="E267" s="44"/>
      <c r="F267" s="44"/>
      <c r="G267" s="44"/>
      <c r="H267" s="44"/>
      <c r="I267" s="44"/>
      <c r="J267" s="44"/>
      <c r="K267" s="44"/>
      <c r="L267" s="44" t="str">
        <f>IFERROR(__xludf.DUMMYFUNCTION("IFERROR(IF(ISBLANK($C267), """", GOOGLEFINANCE($C267, ""price"")), """")"),"")</f>
        <v/>
      </c>
      <c r="M267" s="44" t="str">
        <f t="shared" si="3"/>
        <v/>
      </c>
      <c r="N267" s="44" t="str">
        <f>IFERROR(__xludf.DUMMYFUNCTION("IFERROR(IF(OR(ISBLANK($G267), IFERROR(INDEX(GOOGLEFINANCE($C267, ""price"", WORKDAY(INT($B267), 1)), 2, 2), """")=""""), """", IF($D267=""LONG"", (IFERROR(INDEX(GOOGLEFINANCE($C267, ""price"", WORKDAY(INT($B267), 1)), 2, 2), """")-$G267)/$G267, ($G267-IFE"&amp;"RROR(INDEX(GOOGLEFINANCE($C267, ""price"", WORKDAY(INT($B267), 1)), 2, 2), """"))/$G267)), """")"),"")</f>
        <v/>
      </c>
      <c r="O267" s="44" t="str">
        <f>IFERROR(__xludf.DUMMYFUNCTION("IFERROR(IF(OR(ISBLANK($G267), IFERROR(INDEX(GOOGLEFINANCE($C267, ""price"", WORKDAY(INT($B267), 5)), 2, 2), """")=""""), """", IF($D267=""LONG"", (IFERROR(INDEX(GOOGLEFINANCE($C267, ""price"", WORKDAY(INT($B267), 5)), 2, 2), """")-$G267)/$G267, ($G267-IFE"&amp;"RROR(INDEX(GOOGLEFINANCE($C267, ""price"", WORKDAY(INT($B267), 5)), 2, 2), """"))/$G267)), """")"),"")</f>
        <v/>
      </c>
      <c r="P267" s="44" t="str">
        <f>IFERROR(__xludf.DUMMYFUNCTION("IFERROR(IF(OR(ISBLANK($G267), IFERROR(INDEX(GOOGLEFINANCE($C267, ""price"", WORKDAY(INT($B267), 20)), 2, 2), """")=""""), """", IF($D267=""LONG"", (IFERROR(INDEX(GOOGLEFINANCE($C267, ""price"", WORKDAY(INT($B267), 20)), 2, 2), """")-$G267)/$G267, ($G267-I"&amp;"FERROR(INDEX(GOOGLEFINANCE($C267, ""price"", WORKDAY(INT($B267), 20)), 2, 2), """"))/$G267)), """")"),"")</f>
        <v/>
      </c>
      <c r="Q267" s="44"/>
      <c r="R267" s="44"/>
      <c r="S267" s="44"/>
      <c r="T267" s="44"/>
      <c r="U267" s="44"/>
      <c r="V267" s="44"/>
      <c r="W267" s="44"/>
      <c r="X267" s="44"/>
      <c r="Y267" s="44"/>
      <c r="Z267" s="44"/>
    </row>
    <row r="268">
      <c r="A268" s="44"/>
      <c r="B268" s="44"/>
      <c r="C268" s="44"/>
      <c r="D268" s="44"/>
      <c r="E268" s="44"/>
      <c r="F268" s="44"/>
      <c r="G268" s="44"/>
      <c r="H268" s="44"/>
      <c r="I268" s="44"/>
      <c r="J268" s="44"/>
      <c r="K268" s="44"/>
      <c r="L268" s="44" t="str">
        <f>IFERROR(__xludf.DUMMYFUNCTION("IFERROR(IF(ISBLANK($C268), """", GOOGLEFINANCE($C268, ""price"")), """")"),"")</f>
        <v/>
      </c>
      <c r="M268" s="44" t="str">
        <f t="shared" si="3"/>
        <v/>
      </c>
      <c r="N268" s="44" t="str">
        <f>IFERROR(__xludf.DUMMYFUNCTION("IFERROR(IF(OR(ISBLANK($G268), IFERROR(INDEX(GOOGLEFINANCE($C268, ""price"", WORKDAY(INT($B268), 1)), 2, 2), """")=""""), """", IF($D268=""LONG"", (IFERROR(INDEX(GOOGLEFINANCE($C268, ""price"", WORKDAY(INT($B268), 1)), 2, 2), """")-$G268)/$G268, ($G268-IFE"&amp;"RROR(INDEX(GOOGLEFINANCE($C268, ""price"", WORKDAY(INT($B268), 1)), 2, 2), """"))/$G268)), """")"),"")</f>
        <v/>
      </c>
      <c r="O268" s="44" t="str">
        <f>IFERROR(__xludf.DUMMYFUNCTION("IFERROR(IF(OR(ISBLANK($G268), IFERROR(INDEX(GOOGLEFINANCE($C268, ""price"", WORKDAY(INT($B268), 5)), 2, 2), """")=""""), """", IF($D268=""LONG"", (IFERROR(INDEX(GOOGLEFINANCE($C268, ""price"", WORKDAY(INT($B268), 5)), 2, 2), """")-$G268)/$G268, ($G268-IFE"&amp;"RROR(INDEX(GOOGLEFINANCE($C268, ""price"", WORKDAY(INT($B268), 5)), 2, 2), """"))/$G268)), """")"),"")</f>
        <v/>
      </c>
      <c r="P268" s="44" t="str">
        <f>IFERROR(__xludf.DUMMYFUNCTION("IFERROR(IF(OR(ISBLANK($G268), IFERROR(INDEX(GOOGLEFINANCE($C268, ""price"", WORKDAY(INT($B268), 20)), 2, 2), """")=""""), """", IF($D268=""LONG"", (IFERROR(INDEX(GOOGLEFINANCE($C268, ""price"", WORKDAY(INT($B268), 20)), 2, 2), """")-$G268)/$G268, ($G268-I"&amp;"FERROR(INDEX(GOOGLEFINANCE($C268, ""price"", WORKDAY(INT($B268), 20)), 2, 2), """"))/$G268)), """")"),"")</f>
        <v/>
      </c>
      <c r="Q268" s="44"/>
      <c r="R268" s="44"/>
      <c r="S268" s="44"/>
      <c r="T268" s="44"/>
      <c r="U268" s="44"/>
      <c r="V268" s="44"/>
      <c r="W268" s="44"/>
      <c r="X268" s="44"/>
      <c r="Y268" s="44"/>
      <c r="Z268" s="44"/>
    </row>
    <row r="269">
      <c r="A269" s="44"/>
      <c r="B269" s="44"/>
      <c r="C269" s="44"/>
      <c r="D269" s="44"/>
      <c r="E269" s="44"/>
      <c r="F269" s="44"/>
      <c r="G269" s="44"/>
      <c r="H269" s="44"/>
      <c r="I269" s="44"/>
      <c r="J269" s="44"/>
      <c r="K269" s="44"/>
      <c r="L269" s="44" t="str">
        <f>IFERROR(__xludf.DUMMYFUNCTION("IFERROR(IF(ISBLANK($C269), """", GOOGLEFINANCE($C269, ""price"")), """")"),"")</f>
        <v/>
      </c>
      <c r="M269" s="44" t="str">
        <f t="shared" si="3"/>
        <v/>
      </c>
      <c r="N269" s="44" t="str">
        <f>IFERROR(__xludf.DUMMYFUNCTION("IFERROR(IF(OR(ISBLANK($G269), IFERROR(INDEX(GOOGLEFINANCE($C269, ""price"", WORKDAY(INT($B269), 1)), 2, 2), """")=""""), """", IF($D269=""LONG"", (IFERROR(INDEX(GOOGLEFINANCE($C269, ""price"", WORKDAY(INT($B269), 1)), 2, 2), """")-$G269)/$G269, ($G269-IFE"&amp;"RROR(INDEX(GOOGLEFINANCE($C269, ""price"", WORKDAY(INT($B269), 1)), 2, 2), """"))/$G269)), """")"),"")</f>
        <v/>
      </c>
      <c r="O269" s="44" t="str">
        <f>IFERROR(__xludf.DUMMYFUNCTION("IFERROR(IF(OR(ISBLANK($G269), IFERROR(INDEX(GOOGLEFINANCE($C269, ""price"", WORKDAY(INT($B269), 5)), 2, 2), """")=""""), """", IF($D269=""LONG"", (IFERROR(INDEX(GOOGLEFINANCE($C269, ""price"", WORKDAY(INT($B269), 5)), 2, 2), """")-$G269)/$G269, ($G269-IFE"&amp;"RROR(INDEX(GOOGLEFINANCE($C269, ""price"", WORKDAY(INT($B269), 5)), 2, 2), """"))/$G269)), """")"),"")</f>
        <v/>
      </c>
      <c r="P269" s="44" t="str">
        <f>IFERROR(__xludf.DUMMYFUNCTION("IFERROR(IF(OR(ISBLANK($G269), IFERROR(INDEX(GOOGLEFINANCE($C269, ""price"", WORKDAY(INT($B269), 20)), 2, 2), """")=""""), """", IF($D269=""LONG"", (IFERROR(INDEX(GOOGLEFINANCE($C269, ""price"", WORKDAY(INT($B269), 20)), 2, 2), """")-$G269)/$G269, ($G269-I"&amp;"FERROR(INDEX(GOOGLEFINANCE($C269, ""price"", WORKDAY(INT($B269), 20)), 2, 2), """"))/$G269)), """")"),"")</f>
        <v/>
      </c>
      <c r="Q269" s="44"/>
      <c r="R269" s="44"/>
      <c r="S269" s="44"/>
      <c r="T269" s="44"/>
      <c r="U269" s="44"/>
      <c r="V269" s="44"/>
      <c r="W269" s="44"/>
      <c r="X269" s="44"/>
      <c r="Y269" s="44"/>
      <c r="Z269" s="44"/>
    </row>
    <row r="270">
      <c r="A270" s="44"/>
      <c r="B270" s="44"/>
      <c r="C270" s="44"/>
      <c r="D270" s="44"/>
      <c r="E270" s="44"/>
      <c r="F270" s="44"/>
      <c r="G270" s="44"/>
      <c r="H270" s="44"/>
      <c r="I270" s="44"/>
      <c r="J270" s="44"/>
      <c r="K270" s="44"/>
      <c r="L270" s="44" t="str">
        <f>IFERROR(__xludf.DUMMYFUNCTION("IFERROR(IF(ISBLANK($C270), """", GOOGLEFINANCE($C270, ""price"")), """")"),"")</f>
        <v/>
      </c>
      <c r="M270" s="44" t="str">
        <f t="shared" si="3"/>
        <v/>
      </c>
      <c r="N270" s="44" t="str">
        <f>IFERROR(__xludf.DUMMYFUNCTION("IFERROR(IF(OR(ISBLANK($G270), IFERROR(INDEX(GOOGLEFINANCE($C270, ""price"", WORKDAY(INT($B270), 1)), 2, 2), """")=""""), """", IF($D270=""LONG"", (IFERROR(INDEX(GOOGLEFINANCE($C270, ""price"", WORKDAY(INT($B270), 1)), 2, 2), """")-$G270)/$G270, ($G270-IFE"&amp;"RROR(INDEX(GOOGLEFINANCE($C270, ""price"", WORKDAY(INT($B270), 1)), 2, 2), """"))/$G270)), """")"),"")</f>
        <v/>
      </c>
      <c r="O270" s="44" t="str">
        <f>IFERROR(__xludf.DUMMYFUNCTION("IFERROR(IF(OR(ISBLANK($G270), IFERROR(INDEX(GOOGLEFINANCE($C270, ""price"", WORKDAY(INT($B270), 5)), 2, 2), """")=""""), """", IF($D270=""LONG"", (IFERROR(INDEX(GOOGLEFINANCE($C270, ""price"", WORKDAY(INT($B270), 5)), 2, 2), """")-$G270)/$G270, ($G270-IFE"&amp;"RROR(INDEX(GOOGLEFINANCE($C270, ""price"", WORKDAY(INT($B270), 5)), 2, 2), """"))/$G270)), """")"),"")</f>
        <v/>
      </c>
      <c r="P270" s="44" t="str">
        <f>IFERROR(__xludf.DUMMYFUNCTION("IFERROR(IF(OR(ISBLANK($G270), IFERROR(INDEX(GOOGLEFINANCE($C270, ""price"", WORKDAY(INT($B270), 20)), 2, 2), """")=""""), """", IF($D270=""LONG"", (IFERROR(INDEX(GOOGLEFINANCE($C270, ""price"", WORKDAY(INT($B270), 20)), 2, 2), """")-$G270)/$G270, ($G270-I"&amp;"FERROR(INDEX(GOOGLEFINANCE($C270, ""price"", WORKDAY(INT($B270), 20)), 2, 2), """"))/$G270)), """")"),"")</f>
        <v/>
      </c>
      <c r="Q270" s="44"/>
      <c r="R270" s="44"/>
      <c r="S270" s="44"/>
      <c r="T270" s="44"/>
      <c r="U270" s="44"/>
      <c r="V270" s="44"/>
      <c r="W270" s="44"/>
      <c r="X270" s="44"/>
      <c r="Y270" s="44"/>
      <c r="Z270" s="44"/>
    </row>
    <row r="271">
      <c r="A271" s="44"/>
      <c r="B271" s="44"/>
      <c r="C271" s="44"/>
      <c r="D271" s="44"/>
      <c r="E271" s="44"/>
      <c r="F271" s="44"/>
      <c r="G271" s="44"/>
      <c r="H271" s="44"/>
      <c r="I271" s="44"/>
      <c r="J271" s="44"/>
      <c r="K271" s="44"/>
      <c r="L271" s="44" t="str">
        <f>IFERROR(__xludf.DUMMYFUNCTION("IFERROR(IF(ISBLANK($C271), """", GOOGLEFINANCE($C271, ""price"")), """")"),"")</f>
        <v/>
      </c>
      <c r="M271" s="44" t="str">
        <f t="shared" si="3"/>
        <v/>
      </c>
      <c r="N271" s="44" t="str">
        <f>IFERROR(__xludf.DUMMYFUNCTION("IFERROR(IF(OR(ISBLANK($G271), IFERROR(INDEX(GOOGLEFINANCE($C271, ""price"", WORKDAY(INT($B271), 1)), 2, 2), """")=""""), """", IF($D271=""LONG"", (IFERROR(INDEX(GOOGLEFINANCE($C271, ""price"", WORKDAY(INT($B271), 1)), 2, 2), """")-$G271)/$G271, ($G271-IFE"&amp;"RROR(INDEX(GOOGLEFINANCE($C271, ""price"", WORKDAY(INT($B271), 1)), 2, 2), """"))/$G271)), """")"),"")</f>
        <v/>
      </c>
      <c r="O271" s="44" t="str">
        <f>IFERROR(__xludf.DUMMYFUNCTION("IFERROR(IF(OR(ISBLANK($G271), IFERROR(INDEX(GOOGLEFINANCE($C271, ""price"", WORKDAY(INT($B271), 5)), 2, 2), """")=""""), """", IF($D271=""LONG"", (IFERROR(INDEX(GOOGLEFINANCE($C271, ""price"", WORKDAY(INT($B271), 5)), 2, 2), """")-$G271)/$G271, ($G271-IFE"&amp;"RROR(INDEX(GOOGLEFINANCE($C271, ""price"", WORKDAY(INT($B271), 5)), 2, 2), """"))/$G271)), """")"),"")</f>
        <v/>
      </c>
      <c r="P271" s="44" t="str">
        <f>IFERROR(__xludf.DUMMYFUNCTION("IFERROR(IF(OR(ISBLANK($G271), IFERROR(INDEX(GOOGLEFINANCE($C271, ""price"", WORKDAY(INT($B271), 20)), 2, 2), """")=""""), """", IF($D271=""LONG"", (IFERROR(INDEX(GOOGLEFINANCE($C271, ""price"", WORKDAY(INT($B271), 20)), 2, 2), """")-$G271)/$G271, ($G271-I"&amp;"FERROR(INDEX(GOOGLEFINANCE($C271, ""price"", WORKDAY(INT($B271), 20)), 2, 2), """"))/$G271)), """")"),"")</f>
        <v/>
      </c>
      <c r="Q271" s="44"/>
      <c r="R271" s="44"/>
      <c r="S271" s="44"/>
      <c r="T271" s="44"/>
      <c r="U271" s="44"/>
      <c r="V271" s="44"/>
      <c r="W271" s="44"/>
      <c r="X271" s="44"/>
      <c r="Y271" s="44"/>
      <c r="Z271" s="44"/>
    </row>
    <row r="272">
      <c r="A272" s="44"/>
      <c r="B272" s="44"/>
      <c r="C272" s="44"/>
      <c r="D272" s="44"/>
      <c r="E272" s="44"/>
      <c r="F272" s="44"/>
      <c r="G272" s="44"/>
      <c r="H272" s="44"/>
      <c r="I272" s="44"/>
      <c r="J272" s="44"/>
      <c r="K272" s="44"/>
      <c r="L272" s="44" t="str">
        <f>IFERROR(__xludf.DUMMYFUNCTION("IFERROR(IF(ISBLANK($C272), """", GOOGLEFINANCE($C272, ""price"")), """")"),"")</f>
        <v/>
      </c>
      <c r="M272" s="44" t="str">
        <f t="shared" si="3"/>
        <v/>
      </c>
      <c r="N272" s="44" t="str">
        <f>IFERROR(__xludf.DUMMYFUNCTION("IFERROR(IF(OR(ISBLANK($G272), IFERROR(INDEX(GOOGLEFINANCE($C272, ""price"", WORKDAY(INT($B272), 1)), 2, 2), """")=""""), """", IF($D272=""LONG"", (IFERROR(INDEX(GOOGLEFINANCE($C272, ""price"", WORKDAY(INT($B272), 1)), 2, 2), """")-$G272)/$G272, ($G272-IFE"&amp;"RROR(INDEX(GOOGLEFINANCE($C272, ""price"", WORKDAY(INT($B272), 1)), 2, 2), """"))/$G272)), """")"),"")</f>
        <v/>
      </c>
      <c r="O272" s="44" t="str">
        <f>IFERROR(__xludf.DUMMYFUNCTION("IFERROR(IF(OR(ISBLANK($G272), IFERROR(INDEX(GOOGLEFINANCE($C272, ""price"", WORKDAY(INT($B272), 5)), 2, 2), """")=""""), """", IF($D272=""LONG"", (IFERROR(INDEX(GOOGLEFINANCE($C272, ""price"", WORKDAY(INT($B272), 5)), 2, 2), """")-$G272)/$G272, ($G272-IFE"&amp;"RROR(INDEX(GOOGLEFINANCE($C272, ""price"", WORKDAY(INT($B272), 5)), 2, 2), """"))/$G272)), """")"),"")</f>
        <v/>
      </c>
      <c r="P272" s="44" t="str">
        <f>IFERROR(__xludf.DUMMYFUNCTION("IFERROR(IF(OR(ISBLANK($G272), IFERROR(INDEX(GOOGLEFINANCE($C272, ""price"", WORKDAY(INT($B272), 20)), 2, 2), """")=""""), """", IF($D272=""LONG"", (IFERROR(INDEX(GOOGLEFINANCE($C272, ""price"", WORKDAY(INT($B272), 20)), 2, 2), """")-$G272)/$G272, ($G272-I"&amp;"FERROR(INDEX(GOOGLEFINANCE($C272, ""price"", WORKDAY(INT($B272), 20)), 2, 2), """"))/$G272)), """")"),"")</f>
        <v/>
      </c>
      <c r="Q272" s="44"/>
      <c r="R272" s="44"/>
      <c r="S272" s="44"/>
      <c r="T272" s="44"/>
      <c r="U272" s="44"/>
      <c r="V272" s="44"/>
      <c r="W272" s="44"/>
      <c r="X272" s="44"/>
      <c r="Y272" s="44"/>
      <c r="Z272" s="44"/>
    </row>
    <row r="273">
      <c r="A273" s="44"/>
      <c r="B273" s="44"/>
      <c r="C273" s="44"/>
      <c r="D273" s="44"/>
      <c r="E273" s="44"/>
      <c r="F273" s="44"/>
      <c r="G273" s="44"/>
      <c r="H273" s="44"/>
      <c r="I273" s="44"/>
      <c r="J273" s="44"/>
      <c r="K273" s="44"/>
      <c r="L273" s="44" t="str">
        <f>IFERROR(__xludf.DUMMYFUNCTION("IFERROR(IF(ISBLANK($C273), """", GOOGLEFINANCE($C273, ""price"")), """")"),"")</f>
        <v/>
      </c>
      <c r="M273" s="44" t="str">
        <f t="shared" si="3"/>
        <v/>
      </c>
      <c r="N273" s="44" t="str">
        <f>IFERROR(__xludf.DUMMYFUNCTION("IFERROR(IF(OR(ISBLANK($G273), IFERROR(INDEX(GOOGLEFINANCE($C273, ""price"", WORKDAY(INT($B273), 1)), 2, 2), """")=""""), """", IF($D273=""LONG"", (IFERROR(INDEX(GOOGLEFINANCE($C273, ""price"", WORKDAY(INT($B273), 1)), 2, 2), """")-$G273)/$G273, ($G273-IFE"&amp;"RROR(INDEX(GOOGLEFINANCE($C273, ""price"", WORKDAY(INT($B273), 1)), 2, 2), """"))/$G273)), """")"),"")</f>
        <v/>
      </c>
      <c r="O273" s="44" t="str">
        <f>IFERROR(__xludf.DUMMYFUNCTION("IFERROR(IF(OR(ISBLANK($G273), IFERROR(INDEX(GOOGLEFINANCE($C273, ""price"", WORKDAY(INT($B273), 5)), 2, 2), """")=""""), """", IF($D273=""LONG"", (IFERROR(INDEX(GOOGLEFINANCE($C273, ""price"", WORKDAY(INT($B273), 5)), 2, 2), """")-$G273)/$G273, ($G273-IFE"&amp;"RROR(INDEX(GOOGLEFINANCE($C273, ""price"", WORKDAY(INT($B273), 5)), 2, 2), """"))/$G273)), """")"),"")</f>
        <v/>
      </c>
      <c r="P273" s="44" t="str">
        <f>IFERROR(__xludf.DUMMYFUNCTION("IFERROR(IF(OR(ISBLANK($G273), IFERROR(INDEX(GOOGLEFINANCE($C273, ""price"", WORKDAY(INT($B273), 20)), 2, 2), """")=""""), """", IF($D273=""LONG"", (IFERROR(INDEX(GOOGLEFINANCE($C273, ""price"", WORKDAY(INT($B273), 20)), 2, 2), """")-$G273)/$G273, ($G273-I"&amp;"FERROR(INDEX(GOOGLEFINANCE($C273, ""price"", WORKDAY(INT($B273), 20)), 2, 2), """"))/$G273)), """")"),"")</f>
        <v/>
      </c>
      <c r="Q273" s="44"/>
      <c r="R273" s="44"/>
      <c r="S273" s="44"/>
      <c r="T273" s="44"/>
      <c r="U273" s="44"/>
      <c r="V273" s="44"/>
      <c r="W273" s="44"/>
      <c r="X273" s="44"/>
      <c r="Y273" s="44"/>
      <c r="Z273" s="44"/>
    </row>
    <row r="274">
      <c r="A274" s="44"/>
      <c r="B274" s="44"/>
      <c r="C274" s="44"/>
      <c r="D274" s="44"/>
      <c r="E274" s="44"/>
      <c r="F274" s="44"/>
      <c r="G274" s="44"/>
      <c r="H274" s="44"/>
      <c r="I274" s="44"/>
      <c r="J274" s="44"/>
      <c r="K274" s="44"/>
      <c r="L274" s="44" t="str">
        <f>IFERROR(__xludf.DUMMYFUNCTION("IFERROR(IF(ISBLANK($C274), """", GOOGLEFINANCE($C274, ""price"")), """")"),"")</f>
        <v/>
      </c>
      <c r="M274" s="44" t="str">
        <f t="shared" si="3"/>
        <v/>
      </c>
      <c r="N274" s="44" t="str">
        <f>IFERROR(__xludf.DUMMYFUNCTION("IFERROR(IF(OR(ISBLANK($G274), IFERROR(INDEX(GOOGLEFINANCE($C274, ""price"", WORKDAY(INT($B274), 1)), 2, 2), """")=""""), """", IF($D274=""LONG"", (IFERROR(INDEX(GOOGLEFINANCE($C274, ""price"", WORKDAY(INT($B274), 1)), 2, 2), """")-$G274)/$G274, ($G274-IFE"&amp;"RROR(INDEX(GOOGLEFINANCE($C274, ""price"", WORKDAY(INT($B274), 1)), 2, 2), """"))/$G274)), """")"),"")</f>
        <v/>
      </c>
      <c r="O274" s="44" t="str">
        <f>IFERROR(__xludf.DUMMYFUNCTION("IFERROR(IF(OR(ISBLANK($G274), IFERROR(INDEX(GOOGLEFINANCE($C274, ""price"", WORKDAY(INT($B274), 5)), 2, 2), """")=""""), """", IF($D274=""LONG"", (IFERROR(INDEX(GOOGLEFINANCE($C274, ""price"", WORKDAY(INT($B274), 5)), 2, 2), """")-$G274)/$G274, ($G274-IFE"&amp;"RROR(INDEX(GOOGLEFINANCE($C274, ""price"", WORKDAY(INT($B274), 5)), 2, 2), """"))/$G274)), """")"),"")</f>
        <v/>
      </c>
      <c r="P274" s="44" t="str">
        <f>IFERROR(__xludf.DUMMYFUNCTION("IFERROR(IF(OR(ISBLANK($G274), IFERROR(INDEX(GOOGLEFINANCE($C274, ""price"", WORKDAY(INT($B274), 20)), 2, 2), """")=""""), """", IF($D274=""LONG"", (IFERROR(INDEX(GOOGLEFINANCE($C274, ""price"", WORKDAY(INT($B274), 20)), 2, 2), """")-$G274)/$G274, ($G274-I"&amp;"FERROR(INDEX(GOOGLEFINANCE($C274, ""price"", WORKDAY(INT($B274), 20)), 2, 2), """"))/$G274)), """")"),"")</f>
        <v/>
      </c>
      <c r="Q274" s="44"/>
      <c r="R274" s="44"/>
      <c r="S274" s="44"/>
      <c r="T274" s="44"/>
      <c r="U274" s="44"/>
      <c r="V274" s="44"/>
      <c r="W274" s="44"/>
      <c r="X274" s="44"/>
      <c r="Y274" s="44"/>
      <c r="Z274" s="44"/>
    </row>
    <row r="275">
      <c r="A275" s="44"/>
      <c r="B275" s="44"/>
      <c r="C275" s="44"/>
      <c r="D275" s="44"/>
      <c r="E275" s="44"/>
      <c r="F275" s="44"/>
      <c r="G275" s="44"/>
      <c r="H275" s="44"/>
      <c r="I275" s="44"/>
      <c r="J275" s="44"/>
      <c r="K275" s="44"/>
      <c r="L275" s="44" t="str">
        <f>IFERROR(__xludf.DUMMYFUNCTION("IFERROR(IF(ISBLANK($C275), """", GOOGLEFINANCE($C275, ""price"")), """")"),"")</f>
        <v/>
      </c>
      <c r="M275" s="44" t="str">
        <f t="shared" si="3"/>
        <v/>
      </c>
      <c r="N275" s="44" t="str">
        <f>IFERROR(__xludf.DUMMYFUNCTION("IFERROR(IF(OR(ISBLANK($G275), IFERROR(INDEX(GOOGLEFINANCE($C275, ""price"", WORKDAY(INT($B275), 1)), 2, 2), """")=""""), """", IF($D275=""LONG"", (IFERROR(INDEX(GOOGLEFINANCE($C275, ""price"", WORKDAY(INT($B275), 1)), 2, 2), """")-$G275)/$G275, ($G275-IFE"&amp;"RROR(INDEX(GOOGLEFINANCE($C275, ""price"", WORKDAY(INT($B275), 1)), 2, 2), """"))/$G275)), """")"),"")</f>
        <v/>
      </c>
      <c r="O275" s="44" t="str">
        <f>IFERROR(__xludf.DUMMYFUNCTION("IFERROR(IF(OR(ISBLANK($G275), IFERROR(INDEX(GOOGLEFINANCE($C275, ""price"", WORKDAY(INT($B275), 5)), 2, 2), """")=""""), """", IF($D275=""LONG"", (IFERROR(INDEX(GOOGLEFINANCE($C275, ""price"", WORKDAY(INT($B275), 5)), 2, 2), """")-$G275)/$G275, ($G275-IFE"&amp;"RROR(INDEX(GOOGLEFINANCE($C275, ""price"", WORKDAY(INT($B275), 5)), 2, 2), """"))/$G275)), """")"),"")</f>
        <v/>
      </c>
      <c r="P275" s="44" t="str">
        <f>IFERROR(__xludf.DUMMYFUNCTION("IFERROR(IF(OR(ISBLANK($G275), IFERROR(INDEX(GOOGLEFINANCE($C275, ""price"", WORKDAY(INT($B275), 20)), 2, 2), """")=""""), """", IF($D275=""LONG"", (IFERROR(INDEX(GOOGLEFINANCE($C275, ""price"", WORKDAY(INT($B275), 20)), 2, 2), """")-$G275)/$G275, ($G275-I"&amp;"FERROR(INDEX(GOOGLEFINANCE($C275, ""price"", WORKDAY(INT($B275), 20)), 2, 2), """"))/$G275)), """")"),"")</f>
        <v/>
      </c>
      <c r="Q275" s="44"/>
      <c r="R275" s="44"/>
      <c r="S275" s="44"/>
      <c r="T275" s="44"/>
      <c r="U275" s="44"/>
      <c r="V275" s="44"/>
      <c r="W275" s="44"/>
      <c r="X275" s="44"/>
      <c r="Y275" s="44"/>
      <c r="Z275" s="44"/>
    </row>
    <row r="276">
      <c r="A276" s="44"/>
      <c r="B276" s="44"/>
      <c r="C276" s="44"/>
      <c r="D276" s="44"/>
      <c r="E276" s="44"/>
      <c r="F276" s="44"/>
      <c r="G276" s="44"/>
      <c r="H276" s="44"/>
      <c r="I276" s="44"/>
      <c r="J276" s="44"/>
      <c r="K276" s="44"/>
      <c r="L276" s="44" t="str">
        <f>IFERROR(__xludf.DUMMYFUNCTION("IFERROR(IF(ISBLANK($C276), """", GOOGLEFINANCE($C276, ""price"")), """")"),"")</f>
        <v/>
      </c>
      <c r="M276" s="44" t="str">
        <f t="shared" si="3"/>
        <v/>
      </c>
      <c r="N276" s="44" t="str">
        <f>IFERROR(__xludf.DUMMYFUNCTION("IFERROR(IF(OR(ISBLANK($G276), IFERROR(INDEX(GOOGLEFINANCE($C276, ""price"", WORKDAY(INT($B276), 1)), 2, 2), """")=""""), """", IF($D276=""LONG"", (IFERROR(INDEX(GOOGLEFINANCE($C276, ""price"", WORKDAY(INT($B276), 1)), 2, 2), """")-$G276)/$G276, ($G276-IFE"&amp;"RROR(INDEX(GOOGLEFINANCE($C276, ""price"", WORKDAY(INT($B276), 1)), 2, 2), """"))/$G276)), """")"),"")</f>
        <v/>
      </c>
      <c r="O276" s="44" t="str">
        <f>IFERROR(__xludf.DUMMYFUNCTION("IFERROR(IF(OR(ISBLANK($G276), IFERROR(INDEX(GOOGLEFINANCE($C276, ""price"", WORKDAY(INT($B276), 5)), 2, 2), """")=""""), """", IF($D276=""LONG"", (IFERROR(INDEX(GOOGLEFINANCE($C276, ""price"", WORKDAY(INT($B276), 5)), 2, 2), """")-$G276)/$G276, ($G276-IFE"&amp;"RROR(INDEX(GOOGLEFINANCE($C276, ""price"", WORKDAY(INT($B276), 5)), 2, 2), """"))/$G276)), """")"),"")</f>
        <v/>
      </c>
      <c r="P276" s="44" t="str">
        <f>IFERROR(__xludf.DUMMYFUNCTION("IFERROR(IF(OR(ISBLANK($G276), IFERROR(INDEX(GOOGLEFINANCE($C276, ""price"", WORKDAY(INT($B276), 20)), 2, 2), """")=""""), """", IF($D276=""LONG"", (IFERROR(INDEX(GOOGLEFINANCE($C276, ""price"", WORKDAY(INT($B276), 20)), 2, 2), """")-$G276)/$G276, ($G276-I"&amp;"FERROR(INDEX(GOOGLEFINANCE($C276, ""price"", WORKDAY(INT($B276), 20)), 2, 2), """"))/$G276)), """")"),"")</f>
        <v/>
      </c>
      <c r="Q276" s="44"/>
      <c r="R276" s="44"/>
      <c r="S276" s="44"/>
      <c r="T276" s="44"/>
      <c r="U276" s="44"/>
      <c r="V276" s="44"/>
      <c r="W276" s="44"/>
      <c r="X276" s="44"/>
      <c r="Y276" s="44"/>
      <c r="Z276" s="44"/>
    </row>
    <row r="277">
      <c r="A277" s="44"/>
      <c r="B277" s="44"/>
      <c r="C277" s="44"/>
      <c r="D277" s="44"/>
      <c r="E277" s="44"/>
      <c r="F277" s="44"/>
      <c r="G277" s="44"/>
      <c r="H277" s="44"/>
      <c r="I277" s="44"/>
      <c r="J277" s="44"/>
      <c r="K277" s="44"/>
      <c r="L277" s="44" t="str">
        <f>IFERROR(__xludf.DUMMYFUNCTION("IFERROR(IF(ISBLANK($C277), """", GOOGLEFINANCE($C277, ""price"")), """")"),"")</f>
        <v/>
      </c>
      <c r="M277" s="44" t="str">
        <f t="shared" si="3"/>
        <v/>
      </c>
      <c r="N277" s="44" t="str">
        <f>IFERROR(__xludf.DUMMYFUNCTION("IFERROR(IF(OR(ISBLANK($G277), IFERROR(INDEX(GOOGLEFINANCE($C277, ""price"", WORKDAY(INT($B277), 1)), 2, 2), """")=""""), """", IF($D277=""LONG"", (IFERROR(INDEX(GOOGLEFINANCE($C277, ""price"", WORKDAY(INT($B277), 1)), 2, 2), """")-$G277)/$G277, ($G277-IFE"&amp;"RROR(INDEX(GOOGLEFINANCE($C277, ""price"", WORKDAY(INT($B277), 1)), 2, 2), """"))/$G277)), """")"),"")</f>
        <v/>
      </c>
      <c r="O277" s="44" t="str">
        <f>IFERROR(__xludf.DUMMYFUNCTION("IFERROR(IF(OR(ISBLANK($G277), IFERROR(INDEX(GOOGLEFINANCE($C277, ""price"", WORKDAY(INT($B277), 5)), 2, 2), """")=""""), """", IF($D277=""LONG"", (IFERROR(INDEX(GOOGLEFINANCE($C277, ""price"", WORKDAY(INT($B277), 5)), 2, 2), """")-$G277)/$G277, ($G277-IFE"&amp;"RROR(INDEX(GOOGLEFINANCE($C277, ""price"", WORKDAY(INT($B277), 5)), 2, 2), """"))/$G277)), """")"),"")</f>
        <v/>
      </c>
      <c r="P277" s="44" t="str">
        <f>IFERROR(__xludf.DUMMYFUNCTION("IFERROR(IF(OR(ISBLANK($G277), IFERROR(INDEX(GOOGLEFINANCE($C277, ""price"", WORKDAY(INT($B277), 20)), 2, 2), """")=""""), """", IF($D277=""LONG"", (IFERROR(INDEX(GOOGLEFINANCE($C277, ""price"", WORKDAY(INT($B277), 20)), 2, 2), """")-$G277)/$G277, ($G277-I"&amp;"FERROR(INDEX(GOOGLEFINANCE($C277, ""price"", WORKDAY(INT($B277), 20)), 2, 2), """"))/$G277)), """")"),"")</f>
        <v/>
      </c>
      <c r="Q277" s="44"/>
      <c r="R277" s="44"/>
      <c r="S277" s="44"/>
      <c r="T277" s="44"/>
      <c r="U277" s="44"/>
      <c r="V277" s="44"/>
      <c r="W277" s="44"/>
      <c r="X277" s="44"/>
      <c r="Y277" s="44"/>
      <c r="Z277" s="44"/>
    </row>
    <row r="278">
      <c r="A278" s="44"/>
      <c r="B278" s="44"/>
      <c r="C278" s="44"/>
      <c r="D278" s="44"/>
      <c r="E278" s="44"/>
      <c r="F278" s="44"/>
      <c r="G278" s="44"/>
      <c r="H278" s="44"/>
      <c r="I278" s="44"/>
      <c r="J278" s="44"/>
      <c r="K278" s="44"/>
      <c r="L278" s="44" t="str">
        <f>IFERROR(__xludf.DUMMYFUNCTION("IFERROR(IF(ISBLANK($C278), """", GOOGLEFINANCE($C278, ""price"")), """")"),"")</f>
        <v/>
      </c>
      <c r="M278" s="44" t="str">
        <f t="shared" si="3"/>
        <v/>
      </c>
      <c r="N278" s="44" t="str">
        <f>IFERROR(__xludf.DUMMYFUNCTION("IFERROR(IF(OR(ISBLANK($G278), IFERROR(INDEX(GOOGLEFINANCE($C278, ""price"", WORKDAY(INT($B278), 1)), 2, 2), """")=""""), """", IF($D278=""LONG"", (IFERROR(INDEX(GOOGLEFINANCE($C278, ""price"", WORKDAY(INT($B278), 1)), 2, 2), """")-$G278)/$G278, ($G278-IFE"&amp;"RROR(INDEX(GOOGLEFINANCE($C278, ""price"", WORKDAY(INT($B278), 1)), 2, 2), """"))/$G278)), """")"),"")</f>
        <v/>
      </c>
      <c r="O278" s="44" t="str">
        <f>IFERROR(__xludf.DUMMYFUNCTION("IFERROR(IF(OR(ISBLANK($G278), IFERROR(INDEX(GOOGLEFINANCE($C278, ""price"", WORKDAY(INT($B278), 5)), 2, 2), """")=""""), """", IF($D278=""LONG"", (IFERROR(INDEX(GOOGLEFINANCE($C278, ""price"", WORKDAY(INT($B278), 5)), 2, 2), """")-$G278)/$G278, ($G278-IFE"&amp;"RROR(INDEX(GOOGLEFINANCE($C278, ""price"", WORKDAY(INT($B278), 5)), 2, 2), """"))/$G278)), """")"),"")</f>
        <v/>
      </c>
      <c r="P278" s="44" t="str">
        <f>IFERROR(__xludf.DUMMYFUNCTION("IFERROR(IF(OR(ISBLANK($G278), IFERROR(INDEX(GOOGLEFINANCE($C278, ""price"", WORKDAY(INT($B278), 20)), 2, 2), """")=""""), """", IF($D278=""LONG"", (IFERROR(INDEX(GOOGLEFINANCE($C278, ""price"", WORKDAY(INT($B278), 20)), 2, 2), """")-$G278)/$G278, ($G278-I"&amp;"FERROR(INDEX(GOOGLEFINANCE($C278, ""price"", WORKDAY(INT($B278), 20)), 2, 2), """"))/$G278)), """")"),"")</f>
        <v/>
      </c>
      <c r="Q278" s="44"/>
      <c r="R278" s="44"/>
      <c r="S278" s="44"/>
      <c r="T278" s="44"/>
      <c r="U278" s="44"/>
      <c r="V278" s="44"/>
      <c r="W278" s="44"/>
      <c r="X278" s="44"/>
      <c r="Y278" s="44"/>
      <c r="Z278" s="44"/>
    </row>
    <row r="279">
      <c r="A279" s="44"/>
      <c r="B279" s="44"/>
      <c r="C279" s="44"/>
      <c r="D279" s="44"/>
      <c r="E279" s="44"/>
      <c r="F279" s="44"/>
      <c r="G279" s="44"/>
      <c r="H279" s="44"/>
      <c r="I279" s="44"/>
      <c r="J279" s="44"/>
      <c r="K279" s="44"/>
      <c r="L279" s="44" t="str">
        <f>IFERROR(__xludf.DUMMYFUNCTION("IFERROR(IF(ISBLANK($C279), """", GOOGLEFINANCE($C279, ""price"")), """")"),"")</f>
        <v/>
      </c>
      <c r="M279" s="44" t="str">
        <f t="shared" si="3"/>
        <v/>
      </c>
      <c r="N279" s="44" t="str">
        <f>IFERROR(__xludf.DUMMYFUNCTION("IFERROR(IF(OR(ISBLANK($G279), IFERROR(INDEX(GOOGLEFINANCE($C279, ""price"", WORKDAY(INT($B279), 1)), 2, 2), """")=""""), """", IF($D279=""LONG"", (IFERROR(INDEX(GOOGLEFINANCE($C279, ""price"", WORKDAY(INT($B279), 1)), 2, 2), """")-$G279)/$G279, ($G279-IFE"&amp;"RROR(INDEX(GOOGLEFINANCE($C279, ""price"", WORKDAY(INT($B279), 1)), 2, 2), """"))/$G279)), """")"),"")</f>
        <v/>
      </c>
      <c r="O279" s="44" t="str">
        <f>IFERROR(__xludf.DUMMYFUNCTION("IFERROR(IF(OR(ISBLANK($G279), IFERROR(INDEX(GOOGLEFINANCE($C279, ""price"", WORKDAY(INT($B279), 5)), 2, 2), """")=""""), """", IF($D279=""LONG"", (IFERROR(INDEX(GOOGLEFINANCE($C279, ""price"", WORKDAY(INT($B279), 5)), 2, 2), """")-$G279)/$G279, ($G279-IFE"&amp;"RROR(INDEX(GOOGLEFINANCE($C279, ""price"", WORKDAY(INT($B279), 5)), 2, 2), """"))/$G279)), """")"),"")</f>
        <v/>
      </c>
      <c r="P279" s="44" t="str">
        <f>IFERROR(__xludf.DUMMYFUNCTION("IFERROR(IF(OR(ISBLANK($G279), IFERROR(INDEX(GOOGLEFINANCE($C279, ""price"", WORKDAY(INT($B279), 20)), 2, 2), """")=""""), """", IF($D279=""LONG"", (IFERROR(INDEX(GOOGLEFINANCE($C279, ""price"", WORKDAY(INT($B279), 20)), 2, 2), """")-$G279)/$G279, ($G279-I"&amp;"FERROR(INDEX(GOOGLEFINANCE($C279, ""price"", WORKDAY(INT($B279), 20)), 2, 2), """"))/$G279)), """")"),"")</f>
        <v/>
      </c>
      <c r="Q279" s="44"/>
      <c r="R279" s="44"/>
      <c r="S279" s="44"/>
      <c r="T279" s="44"/>
      <c r="U279" s="44"/>
      <c r="V279" s="44"/>
      <c r="W279" s="44"/>
      <c r="X279" s="44"/>
      <c r="Y279" s="44"/>
      <c r="Z279" s="44"/>
    </row>
    <row r="280">
      <c r="A280" s="44"/>
      <c r="B280" s="44"/>
      <c r="C280" s="44"/>
      <c r="D280" s="44"/>
      <c r="E280" s="44"/>
      <c r="F280" s="44"/>
      <c r="G280" s="44"/>
      <c r="H280" s="44"/>
      <c r="I280" s="44"/>
      <c r="J280" s="44"/>
      <c r="K280" s="44"/>
      <c r="L280" s="44" t="str">
        <f>IFERROR(__xludf.DUMMYFUNCTION("IFERROR(IF(ISBLANK($C280), """", GOOGLEFINANCE($C280, ""price"")), """")"),"")</f>
        <v/>
      </c>
      <c r="M280" s="44" t="str">
        <f t="shared" si="3"/>
        <v/>
      </c>
      <c r="N280" s="44" t="str">
        <f>IFERROR(__xludf.DUMMYFUNCTION("IFERROR(IF(OR(ISBLANK($G280), IFERROR(INDEX(GOOGLEFINANCE($C280, ""price"", WORKDAY(INT($B280), 1)), 2, 2), """")=""""), """", IF($D280=""LONG"", (IFERROR(INDEX(GOOGLEFINANCE($C280, ""price"", WORKDAY(INT($B280), 1)), 2, 2), """")-$G280)/$G280, ($G280-IFE"&amp;"RROR(INDEX(GOOGLEFINANCE($C280, ""price"", WORKDAY(INT($B280), 1)), 2, 2), """"))/$G280)), """")"),"")</f>
        <v/>
      </c>
      <c r="O280" s="44" t="str">
        <f>IFERROR(__xludf.DUMMYFUNCTION("IFERROR(IF(OR(ISBLANK($G280), IFERROR(INDEX(GOOGLEFINANCE($C280, ""price"", WORKDAY(INT($B280), 5)), 2, 2), """")=""""), """", IF($D280=""LONG"", (IFERROR(INDEX(GOOGLEFINANCE($C280, ""price"", WORKDAY(INT($B280), 5)), 2, 2), """")-$G280)/$G280, ($G280-IFE"&amp;"RROR(INDEX(GOOGLEFINANCE($C280, ""price"", WORKDAY(INT($B280), 5)), 2, 2), """"))/$G280)), """")"),"")</f>
        <v/>
      </c>
      <c r="P280" s="44" t="str">
        <f>IFERROR(__xludf.DUMMYFUNCTION("IFERROR(IF(OR(ISBLANK($G280), IFERROR(INDEX(GOOGLEFINANCE($C280, ""price"", WORKDAY(INT($B280), 20)), 2, 2), """")=""""), """", IF($D280=""LONG"", (IFERROR(INDEX(GOOGLEFINANCE($C280, ""price"", WORKDAY(INT($B280), 20)), 2, 2), """")-$G280)/$G280, ($G280-I"&amp;"FERROR(INDEX(GOOGLEFINANCE($C280, ""price"", WORKDAY(INT($B280), 20)), 2, 2), """"))/$G280)), """")"),"")</f>
        <v/>
      </c>
      <c r="Q280" s="44"/>
      <c r="R280" s="44"/>
      <c r="S280" s="44"/>
      <c r="T280" s="44"/>
      <c r="U280" s="44"/>
      <c r="V280" s="44"/>
      <c r="W280" s="44"/>
      <c r="X280" s="44"/>
      <c r="Y280" s="44"/>
      <c r="Z280" s="44"/>
    </row>
    <row r="281">
      <c r="A281" s="44"/>
      <c r="B281" s="44"/>
      <c r="C281" s="44"/>
      <c r="D281" s="44"/>
      <c r="E281" s="44"/>
      <c r="F281" s="44"/>
      <c r="G281" s="44"/>
      <c r="H281" s="44"/>
      <c r="I281" s="44"/>
      <c r="J281" s="44"/>
      <c r="K281" s="44"/>
      <c r="L281" s="44" t="str">
        <f>IFERROR(__xludf.DUMMYFUNCTION("IFERROR(IF(ISBLANK($C281), """", GOOGLEFINANCE($C281, ""price"")), """")"),"")</f>
        <v/>
      </c>
      <c r="M281" s="44" t="str">
        <f t="shared" si="3"/>
        <v/>
      </c>
      <c r="N281" s="44" t="str">
        <f>IFERROR(__xludf.DUMMYFUNCTION("IFERROR(IF(OR(ISBLANK($G281), IFERROR(INDEX(GOOGLEFINANCE($C281, ""price"", WORKDAY(INT($B281), 1)), 2, 2), """")=""""), """", IF($D281=""LONG"", (IFERROR(INDEX(GOOGLEFINANCE($C281, ""price"", WORKDAY(INT($B281), 1)), 2, 2), """")-$G281)/$G281, ($G281-IFE"&amp;"RROR(INDEX(GOOGLEFINANCE($C281, ""price"", WORKDAY(INT($B281), 1)), 2, 2), """"))/$G281)), """")"),"")</f>
        <v/>
      </c>
      <c r="O281" s="44" t="str">
        <f>IFERROR(__xludf.DUMMYFUNCTION("IFERROR(IF(OR(ISBLANK($G281), IFERROR(INDEX(GOOGLEFINANCE($C281, ""price"", WORKDAY(INT($B281), 5)), 2, 2), """")=""""), """", IF($D281=""LONG"", (IFERROR(INDEX(GOOGLEFINANCE($C281, ""price"", WORKDAY(INT($B281), 5)), 2, 2), """")-$G281)/$G281, ($G281-IFE"&amp;"RROR(INDEX(GOOGLEFINANCE($C281, ""price"", WORKDAY(INT($B281), 5)), 2, 2), """"))/$G281)), """")"),"")</f>
        <v/>
      </c>
      <c r="P281" s="44" t="str">
        <f>IFERROR(__xludf.DUMMYFUNCTION("IFERROR(IF(OR(ISBLANK($G281), IFERROR(INDEX(GOOGLEFINANCE($C281, ""price"", WORKDAY(INT($B281), 20)), 2, 2), """")=""""), """", IF($D281=""LONG"", (IFERROR(INDEX(GOOGLEFINANCE($C281, ""price"", WORKDAY(INT($B281), 20)), 2, 2), """")-$G281)/$G281, ($G281-I"&amp;"FERROR(INDEX(GOOGLEFINANCE($C281, ""price"", WORKDAY(INT($B281), 20)), 2, 2), """"))/$G281)), """")"),"")</f>
        <v/>
      </c>
      <c r="Q281" s="44"/>
      <c r="R281" s="44"/>
      <c r="S281" s="44"/>
      <c r="T281" s="44"/>
      <c r="U281" s="44"/>
      <c r="V281" s="44"/>
      <c r="W281" s="44"/>
      <c r="X281" s="44"/>
      <c r="Y281" s="44"/>
      <c r="Z281" s="44"/>
    </row>
    <row r="282">
      <c r="A282" s="44"/>
      <c r="B282" s="44"/>
      <c r="C282" s="44"/>
      <c r="D282" s="44"/>
      <c r="E282" s="44"/>
      <c r="F282" s="44"/>
      <c r="G282" s="44"/>
      <c r="H282" s="44"/>
      <c r="I282" s="44"/>
      <c r="J282" s="44"/>
      <c r="K282" s="44"/>
      <c r="L282" s="44" t="str">
        <f>IFERROR(__xludf.DUMMYFUNCTION("IFERROR(IF(ISBLANK($C282), """", GOOGLEFINANCE($C282, ""price"")), """")"),"")</f>
        <v/>
      </c>
      <c r="M282" s="44" t="str">
        <f t="shared" si="3"/>
        <v/>
      </c>
      <c r="N282" s="44" t="str">
        <f>IFERROR(__xludf.DUMMYFUNCTION("IFERROR(IF(OR(ISBLANK($G282), IFERROR(INDEX(GOOGLEFINANCE($C282, ""price"", WORKDAY(INT($B282), 1)), 2, 2), """")=""""), """", IF($D282=""LONG"", (IFERROR(INDEX(GOOGLEFINANCE($C282, ""price"", WORKDAY(INT($B282), 1)), 2, 2), """")-$G282)/$G282, ($G282-IFE"&amp;"RROR(INDEX(GOOGLEFINANCE($C282, ""price"", WORKDAY(INT($B282), 1)), 2, 2), """"))/$G282)), """")"),"")</f>
        <v/>
      </c>
      <c r="O282" s="44" t="str">
        <f>IFERROR(__xludf.DUMMYFUNCTION("IFERROR(IF(OR(ISBLANK($G282), IFERROR(INDEX(GOOGLEFINANCE($C282, ""price"", WORKDAY(INT($B282), 5)), 2, 2), """")=""""), """", IF($D282=""LONG"", (IFERROR(INDEX(GOOGLEFINANCE($C282, ""price"", WORKDAY(INT($B282), 5)), 2, 2), """")-$G282)/$G282, ($G282-IFE"&amp;"RROR(INDEX(GOOGLEFINANCE($C282, ""price"", WORKDAY(INT($B282), 5)), 2, 2), """"))/$G282)), """")"),"")</f>
        <v/>
      </c>
      <c r="P282" s="44" t="str">
        <f>IFERROR(__xludf.DUMMYFUNCTION("IFERROR(IF(OR(ISBLANK($G282), IFERROR(INDEX(GOOGLEFINANCE($C282, ""price"", WORKDAY(INT($B282), 20)), 2, 2), """")=""""), """", IF($D282=""LONG"", (IFERROR(INDEX(GOOGLEFINANCE($C282, ""price"", WORKDAY(INT($B282), 20)), 2, 2), """")-$G282)/$G282, ($G282-I"&amp;"FERROR(INDEX(GOOGLEFINANCE($C282, ""price"", WORKDAY(INT($B282), 20)), 2, 2), """"))/$G282)), """")"),"")</f>
        <v/>
      </c>
      <c r="Q282" s="44"/>
      <c r="R282" s="44"/>
      <c r="S282" s="44"/>
      <c r="T282" s="44"/>
      <c r="U282" s="44"/>
      <c r="V282" s="44"/>
      <c r="W282" s="44"/>
      <c r="X282" s="44"/>
      <c r="Y282" s="44"/>
      <c r="Z282" s="44"/>
    </row>
    <row r="283">
      <c r="A283" s="44"/>
      <c r="B283" s="44"/>
      <c r="C283" s="44"/>
      <c r="D283" s="44"/>
      <c r="E283" s="44"/>
      <c r="F283" s="44"/>
      <c r="G283" s="44"/>
      <c r="H283" s="44"/>
      <c r="I283" s="44"/>
      <c r="J283" s="44"/>
      <c r="K283" s="44"/>
      <c r="L283" s="44" t="str">
        <f>IFERROR(__xludf.DUMMYFUNCTION("IFERROR(IF(ISBLANK($C283), """", GOOGLEFINANCE($C283, ""price"")), """")"),"")</f>
        <v/>
      </c>
      <c r="M283" s="44" t="str">
        <f t="shared" si="3"/>
        <v/>
      </c>
      <c r="N283" s="44" t="str">
        <f>IFERROR(__xludf.DUMMYFUNCTION("IFERROR(IF(OR(ISBLANK($G283), IFERROR(INDEX(GOOGLEFINANCE($C283, ""price"", WORKDAY(INT($B283), 1)), 2, 2), """")=""""), """", IF($D283=""LONG"", (IFERROR(INDEX(GOOGLEFINANCE($C283, ""price"", WORKDAY(INT($B283), 1)), 2, 2), """")-$G283)/$G283, ($G283-IFE"&amp;"RROR(INDEX(GOOGLEFINANCE($C283, ""price"", WORKDAY(INT($B283), 1)), 2, 2), """"))/$G283)), """")"),"")</f>
        <v/>
      </c>
      <c r="O283" s="44" t="str">
        <f>IFERROR(__xludf.DUMMYFUNCTION("IFERROR(IF(OR(ISBLANK($G283), IFERROR(INDEX(GOOGLEFINANCE($C283, ""price"", WORKDAY(INT($B283), 5)), 2, 2), """")=""""), """", IF($D283=""LONG"", (IFERROR(INDEX(GOOGLEFINANCE($C283, ""price"", WORKDAY(INT($B283), 5)), 2, 2), """")-$G283)/$G283, ($G283-IFE"&amp;"RROR(INDEX(GOOGLEFINANCE($C283, ""price"", WORKDAY(INT($B283), 5)), 2, 2), """"))/$G283)), """")"),"")</f>
        <v/>
      </c>
      <c r="P283" s="44" t="str">
        <f>IFERROR(__xludf.DUMMYFUNCTION("IFERROR(IF(OR(ISBLANK($G283), IFERROR(INDEX(GOOGLEFINANCE($C283, ""price"", WORKDAY(INT($B283), 20)), 2, 2), """")=""""), """", IF($D283=""LONG"", (IFERROR(INDEX(GOOGLEFINANCE($C283, ""price"", WORKDAY(INT($B283), 20)), 2, 2), """")-$G283)/$G283, ($G283-I"&amp;"FERROR(INDEX(GOOGLEFINANCE($C283, ""price"", WORKDAY(INT($B283), 20)), 2, 2), """"))/$G283)), """")"),"")</f>
        <v/>
      </c>
      <c r="Q283" s="44"/>
      <c r="R283" s="44"/>
      <c r="S283" s="44"/>
      <c r="T283" s="44"/>
      <c r="U283" s="44"/>
      <c r="V283" s="44"/>
      <c r="W283" s="44"/>
      <c r="X283" s="44"/>
      <c r="Y283" s="44"/>
      <c r="Z283" s="44"/>
    </row>
    <row r="284">
      <c r="A284" s="44"/>
      <c r="B284" s="44"/>
      <c r="C284" s="44"/>
      <c r="D284" s="44"/>
      <c r="E284" s="44"/>
      <c r="F284" s="44"/>
      <c r="G284" s="44"/>
      <c r="H284" s="44"/>
      <c r="I284" s="44"/>
      <c r="J284" s="44"/>
      <c r="K284" s="44"/>
      <c r="L284" s="44" t="str">
        <f>IFERROR(__xludf.DUMMYFUNCTION("IFERROR(IF(ISBLANK($C284), """", GOOGLEFINANCE($C284, ""price"")), """")"),"")</f>
        <v/>
      </c>
      <c r="M284" s="44" t="str">
        <f t="shared" si="3"/>
        <v/>
      </c>
      <c r="N284" s="44" t="str">
        <f>IFERROR(__xludf.DUMMYFUNCTION("IFERROR(IF(OR(ISBLANK($G284), IFERROR(INDEX(GOOGLEFINANCE($C284, ""price"", WORKDAY(INT($B284), 1)), 2, 2), """")=""""), """", IF($D284=""LONG"", (IFERROR(INDEX(GOOGLEFINANCE($C284, ""price"", WORKDAY(INT($B284), 1)), 2, 2), """")-$G284)/$G284, ($G284-IFE"&amp;"RROR(INDEX(GOOGLEFINANCE($C284, ""price"", WORKDAY(INT($B284), 1)), 2, 2), """"))/$G284)), """")"),"")</f>
        <v/>
      </c>
      <c r="O284" s="44" t="str">
        <f>IFERROR(__xludf.DUMMYFUNCTION("IFERROR(IF(OR(ISBLANK($G284), IFERROR(INDEX(GOOGLEFINANCE($C284, ""price"", WORKDAY(INT($B284), 5)), 2, 2), """")=""""), """", IF($D284=""LONG"", (IFERROR(INDEX(GOOGLEFINANCE($C284, ""price"", WORKDAY(INT($B284), 5)), 2, 2), """")-$G284)/$G284, ($G284-IFE"&amp;"RROR(INDEX(GOOGLEFINANCE($C284, ""price"", WORKDAY(INT($B284), 5)), 2, 2), """"))/$G284)), """")"),"")</f>
        <v/>
      </c>
      <c r="P284" s="44" t="str">
        <f>IFERROR(__xludf.DUMMYFUNCTION("IFERROR(IF(OR(ISBLANK($G284), IFERROR(INDEX(GOOGLEFINANCE($C284, ""price"", WORKDAY(INT($B284), 20)), 2, 2), """")=""""), """", IF($D284=""LONG"", (IFERROR(INDEX(GOOGLEFINANCE($C284, ""price"", WORKDAY(INT($B284), 20)), 2, 2), """")-$G284)/$G284, ($G284-I"&amp;"FERROR(INDEX(GOOGLEFINANCE($C284, ""price"", WORKDAY(INT($B284), 20)), 2, 2), """"))/$G284)), """")"),"")</f>
        <v/>
      </c>
      <c r="Q284" s="44"/>
      <c r="R284" s="44"/>
      <c r="S284" s="44"/>
      <c r="T284" s="44"/>
      <c r="U284" s="44"/>
      <c r="V284" s="44"/>
      <c r="W284" s="44"/>
      <c r="X284" s="44"/>
      <c r="Y284" s="44"/>
      <c r="Z284" s="44"/>
    </row>
    <row r="285">
      <c r="A285" s="44"/>
      <c r="B285" s="44"/>
      <c r="C285" s="44"/>
      <c r="D285" s="44"/>
      <c r="E285" s="44"/>
      <c r="F285" s="44"/>
      <c r="G285" s="44"/>
      <c r="H285" s="44"/>
      <c r="I285" s="44"/>
      <c r="J285" s="44"/>
      <c r="K285" s="44"/>
      <c r="L285" s="44" t="str">
        <f>IFERROR(__xludf.DUMMYFUNCTION("IFERROR(IF(ISBLANK($C285), """", GOOGLEFINANCE($C285, ""price"")), """")"),"")</f>
        <v/>
      </c>
      <c r="M285" s="44" t="str">
        <f t="shared" si="3"/>
        <v/>
      </c>
      <c r="N285" s="44" t="str">
        <f>IFERROR(__xludf.DUMMYFUNCTION("IFERROR(IF(OR(ISBLANK($G285), IFERROR(INDEX(GOOGLEFINANCE($C285, ""price"", WORKDAY(INT($B285), 1)), 2, 2), """")=""""), """", IF($D285=""LONG"", (IFERROR(INDEX(GOOGLEFINANCE($C285, ""price"", WORKDAY(INT($B285), 1)), 2, 2), """")-$G285)/$G285, ($G285-IFE"&amp;"RROR(INDEX(GOOGLEFINANCE($C285, ""price"", WORKDAY(INT($B285), 1)), 2, 2), """"))/$G285)), """")"),"")</f>
        <v/>
      </c>
      <c r="O285" s="44" t="str">
        <f>IFERROR(__xludf.DUMMYFUNCTION("IFERROR(IF(OR(ISBLANK($G285), IFERROR(INDEX(GOOGLEFINANCE($C285, ""price"", WORKDAY(INT($B285), 5)), 2, 2), """")=""""), """", IF($D285=""LONG"", (IFERROR(INDEX(GOOGLEFINANCE($C285, ""price"", WORKDAY(INT($B285), 5)), 2, 2), """")-$G285)/$G285, ($G285-IFE"&amp;"RROR(INDEX(GOOGLEFINANCE($C285, ""price"", WORKDAY(INT($B285), 5)), 2, 2), """"))/$G285)), """")"),"")</f>
        <v/>
      </c>
      <c r="P285" s="44" t="str">
        <f>IFERROR(__xludf.DUMMYFUNCTION("IFERROR(IF(OR(ISBLANK($G285), IFERROR(INDEX(GOOGLEFINANCE($C285, ""price"", WORKDAY(INT($B285), 20)), 2, 2), """")=""""), """", IF($D285=""LONG"", (IFERROR(INDEX(GOOGLEFINANCE($C285, ""price"", WORKDAY(INT($B285), 20)), 2, 2), """")-$G285)/$G285, ($G285-I"&amp;"FERROR(INDEX(GOOGLEFINANCE($C285, ""price"", WORKDAY(INT($B285), 20)), 2, 2), """"))/$G285)), """")"),"")</f>
        <v/>
      </c>
      <c r="Q285" s="44"/>
      <c r="R285" s="44"/>
      <c r="S285" s="44"/>
      <c r="T285" s="44"/>
      <c r="U285" s="44"/>
      <c r="V285" s="44"/>
      <c r="W285" s="44"/>
      <c r="X285" s="44"/>
      <c r="Y285" s="44"/>
      <c r="Z285" s="44"/>
    </row>
    <row r="286">
      <c r="A286" s="44"/>
      <c r="B286" s="44"/>
      <c r="C286" s="44"/>
      <c r="D286" s="44"/>
      <c r="E286" s="44"/>
      <c r="F286" s="44"/>
      <c r="G286" s="44"/>
      <c r="H286" s="44"/>
      <c r="I286" s="44"/>
      <c r="J286" s="44"/>
      <c r="K286" s="44"/>
      <c r="L286" s="44" t="str">
        <f>IFERROR(__xludf.DUMMYFUNCTION("IFERROR(IF(ISBLANK($C286), """", GOOGLEFINANCE($C286, ""price"")), """")"),"")</f>
        <v/>
      </c>
      <c r="M286" s="44" t="str">
        <f t="shared" si="3"/>
        <v/>
      </c>
      <c r="N286" s="44" t="str">
        <f>IFERROR(__xludf.DUMMYFUNCTION("IFERROR(IF(OR(ISBLANK($G286), IFERROR(INDEX(GOOGLEFINANCE($C286, ""price"", WORKDAY(INT($B286), 1)), 2, 2), """")=""""), """", IF($D286=""LONG"", (IFERROR(INDEX(GOOGLEFINANCE($C286, ""price"", WORKDAY(INT($B286), 1)), 2, 2), """")-$G286)/$G286, ($G286-IFE"&amp;"RROR(INDEX(GOOGLEFINANCE($C286, ""price"", WORKDAY(INT($B286), 1)), 2, 2), """"))/$G286)), """")"),"")</f>
        <v/>
      </c>
      <c r="O286" s="44" t="str">
        <f>IFERROR(__xludf.DUMMYFUNCTION("IFERROR(IF(OR(ISBLANK($G286), IFERROR(INDEX(GOOGLEFINANCE($C286, ""price"", WORKDAY(INT($B286), 5)), 2, 2), """")=""""), """", IF($D286=""LONG"", (IFERROR(INDEX(GOOGLEFINANCE($C286, ""price"", WORKDAY(INT($B286), 5)), 2, 2), """")-$G286)/$G286, ($G286-IFE"&amp;"RROR(INDEX(GOOGLEFINANCE($C286, ""price"", WORKDAY(INT($B286), 5)), 2, 2), """"))/$G286)), """")"),"")</f>
        <v/>
      </c>
      <c r="P286" s="44" t="str">
        <f>IFERROR(__xludf.DUMMYFUNCTION("IFERROR(IF(OR(ISBLANK($G286), IFERROR(INDEX(GOOGLEFINANCE($C286, ""price"", WORKDAY(INT($B286), 20)), 2, 2), """")=""""), """", IF($D286=""LONG"", (IFERROR(INDEX(GOOGLEFINANCE($C286, ""price"", WORKDAY(INT($B286), 20)), 2, 2), """")-$G286)/$G286, ($G286-I"&amp;"FERROR(INDEX(GOOGLEFINANCE($C286, ""price"", WORKDAY(INT($B286), 20)), 2, 2), """"))/$G286)), """")"),"")</f>
        <v/>
      </c>
      <c r="Q286" s="44"/>
      <c r="R286" s="44"/>
      <c r="S286" s="44"/>
      <c r="T286" s="44"/>
      <c r="U286" s="44"/>
      <c r="V286" s="44"/>
      <c r="W286" s="44"/>
      <c r="X286" s="44"/>
      <c r="Y286" s="44"/>
      <c r="Z286" s="44"/>
    </row>
    <row r="287">
      <c r="A287" s="44"/>
      <c r="B287" s="44"/>
      <c r="C287" s="44"/>
      <c r="D287" s="44"/>
      <c r="E287" s="44"/>
      <c r="F287" s="44"/>
      <c r="G287" s="44"/>
      <c r="H287" s="44"/>
      <c r="I287" s="44"/>
      <c r="J287" s="44"/>
      <c r="K287" s="44"/>
      <c r="L287" s="44" t="str">
        <f>IFERROR(__xludf.DUMMYFUNCTION("IFERROR(IF(ISBLANK($C287), """", GOOGLEFINANCE($C287, ""price"")), """")"),"")</f>
        <v/>
      </c>
      <c r="M287" s="44" t="str">
        <f t="shared" si="3"/>
        <v/>
      </c>
      <c r="N287" s="44" t="str">
        <f>IFERROR(__xludf.DUMMYFUNCTION("IFERROR(IF(OR(ISBLANK($G287), IFERROR(INDEX(GOOGLEFINANCE($C287, ""price"", WORKDAY(INT($B287), 1)), 2, 2), """")=""""), """", IF($D287=""LONG"", (IFERROR(INDEX(GOOGLEFINANCE($C287, ""price"", WORKDAY(INT($B287), 1)), 2, 2), """")-$G287)/$G287, ($G287-IFE"&amp;"RROR(INDEX(GOOGLEFINANCE($C287, ""price"", WORKDAY(INT($B287), 1)), 2, 2), """"))/$G287)), """")"),"")</f>
        <v/>
      </c>
      <c r="O287" s="44" t="str">
        <f>IFERROR(__xludf.DUMMYFUNCTION("IFERROR(IF(OR(ISBLANK($G287), IFERROR(INDEX(GOOGLEFINANCE($C287, ""price"", WORKDAY(INT($B287), 5)), 2, 2), """")=""""), """", IF($D287=""LONG"", (IFERROR(INDEX(GOOGLEFINANCE($C287, ""price"", WORKDAY(INT($B287), 5)), 2, 2), """")-$G287)/$G287, ($G287-IFE"&amp;"RROR(INDEX(GOOGLEFINANCE($C287, ""price"", WORKDAY(INT($B287), 5)), 2, 2), """"))/$G287)), """")"),"")</f>
        <v/>
      </c>
      <c r="P287" s="44" t="str">
        <f>IFERROR(__xludf.DUMMYFUNCTION("IFERROR(IF(OR(ISBLANK($G287), IFERROR(INDEX(GOOGLEFINANCE($C287, ""price"", WORKDAY(INT($B287), 20)), 2, 2), """")=""""), """", IF($D287=""LONG"", (IFERROR(INDEX(GOOGLEFINANCE($C287, ""price"", WORKDAY(INT($B287), 20)), 2, 2), """")-$G287)/$G287, ($G287-I"&amp;"FERROR(INDEX(GOOGLEFINANCE($C287, ""price"", WORKDAY(INT($B287), 20)), 2, 2), """"))/$G287)), """")"),"")</f>
        <v/>
      </c>
      <c r="Q287" s="44"/>
      <c r="R287" s="44"/>
      <c r="S287" s="44"/>
      <c r="T287" s="44"/>
      <c r="U287" s="44"/>
      <c r="V287" s="44"/>
      <c r="W287" s="44"/>
      <c r="X287" s="44"/>
      <c r="Y287" s="44"/>
      <c r="Z287" s="44"/>
    </row>
    <row r="288">
      <c r="A288" s="44"/>
      <c r="B288" s="44"/>
      <c r="C288" s="44"/>
      <c r="D288" s="44"/>
      <c r="E288" s="44"/>
      <c r="F288" s="44"/>
      <c r="G288" s="44"/>
      <c r="H288" s="44"/>
      <c r="I288" s="44"/>
      <c r="J288" s="44"/>
      <c r="K288" s="44"/>
      <c r="L288" s="44" t="str">
        <f>IFERROR(__xludf.DUMMYFUNCTION("IFERROR(IF(ISBLANK($C288), """", GOOGLEFINANCE($C288, ""price"")), """")"),"")</f>
        <v/>
      </c>
      <c r="M288" s="44" t="str">
        <f t="shared" si="3"/>
        <v/>
      </c>
      <c r="N288" s="44" t="str">
        <f>IFERROR(__xludf.DUMMYFUNCTION("IFERROR(IF(OR(ISBLANK($G288), IFERROR(INDEX(GOOGLEFINANCE($C288, ""price"", WORKDAY(INT($B288), 1)), 2, 2), """")=""""), """", IF($D288=""LONG"", (IFERROR(INDEX(GOOGLEFINANCE($C288, ""price"", WORKDAY(INT($B288), 1)), 2, 2), """")-$G288)/$G288, ($G288-IFE"&amp;"RROR(INDEX(GOOGLEFINANCE($C288, ""price"", WORKDAY(INT($B288), 1)), 2, 2), """"))/$G288)), """")"),"")</f>
        <v/>
      </c>
      <c r="O288" s="44" t="str">
        <f>IFERROR(__xludf.DUMMYFUNCTION("IFERROR(IF(OR(ISBLANK($G288), IFERROR(INDEX(GOOGLEFINANCE($C288, ""price"", WORKDAY(INT($B288), 5)), 2, 2), """")=""""), """", IF($D288=""LONG"", (IFERROR(INDEX(GOOGLEFINANCE($C288, ""price"", WORKDAY(INT($B288), 5)), 2, 2), """")-$G288)/$G288, ($G288-IFE"&amp;"RROR(INDEX(GOOGLEFINANCE($C288, ""price"", WORKDAY(INT($B288), 5)), 2, 2), """"))/$G288)), """")"),"")</f>
        <v/>
      </c>
      <c r="P288" s="44" t="str">
        <f>IFERROR(__xludf.DUMMYFUNCTION("IFERROR(IF(OR(ISBLANK($G288), IFERROR(INDEX(GOOGLEFINANCE($C288, ""price"", WORKDAY(INT($B288), 20)), 2, 2), """")=""""), """", IF($D288=""LONG"", (IFERROR(INDEX(GOOGLEFINANCE($C288, ""price"", WORKDAY(INT($B288), 20)), 2, 2), """")-$G288)/$G288, ($G288-I"&amp;"FERROR(INDEX(GOOGLEFINANCE($C288, ""price"", WORKDAY(INT($B288), 20)), 2, 2), """"))/$G288)), """")"),"")</f>
        <v/>
      </c>
      <c r="Q288" s="44"/>
      <c r="R288" s="44"/>
      <c r="S288" s="44"/>
      <c r="T288" s="44"/>
      <c r="U288" s="44"/>
      <c r="V288" s="44"/>
      <c r="W288" s="44"/>
      <c r="X288" s="44"/>
      <c r="Y288" s="44"/>
      <c r="Z288" s="44"/>
    </row>
    <row r="289">
      <c r="A289" s="44"/>
      <c r="B289" s="44"/>
      <c r="C289" s="44"/>
      <c r="D289" s="44"/>
      <c r="E289" s="44"/>
      <c r="F289" s="44"/>
      <c r="G289" s="44"/>
      <c r="H289" s="44"/>
      <c r="I289" s="44"/>
      <c r="J289" s="44"/>
      <c r="K289" s="44"/>
      <c r="L289" s="44" t="str">
        <f>IFERROR(__xludf.DUMMYFUNCTION("IFERROR(IF(ISBLANK($C289), """", GOOGLEFINANCE($C289, ""price"")), """")"),"")</f>
        <v/>
      </c>
      <c r="M289" s="44" t="str">
        <f t="shared" si="3"/>
        <v/>
      </c>
      <c r="N289" s="44" t="str">
        <f>IFERROR(__xludf.DUMMYFUNCTION("IFERROR(IF(OR(ISBLANK($G289), IFERROR(INDEX(GOOGLEFINANCE($C289, ""price"", WORKDAY(INT($B289), 1)), 2, 2), """")=""""), """", IF($D289=""LONG"", (IFERROR(INDEX(GOOGLEFINANCE($C289, ""price"", WORKDAY(INT($B289), 1)), 2, 2), """")-$G289)/$G289, ($G289-IFE"&amp;"RROR(INDEX(GOOGLEFINANCE($C289, ""price"", WORKDAY(INT($B289), 1)), 2, 2), """"))/$G289)), """")"),"")</f>
        <v/>
      </c>
      <c r="O289" s="44" t="str">
        <f>IFERROR(__xludf.DUMMYFUNCTION("IFERROR(IF(OR(ISBLANK($G289), IFERROR(INDEX(GOOGLEFINANCE($C289, ""price"", WORKDAY(INT($B289), 5)), 2, 2), """")=""""), """", IF($D289=""LONG"", (IFERROR(INDEX(GOOGLEFINANCE($C289, ""price"", WORKDAY(INT($B289), 5)), 2, 2), """")-$G289)/$G289, ($G289-IFE"&amp;"RROR(INDEX(GOOGLEFINANCE($C289, ""price"", WORKDAY(INT($B289), 5)), 2, 2), """"))/$G289)), """")"),"")</f>
        <v/>
      </c>
      <c r="P289" s="44" t="str">
        <f>IFERROR(__xludf.DUMMYFUNCTION("IFERROR(IF(OR(ISBLANK($G289), IFERROR(INDEX(GOOGLEFINANCE($C289, ""price"", WORKDAY(INT($B289), 20)), 2, 2), """")=""""), """", IF($D289=""LONG"", (IFERROR(INDEX(GOOGLEFINANCE($C289, ""price"", WORKDAY(INT($B289), 20)), 2, 2), """")-$G289)/$G289, ($G289-I"&amp;"FERROR(INDEX(GOOGLEFINANCE($C289, ""price"", WORKDAY(INT($B289), 20)), 2, 2), """"))/$G289)), """")"),"")</f>
        <v/>
      </c>
      <c r="Q289" s="44"/>
      <c r="R289" s="44"/>
      <c r="S289" s="44"/>
      <c r="T289" s="44"/>
      <c r="U289" s="44"/>
      <c r="V289" s="44"/>
      <c r="W289" s="44"/>
      <c r="X289" s="44"/>
      <c r="Y289" s="44"/>
      <c r="Z289" s="44"/>
    </row>
    <row r="290">
      <c r="A290" s="44"/>
      <c r="B290" s="44"/>
      <c r="C290" s="44"/>
      <c r="D290" s="44"/>
      <c r="E290" s="44"/>
      <c r="F290" s="44"/>
      <c r="G290" s="44"/>
      <c r="H290" s="44"/>
      <c r="I290" s="44"/>
      <c r="J290" s="44"/>
      <c r="K290" s="44"/>
      <c r="L290" s="44" t="str">
        <f>IFERROR(__xludf.DUMMYFUNCTION("IFERROR(IF(ISBLANK($C290), """", GOOGLEFINANCE($C290, ""price"")), """")"),"")</f>
        <v/>
      </c>
      <c r="M290" s="44" t="str">
        <f t="shared" si="3"/>
        <v/>
      </c>
      <c r="N290" s="44" t="str">
        <f>IFERROR(__xludf.DUMMYFUNCTION("IFERROR(IF(OR(ISBLANK($G290), IFERROR(INDEX(GOOGLEFINANCE($C290, ""price"", WORKDAY(INT($B290), 1)), 2, 2), """")=""""), """", IF($D290=""LONG"", (IFERROR(INDEX(GOOGLEFINANCE($C290, ""price"", WORKDAY(INT($B290), 1)), 2, 2), """")-$G290)/$G290, ($G290-IFE"&amp;"RROR(INDEX(GOOGLEFINANCE($C290, ""price"", WORKDAY(INT($B290), 1)), 2, 2), """"))/$G290)), """")"),"")</f>
        <v/>
      </c>
      <c r="O290" s="44" t="str">
        <f>IFERROR(__xludf.DUMMYFUNCTION("IFERROR(IF(OR(ISBLANK($G290), IFERROR(INDEX(GOOGLEFINANCE($C290, ""price"", WORKDAY(INT($B290), 5)), 2, 2), """")=""""), """", IF($D290=""LONG"", (IFERROR(INDEX(GOOGLEFINANCE($C290, ""price"", WORKDAY(INT($B290), 5)), 2, 2), """")-$G290)/$G290, ($G290-IFE"&amp;"RROR(INDEX(GOOGLEFINANCE($C290, ""price"", WORKDAY(INT($B290), 5)), 2, 2), """"))/$G290)), """")"),"")</f>
        <v/>
      </c>
      <c r="P290" s="44" t="str">
        <f>IFERROR(__xludf.DUMMYFUNCTION("IFERROR(IF(OR(ISBLANK($G290), IFERROR(INDEX(GOOGLEFINANCE($C290, ""price"", WORKDAY(INT($B290), 20)), 2, 2), """")=""""), """", IF($D290=""LONG"", (IFERROR(INDEX(GOOGLEFINANCE($C290, ""price"", WORKDAY(INT($B290), 20)), 2, 2), """")-$G290)/$G290, ($G290-I"&amp;"FERROR(INDEX(GOOGLEFINANCE($C290, ""price"", WORKDAY(INT($B290), 20)), 2, 2), """"))/$G290)), """")"),"")</f>
        <v/>
      </c>
      <c r="Q290" s="44"/>
      <c r="R290" s="44"/>
      <c r="S290" s="44"/>
      <c r="T290" s="44"/>
      <c r="U290" s="44"/>
      <c r="V290" s="44"/>
      <c r="W290" s="44"/>
      <c r="X290" s="44"/>
      <c r="Y290" s="44"/>
      <c r="Z290" s="44"/>
    </row>
    <row r="291">
      <c r="A291" s="44"/>
      <c r="B291" s="44"/>
      <c r="C291" s="44"/>
      <c r="D291" s="44"/>
      <c r="E291" s="44"/>
      <c r="F291" s="44"/>
      <c r="G291" s="44"/>
      <c r="H291" s="44"/>
      <c r="I291" s="44"/>
      <c r="J291" s="44"/>
      <c r="K291" s="44"/>
      <c r="L291" s="44" t="str">
        <f>IFERROR(__xludf.DUMMYFUNCTION("IFERROR(IF(ISBLANK($C291), """", GOOGLEFINANCE($C291, ""price"")), """")"),"")</f>
        <v/>
      </c>
      <c r="M291" s="44" t="str">
        <f t="shared" si="3"/>
        <v/>
      </c>
      <c r="N291" s="44" t="str">
        <f>IFERROR(__xludf.DUMMYFUNCTION("IFERROR(IF(OR(ISBLANK($G291), IFERROR(INDEX(GOOGLEFINANCE($C291, ""price"", WORKDAY(INT($B291), 1)), 2, 2), """")=""""), """", IF($D291=""LONG"", (IFERROR(INDEX(GOOGLEFINANCE($C291, ""price"", WORKDAY(INT($B291), 1)), 2, 2), """")-$G291)/$G291, ($G291-IFE"&amp;"RROR(INDEX(GOOGLEFINANCE($C291, ""price"", WORKDAY(INT($B291), 1)), 2, 2), """"))/$G291)), """")"),"")</f>
        <v/>
      </c>
      <c r="O291" s="44" t="str">
        <f>IFERROR(__xludf.DUMMYFUNCTION("IFERROR(IF(OR(ISBLANK($G291), IFERROR(INDEX(GOOGLEFINANCE($C291, ""price"", WORKDAY(INT($B291), 5)), 2, 2), """")=""""), """", IF($D291=""LONG"", (IFERROR(INDEX(GOOGLEFINANCE($C291, ""price"", WORKDAY(INT($B291), 5)), 2, 2), """")-$G291)/$G291, ($G291-IFE"&amp;"RROR(INDEX(GOOGLEFINANCE($C291, ""price"", WORKDAY(INT($B291), 5)), 2, 2), """"))/$G291)), """")"),"")</f>
        <v/>
      </c>
      <c r="P291" s="44" t="str">
        <f>IFERROR(__xludf.DUMMYFUNCTION("IFERROR(IF(OR(ISBLANK($G291), IFERROR(INDEX(GOOGLEFINANCE($C291, ""price"", WORKDAY(INT($B291), 20)), 2, 2), """")=""""), """", IF($D291=""LONG"", (IFERROR(INDEX(GOOGLEFINANCE($C291, ""price"", WORKDAY(INT($B291), 20)), 2, 2), """")-$G291)/$G291, ($G291-I"&amp;"FERROR(INDEX(GOOGLEFINANCE($C291, ""price"", WORKDAY(INT($B291), 20)), 2, 2), """"))/$G291)), """")"),"")</f>
        <v/>
      </c>
      <c r="Q291" s="44"/>
      <c r="R291" s="44"/>
      <c r="S291" s="44"/>
      <c r="T291" s="44"/>
      <c r="U291" s="44"/>
      <c r="V291" s="44"/>
      <c r="W291" s="44"/>
      <c r="X291" s="44"/>
      <c r="Y291" s="44"/>
      <c r="Z291" s="44"/>
    </row>
    <row r="292">
      <c r="A292" s="44"/>
      <c r="B292" s="44"/>
      <c r="C292" s="44"/>
      <c r="D292" s="44"/>
      <c r="E292" s="44"/>
      <c r="F292" s="44"/>
      <c r="G292" s="44"/>
      <c r="H292" s="44"/>
      <c r="I292" s="44"/>
      <c r="J292" s="44"/>
      <c r="K292" s="44"/>
      <c r="L292" s="44" t="str">
        <f>IFERROR(__xludf.DUMMYFUNCTION("IFERROR(IF(ISBLANK($C292), """", GOOGLEFINANCE($C292, ""price"")), """")"),"")</f>
        <v/>
      </c>
      <c r="M292" s="44" t="str">
        <f t="shared" si="3"/>
        <v/>
      </c>
      <c r="N292" s="44" t="str">
        <f>IFERROR(__xludf.DUMMYFUNCTION("IFERROR(IF(OR(ISBLANK($G292), IFERROR(INDEX(GOOGLEFINANCE($C292, ""price"", WORKDAY(INT($B292), 1)), 2, 2), """")=""""), """", IF($D292=""LONG"", (IFERROR(INDEX(GOOGLEFINANCE($C292, ""price"", WORKDAY(INT($B292), 1)), 2, 2), """")-$G292)/$G292, ($G292-IFE"&amp;"RROR(INDEX(GOOGLEFINANCE($C292, ""price"", WORKDAY(INT($B292), 1)), 2, 2), """"))/$G292)), """")"),"")</f>
        <v/>
      </c>
      <c r="O292" s="44" t="str">
        <f>IFERROR(__xludf.DUMMYFUNCTION("IFERROR(IF(OR(ISBLANK($G292), IFERROR(INDEX(GOOGLEFINANCE($C292, ""price"", WORKDAY(INT($B292), 5)), 2, 2), """")=""""), """", IF($D292=""LONG"", (IFERROR(INDEX(GOOGLEFINANCE($C292, ""price"", WORKDAY(INT($B292), 5)), 2, 2), """")-$G292)/$G292, ($G292-IFE"&amp;"RROR(INDEX(GOOGLEFINANCE($C292, ""price"", WORKDAY(INT($B292), 5)), 2, 2), """"))/$G292)), """")"),"")</f>
        <v/>
      </c>
      <c r="P292" s="44" t="str">
        <f>IFERROR(__xludf.DUMMYFUNCTION("IFERROR(IF(OR(ISBLANK($G292), IFERROR(INDEX(GOOGLEFINANCE($C292, ""price"", WORKDAY(INT($B292), 20)), 2, 2), """")=""""), """", IF($D292=""LONG"", (IFERROR(INDEX(GOOGLEFINANCE($C292, ""price"", WORKDAY(INT($B292), 20)), 2, 2), """")-$G292)/$G292, ($G292-I"&amp;"FERROR(INDEX(GOOGLEFINANCE($C292, ""price"", WORKDAY(INT($B292), 20)), 2, 2), """"))/$G292)), """")"),"")</f>
        <v/>
      </c>
      <c r="Q292" s="44"/>
      <c r="R292" s="44"/>
      <c r="S292" s="44"/>
      <c r="T292" s="44"/>
      <c r="U292" s="44"/>
      <c r="V292" s="44"/>
      <c r="W292" s="44"/>
      <c r="X292" s="44"/>
      <c r="Y292" s="44"/>
      <c r="Z292" s="44"/>
    </row>
    <row r="293">
      <c r="A293" s="44"/>
      <c r="B293" s="44"/>
      <c r="C293" s="44"/>
      <c r="D293" s="44"/>
      <c r="E293" s="44"/>
      <c r="F293" s="44"/>
      <c r="G293" s="44"/>
      <c r="H293" s="44"/>
      <c r="I293" s="44"/>
      <c r="J293" s="44"/>
      <c r="K293" s="44"/>
      <c r="L293" s="44" t="str">
        <f>IFERROR(__xludf.DUMMYFUNCTION("IFERROR(IF(ISBLANK($C293), """", GOOGLEFINANCE($C293, ""price"")), """")"),"")</f>
        <v/>
      </c>
      <c r="M293" s="44" t="str">
        <f t="shared" si="3"/>
        <v/>
      </c>
      <c r="N293" s="44" t="str">
        <f>IFERROR(__xludf.DUMMYFUNCTION("IFERROR(IF(OR(ISBLANK($G293), IFERROR(INDEX(GOOGLEFINANCE($C293, ""price"", WORKDAY(INT($B293), 1)), 2, 2), """")=""""), """", IF($D293=""LONG"", (IFERROR(INDEX(GOOGLEFINANCE($C293, ""price"", WORKDAY(INT($B293), 1)), 2, 2), """")-$G293)/$G293, ($G293-IFE"&amp;"RROR(INDEX(GOOGLEFINANCE($C293, ""price"", WORKDAY(INT($B293), 1)), 2, 2), """"))/$G293)), """")"),"")</f>
        <v/>
      </c>
      <c r="O293" s="44" t="str">
        <f>IFERROR(__xludf.DUMMYFUNCTION("IFERROR(IF(OR(ISBLANK($G293), IFERROR(INDEX(GOOGLEFINANCE($C293, ""price"", WORKDAY(INT($B293), 5)), 2, 2), """")=""""), """", IF($D293=""LONG"", (IFERROR(INDEX(GOOGLEFINANCE($C293, ""price"", WORKDAY(INT($B293), 5)), 2, 2), """")-$G293)/$G293, ($G293-IFE"&amp;"RROR(INDEX(GOOGLEFINANCE($C293, ""price"", WORKDAY(INT($B293), 5)), 2, 2), """"))/$G293)), """")"),"")</f>
        <v/>
      </c>
      <c r="P293" s="44" t="str">
        <f>IFERROR(__xludf.DUMMYFUNCTION("IFERROR(IF(OR(ISBLANK($G293), IFERROR(INDEX(GOOGLEFINANCE($C293, ""price"", WORKDAY(INT($B293), 20)), 2, 2), """")=""""), """", IF($D293=""LONG"", (IFERROR(INDEX(GOOGLEFINANCE($C293, ""price"", WORKDAY(INT($B293), 20)), 2, 2), """")-$G293)/$G293, ($G293-I"&amp;"FERROR(INDEX(GOOGLEFINANCE($C293, ""price"", WORKDAY(INT($B293), 20)), 2, 2), """"))/$G293)), """")"),"")</f>
        <v/>
      </c>
      <c r="Q293" s="44"/>
      <c r="R293" s="44"/>
      <c r="S293" s="44"/>
      <c r="T293" s="44"/>
      <c r="U293" s="44"/>
      <c r="V293" s="44"/>
      <c r="W293" s="44"/>
      <c r="X293" s="44"/>
      <c r="Y293" s="44"/>
      <c r="Z293" s="44"/>
    </row>
    <row r="294">
      <c r="A294" s="44"/>
      <c r="B294" s="44"/>
      <c r="C294" s="44"/>
      <c r="D294" s="44"/>
      <c r="E294" s="44"/>
      <c r="F294" s="44"/>
      <c r="G294" s="44"/>
      <c r="H294" s="44"/>
      <c r="I294" s="44"/>
      <c r="J294" s="44"/>
      <c r="K294" s="44"/>
      <c r="L294" s="44" t="str">
        <f>IFERROR(__xludf.DUMMYFUNCTION("IFERROR(IF(ISBLANK($C294), """", GOOGLEFINANCE($C294, ""price"")), """")"),"")</f>
        <v/>
      </c>
      <c r="M294" s="44" t="str">
        <f t="shared" si="3"/>
        <v/>
      </c>
      <c r="N294" s="44" t="str">
        <f>IFERROR(__xludf.DUMMYFUNCTION("IFERROR(IF(OR(ISBLANK($G294), IFERROR(INDEX(GOOGLEFINANCE($C294, ""price"", WORKDAY(INT($B294), 1)), 2, 2), """")=""""), """", IF($D294=""LONG"", (IFERROR(INDEX(GOOGLEFINANCE($C294, ""price"", WORKDAY(INT($B294), 1)), 2, 2), """")-$G294)/$G294, ($G294-IFE"&amp;"RROR(INDEX(GOOGLEFINANCE($C294, ""price"", WORKDAY(INT($B294), 1)), 2, 2), """"))/$G294)), """")"),"")</f>
        <v/>
      </c>
      <c r="O294" s="44" t="str">
        <f>IFERROR(__xludf.DUMMYFUNCTION("IFERROR(IF(OR(ISBLANK($G294), IFERROR(INDEX(GOOGLEFINANCE($C294, ""price"", WORKDAY(INT($B294), 5)), 2, 2), """")=""""), """", IF($D294=""LONG"", (IFERROR(INDEX(GOOGLEFINANCE($C294, ""price"", WORKDAY(INT($B294), 5)), 2, 2), """")-$G294)/$G294, ($G294-IFE"&amp;"RROR(INDEX(GOOGLEFINANCE($C294, ""price"", WORKDAY(INT($B294), 5)), 2, 2), """"))/$G294)), """")"),"")</f>
        <v/>
      </c>
      <c r="P294" s="44" t="str">
        <f>IFERROR(__xludf.DUMMYFUNCTION("IFERROR(IF(OR(ISBLANK($G294), IFERROR(INDEX(GOOGLEFINANCE($C294, ""price"", WORKDAY(INT($B294), 20)), 2, 2), """")=""""), """", IF($D294=""LONG"", (IFERROR(INDEX(GOOGLEFINANCE($C294, ""price"", WORKDAY(INT($B294), 20)), 2, 2), """")-$G294)/$G294, ($G294-I"&amp;"FERROR(INDEX(GOOGLEFINANCE($C294, ""price"", WORKDAY(INT($B294), 20)), 2, 2), """"))/$G294)), """")"),"")</f>
        <v/>
      </c>
      <c r="Q294" s="44"/>
      <c r="R294" s="44"/>
      <c r="S294" s="44"/>
      <c r="T294" s="44"/>
      <c r="U294" s="44"/>
      <c r="V294" s="44"/>
      <c r="W294" s="44"/>
      <c r="X294" s="44"/>
      <c r="Y294" s="44"/>
      <c r="Z294" s="44"/>
    </row>
    <row r="295">
      <c r="A295" s="44"/>
      <c r="B295" s="44"/>
      <c r="C295" s="44"/>
      <c r="D295" s="44"/>
      <c r="E295" s="44"/>
      <c r="F295" s="44"/>
      <c r="G295" s="44"/>
      <c r="H295" s="44"/>
      <c r="I295" s="44"/>
      <c r="J295" s="44"/>
      <c r="K295" s="44"/>
      <c r="L295" s="44" t="str">
        <f>IFERROR(__xludf.DUMMYFUNCTION("IFERROR(IF(ISBLANK($C295), """", GOOGLEFINANCE($C295, ""price"")), """")"),"")</f>
        <v/>
      </c>
      <c r="M295" s="44" t="str">
        <f t="shared" si="3"/>
        <v/>
      </c>
      <c r="N295" s="44" t="str">
        <f>IFERROR(__xludf.DUMMYFUNCTION("IFERROR(IF(OR(ISBLANK($G295), IFERROR(INDEX(GOOGLEFINANCE($C295, ""price"", WORKDAY(INT($B295), 1)), 2, 2), """")=""""), """", IF($D295=""LONG"", (IFERROR(INDEX(GOOGLEFINANCE($C295, ""price"", WORKDAY(INT($B295), 1)), 2, 2), """")-$G295)/$G295, ($G295-IFE"&amp;"RROR(INDEX(GOOGLEFINANCE($C295, ""price"", WORKDAY(INT($B295), 1)), 2, 2), """"))/$G295)), """")"),"")</f>
        <v/>
      </c>
      <c r="O295" s="44" t="str">
        <f>IFERROR(__xludf.DUMMYFUNCTION("IFERROR(IF(OR(ISBLANK($G295), IFERROR(INDEX(GOOGLEFINANCE($C295, ""price"", WORKDAY(INT($B295), 5)), 2, 2), """")=""""), """", IF($D295=""LONG"", (IFERROR(INDEX(GOOGLEFINANCE($C295, ""price"", WORKDAY(INT($B295), 5)), 2, 2), """")-$G295)/$G295, ($G295-IFE"&amp;"RROR(INDEX(GOOGLEFINANCE($C295, ""price"", WORKDAY(INT($B295), 5)), 2, 2), """"))/$G295)), """")"),"")</f>
        <v/>
      </c>
      <c r="P295" s="44" t="str">
        <f>IFERROR(__xludf.DUMMYFUNCTION("IFERROR(IF(OR(ISBLANK($G295), IFERROR(INDEX(GOOGLEFINANCE($C295, ""price"", WORKDAY(INT($B295), 20)), 2, 2), """")=""""), """", IF($D295=""LONG"", (IFERROR(INDEX(GOOGLEFINANCE($C295, ""price"", WORKDAY(INT($B295), 20)), 2, 2), """")-$G295)/$G295, ($G295-I"&amp;"FERROR(INDEX(GOOGLEFINANCE($C295, ""price"", WORKDAY(INT($B295), 20)), 2, 2), """"))/$G295)), """")"),"")</f>
        <v/>
      </c>
      <c r="Q295" s="44"/>
      <c r="R295" s="44"/>
      <c r="S295" s="44"/>
      <c r="T295" s="44"/>
      <c r="U295" s="44"/>
      <c r="V295" s="44"/>
      <c r="W295" s="44"/>
      <c r="X295" s="44"/>
      <c r="Y295" s="44"/>
      <c r="Z295" s="44"/>
    </row>
    <row r="296">
      <c r="A296" s="44"/>
      <c r="B296" s="44"/>
      <c r="C296" s="44"/>
      <c r="D296" s="44"/>
      <c r="E296" s="44"/>
      <c r="F296" s="44"/>
      <c r="G296" s="44"/>
      <c r="H296" s="44"/>
      <c r="I296" s="44"/>
      <c r="J296" s="44"/>
      <c r="K296" s="44"/>
      <c r="L296" s="44" t="str">
        <f>IFERROR(__xludf.DUMMYFUNCTION("IFERROR(IF(ISBLANK($C296), """", GOOGLEFINANCE($C296, ""price"")), """")"),"")</f>
        <v/>
      </c>
      <c r="M296" s="44" t="str">
        <f t="shared" si="3"/>
        <v/>
      </c>
      <c r="N296" s="44" t="str">
        <f>IFERROR(__xludf.DUMMYFUNCTION("IFERROR(IF(OR(ISBLANK($G296), IFERROR(INDEX(GOOGLEFINANCE($C296, ""price"", WORKDAY(INT($B296), 1)), 2, 2), """")=""""), """", IF($D296=""LONG"", (IFERROR(INDEX(GOOGLEFINANCE($C296, ""price"", WORKDAY(INT($B296), 1)), 2, 2), """")-$G296)/$G296, ($G296-IFE"&amp;"RROR(INDEX(GOOGLEFINANCE($C296, ""price"", WORKDAY(INT($B296), 1)), 2, 2), """"))/$G296)), """")"),"")</f>
        <v/>
      </c>
      <c r="O296" s="44" t="str">
        <f>IFERROR(__xludf.DUMMYFUNCTION("IFERROR(IF(OR(ISBLANK($G296), IFERROR(INDEX(GOOGLEFINANCE($C296, ""price"", WORKDAY(INT($B296), 5)), 2, 2), """")=""""), """", IF($D296=""LONG"", (IFERROR(INDEX(GOOGLEFINANCE($C296, ""price"", WORKDAY(INT($B296), 5)), 2, 2), """")-$G296)/$G296, ($G296-IFE"&amp;"RROR(INDEX(GOOGLEFINANCE($C296, ""price"", WORKDAY(INT($B296), 5)), 2, 2), """"))/$G296)), """")"),"")</f>
        <v/>
      </c>
      <c r="P296" s="44" t="str">
        <f>IFERROR(__xludf.DUMMYFUNCTION("IFERROR(IF(OR(ISBLANK($G296), IFERROR(INDEX(GOOGLEFINANCE($C296, ""price"", WORKDAY(INT($B296), 20)), 2, 2), """")=""""), """", IF($D296=""LONG"", (IFERROR(INDEX(GOOGLEFINANCE($C296, ""price"", WORKDAY(INT($B296), 20)), 2, 2), """")-$G296)/$G296, ($G296-I"&amp;"FERROR(INDEX(GOOGLEFINANCE($C296, ""price"", WORKDAY(INT($B296), 20)), 2, 2), """"))/$G296)), """")"),"")</f>
        <v/>
      </c>
      <c r="Q296" s="44"/>
      <c r="R296" s="44"/>
      <c r="S296" s="44"/>
      <c r="T296" s="44"/>
      <c r="U296" s="44"/>
      <c r="V296" s="44"/>
      <c r="W296" s="44"/>
      <c r="X296" s="44"/>
      <c r="Y296" s="44"/>
      <c r="Z296" s="44"/>
    </row>
    <row r="297">
      <c r="A297" s="44"/>
      <c r="B297" s="44"/>
      <c r="C297" s="44"/>
      <c r="D297" s="44"/>
      <c r="E297" s="44"/>
      <c r="F297" s="44"/>
      <c r="G297" s="44"/>
      <c r="H297" s="44"/>
      <c r="I297" s="44"/>
      <c r="J297" s="44"/>
      <c r="K297" s="44"/>
      <c r="L297" s="44" t="str">
        <f>IFERROR(__xludf.DUMMYFUNCTION("IFERROR(IF(ISBLANK($C297), """", GOOGLEFINANCE($C297, ""price"")), """")"),"")</f>
        <v/>
      </c>
      <c r="M297" s="44" t="str">
        <f t="shared" si="3"/>
        <v/>
      </c>
      <c r="N297" s="44" t="str">
        <f>IFERROR(__xludf.DUMMYFUNCTION("IFERROR(IF(OR(ISBLANK($G297), IFERROR(INDEX(GOOGLEFINANCE($C297, ""price"", WORKDAY(INT($B297), 1)), 2, 2), """")=""""), """", IF($D297=""LONG"", (IFERROR(INDEX(GOOGLEFINANCE($C297, ""price"", WORKDAY(INT($B297), 1)), 2, 2), """")-$G297)/$G297, ($G297-IFE"&amp;"RROR(INDEX(GOOGLEFINANCE($C297, ""price"", WORKDAY(INT($B297), 1)), 2, 2), """"))/$G297)), """")"),"")</f>
        <v/>
      </c>
      <c r="O297" s="44" t="str">
        <f>IFERROR(__xludf.DUMMYFUNCTION("IFERROR(IF(OR(ISBLANK($G297), IFERROR(INDEX(GOOGLEFINANCE($C297, ""price"", WORKDAY(INT($B297), 5)), 2, 2), """")=""""), """", IF($D297=""LONG"", (IFERROR(INDEX(GOOGLEFINANCE($C297, ""price"", WORKDAY(INT($B297), 5)), 2, 2), """")-$G297)/$G297, ($G297-IFE"&amp;"RROR(INDEX(GOOGLEFINANCE($C297, ""price"", WORKDAY(INT($B297), 5)), 2, 2), """"))/$G297)), """")"),"")</f>
        <v/>
      </c>
      <c r="P297" s="44" t="str">
        <f>IFERROR(__xludf.DUMMYFUNCTION("IFERROR(IF(OR(ISBLANK($G297), IFERROR(INDEX(GOOGLEFINANCE($C297, ""price"", WORKDAY(INT($B297), 20)), 2, 2), """")=""""), """", IF($D297=""LONG"", (IFERROR(INDEX(GOOGLEFINANCE($C297, ""price"", WORKDAY(INT($B297), 20)), 2, 2), """")-$G297)/$G297, ($G297-I"&amp;"FERROR(INDEX(GOOGLEFINANCE($C297, ""price"", WORKDAY(INT($B297), 20)), 2, 2), """"))/$G297)), """")"),"")</f>
        <v/>
      </c>
      <c r="Q297" s="44"/>
      <c r="R297" s="44"/>
      <c r="S297" s="44"/>
      <c r="T297" s="44"/>
      <c r="U297" s="44"/>
      <c r="V297" s="44"/>
      <c r="W297" s="44"/>
      <c r="X297" s="44"/>
      <c r="Y297" s="44"/>
      <c r="Z297" s="44"/>
    </row>
    <row r="298">
      <c r="A298" s="44"/>
      <c r="B298" s="44"/>
      <c r="C298" s="44"/>
      <c r="D298" s="44"/>
      <c r="E298" s="44"/>
      <c r="F298" s="44"/>
      <c r="G298" s="44"/>
      <c r="H298" s="44"/>
      <c r="I298" s="44"/>
      <c r="J298" s="44"/>
      <c r="K298" s="44"/>
      <c r="L298" s="44" t="str">
        <f>IFERROR(__xludf.DUMMYFUNCTION("IFERROR(IF(ISBLANK($C298), """", GOOGLEFINANCE($C298, ""price"")), """")"),"")</f>
        <v/>
      </c>
      <c r="M298" s="44" t="str">
        <f t="shared" si="3"/>
        <v/>
      </c>
      <c r="N298" s="44" t="str">
        <f>IFERROR(__xludf.DUMMYFUNCTION("IFERROR(IF(OR(ISBLANK($G298), IFERROR(INDEX(GOOGLEFINANCE($C298, ""price"", WORKDAY(INT($B298), 1)), 2, 2), """")=""""), """", IF($D298=""LONG"", (IFERROR(INDEX(GOOGLEFINANCE($C298, ""price"", WORKDAY(INT($B298), 1)), 2, 2), """")-$G298)/$G298, ($G298-IFE"&amp;"RROR(INDEX(GOOGLEFINANCE($C298, ""price"", WORKDAY(INT($B298), 1)), 2, 2), """"))/$G298)), """")"),"")</f>
        <v/>
      </c>
      <c r="O298" s="44" t="str">
        <f>IFERROR(__xludf.DUMMYFUNCTION("IFERROR(IF(OR(ISBLANK($G298), IFERROR(INDEX(GOOGLEFINANCE($C298, ""price"", WORKDAY(INT($B298), 5)), 2, 2), """")=""""), """", IF($D298=""LONG"", (IFERROR(INDEX(GOOGLEFINANCE($C298, ""price"", WORKDAY(INT($B298), 5)), 2, 2), """")-$G298)/$G298, ($G298-IFE"&amp;"RROR(INDEX(GOOGLEFINANCE($C298, ""price"", WORKDAY(INT($B298), 5)), 2, 2), """"))/$G298)), """")"),"")</f>
        <v/>
      </c>
      <c r="P298" s="44" t="str">
        <f>IFERROR(__xludf.DUMMYFUNCTION("IFERROR(IF(OR(ISBLANK($G298), IFERROR(INDEX(GOOGLEFINANCE($C298, ""price"", WORKDAY(INT($B298), 20)), 2, 2), """")=""""), """", IF($D298=""LONG"", (IFERROR(INDEX(GOOGLEFINANCE($C298, ""price"", WORKDAY(INT($B298), 20)), 2, 2), """")-$G298)/$G298, ($G298-I"&amp;"FERROR(INDEX(GOOGLEFINANCE($C298, ""price"", WORKDAY(INT($B298), 20)), 2, 2), """"))/$G298)), """")"),"")</f>
        <v/>
      </c>
      <c r="Q298" s="44"/>
      <c r="R298" s="44"/>
      <c r="S298" s="44"/>
      <c r="T298" s="44"/>
      <c r="U298" s="44"/>
      <c r="V298" s="44"/>
      <c r="W298" s="44"/>
      <c r="X298" s="44"/>
      <c r="Y298" s="44"/>
      <c r="Z298" s="44"/>
    </row>
    <row r="299">
      <c r="A299" s="44"/>
      <c r="B299" s="44"/>
      <c r="C299" s="44"/>
      <c r="D299" s="44"/>
      <c r="E299" s="44"/>
      <c r="F299" s="44"/>
      <c r="G299" s="44"/>
      <c r="H299" s="44"/>
      <c r="I299" s="44"/>
      <c r="J299" s="44"/>
      <c r="K299" s="44"/>
      <c r="L299" s="44" t="str">
        <f>IFERROR(__xludf.DUMMYFUNCTION("IFERROR(IF(ISBLANK($C299), """", GOOGLEFINANCE($C299, ""price"")), """")"),"")</f>
        <v/>
      </c>
      <c r="M299" s="44" t="str">
        <f t="shared" si="3"/>
        <v/>
      </c>
      <c r="N299" s="44" t="str">
        <f>IFERROR(__xludf.DUMMYFUNCTION("IFERROR(IF(OR(ISBLANK($G299), IFERROR(INDEX(GOOGLEFINANCE($C299, ""price"", WORKDAY(INT($B299), 1)), 2, 2), """")=""""), """", IF($D299=""LONG"", (IFERROR(INDEX(GOOGLEFINANCE($C299, ""price"", WORKDAY(INT($B299), 1)), 2, 2), """")-$G299)/$G299, ($G299-IFE"&amp;"RROR(INDEX(GOOGLEFINANCE($C299, ""price"", WORKDAY(INT($B299), 1)), 2, 2), """"))/$G299)), """")"),"")</f>
        <v/>
      </c>
      <c r="O299" s="44" t="str">
        <f>IFERROR(__xludf.DUMMYFUNCTION("IFERROR(IF(OR(ISBLANK($G299), IFERROR(INDEX(GOOGLEFINANCE($C299, ""price"", WORKDAY(INT($B299), 5)), 2, 2), """")=""""), """", IF($D299=""LONG"", (IFERROR(INDEX(GOOGLEFINANCE($C299, ""price"", WORKDAY(INT($B299), 5)), 2, 2), """")-$G299)/$G299, ($G299-IFE"&amp;"RROR(INDEX(GOOGLEFINANCE($C299, ""price"", WORKDAY(INT($B299), 5)), 2, 2), """"))/$G299)), """")"),"")</f>
        <v/>
      </c>
      <c r="P299" s="44" t="str">
        <f>IFERROR(__xludf.DUMMYFUNCTION("IFERROR(IF(OR(ISBLANK($G299), IFERROR(INDEX(GOOGLEFINANCE($C299, ""price"", WORKDAY(INT($B299), 20)), 2, 2), """")=""""), """", IF($D299=""LONG"", (IFERROR(INDEX(GOOGLEFINANCE($C299, ""price"", WORKDAY(INT($B299), 20)), 2, 2), """")-$G299)/$G299, ($G299-I"&amp;"FERROR(INDEX(GOOGLEFINANCE($C299, ""price"", WORKDAY(INT($B299), 20)), 2, 2), """"))/$G299)), """")"),"")</f>
        <v/>
      </c>
      <c r="Q299" s="44"/>
      <c r="R299" s="44"/>
      <c r="S299" s="44"/>
      <c r="T299" s="44"/>
      <c r="U299" s="44"/>
      <c r="V299" s="44"/>
      <c r="W299" s="44"/>
      <c r="X299" s="44"/>
      <c r="Y299" s="44"/>
      <c r="Z299" s="44"/>
    </row>
    <row r="300">
      <c r="A300" s="44"/>
      <c r="B300" s="44"/>
      <c r="C300" s="44"/>
      <c r="D300" s="44"/>
      <c r="E300" s="44"/>
      <c r="F300" s="44"/>
      <c r="G300" s="44"/>
      <c r="H300" s="44"/>
      <c r="I300" s="44"/>
      <c r="J300" s="44"/>
      <c r="K300" s="44"/>
      <c r="L300" s="44" t="str">
        <f>IFERROR(__xludf.DUMMYFUNCTION("IFERROR(IF(ISBLANK($C300), """", GOOGLEFINANCE($C300, ""price"")), """")"),"")</f>
        <v/>
      </c>
      <c r="M300" s="44" t="str">
        <f t="shared" si="3"/>
        <v/>
      </c>
      <c r="N300" s="44" t="str">
        <f>IFERROR(__xludf.DUMMYFUNCTION("IFERROR(IF(OR(ISBLANK($G300), IFERROR(INDEX(GOOGLEFINANCE($C300, ""price"", WORKDAY(INT($B300), 1)), 2, 2), """")=""""), """", IF($D300=""LONG"", (IFERROR(INDEX(GOOGLEFINANCE($C300, ""price"", WORKDAY(INT($B300), 1)), 2, 2), """")-$G300)/$G300, ($G300-IFE"&amp;"RROR(INDEX(GOOGLEFINANCE($C300, ""price"", WORKDAY(INT($B300), 1)), 2, 2), """"))/$G300)), """")"),"")</f>
        <v/>
      </c>
      <c r="O300" s="44" t="str">
        <f>IFERROR(__xludf.DUMMYFUNCTION("IFERROR(IF(OR(ISBLANK($G300), IFERROR(INDEX(GOOGLEFINANCE($C300, ""price"", WORKDAY(INT($B300), 5)), 2, 2), """")=""""), """", IF($D300=""LONG"", (IFERROR(INDEX(GOOGLEFINANCE($C300, ""price"", WORKDAY(INT($B300), 5)), 2, 2), """")-$G300)/$G300, ($G300-IFE"&amp;"RROR(INDEX(GOOGLEFINANCE($C300, ""price"", WORKDAY(INT($B300), 5)), 2, 2), """"))/$G300)), """")"),"")</f>
        <v/>
      </c>
      <c r="P300" s="44" t="str">
        <f>IFERROR(__xludf.DUMMYFUNCTION("IFERROR(IF(OR(ISBLANK($G300), IFERROR(INDEX(GOOGLEFINANCE($C300, ""price"", WORKDAY(INT($B300), 20)), 2, 2), """")=""""), """", IF($D300=""LONG"", (IFERROR(INDEX(GOOGLEFINANCE($C300, ""price"", WORKDAY(INT($B300), 20)), 2, 2), """")-$G300)/$G300, ($G300-I"&amp;"FERROR(INDEX(GOOGLEFINANCE($C300, ""price"", WORKDAY(INT($B300), 20)), 2, 2), """"))/$G300)), """")"),"")</f>
        <v/>
      </c>
      <c r="Q300" s="44"/>
      <c r="R300" s="44"/>
      <c r="S300" s="44"/>
      <c r="T300" s="44"/>
      <c r="U300" s="44"/>
      <c r="V300" s="44"/>
      <c r="W300" s="44"/>
      <c r="X300" s="44"/>
      <c r="Y300" s="44"/>
      <c r="Z300" s="44"/>
    </row>
    <row r="301">
      <c r="A301" s="44"/>
      <c r="B301" s="44"/>
      <c r="C301" s="44"/>
      <c r="D301" s="44"/>
      <c r="E301" s="44"/>
      <c r="F301" s="44"/>
      <c r="G301" s="44"/>
      <c r="H301" s="44"/>
      <c r="I301" s="44"/>
      <c r="J301" s="44"/>
      <c r="K301" s="44"/>
      <c r="L301" s="44" t="str">
        <f>IFERROR(__xludf.DUMMYFUNCTION("IFERROR(IF(ISBLANK($C301), """", GOOGLEFINANCE($C301, ""price"")), """")"),"")</f>
        <v/>
      </c>
      <c r="M301" s="44" t="str">
        <f t="shared" si="3"/>
        <v/>
      </c>
      <c r="N301" s="44" t="str">
        <f>IFERROR(__xludf.DUMMYFUNCTION("IFERROR(IF(OR(ISBLANK($G301), IFERROR(INDEX(GOOGLEFINANCE($C301, ""price"", WORKDAY(INT($B301), 1)), 2, 2), """")=""""), """", IF($D301=""LONG"", (IFERROR(INDEX(GOOGLEFINANCE($C301, ""price"", WORKDAY(INT($B301), 1)), 2, 2), """")-$G301)/$G301, ($G301-IFE"&amp;"RROR(INDEX(GOOGLEFINANCE($C301, ""price"", WORKDAY(INT($B301), 1)), 2, 2), """"))/$G301)), """")"),"")</f>
        <v/>
      </c>
      <c r="O301" s="44" t="str">
        <f>IFERROR(__xludf.DUMMYFUNCTION("IFERROR(IF(OR(ISBLANK($G301), IFERROR(INDEX(GOOGLEFINANCE($C301, ""price"", WORKDAY(INT($B301), 5)), 2, 2), """")=""""), """", IF($D301=""LONG"", (IFERROR(INDEX(GOOGLEFINANCE($C301, ""price"", WORKDAY(INT($B301), 5)), 2, 2), """")-$G301)/$G301, ($G301-IFE"&amp;"RROR(INDEX(GOOGLEFINANCE($C301, ""price"", WORKDAY(INT($B301), 5)), 2, 2), """"))/$G301)), """")"),"")</f>
        <v/>
      </c>
      <c r="P301" s="44" t="str">
        <f>IFERROR(__xludf.DUMMYFUNCTION("IFERROR(IF(OR(ISBLANK($G301), IFERROR(INDEX(GOOGLEFINANCE($C301, ""price"", WORKDAY(INT($B301), 20)), 2, 2), """")=""""), """", IF($D301=""LONG"", (IFERROR(INDEX(GOOGLEFINANCE($C301, ""price"", WORKDAY(INT($B301), 20)), 2, 2), """")-$G301)/$G301, ($G301-I"&amp;"FERROR(INDEX(GOOGLEFINANCE($C301, ""price"", WORKDAY(INT($B301), 20)), 2, 2), """"))/$G301)), """")"),"")</f>
        <v/>
      </c>
      <c r="Q301" s="44"/>
      <c r="R301" s="44"/>
      <c r="S301" s="44"/>
      <c r="T301" s="44"/>
      <c r="U301" s="44"/>
      <c r="V301" s="44"/>
      <c r="W301" s="44"/>
      <c r="X301" s="44"/>
      <c r="Y301" s="44"/>
      <c r="Z301" s="44"/>
    </row>
    <row r="302">
      <c r="A302" s="44"/>
      <c r="B302" s="44"/>
      <c r="C302" s="44"/>
      <c r="D302" s="44"/>
      <c r="E302" s="44"/>
      <c r="F302" s="44"/>
      <c r="G302" s="44"/>
      <c r="H302" s="44"/>
      <c r="I302" s="44"/>
      <c r="J302" s="44"/>
      <c r="K302" s="44"/>
      <c r="L302" s="44" t="str">
        <f>IFERROR(__xludf.DUMMYFUNCTION("IFERROR(IF(ISBLANK($C302), """", GOOGLEFINANCE($C302, ""price"")), """")"),"")</f>
        <v/>
      </c>
      <c r="M302" s="44" t="str">
        <f t="shared" si="3"/>
        <v/>
      </c>
      <c r="N302" s="44" t="str">
        <f>IFERROR(__xludf.DUMMYFUNCTION("IFERROR(IF(OR(ISBLANK($G302), IFERROR(INDEX(GOOGLEFINANCE($C302, ""price"", WORKDAY(INT($B302), 1)), 2, 2), """")=""""), """", IF($D302=""LONG"", (IFERROR(INDEX(GOOGLEFINANCE($C302, ""price"", WORKDAY(INT($B302), 1)), 2, 2), """")-$G302)/$G302, ($G302-IFE"&amp;"RROR(INDEX(GOOGLEFINANCE($C302, ""price"", WORKDAY(INT($B302), 1)), 2, 2), """"))/$G302)), """")"),"")</f>
        <v/>
      </c>
      <c r="O302" s="44" t="str">
        <f>IFERROR(__xludf.DUMMYFUNCTION("IFERROR(IF(OR(ISBLANK($G302), IFERROR(INDEX(GOOGLEFINANCE($C302, ""price"", WORKDAY(INT($B302), 5)), 2, 2), """")=""""), """", IF($D302=""LONG"", (IFERROR(INDEX(GOOGLEFINANCE($C302, ""price"", WORKDAY(INT($B302), 5)), 2, 2), """")-$G302)/$G302, ($G302-IFE"&amp;"RROR(INDEX(GOOGLEFINANCE($C302, ""price"", WORKDAY(INT($B302), 5)), 2, 2), """"))/$G302)), """")"),"")</f>
        <v/>
      </c>
      <c r="P302" s="44" t="str">
        <f>IFERROR(__xludf.DUMMYFUNCTION("IFERROR(IF(OR(ISBLANK($G302), IFERROR(INDEX(GOOGLEFINANCE($C302, ""price"", WORKDAY(INT($B302), 20)), 2, 2), """")=""""), """", IF($D302=""LONG"", (IFERROR(INDEX(GOOGLEFINANCE($C302, ""price"", WORKDAY(INT($B302), 20)), 2, 2), """")-$G302)/$G302, ($G302-I"&amp;"FERROR(INDEX(GOOGLEFINANCE($C302, ""price"", WORKDAY(INT($B302), 20)), 2, 2), """"))/$G302)), """")"),"")</f>
        <v/>
      </c>
      <c r="Q302" s="44"/>
      <c r="R302" s="44"/>
      <c r="S302" s="44"/>
      <c r="T302" s="44"/>
      <c r="U302" s="44"/>
      <c r="V302" s="44"/>
      <c r="W302" s="44"/>
      <c r="X302" s="44"/>
      <c r="Y302" s="44"/>
      <c r="Z302" s="44"/>
    </row>
    <row r="303">
      <c r="A303" s="44"/>
      <c r="B303" s="44"/>
      <c r="C303" s="44"/>
      <c r="D303" s="44"/>
      <c r="E303" s="44"/>
      <c r="F303" s="44"/>
      <c r="G303" s="44"/>
      <c r="H303" s="44"/>
      <c r="I303" s="44"/>
      <c r="J303" s="44"/>
      <c r="K303" s="44"/>
      <c r="L303" s="44" t="str">
        <f>IFERROR(__xludf.DUMMYFUNCTION("IFERROR(IF(ISBLANK($C303), """", GOOGLEFINANCE($C303, ""price"")), """")"),"")</f>
        <v/>
      </c>
      <c r="M303" s="44" t="str">
        <f t="shared" si="3"/>
        <v/>
      </c>
      <c r="N303" s="44" t="str">
        <f>IFERROR(__xludf.DUMMYFUNCTION("IFERROR(IF(OR(ISBLANK($G303), IFERROR(INDEX(GOOGLEFINANCE($C303, ""price"", WORKDAY(INT($B303), 1)), 2, 2), """")=""""), """", IF($D303=""LONG"", (IFERROR(INDEX(GOOGLEFINANCE($C303, ""price"", WORKDAY(INT($B303), 1)), 2, 2), """")-$G303)/$G303, ($G303-IFE"&amp;"RROR(INDEX(GOOGLEFINANCE($C303, ""price"", WORKDAY(INT($B303), 1)), 2, 2), """"))/$G303)), """")"),"")</f>
        <v/>
      </c>
      <c r="O303" s="44" t="str">
        <f>IFERROR(__xludf.DUMMYFUNCTION("IFERROR(IF(OR(ISBLANK($G303), IFERROR(INDEX(GOOGLEFINANCE($C303, ""price"", WORKDAY(INT($B303), 5)), 2, 2), """")=""""), """", IF($D303=""LONG"", (IFERROR(INDEX(GOOGLEFINANCE($C303, ""price"", WORKDAY(INT($B303), 5)), 2, 2), """")-$G303)/$G303, ($G303-IFE"&amp;"RROR(INDEX(GOOGLEFINANCE($C303, ""price"", WORKDAY(INT($B303), 5)), 2, 2), """"))/$G303)), """")"),"")</f>
        <v/>
      </c>
      <c r="P303" s="44" t="str">
        <f>IFERROR(__xludf.DUMMYFUNCTION("IFERROR(IF(OR(ISBLANK($G303), IFERROR(INDEX(GOOGLEFINANCE($C303, ""price"", WORKDAY(INT($B303), 20)), 2, 2), """")=""""), """", IF($D303=""LONG"", (IFERROR(INDEX(GOOGLEFINANCE($C303, ""price"", WORKDAY(INT($B303), 20)), 2, 2), """")-$G303)/$G303, ($G303-I"&amp;"FERROR(INDEX(GOOGLEFINANCE($C303, ""price"", WORKDAY(INT($B303), 20)), 2, 2), """"))/$G303)), """")"),"")</f>
        <v/>
      </c>
      <c r="Q303" s="44"/>
      <c r="R303" s="44"/>
      <c r="S303" s="44"/>
      <c r="T303" s="44"/>
      <c r="U303" s="44"/>
      <c r="V303" s="44"/>
      <c r="W303" s="44"/>
      <c r="X303" s="44"/>
      <c r="Y303" s="44"/>
      <c r="Z303" s="44"/>
    </row>
    <row r="304">
      <c r="A304" s="44"/>
      <c r="B304" s="44"/>
      <c r="C304" s="44"/>
      <c r="D304" s="44"/>
      <c r="E304" s="44"/>
      <c r="F304" s="44"/>
      <c r="G304" s="44"/>
      <c r="H304" s="44"/>
      <c r="I304" s="44"/>
      <c r="J304" s="44"/>
      <c r="K304" s="44"/>
      <c r="L304" s="44" t="str">
        <f>IFERROR(__xludf.DUMMYFUNCTION("IFERROR(IF(ISBLANK($C304), """", GOOGLEFINANCE($C304, ""price"")), """")"),"")</f>
        <v/>
      </c>
      <c r="M304" s="44" t="str">
        <f t="shared" si="3"/>
        <v/>
      </c>
      <c r="N304" s="44" t="str">
        <f>IFERROR(__xludf.DUMMYFUNCTION("IFERROR(IF(OR(ISBLANK($G304), IFERROR(INDEX(GOOGLEFINANCE($C304, ""price"", WORKDAY(INT($B304), 1)), 2, 2), """")=""""), """", IF($D304=""LONG"", (IFERROR(INDEX(GOOGLEFINANCE($C304, ""price"", WORKDAY(INT($B304), 1)), 2, 2), """")-$G304)/$G304, ($G304-IFE"&amp;"RROR(INDEX(GOOGLEFINANCE($C304, ""price"", WORKDAY(INT($B304), 1)), 2, 2), """"))/$G304)), """")"),"")</f>
        <v/>
      </c>
      <c r="O304" s="44" t="str">
        <f>IFERROR(__xludf.DUMMYFUNCTION("IFERROR(IF(OR(ISBLANK($G304), IFERROR(INDEX(GOOGLEFINANCE($C304, ""price"", WORKDAY(INT($B304), 5)), 2, 2), """")=""""), """", IF($D304=""LONG"", (IFERROR(INDEX(GOOGLEFINANCE($C304, ""price"", WORKDAY(INT($B304), 5)), 2, 2), """")-$G304)/$G304, ($G304-IFE"&amp;"RROR(INDEX(GOOGLEFINANCE($C304, ""price"", WORKDAY(INT($B304), 5)), 2, 2), """"))/$G304)), """")"),"")</f>
        <v/>
      </c>
      <c r="P304" s="44" t="str">
        <f>IFERROR(__xludf.DUMMYFUNCTION("IFERROR(IF(OR(ISBLANK($G304), IFERROR(INDEX(GOOGLEFINANCE($C304, ""price"", WORKDAY(INT($B304), 20)), 2, 2), """")=""""), """", IF($D304=""LONG"", (IFERROR(INDEX(GOOGLEFINANCE($C304, ""price"", WORKDAY(INT($B304), 20)), 2, 2), """")-$G304)/$G304, ($G304-I"&amp;"FERROR(INDEX(GOOGLEFINANCE($C304, ""price"", WORKDAY(INT($B304), 20)), 2, 2), """"))/$G304)), """")"),"")</f>
        <v/>
      </c>
      <c r="Q304" s="44"/>
      <c r="R304" s="44"/>
      <c r="S304" s="44"/>
      <c r="T304" s="44"/>
      <c r="U304" s="44"/>
      <c r="V304" s="44"/>
      <c r="W304" s="44"/>
      <c r="X304" s="44"/>
      <c r="Y304" s="44"/>
      <c r="Z304" s="44"/>
    </row>
    <row r="305">
      <c r="A305" s="44"/>
      <c r="B305" s="44"/>
      <c r="C305" s="44"/>
      <c r="D305" s="44"/>
      <c r="E305" s="44"/>
      <c r="F305" s="44"/>
      <c r="G305" s="44"/>
      <c r="H305" s="44"/>
      <c r="I305" s="44"/>
      <c r="J305" s="44"/>
      <c r="K305" s="44"/>
      <c r="L305" s="44" t="str">
        <f>IFERROR(__xludf.DUMMYFUNCTION("IFERROR(IF(ISBLANK($C305), """", GOOGLEFINANCE($C305, ""price"")), """")"),"")</f>
        <v/>
      </c>
      <c r="M305" s="44" t="str">
        <f t="shared" si="3"/>
        <v/>
      </c>
      <c r="N305" s="44" t="str">
        <f>IFERROR(__xludf.DUMMYFUNCTION("IFERROR(IF(OR(ISBLANK($G305), IFERROR(INDEX(GOOGLEFINANCE($C305, ""price"", WORKDAY(INT($B305), 1)), 2, 2), """")=""""), """", IF($D305=""LONG"", (IFERROR(INDEX(GOOGLEFINANCE($C305, ""price"", WORKDAY(INT($B305), 1)), 2, 2), """")-$G305)/$G305, ($G305-IFE"&amp;"RROR(INDEX(GOOGLEFINANCE($C305, ""price"", WORKDAY(INT($B305), 1)), 2, 2), """"))/$G305)), """")"),"")</f>
        <v/>
      </c>
      <c r="O305" s="44" t="str">
        <f>IFERROR(__xludf.DUMMYFUNCTION("IFERROR(IF(OR(ISBLANK($G305), IFERROR(INDEX(GOOGLEFINANCE($C305, ""price"", WORKDAY(INT($B305), 5)), 2, 2), """")=""""), """", IF($D305=""LONG"", (IFERROR(INDEX(GOOGLEFINANCE($C305, ""price"", WORKDAY(INT($B305), 5)), 2, 2), """")-$G305)/$G305, ($G305-IFE"&amp;"RROR(INDEX(GOOGLEFINANCE($C305, ""price"", WORKDAY(INT($B305), 5)), 2, 2), """"))/$G305)), """")"),"")</f>
        <v/>
      </c>
      <c r="P305" s="44" t="str">
        <f>IFERROR(__xludf.DUMMYFUNCTION("IFERROR(IF(OR(ISBLANK($G305), IFERROR(INDEX(GOOGLEFINANCE($C305, ""price"", WORKDAY(INT($B305), 20)), 2, 2), """")=""""), """", IF($D305=""LONG"", (IFERROR(INDEX(GOOGLEFINANCE($C305, ""price"", WORKDAY(INT($B305), 20)), 2, 2), """")-$G305)/$G305, ($G305-I"&amp;"FERROR(INDEX(GOOGLEFINANCE($C305, ""price"", WORKDAY(INT($B305), 20)), 2, 2), """"))/$G305)), """")"),"")</f>
        <v/>
      </c>
      <c r="Q305" s="44"/>
      <c r="R305" s="44"/>
      <c r="S305" s="44"/>
      <c r="T305" s="44"/>
      <c r="U305" s="44"/>
      <c r="V305" s="44"/>
      <c r="W305" s="44"/>
      <c r="X305" s="44"/>
      <c r="Y305" s="44"/>
      <c r="Z305" s="44"/>
    </row>
    <row r="306">
      <c r="A306" s="44"/>
      <c r="B306" s="44"/>
      <c r="C306" s="44"/>
      <c r="D306" s="44"/>
      <c r="E306" s="44"/>
      <c r="F306" s="44"/>
      <c r="G306" s="44"/>
      <c r="H306" s="44"/>
      <c r="I306" s="44"/>
      <c r="J306" s="44"/>
      <c r="K306" s="44"/>
      <c r="L306" s="44" t="str">
        <f>IFERROR(__xludf.DUMMYFUNCTION("IFERROR(IF(ISBLANK($C306), """", GOOGLEFINANCE($C306, ""price"")), """")"),"")</f>
        <v/>
      </c>
      <c r="M306" s="44" t="str">
        <f t="shared" si="3"/>
        <v/>
      </c>
      <c r="N306" s="44" t="str">
        <f>IFERROR(__xludf.DUMMYFUNCTION("IFERROR(IF(OR(ISBLANK($G306), IFERROR(INDEX(GOOGLEFINANCE($C306, ""price"", WORKDAY(INT($B306), 1)), 2, 2), """")=""""), """", IF($D306=""LONG"", (IFERROR(INDEX(GOOGLEFINANCE($C306, ""price"", WORKDAY(INT($B306), 1)), 2, 2), """")-$G306)/$G306, ($G306-IFE"&amp;"RROR(INDEX(GOOGLEFINANCE($C306, ""price"", WORKDAY(INT($B306), 1)), 2, 2), """"))/$G306)), """")"),"")</f>
        <v/>
      </c>
      <c r="O306" s="44" t="str">
        <f>IFERROR(__xludf.DUMMYFUNCTION("IFERROR(IF(OR(ISBLANK($G306), IFERROR(INDEX(GOOGLEFINANCE($C306, ""price"", WORKDAY(INT($B306), 5)), 2, 2), """")=""""), """", IF($D306=""LONG"", (IFERROR(INDEX(GOOGLEFINANCE($C306, ""price"", WORKDAY(INT($B306), 5)), 2, 2), """")-$G306)/$G306, ($G306-IFE"&amp;"RROR(INDEX(GOOGLEFINANCE($C306, ""price"", WORKDAY(INT($B306), 5)), 2, 2), """"))/$G306)), """")"),"")</f>
        <v/>
      </c>
      <c r="P306" s="44" t="str">
        <f>IFERROR(__xludf.DUMMYFUNCTION("IFERROR(IF(OR(ISBLANK($G306), IFERROR(INDEX(GOOGLEFINANCE($C306, ""price"", WORKDAY(INT($B306), 20)), 2, 2), """")=""""), """", IF($D306=""LONG"", (IFERROR(INDEX(GOOGLEFINANCE($C306, ""price"", WORKDAY(INT($B306), 20)), 2, 2), """")-$G306)/$G306, ($G306-I"&amp;"FERROR(INDEX(GOOGLEFINANCE($C306, ""price"", WORKDAY(INT($B306), 20)), 2, 2), """"))/$G306)), """")"),"")</f>
        <v/>
      </c>
      <c r="Q306" s="44"/>
      <c r="R306" s="44"/>
      <c r="S306" s="44"/>
      <c r="T306" s="44"/>
      <c r="U306" s="44"/>
      <c r="V306" s="44"/>
      <c r="W306" s="44"/>
      <c r="X306" s="44"/>
      <c r="Y306" s="44"/>
      <c r="Z306" s="44"/>
    </row>
    <row r="307">
      <c r="A307" s="44"/>
      <c r="B307" s="44"/>
      <c r="C307" s="44"/>
      <c r="D307" s="44"/>
      <c r="E307" s="44"/>
      <c r="F307" s="44"/>
      <c r="G307" s="44"/>
      <c r="H307" s="44"/>
      <c r="I307" s="44"/>
      <c r="J307" s="44"/>
      <c r="K307" s="44"/>
      <c r="L307" s="44" t="str">
        <f>IFERROR(__xludf.DUMMYFUNCTION("IFERROR(IF(ISBLANK($C307), """", GOOGLEFINANCE($C307, ""price"")), """")"),"")</f>
        <v/>
      </c>
      <c r="M307" s="44" t="str">
        <f t="shared" si="3"/>
        <v/>
      </c>
      <c r="N307" s="44" t="str">
        <f>IFERROR(__xludf.DUMMYFUNCTION("IFERROR(IF(OR(ISBLANK($G307), IFERROR(INDEX(GOOGLEFINANCE($C307, ""price"", WORKDAY(INT($B307), 1)), 2, 2), """")=""""), """", IF($D307=""LONG"", (IFERROR(INDEX(GOOGLEFINANCE($C307, ""price"", WORKDAY(INT($B307), 1)), 2, 2), """")-$G307)/$G307, ($G307-IFE"&amp;"RROR(INDEX(GOOGLEFINANCE($C307, ""price"", WORKDAY(INT($B307), 1)), 2, 2), """"))/$G307)), """")"),"")</f>
        <v/>
      </c>
      <c r="O307" s="44" t="str">
        <f>IFERROR(__xludf.DUMMYFUNCTION("IFERROR(IF(OR(ISBLANK($G307), IFERROR(INDEX(GOOGLEFINANCE($C307, ""price"", WORKDAY(INT($B307), 5)), 2, 2), """")=""""), """", IF($D307=""LONG"", (IFERROR(INDEX(GOOGLEFINANCE($C307, ""price"", WORKDAY(INT($B307), 5)), 2, 2), """")-$G307)/$G307, ($G307-IFE"&amp;"RROR(INDEX(GOOGLEFINANCE($C307, ""price"", WORKDAY(INT($B307), 5)), 2, 2), """"))/$G307)), """")"),"")</f>
        <v/>
      </c>
      <c r="P307" s="44" t="str">
        <f>IFERROR(__xludf.DUMMYFUNCTION("IFERROR(IF(OR(ISBLANK($G307), IFERROR(INDEX(GOOGLEFINANCE($C307, ""price"", WORKDAY(INT($B307), 20)), 2, 2), """")=""""), """", IF($D307=""LONG"", (IFERROR(INDEX(GOOGLEFINANCE($C307, ""price"", WORKDAY(INT($B307), 20)), 2, 2), """")-$G307)/$G307, ($G307-I"&amp;"FERROR(INDEX(GOOGLEFINANCE($C307, ""price"", WORKDAY(INT($B307), 20)), 2, 2), """"))/$G307)), """")"),"")</f>
        <v/>
      </c>
      <c r="Q307" s="44"/>
      <c r="R307" s="44"/>
      <c r="S307" s="44"/>
      <c r="T307" s="44"/>
      <c r="U307" s="44"/>
      <c r="V307" s="44"/>
      <c r="W307" s="44"/>
      <c r="X307" s="44"/>
      <c r="Y307" s="44"/>
      <c r="Z307" s="44"/>
    </row>
    <row r="308">
      <c r="A308" s="44"/>
      <c r="B308" s="44"/>
      <c r="C308" s="44"/>
      <c r="D308" s="44"/>
      <c r="E308" s="44"/>
      <c r="F308" s="44"/>
      <c r="G308" s="44"/>
      <c r="H308" s="44"/>
      <c r="I308" s="44"/>
      <c r="J308" s="44"/>
      <c r="K308" s="44"/>
      <c r="L308" s="44" t="str">
        <f>IFERROR(__xludf.DUMMYFUNCTION("IFERROR(IF(ISBLANK($C308), """", GOOGLEFINANCE($C308, ""price"")), """")"),"")</f>
        <v/>
      </c>
      <c r="M308" s="44" t="str">
        <f t="shared" si="3"/>
        <v/>
      </c>
      <c r="N308" s="44" t="str">
        <f>IFERROR(__xludf.DUMMYFUNCTION("IFERROR(IF(OR(ISBLANK($G308), IFERROR(INDEX(GOOGLEFINANCE($C308, ""price"", WORKDAY(INT($B308), 1)), 2, 2), """")=""""), """", IF($D308=""LONG"", (IFERROR(INDEX(GOOGLEFINANCE($C308, ""price"", WORKDAY(INT($B308), 1)), 2, 2), """")-$G308)/$G308, ($G308-IFE"&amp;"RROR(INDEX(GOOGLEFINANCE($C308, ""price"", WORKDAY(INT($B308), 1)), 2, 2), """"))/$G308)), """")"),"")</f>
        <v/>
      </c>
      <c r="O308" s="44" t="str">
        <f>IFERROR(__xludf.DUMMYFUNCTION("IFERROR(IF(OR(ISBLANK($G308), IFERROR(INDEX(GOOGLEFINANCE($C308, ""price"", WORKDAY(INT($B308), 5)), 2, 2), """")=""""), """", IF($D308=""LONG"", (IFERROR(INDEX(GOOGLEFINANCE($C308, ""price"", WORKDAY(INT($B308), 5)), 2, 2), """")-$G308)/$G308, ($G308-IFE"&amp;"RROR(INDEX(GOOGLEFINANCE($C308, ""price"", WORKDAY(INT($B308), 5)), 2, 2), """"))/$G308)), """")"),"")</f>
        <v/>
      </c>
      <c r="P308" s="44" t="str">
        <f>IFERROR(__xludf.DUMMYFUNCTION("IFERROR(IF(OR(ISBLANK($G308), IFERROR(INDEX(GOOGLEFINANCE($C308, ""price"", WORKDAY(INT($B308), 20)), 2, 2), """")=""""), """", IF($D308=""LONG"", (IFERROR(INDEX(GOOGLEFINANCE($C308, ""price"", WORKDAY(INT($B308), 20)), 2, 2), """")-$G308)/$G308, ($G308-I"&amp;"FERROR(INDEX(GOOGLEFINANCE($C308, ""price"", WORKDAY(INT($B308), 20)), 2, 2), """"))/$G308)), """")"),"")</f>
        <v/>
      </c>
      <c r="Q308" s="44"/>
      <c r="R308" s="44"/>
      <c r="S308" s="44"/>
      <c r="T308" s="44"/>
      <c r="U308" s="44"/>
      <c r="V308" s="44"/>
      <c r="W308" s="44"/>
      <c r="X308" s="44"/>
      <c r="Y308" s="44"/>
      <c r="Z308" s="44"/>
    </row>
    <row r="309">
      <c r="A309" s="44"/>
      <c r="B309" s="44"/>
      <c r="C309" s="44"/>
      <c r="D309" s="44"/>
      <c r="E309" s="44"/>
      <c r="F309" s="44"/>
      <c r="G309" s="44"/>
      <c r="H309" s="44"/>
      <c r="I309" s="44"/>
      <c r="J309" s="44"/>
      <c r="K309" s="44"/>
      <c r="L309" s="44" t="str">
        <f>IFERROR(__xludf.DUMMYFUNCTION("IFERROR(IF(ISBLANK($C309), """", GOOGLEFINANCE($C309, ""price"")), """")"),"")</f>
        <v/>
      </c>
      <c r="M309" s="44" t="str">
        <f t="shared" si="3"/>
        <v/>
      </c>
      <c r="N309" s="44" t="str">
        <f>IFERROR(__xludf.DUMMYFUNCTION("IFERROR(IF(OR(ISBLANK($G309), IFERROR(INDEX(GOOGLEFINANCE($C309, ""price"", WORKDAY(INT($B309), 1)), 2, 2), """")=""""), """", IF($D309=""LONG"", (IFERROR(INDEX(GOOGLEFINANCE($C309, ""price"", WORKDAY(INT($B309), 1)), 2, 2), """")-$G309)/$G309, ($G309-IFE"&amp;"RROR(INDEX(GOOGLEFINANCE($C309, ""price"", WORKDAY(INT($B309), 1)), 2, 2), """"))/$G309)), """")"),"")</f>
        <v/>
      </c>
      <c r="O309" s="44" t="str">
        <f>IFERROR(__xludf.DUMMYFUNCTION("IFERROR(IF(OR(ISBLANK($G309), IFERROR(INDEX(GOOGLEFINANCE($C309, ""price"", WORKDAY(INT($B309), 5)), 2, 2), """")=""""), """", IF($D309=""LONG"", (IFERROR(INDEX(GOOGLEFINANCE($C309, ""price"", WORKDAY(INT($B309), 5)), 2, 2), """")-$G309)/$G309, ($G309-IFE"&amp;"RROR(INDEX(GOOGLEFINANCE($C309, ""price"", WORKDAY(INT($B309), 5)), 2, 2), """"))/$G309)), """")"),"")</f>
        <v/>
      </c>
      <c r="P309" s="44" t="str">
        <f>IFERROR(__xludf.DUMMYFUNCTION("IFERROR(IF(OR(ISBLANK($G309), IFERROR(INDEX(GOOGLEFINANCE($C309, ""price"", WORKDAY(INT($B309), 20)), 2, 2), """")=""""), """", IF($D309=""LONG"", (IFERROR(INDEX(GOOGLEFINANCE($C309, ""price"", WORKDAY(INT($B309), 20)), 2, 2), """")-$G309)/$G309, ($G309-I"&amp;"FERROR(INDEX(GOOGLEFINANCE($C309, ""price"", WORKDAY(INT($B309), 20)), 2, 2), """"))/$G309)), """")"),"")</f>
        <v/>
      </c>
      <c r="Q309" s="44"/>
      <c r="R309" s="44"/>
      <c r="S309" s="44"/>
      <c r="T309" s="44"/>
      <c r="U309" s="44"/>
      <c r="V309" s="44"/>
      <c r="W309" s="44"/>
      <c r="X309" s="44"/>
      <c r="Y309" s="44"/>
      <c r="Z309" s="44"/>
    </row>
    <row r="310">
      <c r="A310" s="44"/>
      <c r="B310" s="44"/>
      <c r="C310" s="44"/>
      <c r="D310" s="44"/>
      <c r="E310" s="44"/>
      <c r="F310" s="44"/>
      <c r="G310" s="44"/>
      <c r="H310" s="44"/>
      <c r="I310" s="44"/>
      <c r="J310" s="44"/>
      <c r="K310" s="44"/>
      <c r="L310" s="44" t="str">
        <f>IFERROR(__xludf.DUMMYFUNCTION("IFERROR(IF(ISBLANK($C310), """", GOOGLEFINANCE($C310, ""price"")), """")"),"")</f>
        <v/>
      </c>
      <c r="M310" s="44" t="str">
        <f t="shared" si="3"/>
        <v/>
      </c>
      <c r="N310" s="44" t="str">
        <f>IFERROR(__xludf.DUMMYFUNCTION("IFERROR(IF(OR(ISBLANK($G310), IFERROR(INDEX(GOOGLEFINANCE($C310, ""price"", WORKDAY(INT($B310), 1)), 2, 2), """")=""""), """", IF($D310=""LONG"", (IFERROR(INDEX(GOOGLEFINANCE($C310, ""price"", WORKDAY(INT($B310), 1)), 2, 2), """")-$G310)/$G310, ($G310-IFE"&amp;"RROR(INDEX(GOOGLEFINANCE($C310, ""price"", WORKDAY(INT($B310), 1)), 2, 2), """"))/$G310)), """")"),"")</f>
        <v/>
      </c>
      <c r="O310" s="44" t="str">
        <f>IFERROR(__xludf.DUMMYFUNCTION("IFERROR(IF(OR(ISBLANK($G310), IFERROR(INDEX(GOOGLEFINANCE($C310, ""price"", WORKDAY(INT($B310), 5)), 2, 2), """")=""""), """", IF($D310=""LONG"", (IFERROR(INDEX(GOOGLEFINANCE($C310, ""price"", WORKDAY(INT($B310), 5)), 2, 2), """")-$G310)/$G310, ($G310-IFE"&amp;"RROR(INDEX(GOOGLEFINANCE($C310, ""price"", WORKDAY(INT($B310), 5)), 2, 2), """"))/$G310)), """")"),"")</f>
        <v/>
      </c>
      <c r="P310" s="44" t="str">
        <f>IFERROR(__xludf.DUMMYFUNCTION("IFERROR(IF(OR(ISBLANK($G310), IFERROR(INDEX(GOOGLEFINANCE($C310, ""price"", WORKDAY(INT($B310), 20)), 2, 2), """")=""""), """", IF($D310=""LONG"", (IFERROR(INDEX(GOOGLEFINANCE($C310, ""price"", WORKDAY(INT($B310), 20)), 2, 2), """")-$G310)/$G310, ($G310-I"&amp;"FERROR(INDEX(GOOGLEFINANCE($C310, ""price"", WORKDAY(INT($B310), 20)), 2, 2), """"))/$G310)), """")"),"")</f>
        <v/>
      </c>
      <c r="Q310" s="44"/>
      <c r="R310" s="44"/>
      <c r="S310" s="44"/>
      <c r="T310" s="44"/>
      <c r="U310" s="44"/>
      <c r="V310" s="44"/>
      <c r="W310" s="44"/>
      <c r="X310" s="44"/>
      <c r="Y310" s="44"/>
      <c r="Z310" s="44"/>
    </row>
    <row r="311">
      <c r="A311" s="44"/>
      <c r="B311" s="44"/>
      <c r="C311" s="44"/>
      <c r="D311" s="44"/>
      <c r="E311" s="44"/>
      <c r="F311" s="44"/>
      <c r="G311" s="44"/>
      <c r="H311" s="44"/>
      <c r="I311" s="44"/>
      <c r="J311" s="44"/>
      <c r="K311" s="44"/>
      <c r="L311" s="44" t="str">
        <f>IFERROR(__xludf.DUMMYFUNCTION("IFERROR(IF(ISBLANK($C311), """", GOOGLEFINANCE($C311, ""price"")), """")"),"")</f>
        <v/>
      </c>
      <c r="M311" s="44" t="str">
        <f t="shared" si="3"/>
        <v/>
      </c>
      <c r="N311" s="44" t="str">
        <f>IFERROR(__xludf.DUMMYFUNCTION("IFERROR(IF(OR(ISBLANK($G311), IFERROR(INDEX(GOOGLEFINANCE($C311, ""price"", WORKDAY(INT($B311), 1)), 2, 2), """")=""""), """", IF($D311=""LONG"", (IFERROR(INDEX(GOOGLEFINANCE($C311, ""price"", WORKDAY(INT($B311), 1)), 2, 2), """")-$G311)/$G311, ($G311-IFE"&amp;"RROR(INDEX(GOOGLEFINANCE($C311, ""price"", WORKDAY(INT($B311), 1)), 2, 2), """"))/$G311)), """")"),"")</f>
        <v/>
      </c>
      <c r="O311" s="44" t="str">
        <f>IFERROR(__xludf.DUMMYFUNCTION("IFERROR(IF(OR(ISBLANK($G311), IFERROR(INDEX(GOOGLEFINANCE($C311, ""price"", WORKDAY(INT($B311), 5)), 2, 2), """")=""""), """", IF($D311=""LONG"", (IFERROR(INDEX(GOOGLEFINANCE($C311, ""price"", WORKDAY(INT($B311), 5)), 2, 2), """")-$G311)/$G311, ($G311-IFE"&amp;"RROR(INDEX(GOOGLEFINANCE($C311, ""price"", WORKDAY(INT($B311), 5)), 2, 2), """"))/$G311)), """")"),"")</f>
        <v/>
      </c>
      <c r="P311" s="44" t="str">
        <f>IFERROR(__xludf.DUMMYFUNCTION("IFERROR(IF(OR(ISBLANK($G311), IFERROR(INDEX(GOOGLEFINANCE($C311, ""price"", WORKDAY(INT($B311), 20)), 2, 2), """")=""""), """", IF($D311=""LONG"", (IFERROR(INDEX(GOOGLEFINANCE($C311, ""price"", WORKDAY(INT($B311), 20)), 2, 2), """")-$G311)/$G311, ($G311-I"&amp;"FERROR(INDEX(GOOGLEFINANCE($C311, ""price"", WORKDAY(INT($B311), 20)), 2, 2), """"))/$G311)), """")"),"")</f>
        <v/>
      </c>
      <c r="Q311" s="44"/>
      <c r="R311" s="44"/>
      <c r="S311" s="44"/>
      <c r="T311" s="44"/>
      <c r="U311" s="44"/>
      <c r="V311" s="44"/>
      <c r="W311" s="44"/>
      <c r="X311" s="44"/>
      <c r="Y311" s="44"/>
      <c r="Z311" s="44"/>
    </row>
    <row r="312">
      <c r="A312" s="44"/>
      <c r="B312" s="44"/>
      <c r="C312" s="44"/>
      <c r="D312" s="44"/>
      <c r="E312" s="44"/>
      <c r="F312" s="44"/>
      <c r="G312" s="44"/>
      <c r="H312" s="44"/>
      <c r="I312" s="44"/>
      <c r="J312" s="44"/>
      <c r="K312" s="44"/>
      <c r="L312" s="44" t="str">
        <f>IFERROR(__xludf.DUMMYFUNCTION("IFERROR(IF(ISBLANK($C312), """", GOOGLEFINANCE($C312, ""price"")), """")"),"")</f>
        <v/>
      </c>
      <c r="M312" s="44" t="str">
        <f t="shared" si="3"/>
        <v/>
      </c>
      <c r="N312" s="44" t="str">
        <f>IFERROR(__xludf.DUMMYFUNCTION("IFERROR(IF(OR(ISBLANK($G312), IFERROR(INDEX(GOOGLEFINANCE($C312, ""price"", WORKDAY(INT($B312), 1)), 2, 2), """")=""""), """", IF($D312=""LONG"", (IFERROR(INDEX(GOOGLEFINANCE($C312, ""price"", WORKDAY(INT($B312), 1)), 2, 2), """")-$G312)/$G312, ($G312-IFE"&amp;"RROR(INDEX(GOOGLEFINANCE($C312, ""price"", WORKDAY(INT($B312), 1)), 2, 2), """"))/$G312)), """")"),"")</f>
        <v/>
      </c>
      <c r="O312" s="44" t="str">
        <f>IFERROR(__xludf.DUMMYFUNCTION("IFERROR(IF(OR(ISBLANK($G312), IFERROR(INDEX(GOOGLEFINANCE($C312, ""price"", WORKDAY(INT($B312), 5)), 2, 2), """")=""""), """", IF($D312=""LONG"", (IFERROR(INDEX(GOOGLEFINANCE($C312, ""price"", WORKDAY(INT($B312), 5)), 2, 2), """")-$G312)/$G312, ($G312-IFE"&amp;"RROR(INDEX(GOOGLEFINANCE($C312, ""price"", WORKDAY(INT($B312), 5)), 2, 2), """"))/$G312)), """")"),"")</f>
        <v/>
      </c>
      <c r="P312" s="44" t="str">
        <f>IFERROR(__xludf.DUMMYFUNCTION("IFERROR(IF(OR(ISBLANK($G312), IFERROR(INDEX(GOOGLEFINANCE($C312, ""price"", WORKDAY(INT($B312), 20)), 2, 2), """")=""""), """", IF($D312=""LONG"", (IFERROR(INDEX(GOOGLEFINANCE($C312, ""price"", WORKDAY(INT($B312), 20)), 2, 2), """")-$G312)/$G312, ($G312-I"&amp;"FERROR(INDEX(GOOGLEFINANCE($C312, ""price"", WORKDAY(INT($B312), 20)), 2, 2), """"))/$G312)), """")"),"")</f>
        <v/>
      </c>
      <c r="Q312" s="44"/>
      <c r="R312" s="44"/>
      <c r="S312" s="44"/>
      <c r="T312" s="44"/>
      <c r="U312" s="44"/>
      <c r="V312" s="44"/>
      <c r="W312" s="44"/>
      <c r="X312" s="44"/>
      <c r="Y312" s="44"/>
      <c r="Z312" s="44"/>
    </row>
    <row r="313">
      <c r="A313" s="44"/>
      <c r="B313" s="44"/>
      <c r="C313" s="44"/>
      <c r="D313" s="44"/>
      <c r="E313" s="44"/>
      <c r="F313" s="44"/>
      <c r="G313" s="44"/>
      <c r="H313" s="44"/>
      <c r="I313" s="44"/>
      <c r="J313" s="44"/>
      <c r="K313" s="44"/>
      <c r="L313" s="44" t="str">
        <f>IFERROR(__xludf.DUMMYFUNCTION("IFERROR(IF(ISBLANK($C313), """", GOOGLEFINANCE($C313, ""price"")), """")"),"")</f>
        <v/>
      </c>
      <c r="M313" s="44" t="str">
        <f t="shared" si="3"/>
        <v/>
      </c>
      <c r="N313" s="44" t="str">
        <f>IFERROR(__xludf.DUMMYFUNCTION("IFERROR(IF(OR(ISBLANK($G313), IFERROR(INDEX(GOOGLEFINANCE($C313, ""price"", WORKDAY(INT($B313), 1)), 2, 2), """")=""""), """", IF($D313=""LONG"", (IFERROR(INDEX(GOOGLEFINANCE($C313, ""price"", WORKDAY(INT($B313), 1)), 2, 2), """")-$G313)/$G313, ($G313-IFE"&amp;"RROR(INDEX(GOOGLEFINANCE($C313, ""price"", WORKDAY(INT($B313), 1)), 2, 2), """"))/$G313)), """")"),"")</f>
        <v/>
      </c>
      <c r="O313" s="44" t="str">
        <f>IFERROR(__xludf.DUMMYFUNCTION("IFERROR(IF(OR(ISBLANK($G313), IFERROR(INDEX(GOOGLEFINANCE($C313, ""price"", WORKDAY(INT($B313), 5)), 2, 2), """")=""""), """", IF($D313=""LONG"", (IFERROR(INDEX(GOOGLEFINANCE($C313, ""price"", WORKDAY(INT($B313), 5)), 2, 2), """")-$G313)/$G313, ($G313-IFE"&amp;"RROR(INDEX(GOOGLEFINANCE($C313, ""price"", WORKDAY(INT($B313), 5)), 2, 2), """"))/$G313)), """")"),"")</f>
        <v/>
      </c>
      <c r="P313" s="44" t="str">
        <f>IFERROR(__xludf.DUMMYFUNCTION("IFERROR(IF(OR(ISBLANK($G313), IFERROR(INDEX(GOOGLEFINANCE($C313, ""price"", WORKDAY(INT($B313), 20)), 2, 2), """")=""""), """", IF($D313=""LONG"", (IFERROR(INDEX(GOOGLEFINANCE($C313, ""price"", WORKDAY(INT($B313), 20)), 2, 2), """")-$G313)/$G313, ($G313-I"&amp;"FERROR(INDEX(GOOGLEFINANCE($C313, ""price"", WORKDAY(INT($B313), 20)), 2, 2), """"))/$G313)), """")"),"")</f>
        <v/>
      </c>
      <c r="Q313" s="44"/>
      <c r="R313" s="44"/>
      <c r="S313" s="44"/>
      <c r="T313" s="44"/>
      <c r="U313" s="44"/>
      <c r="V313" s="44"/>
      <c r="W313" s="44"/>
      <c r="X313" s="44"/>
      <c r="Y313" s="44"/>
      <c r="Z313" s="44"/>
    </row>
    <row r="314">
      <c r="A314" s="44"/>
      <c r="B314" s="44"/>
      <c r="C314" s="44"/>
      <c r="D314" s="44"/>
      <c r="E314" s="44"/>
      <c r="F314" s="44"/>
      <c r="G314" s="44"/>
      <c r="H314" s="44"/>
      <c r="I314" s="44"/>
      <c r="J314" s="44"/>
      <c r="K314" s="44"/>
      <c r="L314" s="44" t="str">
        <f>IFERROR(__xludf.DUMMYFUNCTION("IFERROR(IF(ISBLANK($C314), """", GOOGLEFINANCE($C314, ""price"")), """")"),"")</f>
        <v/>
      </c>
      <c r="M314" s="44" t="str">
        <f t="shared" si="3"/>
        <v/>
      </c>
      <c r="N314" s="44" t="str">
        <f>IFERROR(__xludf.DUMMYFUNCTION("IFERROR(IF(OR(ISBLANK($G314), IFERROR(INDEX(GOOGLEFINANCE($C314, ""price"", WORKDAY(INT($B314), 1)), 2, 2), """")=""""), """", IF($D314=""LONG"", (IFERROR(INDEX(GOOGLEFINANCE($C314, ""price"", WORKDAY(INT($B314), 1)), 2, 2), """")-$G314)/$G314, ($G314-IFE"&amp;"RROR(INDEX(GOOGLEFINANCE($C314, ""price"", WORKDAY(INT($B314), 1)), 2, 2), """"))/$G314)), """")"),"")</f>
        <v/>
      </c>
      <c r="O314" s="44" t="str">
        <f>IFERROR(__xludf.DUMMYFUNCTION("IFERROR(IF(OR(ISBLANK($G314), IFERROR(INDEX(GOOGLEFINANCE($C314, ""price"", WORKDAY(INT($B314), 5)), 2, 2), """")=""""), """", IF($D314=""LONG"", (IFERROR(INDEX(GOOGLEFINANCE($C314, ""price"", WORKDAY(INT($B314), 5)), 2, 2), """")-$G314)/$G314, ($G314-IFE"&amp;"RROR(INDEX(GOOGLEFINANCE($C314, ""price"", WORKDAY(INT($B314), 5)), 2, 2), """"))/$G314)), """")"),"")</f>
        <v/>
      </c>
      <c r="P314" s="44" t="str">
        <f>IFERROR(__xludf.DUMMYFUNCTION("IFERROR(IF(OR(ISBLANK($G314), IFERROR(INDEX(GOOGLEFINANCE($C314, ""price"", WORKDAY(INT($B314), 20)), 2, 2), """")=""""), """", IF($D314=""LONG"", (IFERROR(INDEX(GOOGLEFINANCE($C314, ""price"", WORKDAY(INT($B314), 20)), 2, 2), """")-$G314)/$G314, ($G314-I"&amp;"FERROR(INDEX(GOOGLEFINANCE($C314, ""price"", WORKDAY(INT($B314), 20)), 2, 2), """"))/$G314)), """")"),"")</f>
        <v/>
      </c>
      <c r="Q314" s="44"/>
      <c r="R314" s="44"/>
      <c r="S314" s="44"/>
      <c r="T314" s="44"/>
      <c r="U314" s="44"/>
      <c r="V314" s="44"/>
      <c r="W314" s="44"/>
      <c r="X314" s="44"/>
      <c r="Y314" s="44"/>
      <c r="Z314" s="44"/>
    </row>
    <row r="315">
      <c r="A315" s="44"/>
      <c r="B315" s="44"/>
      <c r="C315" s="44"/>
      <c r="D315" s="44"/>
      <c r="E315" s="44"/>
      <c r="F315" s="44"/>
      <c r="G315" s="44"/>
      <c r="H315" s="44"/>
      <c r="I315" s="44"/>
      <c r="J315" s="44"/>
      <c r="K315" s="44"/>
      <c r="L315" s="44" t="str">
        <f>IFERROR(__xludf.DUMMYFUNCTION("IFERROR(IF(ISBLANK($C315), """", GOOGLEFINANCE($C315, ""price"")), """")"),"")</f>
        <v/>
      </c>
      <c r="M315" s="44" t="str">
        <f t="shared" si="3"/>
        <v/>
      </c>
      <c r="N315" s="44" t="str">
        <f>IFERROR(__xludf.DUMMYFUNCTION("IFERROR(IF(OR(ISBLANK($G315), IFERROR(INDEX(GOOGLEFINANCE($C315, ""price"", WORKDAY(INT($B315), 1)), 2, 2), """")=""""), """", IF($D315=""LONG"", (IFERROR(INDEX(GOOGLEFINANCE($C315, ""price"", WORKDAY(INT($B315), 1)), 2, 2), """")-$G315)/$G315, ($G315-IFE"&amp;"RROR(INDEX(GOOGLEFINANCE($C315, ""price"", WORKDAY(INT($B315), 1)), 2, 2), """"))/$G315)), """")"),"")</f>
        <v/>
      </c>
      <c r="O315" s="44" t="str">
        <f>IFERROR(__xludf.DUMMYFUNCTION("IFERROR(IF(OR(ISBLANK($G315), IFERROR(INDEX(GOOGLEFINANCE($C315, ""price"", WORKDAY(INT($B315), 5)), 2, 2), """")=""""), """", IF($D315=""LONG"", (IFERROR(INDEX(GOOGLEFINANCE($C315, ""price"", WORKDAY(INT($B315), 5)), 2, 2), """")-$G315)/$G315, ($G315-IFE"&amp;"RROR(INDEX(GOOGLEFINANCE($C315, ""price"", WORKDAY(INT($B315), 5)), 2, 2), """"))/$G315)), """")"),"")</f>
        <v/>
      </c>
      <c r="P315" s="44" t="str">
        <f>IFERROR(__xludf.DUMMYFUNCTION("IFERROR(IF(OR(ISBLANK($G315), IFERROR(INDEX(GOOGLEFINANCE($C315, ""price"", WORKDAY(INT($B315), 20)), 2, 2), """")=""""), """", IF($D315=""LONG"", (IFERROR(INDEX(GOOGLEFINANCE($C315, ""price"", WORKDAY(INT($B315), 20)), 2, 2), """")-$G315)/$G315, ($G315-I"&amp;"FERROR(INDEX(GOOGLEFINANCE($C315, ""price"", WORKDAY(INT($B315), 20)), 2, 2), """"))/$G315)), """")"),"")</f>
        <v/>
      </c>
      <c r="Q315" s="44"/>
      <c r="R315" s="44"/>
      <c r="S315" s="44"/>
      <c r="T315" s="44"/>
      <c r="U315" s="44"/>
      <c r="V315" s="44"/>
      <c r="W315" s="44"/>
      <c r="X315" s="44"/>
      <c r="Y315" s="44"/>
      <c r="Z315" s="44"/>
    </row>
    <row r="316">
      <c r="A316" s="44"/>
      <c r="B316" s="44"/>
      <c r="C316" s="44"/>
      <c r="D316" s="44"/>
      <c r="E316" s="44"/>
      <c r="F316" s="44"/>
      <c r="G316" s="44"/>
      <c r="H316" s="44"/>
      <c r="I316" s="44"/>
      <c r="J316" s="44"/>
      <c r="K316" s="44"/>
      <c r="L316" s="44" t="str">
        <f>IFERROR(__xludf.DUMMYFUNCTION("IFERROR(IF(ISBLANK($C316), """", GOOGLEFINANCE($C316, ""price"")), """")"),"")</f>
        <v/>
      </c>
      <c r="M316" s="44" t="str">
        <f t="shared" si="3"/>
        <v/>
      </c>
      <c r="N316" s="44" t="str">
        <f>IFERROR(__xludf.DUMMYFUNCTION("IFERROR(IF(OR(ISBLANK($G316), IFERROR(INDEX(GOOGLEFINANCE($C316, ""price"", WORKDAY(INT($B316), 1)), 2, 2), """")=""""), """", IF($D316=""LONG"", (IFERROR(INDEX(GOOGLEFINANCE($C316, ""price"", WORKDAY(INT($B316), 1)), 2, 2), """")-$G316)/$G316, ($G316-IFE"&amp;"RROR(INDEX(GOOGLEFINANCE($C316, ""price"", WORKDAY(INT($B316), 1)), 2, 2), """"))/$G316)), """")"),"")</f>
        <v/>
      </c>
      <c r="O316" s="44" t="str">
        <f>IFERROR(__xludf.DUMMYFUNCTION("IFERROR(IF(OR(ISBLANK($G316), IFERROR(INDEX(GOOGLEFINANCE($C316, ""price"", WORKDAY(INT($B316), 5)), 2, 2), """")=""""), """", IF($D316=""LONG"", (IFERROR(INDEX(GOOGLEFINANCE($C316, ""price"", WORKDAY(INT($B316), 5)), 2, 2), """")-$G316)/$G316, ($G316-IFE"&amp;"RROR(INDEX(GOOGLEFINANCE($C316, ""price"", WORKDAY(INT($B316), 5)), 2, 2), """"))/$G316)), """")"),"")</f>
        <v/>
      </c>
      <c r="P316" s="44" t="str">
        <f>IFERROR(__xludf.DUMMYFUNCTION("IFERROR(IF(OR(ISBLANK($G316), IFERROR(INDEX(GOOGLEFINANCE($C316, ""price"", WORKDAY(INT($B316), 20)), 2, 2), """")=""""), """", IF($D316=""LONG"", (IFERROR(INDEX(GOOGLEFINANCE($C316, ""price"", WORKDAY(INT($B316), 20)), 2, 2), """")-$G316)/$G316, ($G316-I"&amp;"FERROR(INDEX(GOOGLEFINANCE($C316, ""price"", WORKDAY(INT($B316), 20)), 2, 2), """"))/$G316)), """")"),"")</f>
        <v/>
      </c>
      <c r="Q316" s="44"/>
      <c r="R316" s="44"/>
      <c r="S316" s="44"/>
      <c r="T316" s="44"/>
      <c r="U316" s="44"/>
      <c r="V316" s="44"/>
      <c r="W316" s="44"/>
      <c r="X316" s="44"/>
      <c r="Y316" s="44"/>
      <c r="Z316" s="44"/>
    </row>
    <row r="317">
      <c r="A317" s="44"/>
      <c r="B317" s="44"/>
      <c r="C317" s="44"/>
      <c r="D317" s="44"/>
      <c r="E317" s="44"/>
      <c r="F317" s="44"/>
      <c r="G317" s="44"/>
      <c r="H317" s="44"/>
      <c r="I317" s="44"/>
      <c r="J317" s="44"/>
      <c r="K317" s="44"/>
      <c r="L317" s="44" t="str">
        <f>IFERROR(__xludf.DUMMYFUNCTION("IFERROR(IF(ISBLANK($C317), """", GOOGLEFINANCE($C317, ""price"")), """")"),"")</f>
        <v/>
      </c>
      <c r="M317" s="44" t="str">
        <f t="shared" si="3"/>
        <v/>
      </c>
      <c r="N317" s="44" t="str">
        <f>IFERROR(__xludf.DUMMYFUNCTION("IFERROR(IF(OR(ISBLANK($G317), IFERROR(INDEX(GOOGLEFINANCE($C317, ""price"", WORKDAY(INT($B317), 1)), 2, 2), """")=""""), """", IF($D317=""LONG"", (IFERROR(INDEX(GOOGLEFINANCE($C317, ""price"", WORKDAY(INT($B317), 1)), 2, 2), """")-$G317)/$G317, ($G317-IFE"&amp;"RROR(INDEX(GOOGLEFINANCE($C317, ""price"", WORKDAY(INT($B317), 1)), 2, 2), """"))/$G317)), """")"),"")</f>
        <v/>
      </c>
      <c r="O317" s="44" t="str">
        <f>IFERROR(__xludf.DUMMYFUNCTION("IFERROR(IF(OR(ISBLANK($G317), IFERROR(INDEX(GOOGLEFINANCE($C317, ""price"", WORKDAY(INT($B317), 5)), 2, 2), """")=""""), """", IF($D317=""LONG"", (IFERROR(INDEX(GOOGLEFINANCE($C317, ""price"", WORKDAY(INT($B317), 5)), 2, 2), """")-$G317)/$G317, ($G317-IFE"&amp;"RROR(INDEX(GOOGLEFINANCE($C317, ""price"", WORKDAY(INT($B317), 5)), 2, 2), """"))/$G317)), """")"),"")</f>
        <v/>
      </c>
      <c r="P317" s="44" t="str">
        <f>IFERROR(__xludf.DUMMYFUNCTION("IFERROR(IF(OR(ISBLANK($G317), IFERROR(INDEX(GOOGLEFINANCE($C317, ""price"", WORKDAY(INT($B317), 20)), 2, 2), """")=""""), """", IF($D317=""LONG"", (IFERROR(INDEX(GOOGLEFINANCE($C317, ""price"", WORKDAY(INT($B317), 20)), 2, 2), """")-$G317)/$G317, ($G317-I"&amp;"FERROR(INDEX(GOOGLEFINANCE($C317, ""price"", WORKDAY(INT($B317), 20)), 2, 2), """"))/$G317)), """")"),"")</f>
        <v/>
      </c>
      <c r="Q317" s="44"/>
      <c r="R317" s="44"/>
      <c r="S317" s="44"/>
      <c r="T317" s="44"/>
      <c r="U317" s="44"/>
      <c r="V317" s="44"/>
      <c r="W317" s="44"/>
      <c r="X317" s="44"/>
      <c r="Y317" s="44"/>
      <c r="Z317" s="44"/>
    </row>
    <row r="318">
      <c r="A318" s="44"/>
      <c r="B318" s="44"/>
      <c r="C318" s="44"/>
      <c r="D318" s="44"/>
      <c r="E318" s="44"/>
      <c r="F318" s="44"/>
      <c r="G318" s="44"/>
      <c r="H318" s="44"/>
      <c r="I318" s="44"/>
      <c r="J318" s="44"/>
      <c r="K318" s="44"/>
      <c r="L318" s="44" t="str">
        <f>IFERROR(__xludf.DUMMYFUNCTION("IFERROR(IF(ISBLANK($C318), """", GOOGLEFINANCE($C318, ""price"")), """")"),"")</f>
        <v/>
      </c>
      <c r="M318" s="44" t="str">
        <f t="shared" si="3"/>
        <v/>
      </c>
      <c r="N318" s="44" t="str">
        <f>IFERROR(__xludf.DUMMYFUNCTION("IFERROR(IF(OR(ISBLANK($G318), IFERROR(INDEX(GOOGLEFINANCE($C318, ""price"", WORKDAY(INT($B318), 1)), 2, 2), """")=""""), """", IF($D318=""LONG"", (IFERROR(INDEX(GOOGLEFINANCE($C318, ""price"", WORKDAY(INT($B318), 1)), 2, 2), """")-$G318)/$G318, ($G318-IFE"&amp;"RROR(INDEX(GOOGLEFINANCE($C318, ""price"", WORKDAY(INT($B318), 1)), 2, 2), """"))/$G318)), """")"),"")</f>
        <v/>
      </c>
      <c r="O318" s="44" t="str">
        <f>IFERROR(__xludf.DUMMYFUNCTION("IFERROR(IF(OR(ISBLANK($G318), IFERROR(INDEX(GOOGLEFINANCE($C318, ""price"", WORKDAY(INT($B318), 5)), 2, 2), """")=""""), """", IF($D318=""LONG"", (IFERROR(INDEX(GOOGLEFINANCE($C318, ""price"", WORKDAY(INT($B318), 5)), 2, 2), """")-$G318)/$G318, ($G318-IFE"&amp;"RROR(INDEX(GOOGLEFINANCE($C318, ""price"", WORKDAY(INT($B318), 5)), 2, 2), """"))/$G318)), """")"),"")</f>
        <v/>
      </c>
      <c r="P318" s="44" t="str">
        <f>IFERROR(__xludf.DUMMYFUNCTION("IFERROR(IF(OR(ISBLANK($G318), IFERROR(INDEX(GOOGLEFINANCE($C318, ""price"", WORKDAY(INT($B318), 20)), 2, 2), """")=""""), """", IF($D318=""LONG"", (IFERROR(INDEX(GOOGLEFINANCE($C318, ""price"", WORKDAY(INT($B318), 20)), 2, 2), """")-$G318)/$G318, ($G318-I"&amp;"FERROR(INDEX(GOOGLEFINANCE($C318, ""price"", WORKDAY(INT($B318), 20)), 2, 2), """"))/$G318)), """")"),"")</f>
        <v/>
      </c>
      <c r="Q318" s="44"/>
      <c r="R318" s="44"/>
      <c r="S318" s="44"/>
      <c r="T318" s="44"/>
      <c r="U318" s="44"/>
      <c r="V318" s="44"/>
      <c r="W318" s="44"/>
      <c r="X318" s="44"/>
      <c r="Y318" s="44"/>
      <c r="Z318" s="44"/>
    </row>
    <row r="319">
      <c r="A319" s="44"/>
      <c r="B319" s="44"/>
      <c r="C319" s="44"/>
      <c r="D319" s="44"/>
      <c r="E319" s="44"/>
      <c r="F319" s="44"/>
      <c r="G319" s="44"/>
      <c r="H319" s="44"/>
      <c r="I319" s="44"/>
      <c r="J319" s="44"/>
      <c r="K319" s="44"/>
      <c r="L319" s="44" t="str">
        <f>IFERROR(__xludf.DUMMYFUNCTION("IFERROR(IF(ISBLANK($C319), """", GOOGLEFINANCE($C319, ""price"")), """")"),"")</f>
        <v/>
      </c>
      <c r="M319" s="44" t="str">
        <f t="shared" si="3"/>
        <v/>
      </c>
      <c r="N319" s="44" t="str">
        <f>IFERROR(__xludf.DUMMYFUNCTION("IFERROR(IF(OR(ISBLANK($G319), IFERROR(INDEX(GOOGLEFINANCE($C319, ""price"", WORKDAY(INT($B319), 1)), 2, 2), """")=""""), """", IF($D319=""LONG"", (IFERROR(INDEX(GOOGLEFINANCE($C319, ""price"", WORKDAY(INT($B319), 1)), 2, 2), """")-$G319)/$G319, ($G319-IFE"&amp;"RROR(INDEX(GOOGLEFINANCE($C319, ""price"", WORKDAY(INT($B319), 1)), 2, 2), """"))/$G319)), """")"),"")</f>
        <v/>
      </c>
      <c r="O319" s="44" t="str">
        <f>IFERROR(__xludf.DUMMYFUNCTION("IFERROR(IF(OR(ISBLANK($G319), IFERROR(INDEX(GOOGLEFINANCE($C319, ""price"", WORKDAY(INT($B319), 5)), 2, 2), """")=""""), """", IF($D319=""LONG"", (IFERROR(INDEX(GOOGLEFINANCE($C319, ""price"", WORKDAY(INT($B319), 5)), 2, 2), """")-$G319)/$G319, ($G319-IFE"&amp;"RROR(INDEX(GOOGLEFINANCE($C319, ""price"", WORKDAY(INT($B319), 5)), 2, 2), """"))/$G319)), """")"),"")</f>
        <v/>
      </c>
      <c r="P319" s="44" t="str">
        <f>IFERROR(__xludf.DUMMYFUNCTION("IFERROR(IF(OR(ISBLANK($G319), IFERROR(INDEX(GOOGLEFINANCE($C319, ""price"", WORKDAY(INT($B319), 20)), 2, 2), """")=""""), """", IF($D319=""LONG"", (IFERROR(INDEX(GOOGLEFINANCE($C319, ""price"", WORKDAY(INT($B319), 20)), 2, 2), """")-$G319)/$G319, ($G319-I"&amp;"FERROR(INDEX(GOOGLEFINANCE($C319, ""price"", WORKDAY(INT($B319), 20)), 2, 2), """"))/$G319)), """")"),"")</f>
        <v/>
      </c>
      <c r="Q319" s="44"/>
      <c r="R319" s="44"/>
      <c r="S319" s="44"/>
      <c r="T319" s="44"/>
      <c r="U319" s="44"/>
      <c r="V319" s="44"/>
      <c r="W319" s="44"/>
      <c r="X319" s="44"/>
      <c r="Y319" s="44"/>
      <c r="Z319" s="44"/>
    </row>
    <row r="320">
      <c r="A320" s="44"/>
      <c r="B320" s="45"/>
      <c r="C320" s="44"/>
      <c r="D320" s="44"/>
      <c r="E320" s="44"/>
      <c r="F320" s="44"/>
      <c r="G320" s="46"/>
      <c r="H320" s="44"/>
      <c r="I320" s="44"/>
      <c r="J320" s="44"/>
      <c r="K320" s="44"/>
      <c r="L320" s="46" t="str">
        <f>IFERROR(__xludf.DUMMYFUNCTION("IFERROR(IF(ISBLANK($C320), """", GOOGLEFINANCE($C320, ""price"")), """")"),"")</f>
        <v/>
      </c>
      <c r="M320" s="47" t="str">
        <f t="shared" si="3"/>
        <v/>
      </c>
      <c r="N320" s="47" t="str">
        <f>IFERROR(__xludf.DUMMYFUNCTION("IFERROR(IF(OR(ISBLANK($G320), IFERROR(INDEX(GOOGLEFINANCE($C320, ""price"", WORKDAY(INT($B320), 1)), 2, 2), """")=""""), """", IF($D320=""LONG"", (IFERROR(INDEX(GOOGLEFINANCE($C320, ""price"", WORKDAY(INT($B320), 1)), 2, 2), """")-$G320)/$G320, ($G320-IFE"&amp;"RROR(INDEX(GOOGLEFINANCE($C320, ""price"", WORKDAY(INT($B320), 1)), 2, 2), """"))/$G320)), """")"),"")</f>
        <v/>
      </c>
      <c r="O320" s="47" t="str">
        <f>IFERROR(__xludf.DUMMYFUNCTION("IFERROR(IF(OR(ISBLANK($G320), IFERROR(INDEX(GOOGLEFINANCE($C320, ""price"", WORKDAY(INT($B320), 5)), 2, 2), """")=""""), """", IF($D320=""LONG"", (IFERROR(INDEX(GOOGLEFINANCE($C320, ""price"", WORKDAY(INT($B320), 5)), 2, 2), """")-$G320)/$G320, ($G320-IFE"&amp;"RROR(INDEX(GOOGLEFINANCE($C320, ""price"", WORKDAY(INT($B320), 5)), 2, 2), """"))/$G320)), """")"),"")</f>
        <v/>
      </c>
      <c r="P320" s="47" t="str">
        <f>IFERROR(__xludf.DUMMYFUNCTION("IFERROR(IF(OR(ISBLANK($G320), IFERROR(INDEX(GOOGLEFINANCE($C320, ""price"", WORKDAY(INT($B320), 20)), 2, 2), """")=""""), """", IF($D320=""LONG"", (IFERROR(INDEX(GOOGLEFINANCE($C320, ""price"", WORKDAY(INT($B320), 20)), 2, 2), """")-$G320)/$G320, ($G320-I"&amp;"FERROR(INDEX(GOOGLEFINANCE($C320, ""price"", WORKDAY(INT($B320), 20)), 2, 2), """"))/$G320)), """")"),"")</f>
        <v/>
      </c>
      <c r="Q320" s="44"/>
      <c r="R320" s="44"/>
      <c r="S320" s="44"/>
      <c r="T320" s="44"/>
      <c r="U320" s="44"/>
      <c r="V320" s="44"/>
      <c r="W320" s="44"/>
      <c r="X320" s="44"/>
      <c r="Y320" s="44"/>
      <c r="Z320" s="44"/>
    </row>
    <row r="321">
      <c r="A321" s="44"/>
      <c r="B321" s="45"/>
      <c r="C321" s="44"/>
      <c r="D321" s="44"/>
      <c r="E321" s="44"/>
      <c r="F321" s="44"/>
      <c r="G321" s="46"/>
      <c r="H321" s="44"/>
      <c r="I321" s="44"/>
      <c r="J321" s="44"/>
      <c r="K321" s="44"/>
      <c r="L321" s="46" t="str">
        <f>IFERROR(__xludf.DUMMYFUNCTION("IFERROR(IF(ISBLANK($C321), """", GOOGLEFINANCE($C321, ""price"")), """")"),"")</f>
        <v/>
      </c>
      <c r="M321" s="47" t="str">
        <f t="shared" si="3"/>
        <v/>
      </c>
      <c r="N321" s="47" t="str">
        <f>IFERROR(__xludf.DUMMYFUNCTION("IFERROR(IF(OR(ISBLANK($G321), IFERROR(INDEX(GOOGLEFINANCE($C321, ""price"", WORKDAY(INT($B321), 1)), 2, 2), """")=""""), """", IF($D321=""LONG"", (IFERROR(INDEX(GOOGLEFINANCE($C321, ""price"", WORKDAY(INT($B321), 1)), 2, 2), """")-$G321)/$G321, ($G321-IFE"&amp;"RROR(INDEX(GOOGLEFINANCE($C321, ""price"", WORKDAY(INT($B321), 1)), 2, 2), """"))/$G321)), """")"),"")</f>
        <v/>
      </c>
      <c r="O321" s="47" t="str">
        <f>IFERROR(__xludf.DUMMYFUNCTION("IFERROR(IF(OR(ISBLANK($G321), IFERROR(INDEX(GOOGLEFINANCE($C321, ""price"", WORKDAY(INT($B321), 5)), 2, 2), """")=""""), """", IF($D321=""LONG"", (IFERROR(INDEX(GOOGLEFINANCE($C321, ""price"", WORKDAY(INT($B321), 5)), 2, 2), """")-$G321)/$G321, ($G321-IFE"&amp;"RROR(INDEX(GOOGLEFINANCE($C321, ""price"", WORKDAY(INT($B321), 5)), 2, 2), """"))/$G321)), """")"),"")</f>
        <v/>
      </c>
      <c r="P321" s="47" t="str">
        <f>IFERROR(__xludf.DUMMYFUNCTION("IFERROR(IF(OR(ISBLANK($G321), IFERROR(INDEX(GOOGLEFINANCE($C321, ""price"", WORKDAY(INT($B321), 20)), 2, 2), """")=""""), """", IF($D321=""LONG"", (IFERROR(INDEX(GOOGLEFINANCE($C321, ""price"", WORKDAY(INT($B321), 20)), 2, 2), """")-$G321)/$G321, ($G321-I"&amp;"FERROR(INDEX(GOOGLEFINANCE($C321, ""price"", WORKDAY(INT($B321), 20)), 2, 2), """"))/$G321)), """")"),"")</f>
        <v/>
      </c>
      <c r="Q321" s="44"/>
      <c r="R321" s="44"/>
      <c r="S321" s="44"/>
      <c r="T321" s="44"/>
      <c r="U321" s="44"/>
      <c r="V321" s="44"/>
      <c r="W321" s="44"/>
      <c r="X321" s="44"/>
      <c r="Y321" s="44"/>
      <c r="Z321" s="44"/>
    </row>
    <row r="322">
      <c r="A322" s="44"/>
      <c r="B322" s="45"/>
      <c r="C322" s="44"/>
      <c r="D322" s="44"/>
      <c r="E322" s="44"/>
      <c r="F322" s="44"/>
      <c r="G322" s="46"/>
      <c r="H322" s="44"/>
      <c r="I322" s="44"/>
      <c r="J322" s="44"/>
      <c r="K322" s="44"/>
      <c r="L322" s="46" t="str">
        <f>IFERROR(__xludf.DUMMYFUNCTION("IFERROR(IF(ISBLANK($C322), """", GOOGLEFINANCE($C322, ""price"")), """")"),"")</f>
        <v/>
      </c>
      <c r="M322" s="47" t="str">
        <f t="shared" si="3"/>
        <v/>
      </c>
      <c r="N322" s="47" t="str">
        <f>IFERROR(__xludf.DUMMYFUNCTION("IFERROR(IF(OR(ISBLANK($G322), IFERROR(INDEX(GOOGLEFINANCE($C322, ""price"", WORKDAY(INT($B322), 1)), 2, 2), """")=""""), """", IF($D322=""LONG"", (IFERROR(INDEX(GOOGLEFINANCE($C322, ""price"", WORKDAY(INT($B322), 1)), 2, 2), """")-$G322)/$G322, ($G322-IFE"&amp;"RROR(INDEX(GOOGLEFINANCE($C322, ""price"", WORKDAY(INT($B322), 1)), 2, 2), """"))/$G322)), """")"),"")</f>
        <v/>
      </c>
      <c r="O322" s="47" t="str">
        <f>IFERROR(__xludf.DUMMYFUNCTION("IFERROR(IF(OR(ISBLANK($G322), IFERROR(INDEX(GOOGLEFINANCE($C322, ""price"", WORKDAY(INT($B322), 5)), 2, 2), """")=""""), """", IF($D322=""LONG"", (IFERROR(INDEX(GOOGLEFINANCE($C322, ""price"", WORKDAY(INT($B322), 5)), 2, 2), """")-$G322)/$G322, ($G322-IFE"&amp;"RROR(INDEX(GOOGLEFINANCE($C322, ""price"", WORKDAY(INT($B322), 5)), 2, 2), """"))/$G322)), """")"),"")</f>
        <v/>
      </c>
      <c r="P322" s="47" t="str">
        <f>IFERROR(__xludf.DUMMYFUNCTION("IFERROR(IF(OR(ISBLANK($G322), IFERROR(INDEX(GOOGLEFINANCE($C322, ""price"", WORKDAY(INT($B322), 20)), 2, 2), """")=""""), """", IF($D322=""LONG"", (IFERROR(INDEX(GOOGLEFINANCE($C322, ""price"", WORKDAY(INT($B322), 20)), 2, 2), """")-$G322)/$G322, ($G322-I"&amp;"FERROR(INDEX(GOOGLEFINANCE($C322, ""price"", WORKDAY(INT($B322), 20)), 2, 2), """"))/$G322)), """")"),"")</f>
        <v/>
      </c>
      <c r="Q322" s="44"/>
      <c r="R322" s="44"/>
      <c r="S322" s="44"/>
      <c r="T322" s="44"/>
      <c r="U322" s="44"/>
      <c r="V322" s="44"/>
      <c r="W322" s="44"/>
      <c r="X322" s="44"/>
      <c r="Y322" s="44"/>
      <c r="Z322" s="44"/>
    </row>
    <row r="323">
      <c r="A323" s="44"/>
      <c r="B323" s="45"/>
      <c r="C323" s="44"/>
      <c r="D323" s="44"/>
      <c r="E323" s="44"/>
      <c r="F323" s="44"/>
      <c r="G323" s="46"/>
      <c r="H323" s="44"/>
      <c r="I323" s="44"/>
      <c r="J323" s="44"/>
      <c r="K323" s="44"/>
      <c r="L323" s="46" t="str">
        <f>IFERROR(__xludf.DUMMYFUNCTION("IFERROR(IF(ISBLANK($C323), """", GOOGLEFINANCE($C323, ""price"")), """")"),"")</f>
        <v/>
      </c>
      <c r="M323" s="47" t="str">
        <f t="shared" si="3"/>
        <v/>
      </c>
      <c r="N323" s="47" t="str">
        <f>IFERROR(__xludf.DUMMYFUNCTION("IFERROR(IF(OR(ISBLANK($G323), IFERROR(INDEX(GOOGLEFINANCE($C323, ""price"", WORKDAY(INT($B323), 1)), 2, 2), """")=""""), """", IF($D323=""LONG"", (IFERROR(INDEX(GOOGLEFINANCE($C323, ""price"", WORKDAY(INT($B323), 1)), 2, 2), """")-$G323)/$G323, ($G323-IFE"&amp;"RROR(INDEX(GOOGLEFINANCE($C323, ""price"", WORKDAY(INT($B323), 1)), 2, 2), """"))/$G323)), """")"),"")</f>
        <v/>
      </c>
      <c r="O323" s="47" t="str">
        <f>IFERROR(__xludf.DUMMYFUNCTION("IFERROR(IF(OR(ISBLANK($G323), IFERROR(INDEX(GOOGLEFINANCE($C323, ""price"", WORKDAY(INT($B323), 5)), 2, 2), """")=""""), """", IF($D323=""LONG"", (IFERROR(INDEX(GOOGLEFINANCE($C323, ""price"", WORKDAY(INT($B323), 5)), 2, 2), """")-$G323)/$G323, ($G323-IFE"&amp;"RROR(INDEX(GOOGLEFINANCE($C323, ""price"", WORKDAY(INT($B323), 5)), 2, 2), """"))/$G323)), """")"),"")</f>
        <v/>
      </c>
      <c r="P323" s="47" t="str">
        <f>IFERROR(__xludf.DUMMYFUNCTION("IFERROR(IF(OR(ISBLANK($G323), IFERROR(INDEX(GOOGLEFINANCE($C323, ""price"", WORKDAY(INT($B323), 20)), 2, 2), """")=""""), """", IF($D323=""LONG"", (IFERROR(INDEX(GOOGLEFINANCE($C323, ""price"", WORKDAY(INT($B323), 20)), 2, 2), """")-$G323)/$G323, ($G323-I"&amp;"FERROR(INDEX(GOOGLEFINANCE($C323, ""price"", WORKDAY(INT($B323), 20)), 2, 2), """"))/$G323)), """")"),"")</f>
        <v/>
      </c>
      <c r="Q323" s="44"/>
      <c r="R323" s="44"/>
      <c r="S323" s="44"/>
      <c r="T323" s="44"/>
      <c r="U323" s="44"/>
      <c r="V323" s="44"/>
      <c r="W323" s="44"/>
      <c r="X323" s="44"/>
      <c r="Y323" s="44"/>
      <c r="Z323" s="44"/>
    </row>
    <row r="324">
      <c r="A324" s="44"/>
      <c r="B324" s="45"/>
      <c r="C324" s="44"/>
      <c r="D324" s="44"/>
      <c r="E324" s="44"/>
      <c r="F324" s="44"/>
      <c r="G324" s="46"/>
      <c r="H324" s="44"/>
      <c r="I324" s="44"/>
      <c r="J324" s="44"/>
      <c r="K324" s="44"/>
      <c r="L324" s="46" t="str">
        <f>IFERROR(__xludf.DUMMYFUNCTION("IFERROR(IF(ISBLANK($C324), """", GOOGLEFINANCE($C324, ""price"")), """")"),"")</f>
        <v/>
      </c>
      <c r="M324" s="47" t="str">
        <f t="shared" si="3"/>
        <v/>
      </c>
      <c r="N324" s="47" t="str">
        <f>IFERROR(__xludf.DUMMYFUNCTION("IFERROR(IF(OR(ISBLANK($G324), IFERROR(INDEX(GOOGLEFINANCE($C324, ""price"", WORKDAY(INT($B324), 1)), 2, 2), """")=""""), """", IF($D324=""LONG"", (IFERROR(INDEX(GOOGLEFINANCE($C324, ""price"", WORKDAY(INT($B324), 1)), 2, 2), """")-$G324)/$G324, ($G324-IFE"&amp;"RROR(INDEX(GOOGLEFINANCE($C324, ""price"", WORKDAY(INT($B324), 1)), 2, 2), """"))/$G324)), """")"),"")</f>
        <v/>
      </c>
      <c r="O324" s="47" t="str">
        <f>IFERROR(__xludf.DUMMYFUNCTION("IFERROR(IF(OR(ISBLANK($G324), IFERROR(INDEX(GOOGLEFINANCE($C324, ""price"", WORKDAY(INT($B324), 5)), 2, 2), """")=""""), """", IF($D324=""LONG"", (IFERROR(INDEX(GOOGLEFINANCE($C324, ""price"", WORKDAY(INT($B324), 5)), 2, 2), """")-$G324)/$G324, ($G324-IFE"&amp;"RROR(INDEX(GOOGLEFINANCE($C324, ""price"", WORKDAY(INT($B324), 5)), 2, 2), """"))/$G324)), """")"),"")</f>
        <v/>
      </c>
      <c r="P324" s="47" t="str">
        <f>IFERROR(__xludf.DUMMYFUNCTION("IFERROR(IF(OR(ISBLANK($G324), IFERROR(INDEX(GOOGLEFINANCE($C324, ""price"", WORKDAY(INT($B324), 20)), 2, 2), """")=""""), """", IF($D324=""LONG"", (IFERROR(INDEX(GOOGLEFINANCE($C324, ""price"", WORKDAY(INT($B324), 20)), 2, 2), """")-$G324)/$G324, ($G324-I"&amp;"FERROR(INDEX(GOOGLEFINANCE($C324, ""price"", WORKDAY(INT($B324), 20)), 2, 2), """"))/$G324)), """")"),"")</f>
        <v/>
      </c>
      <c r="Q324" s="44"/>
      <c r="R324" s="44"/>
      <c r="S324" s="44"/>
      <c r="T324" s="44"/>
      <c r="U324" s="44"/>
      <c r="V324" s="44"/>
      <c r="W324" s="44"/>
      <c r="X324" s="44"/>
      <c r="Y324" s="44"/>
      <c r="Z324" s="44"/>
    </row>
    <row r="325">
      <c r="A325" s="44"/>
      <c r="B325" s="45"/>
      <c r="C325" s="44"/>
      <c r="D325" s="44"/>
      <c r="E325" s="44"/>
      <c r="F325" s="44"/>
      <c r="G325" s="46"/>
      <c r="H325" s="44"/>
      <c r="I325" s="44"/>
      <c r="J325" s="44"/>
      <c r="K325" s="44"/>
      <c r="L325" s="46" t="str">
        <f>IFERROR(__xludf.DUMMYFUNCTION("IFERROR(IF(ISBLANK($C325), """", GOOGLEFINANCE($C325, ""price"")), """")"),"")</f>
        <v/>
      </c>
      <c r="M325" s="47" t="str">
        <f t="shared" si="3"/>
        <v/>
      </c>
      <c r="N325" s="47" t="str">
        <f>IFERROR(__xludf.DUMMYFUNCTION("IFERROR(IF(OR(ISBLANK($G325), IFERROR(INDEX(GOOGLEFINANCE($C325, ""price"", WORKDAY(INT($B325), 1)), 2, 2), """")=""""), """", IF($D325=""LONG"", (IFERROR(INDEX(GOOGLEFINANCE($C325, ""price"", WORKDAY(INT($B325), 1)), 2, 2), """")-$G325)/$G325, ($G325-IFE"&amp;"RROR(INDEX(GOOGLEFINANCE($C325, ""price"", WORKDAY(INT($B325), 1)), 2, 2), """"))/$G325)), """")"),"")</f>
        <v/>
      </c>
      <c r="O325" s="47" t="str">
        <f>IFERROR(__xludf.DUMMYFUNCTION("IFERROR(IF(OR(ISBLANK($G325), IFERROR(INDEX(GOOGLEFINANCE($C325, ""price"", WORKDAY(INT($B325), 5)), 2, 2), """")=""""), """", IF($D325=""LONG"", (IFERROR(INDEX(GOOGLEFINANCE($C325, ""price"", WORKDAY(INT($B325), 5)), 2, 2), """")-$G325)/$G325, ($G325-IFE"&amp;"RROR(INDEX(GOOGLEFINANCE($C325, ""price"", WORKDAY(INT($B325), 5)), 2, 2), """"))/$G325)), """")"),"")</f>
        <v/>
      </c>
      <c r="P325" s="47" t="str">
        <f>IFERROR(__xludf.DUMMYFUNCTION("IFERROR(IF(OR(ISBLANK($G325), IFERROR(INDEX(GOOGLEFINANCE($C325, ""price"", WORKDAY(INT($B325), 20)), 2, 2), """")=""""), """", IF($D325=""LONG"", (IFERROR(INDEX(GOOGLEFINANCE($C325, ""price"", WORKDAY(INT($B325), 20)), 2, 2), """")-$G325)/$G325, ($G325-I"&amp;"FERROR(INDEX(GOOGLEFINANCE($C325, ""price"", WORKDAY(INT($B325), 20)), 2, 2), """"))/$G325)), """")"),"")</f>
        <v/>
      </c>
      <c r="Q325" s="44"/>
      <c r="R325" s="44"/>
      <c r="S325" s="44"/>
      <c r="T325" s="44"/>
      <c r="U325" s="44"/>
      <c r="V325" s="44"/>
      <c r="W325" s="44"/>
      <c r="X325" s="44"/>
      <c r="Y325" s="44"/>
      <c r="Z325" s="44"/>
    </row>
    <row r="326">
      <c r="A326" s="44"/>
      <c r="B326" s="45"/>
      <c r="C326" s="44"/>
      <c r="D326" s="44"/>
      <c r="E326" s="44"/>
      <c r="F326" s="44"/>
      <c r="G326" s="46"/>
      <c r="H326" s="44"/>
      <c r="I326" s="44"/>
      <c r="J326" s="44"/>
      <c r="K326" s="44"/>
      <c r="L326" s="46" t="str">
        <f>IFERROR(__xludf.DUMMYFUNCTION("IFERROR(IF(ISBLANK($C326), """", GOOGLEFINANCE($C326, ""price"")), """")"),"")</f>
        <v/>
      </c>
      <c r="M326" s="47" t="str">
        <f t="shared" si="3"/>
        <v/>
      </c>
      <c r="N326" s="47" t="str">
        <f>IFERROR(__xludf.DUMMYFUNCTION("IFERROR(IF(OR(ISBLANK($G326), IFERROR(INDEX(GOOGLEFINANCE($C326, ""price"", WORKDAY(INT($B326), 1)), 2, 2), """")=""""), """", IF($D326=""LONG"", (IFERROR(INDEX(GOOGLEFINANCE($C326, ""price"", WORKDAY(INT($B326), 1)), 2, 2), """")-$G326)/$G326, ($G326-IFE"&amp;"RROR(INDEX(GOOGLEFINANCE($C326, ""price"", WORKDAY(INT($B326), 1)), 2, 2), """"))/$G326)), """")"),"")</f>
        <v/>
      </c>
      <c r="O326" s="47" t="str">
        <f>IFERROR(__xludf.DUMMYFUNCTION("IFERROR(IF(OR(ISBLANK($G326), IFERROR(INDEX(GOOGLEFINANCE($C326, ""price"", WORKDAY(INT($B326), 5)), 2, 2), """")=""""), """", IF($D326=""LONG"", (IFERROR(INDEX(GOOGLEFINANCE($C326, ""price"", WORKDAY(INT($B326), 5)), 2, 2), """")-$G326)/$G326, ($G326-IFE"&amp;"RROR(INDEX(GOOGLEFINANCE($C326, ""price"", WORKDAY(INT($B326), 5)), 2, 2), """"))/$G326)), """")"),"")</f>
        <v/>
      </c>
      <c r="P326" s="47" t="str">
        <f>IFERROR(__xludf.DUMMYFUNCTION("IFERROR(IF(OR(ISBLANK($G326), IFERROR(INDEX(GOOGLEFINANCE($C326, ""price"", WORKDAY(INT($B326), 20)), 2, 2), """")=""""), """", IF($D326=""LONG"", (IFERROR(INDEX(GOOGLEFINANCE($C326, ""price"", WORKDAY(INT($B326), 20)), 2, 2), """")-$G326)/$G326, ($G326-I"&amp;"FERROR(INDEX(GOOGLEFINANCE($C326, ""price"", WORKDAY(INT($B326), 20)), 2, 2), """"))/$G326)), """")"),"")</f>
        <v/>
      </c>
      <c r="Q326" s="44"/>
      <c r="R326" s="44"/>
      <c r="S326" s="44"/>
      <c r="T326" s="44"/>
      <c r="U326" s="44"/>
      <c r="V326" s="44"/>
      <c r="W326" s="44"/>
      <c r="X326" s="44"/>
      <c r="Y326" s="44"/>
      <c r="Z326" s="44"/>
    </row>
    <row r="327">
      <c r="A327" s="44"/>
      <c r="B327" s="45"/>
      <c r="C327" s="44"/>
      <c r="D327" s="44"/>
      <c r="E327" s="44"/>
      <c r="F327" s="44"/>
      <c r="G327" s="46"/>
      <c r="H327" s="44"/>
      <c r="I327" s="44"/>
      <c r="J327" s="44"/>
      <c r="K327" s="44"/>
      <c r="L327" s="46" t="str">
        <f>IFERROR(__xludf.DUMMYFUNCTION("IFERROR(IF(ISBLANK($C327), """", GOOGLEFINANCE($C327, ""price"")), """")"),"")</f>
        <v/>
      </c>
      <c r="M327" s="47" t="str">
        <f t="shared" si="3"/>
        <v/>
      </c>
      <c r="N327" s="47" t="str">
        <f>IFERROR(__xludf.DUMMYFUNCTION("IFERROR(IF(OR(ISBLANK($G327), IFERROR(INDEX(GOOGLEFINANCE($C327, ""price"", WORKDAY(INT($B327), 1)), 2, 2), """")=""""), """", IF($D327=""LONG"", (IFERROR(INDEX(GOOGLEFINANCE($C327, ""price"", WORKDAY(INT($B327), 1)), 2, 2), """")-$G327)/$G327, ($G327-IFE"&amp;"RROR(INDEX(GOOGLEFINANCE($C327, ""price"", WORKDAY(INT($B327), 1)), 2, 2), """"))/$G327)), """")"),"")</f>
        <v/>
      </c>
      <c r="O327" s="47" t="str">
        <f>IFERROR(__xludf.DUMMYFUNCTION("IFERROR(IF(OR(ISBLANK($G327), IFERROR(INDEX(GOOGLEFINANCE($C327, ""price"", WORKDAY(INT($B327), 5)), 2, 2), """")=""""), """", IF($D327=""LONG"", (IFERROR(INDEX(GOOGLEFINANCE($C327, ""price"", WORKDAY(INT($B327), 5)), 2, 2), """")-$G327)/$G327, ($G327-IFE"&amp;"RROR(INDEX(GOOGLEFINANCE($C327, ""price"", WORKDAY(INT($B327), 5)), 2, 2), """"))/$G327)), """")"),"")</f>
        <v/>
      </c>
      <c r="P327" s="47" t="str">
        <f>IFERROR(__xludf.DUMMYFUNCTION("IFERROR(IF(OR(ISBLANK($G327), IFERROR(INDEX(GOOGLEFINANCE($C327, ""price"", WORKDAY(INT($B327), 20)), 2, 2), """")=""""), """", IF($D327=""LONG"", (IFERROR(INDEX(GOOGLEFINANCE($C327, ""price"", WORKDAY(INT($B327), 20)), 2, 2), """")-$G327)/$G327, ($G327-I"&amp;"FERROR(INDEX(GOOGLEFINANCE($C327, ""price"", WORKDAY(INT($B327), 20)), 2, 2), """"))/$G327)), """")"),"")</f>
        <v/>
      </c>
      <c r="Q327" s="44"/>
      <c r="R327" s="44"/>
      <c r="S327" s="44"/>
      <c r="T327" s="44"/>
      <c r="U327" s="44"/>
      <c r="V327" s="44"/>
      <c r="W327" s="44"/>
      <c r="X327" s="44"/>
      <c r="Y327" s="44"/>
      <c r="Z327" s="44"/>
    </row>
    <row r="328">
      <c r="A328" s="44"/>
      <c r="B328" s="45"/>
      <c r="C328" s="44"/>
      <c r="D328" s="44"/>
      <c r="E328" s="44"/>
      <c r="F328" s="44"/>
      <c r="G328" s="46"/>
      <c r="H328" s="44"/>
      <c r="I328" s="44"/>
      <c r="J328" s="44"/>
      <c r="K328" s="44"/>
      <c r="L328" s="46" t="str">
        <f>IFERROR(__xludf.DUMMYFUNCTION("IFERROR(IF(ISBLANK($C328), """", GOOGLEFINANCE($C328, ""price"")), """")"),"")</f>
        <v/>
      </c>
      <c r="M328" s="47" t="str">
        <f t="shared" si="3"/>
        <v/>
      </c>
      <c r="N328" s="47" t="str">
        <f>IFERROR(__xludf.DUMMYFUNCTION("IFERROR(IF(OR(ISBLANK($G328), IFERROR(INDEX(GOOGLEFINANCE($C328, ""price"", WORKDAY(INT($B328), 1)), 2, 2), """")=""""), """", IF($D328=""LONG"", (IFERROR(INDEX(GOOGLEFINANCE($C328, ""price"", WORKDAY(INT($B328), 1)), 2, 2), """")-$G328)/$G328, ($G328-IFE"&amp;"RROR(INDEX(GOOGLEFINANCE($C328, ""price"", WORKDAY(INT($B328), 1)), 2, 2), """"))/$G328)), """")"),"")</f>
        <v/>
      </c>
      <c r="O328" s="47" t="str">
        <f>IFERROR(__xludf.DUMMYFUNCTION("IFERROR(IF(OR(ISBLANK($G328), IFERROR(INDEX(GOOGLEFINANCE($C328, ""price"", WORKDAY(INT($B328), 5)), 2, 2), """")=""""), """", IF($D328=""LONG"", (IFERROR(INDEX(GOOGLEFINANCE($C328, ""price"", WORKDAY(INT($B328), 5)), 2, 2), """")-$G328)/$G328, ($G328-IFE"&amp;"RROR(INDEX(GOOGLEFINANCE($C328, ""price"", WORKDAY(INT($B328), 5)), 2, 2), """"))/$G328)), """")"),"")</f>
        <v/>
      </c>
      <c r="P328" s="47" t="str">
        <f>IFERROR(__xludf.DUMMYFUNCTION("IFERROR(IF(OR(ISBLANK($G328), IFERROR(INDEX(GOOGLEFINANCE($C328, ""price"", WORKDAY(INT($B328), 20)), 2, 2), """")=""""), """", IF($D328=""LONG"", (IFERROR(INDEX(GOOGLEFINANCE($C328, ""price"", WORKDAY(INT($B328), 20)), 2, 2), """")-$G328)/$G328, ($G328-I"&amp;"FERROR(INDEX(GOOGLEFINANCE($C328, ""price"", WORKDAY(INT($B328), 20)), 2, 2), """"))/$G328)), """")"),"")</f>
        <v/>
      </c>
      <c r="Q328" s="44"/>
      <c r="R328" s="44"/>
      <c r="S328" s="44"/>
      <c r="T328" s="44"/>
      <c r="U328" s="44"/>
      <c r="V328" s="44"/>
      <c r="W328" s="44"/>
      <c r="X328" s="44"/>
      <c r="Y328" s="44"/>
      <c r="Z328" s="44"/>
    </row>
    <row r="329">
      <c r="A329" s="44"/>
      <c r="B329" s="45"/>
      <c r="C329" s="44"/>
      <c r="D329" s="44"/>
      <c r="E329" s="44"/>
      <c r="F329" s="44"/>
      <c r="G329" s="46"/>
      <c r="H329" s="44"/>
      <c r="I329" s="44"/>
      <c r="J329" s="44"/>
      <c r="K329" s="44"/>
      <c r="L329" s="46" t="str">
        <f>IFERROR(__xludf.DUMMYFUNCTION("IFERROR(IF(ISBLANK($C329), """", GOOGLEFINANCE($C329, ""price"")), """")"),"")</f>
        <v/>
      </c>
      <c r="M329" s="47" t="str">
        <f t="shared" si="3"/>
        <v/>
      </c>
      <c r="N329" s="47" t="str">
        <f>IFERROR(__xludf.DUMMYFUNCTION("IFERROR(IF(OR(ISBLANK($G329), IFERROR(INDEX(GOOGLEFINANCE($C329, ""price"", WORKDAY(INT($B329), 1)), 2, 2), """")=""""), """", IF($D329=""LONG"", (IFERROR(INDEX(GOOGLEFINANCE($C329, ""price"", WORKDAY(INT($B329), 1)), 2, 2), """")-$G329)/$G329, ($G329-IFE"&amp;"RROR(INDEX(GOOGLEFINANCE($C329, ""price"", WORKDAY(INT($B329), 1)), 2, 2), """"))/$G329)), """")"),"")</f>
        <v/>
      </c>
      <c r="O329" s="47" t="str">
        <f>IFERROR(__xludf.DUMMYFUNCTION("IFERROR(IF(OR(ISBLANK($G329), IFERROR(INDEX(GOOGLEFINANCE($C329, ""price"", WORKDAY(INT($B329), 5)), 2, 2), """")=""""), """", IF($D329=""LONG"", (IFERROR(INDEX(GOOGLEFINANCE($C329, ""price"", WORKDAY(INT($B329), 5)), 2, 2), """")-$G329)/$G329, ($G329-IFE"&amp;"RROR(INDEX(GOOGLEFINANCE($C329, ""price"", WORKDAY(INT($B329), 5)), 2, 2), """"))/$G329)), """")"),"")</f>
        <v/>
      </c>
      <c r="P329" s="47" t="str">
        <f>IFERROR(__xludf.DUMMYFUNCTION("IFERROR(IF(OR(ISBLANK($G329), IFERROR(INDEX(GOOGLEFINANCE($C329, ""price"", WORKDAY(INT($B329), 20)), 2, 2), """")=""""), """", IF($D329=""LONG"", (IFERROR(INDEX(GOOGLEFINANCE($C329, ""price"", WORKDAY(INT($B329), 20)), 2, 2), """")-$G329)/$G329, ($G329-I"&amp;"FERROR(INDEX(GOOGLEFINANCE($C329, ""price"", WORKDAY(INT($B329), 20)), 2, 2), """"))/$G329)), """")"),"")</f>
        <v/>
      </c>
      <c r="Q329" s="44"/>
      <c r="R329" s="44"/>
      <c r="S329" s="44"/>
      <c r="T329" s="44"/>
      <c r="U329" s="44"/>
      <c r="V329" s="44"/>
      <c r="W329" s="44"/>
      <c r="X329" s="44"/>
      <c r="Y329" s="44"/>
      <c r="Z329" s="44"/>
    </row>
    <row r="330">
      <c r="A330" s="44"/>
      <c r="B330" s="45"/>
      <c r="C330" s="44"/>
      <c r="D330" s="44"/>
      <c r="E330" s="44"/>
      <c r="F330" s="44"/>
      <c r="G330" s="46"/>
      <c r="H330" s="44"/>
      <c r="I330" s="44"/>
      <c r="J330" s="44"/>
      <c r="K330" s="44"/>
      <c r="L330" s="46" t="str">
        <f>IFERROR(__xludf.DUMMYFUNCTION("IFERROR(IF(ISBLANK($C330), """", GOOGLEFINANCE($C330, ""price"")), """")"),"")</f>
        <v/>
      </c>
      <c r="M330" s="47" t="str">
        <f t="shared" si="3"/>
        <v/>
      </c>
      <c r="N330" s="47" t="str">
        <f>IFERROR(__xludf.DUMMYFUNCTION("IFERROR(IF(OR(ISBLANK($G330), IFERROR(INDEX(GOOGLEFINANCE($C330, ""price"", WORKDAY(INT($B330), 1)), 2, 2), """")=""""), """", IF($D330=""LONG"", (IFERROR(INDEX(GOOGLEFINANCE($C330, ""price"", WORKDAY(INT($B330), 1)), 2, 2), """")-$G330)/$G330, ($G330-IFE"&amp;"RROR(INDEX(GOOGLEFINANCE($C330, ""price"", WORKDAY(INT($B330), 1)), 2, 2), """"))/$G330)), """")"),"")</f>
        <v/>
      </c>
      <c r="O330" s="47" t="str">
        <f>IFERROR(__xludf.DUMMYFUNCTION("IFERROR(IF(OR(ISBLANK($G330), IFERROR(INDEX(GOOGLEFINANCE($C330, ""price"", WORKDAY(INT($B330), 5)), 2, 2), """")=""""), """", IF($D330=""LONG"", (IFERROR(INDEX(GOOGLEFINANCE($C330, ""price"", WORKDAY(INT($B330), 5)), 2, 2), """")-$G330)/$G330, ($G330-IFE"&amp;"RROR(INDEX(GOOGLEFINANCE($C330, ""price"", WORKDAY(INT($B330), 5)), 2, 2), """"))/$G330)), """")"),"")</f>
        <v/>
      </c>
      <c r="P330" s="47" t="str">
        <f>IFERROR(__xludf.DUMMYFUNCTION("IFERROR(IF(OR(ISBLANK($G330), IFERROR(INDEX(GOOGLEFINANCE($C330, ""price"", WORKDAY(INT($B330), 20)), 2, 2), """")=""""), """", IF($D330=""LONG"", (IFERROR(INDEX(GOOGLEFINANCE($C330, ""price"", WORKDAY(INT($B330), 20)), 2, 2), """")-$G330)/$G330, ($G330-I"&amp;"FERROR(INDEX(GOOGLEFINANCE($C330, ""price"", WORKDAY(INT($B330), 20)), 2, 2), """"))/$G330)), """")"),"")</f>
        <v/>
      </c>
      <c r="Q330" s="44"/>
      <c r="R330" s="44"/>
      <c r="S330" s="44"/>
      <c r="T330" s="44"/>
      <c r="U330" s="44"/>
      <c r="V330" s="44"/>
      <c r="W330" s="44"/>
      <c r="X330" s="44"/>
      <c r="Y330" s="44"/>
      <c r="Z330" s="44"/>
    </row>
    <row r="331">
      <c r="A331" s="44"/>
      <c r="B331" s="45"/>
      <c r="C331" s="44"/>
      <c r="D331" s="44"/>
      <c r="E331" s="44"/>
      <c r="F331" s="44"/>
      <c r="G331" s="46"/>
      <c r="H331" s="44"/>
      <c r="I331" s="44"/>
      <c r="J331" s="44"/>
      <c r="K331" s="44"/>
      <c r="L331" s="46" t="str">
        <f>IFERROR(__xludf.DUMMYFUNCTION("IFERROR(IF(ISBLANK($C331), """", GOOGLEFINANCE($C331, ""price"")), """")"),"")</f>
        <v/>
      </c>
      <c r="M331" s="47" t="str">
        <f t="shared" si="3"/>
        <v/>
      </c>
      <c r="N331" s="47" t="str">
        <f>IFERROR(__xludf.DUMMYFUNCTION("IFERROR(IF(OR(ISBLANK($G331), IFERROR(INDEX(GOOGLEFINANCE($C331, ""price"", WORKDAY(INT($B331), 1)), 2, 2), """")=""""), """", IF($D331=""LONG"", (IFERROR(INDEX(GOOGLEFINANCE($C331, ""price"", WORKDAY(INT($B331), 1)), 2, 2), """")-$G331)/$G331, ($G331-IFE"&amp;"RROR(INDEX(GOOGLEFINANCE($C331, ""price"", WORKDAY(INT($B331), 1)), 2, 2), """"))/$G331)), """")"),"")</f>
        <v/>
      </c>
      <c r="O331" s="47" t="str">
        <f>IFERROR(__xludf.DUMMYFUNCTION("IFERROR(IF(OR(ISBLANK($G331), IFERROR(INDEX(GOOGLEFINANCE($C331, ""price"", WORKDAY(INT($B331), 5)), 2, 2), """")=""""), """", IF($D331=""LONG"", (IFERROR(INDEX(GOOGLEFINANCE($C331, ""price"", WORKDAY(INT($B331), 5)), 2, 2), """")-$G331)/$G331, ($G331-IFE"&amp;"RROR(INDEX(GOOGLEFINANCE($C331, ""price"", WORKDAY(INT($B331), 5)), 2, 2), """"))/$G331)), """")"),"")</f>
        <v/>
      </c>
      <c r="P331" s="47" t="str">
        <f>IFERROR(__xludf.DUMMYFUNCTION("IFERROR(IF(OR(ISBLANK($G331), IFERROR(INDEX(GOOGLEFINANCE($C331, ""price"", WORKDAY(INT($B331), 20)), 2, 2), """")=""""), """", IF($D331=""LONG"", (IFERROR(INDEX(GOOGLEFINANCE($C331, ""price"", WORKDAY(INT($B331), 20)), 2, 2), """")-$G331)/$G331, ($G331-I"&amp;"FERROR(INDEX(GOOGLEFINANCE($C331, ""price"", WORKDAY(INT($B331), 20)), 2, 2), """"))/$G331)), """")"),"")</f>
        <v/>
      </c>
      <c r="Q331" s="44"/>
      <c r="R331" s="44"/>
      <c r="S331" s="44"/>
      <c r="T331" s="44"/>
      <c r="U331" s="44"/>
      <c r="V331" s="44"/>
      <c r="W331" s="44"/>
      <c r="X331" s="44"/>
      <c r="Y331" s="44"/>
      <c r="Z331" s="44"/>
    </row>
    <row r="332">
      <c r="A332" s="44"/>
      <c r="B332" s="45"/>
      <c r="C332" s="44"/>
      <c r="D332" s="44"/>
      <c r="E332" s="44"/>
      <c r="F332" s="44"/>
      <c r="G332" s="46"/>
      <c r="H332" s="44"/>
      <c r="I332" s="44"/>
      <c r="J332" s="44"/>
      <c r="K332" s="44"/>
      <c r="L332" s="46" t="str">
        <f>IFERROR(__xludf.DUMMYFUNCTION("IFERROR(IF(ISBLANK($C332), """", GOOGLEFINANCE($C332, ""price"")), """")"),"")</f>
        <v/>
      </c>
      <c r="M332" s="47" t="str">
        <f t="shared" si="3"/>
        <v/>
      </c>
      <c r="N332" s="47" t="str">
        <f>IFERROR(__xludf.DUMMYFUNCTION("IFERROR(IF(OR(ISBLANK($G332), IFERROR(INDEX(GOOGLEFINANCE($C332, ""price"", WORKDAY(INT($B332), 1)), 2, 2), """")=""""), """", IF($D332=""LONG"", (IFERROR(INDEX(GOOGLEFINANCE($C332, ""price"", WORKDAY(INT($B332), 1)), 2, 2), """")-$G332)/$G332, ($G332-IFE"&amp;"RROR(INDEX(GOOGLEFINANCE($C332, ""price"", WORKDAY(INT($B332), 1)), 2, 2), """"))/$G332)), """")"),"")</f>
        <v/>
      </c>
      <c r="O332" s="47" t="str">
        <f>IFERROR(__xludf.DUMMYFUNCTION("IFERROR(IF(OR(ISBLANK($G332), IFERROR(INDEX(GOOGLEFINANCE($C332, ""price"", WORKDAY(INT($B332), 5)), 2, 2), """")=""""), """", IF($D332=""LONG"", (IFERROR(INDEX(GOOGLEFINANCE($C332, ""price"", WORKDAY(INT($B332), 5)), 2, 2), """")-$G332)/$G332, ($G332-IFE"&amp;"RROR(INDEX(GOOGLEFINANCE($C332, ""price"", WORKDAY(INT($B332), 5)), 2, 2), """"))/$G332)), """")"),"")</f>
        <v/>
      </c>
      <c r="P332" s="47" t="str">
        <f>IFERROR(__xludf.DUMMYFUNCTION("IFERROR(IF(OR(ISBLANK($G332), IFERROR(INDEX(GOOGLEFINANCE($C332, ""price"", WORKDAY(INT($B332), 20)), 2, 2), """")=""""), """", IF($D332=""LONG"", (IFERROR(INDEX(GOOGLEFINANCE($C332, ""price"", WORKDAY(INT($B332), 20)), 2, 2), """")-$G332)/$G332, ($G332-I"&amp;"FERROR(INDEX(GOOGLEFINANCE($C332, ""price"", WORKDAY(INT($B332), 20)), 2, 2), """"))/$G332)), """")"),"")</f>
        <v/>
      </c>
      <c r="Q332" s="44"/>
      <c r="R332" s="44"/>
      <c r="S332" s="44"/>
      <c r="T332" s="44"/>
      <c r="U332" s="44"/>
      <c r="V332" s="44"/>
      <c r="W332" s="44"/>
      <c r="X332" s="44"/>
      <c r="Y332" s="44"/>
      <c r="Z332" s="44"/>
    </row>
    <row r="333">
      <c r="A333" s="44"/>
      <c r="B333" s="45"/>
      <c r="C333" s="44"/>
      <c r="D333" s="44"/>
      <c r="E333" s="44"/>
      <c r="F333" s="44"/>
      <c r="G333" s="46"/>
      <c r="H333" s="44"/>
      <c r="I333" s="44"/>
      <c r="J333" s="44"/>
      <c r="K333" s="44"/>
      <c r="L333" s="46" t="str">
        <f>IFERROR(__xludf.DUMMYFUNCTION("IFERROR(IF(ISBLANK($C333), """", GOOGLEFINANCE($C333, ""price"")), """")"),"")</f>
        <v/>
      </c>
      <c r="M333" s="47" t="str">
        <f t="shared" si="3"/>
        <v/>
      </c>
      <c r="N333" s="47" t="str">
        <f>IFERROR(__xludf.DUMMYFUNCTION("IFERROR(IF(OR(ISBLANK($G333), IFERROR(INDEX(GOOGLEFINANCE($C333, ""price"", WORKDAY(INT($B333), 1)), 2, 2), """")=""""), """", IF($D333=""LONG"", (IFERROR(INDEX(GOOGLEFINANCE($C333, ""price"", WORKDAY(INT($B333), 1)), 2, 2), """")-$G333)/$G333, ($G333-IFE"&amp;"RROR(INDEX(GOOGLEFINANCE($C333, ""price"", WORKDAY(INT($B333), 1)), 2, 2), """"))/$G333)), """")"),"")</f>
        <v/>
      </c>
      <c r="O333" s="47" t="str">
        <f>IFERROR(__xludf.DUMMYFUNCTION("IFERROR(IF(OR(ISBLANK($G333), IFERROR(INDEX(GOOGLEFINANCE($C333, ""price"", WORKDAY(INT($B333), 5)), 2, 2), """")=""""), """", IF($D333=""LONG"", (IFERROR(INDEX(GOOGLEFINANCE($C333, ""price"", WORKDAY(INT($B333), 5)), 2, 2), """")-$G333)/$G333, ($G333-IFE"&amp;"RROR(INDEX(GOOGLEFINANCE($C333, ""price"", WORKDAY(INT($B333), 5)), 2, 2), """"))/$G333)), """")"),"")</f>
        <v/>
      </c>
      <c r="P333" s="47" t="str">
        <f>IFERROR(__xludf.DUMMYFUNCTION("IFERROR(IF(OR(ISBLANK($G333), IFERROR(INDEX(GOOGLEFINANCE($C333, ""price"", WORKDAY(INT($B333), 20)), 2, 2), """")=""""), """", IF($D333=""LONG"", (IFERROR(INDEX(GOOGLEFINANCE($C333, ""price"", WORKDAY(INT($B333), 20)), 2, 2), """")-$G333)/$G333, ($G333-I"&amp;"FERROR(INDEX(GOOGLEFINANCE($C333, ""price"", WORKDAY(INT($B333), 20)), 2, 2), """"))/$G333)), """")"),"")</f>
        <v/>
      </c>
      <c r="Q333" s="44"/>
      <c r="R333" s="44"/>
      <c r="S333" s="44"/>
      <c r="T333" s="44"/>
      <c r="U333" s="44"/>
      <c r="V333" s="44"/>
      <c r="W333" s="44"/>
      <c r="X333" s="44"/>
      <c r="Y333" s="44"/>
      <c r="Z333" s="44"/>
    </row>
    <row r="334">
      <c r="A334" s="44"/>
      <c r="B334" s="45"/>
      <c r="C334" s="44"/>
      <c r="D334" s="44"/>
      <c r="E334" s="44"/>
      <c r="F334" s="44"/>
      <c r="G334" s="46"/>
      <c r="H334" s="44"/>
      <c r="I334" s="44"/>
      <c r="J334" s="44"/>
      <c r="K334" s="44"/>
      <c r="L334" s="46" t="str">
        <f>IFERROR(__xludf.DUMMYFUNCTION("IFERROR(IF(ISBLANK($C334), """", GOOGLEFINANCE($C334, ""price"")), """")"),"")</f>
        <v/>
      </c>
      <c r="M334" s="47" t="str">
        <f t="shared" si="3"/>
        <v/>
      </c>
      <c r="N334" s="47" t="str">
        <f>IFERROR(__xludf.DUMMYFUNCTION("IFERROR(IF(OR(ISBLANK($G334), IFERROR(INDEX(GOOGLEFINANCE($C334, ""price"", WORKDAY(INT($B334), 1)), 2, 2), """")=""""), """", IF($D334=""LONG"", (IFERROR(INDEX(GOOGLEFINANCE($C334, ""price"", WORKDAY(INT($B334), 1)), 2, 2), """")-$G334)/$G334, ($G334-IFE"&amp;"RROR(INDEX(GOOGLEFINANCE($C334, ""price"", WORKDAY(INT($B334), 1)), 2, 2), """"))/$G334)), """")"),"")</f>
        <v/>
      </c>
      <c r="O334" s="47" t="str">
        <f>IFERROR(__xludf.DUMMYFUNCTION("IFERROR(IF(OR(ISBLANK($G334), IFERROR(INDEX(GOOGLEFINANCE($C334, ""price"", WORKDAY(INT($B334), 5)), 2, 2), """")=""""), """", IF($D334=""LONG"", (IFERROR(INDEX(GOOGLEFINANCE($C334, ""price"", WORKDAY(INT($B334), 5)), 2, 2), """")-$G334)/$G334, ($G334-IFE"&amp;"RROR(INDEX(GOOGLEFINANCE($C334, ""price"", WORKDAY(INT($B334), 5)), 2, 2), """"))/$G334)), """")"),"")</f>
        <v/>
      </c>
      <c r="P334" s="47" t="str">
        <f>IFERROR(__xludf.DUMMYFUNCTION("IFERROR(IF(OR(ISBLANK($G334), IFERROR(INDEX(GOOGLEFINANCE($C334, ""price"", WORKDAY(INT($B334), 20)), 2, 2), """")=""""), """", IF($D334=""LONG"", (IFERROR(INDEX(GOOGLEFINANCE($C334, ""price"", WORKDAY(INT($B334), 20)), 2, 2), """")-$G334)/$G334, ($G334-I"&amp;"FERROR(INDEX(GOOGLEFINANCE($C334, ""price"", WORKDAY(INT($B334), 20)), 2, 2), """"))/$G334)), """")"),"")</f>
        <v/>
      </c>
      <c r="Q334" s="44"/>
      <c r="R334" s="44"/>
      <c r="S334" s="44"/>
      <c r="T334" s="44"/>
      <c r="U334" s="44"/>
      <c r="V334" s="44"/>
      <c r="W334" s="44"/>
      <c r="X334" s="44"/>
      <c r="Y334" s="44"/>
      <c r="Z334" s="44"/>
    </row>
    <row r="335">
      <c r="A335" s="44"/>
      <c r="B335" s="45"/>
      <c r="C335" s="44"/>
      <c r="D335" s="44"/>
      <c r="E335" s="44"/>
      <c r="F335" s="44"/>
      <c r="G335" s="46"/>
      <c r="H335" s="44"/>
      <c r="I335" s="44"/>
      <c r="J335" s="44"/>
      <c r="K335" s="44"/>
      <c r="L335" s="46" t="str">
        <f>IFERROR(__xludf.DUMMYFUNCTION("IFERROR(IF(ISBLANK($C335), """", GOOGLEFINANCE($C335, ""price"")), """")"),"")</f>
        <v/>
      </c>
      <c r="M335" s="47" t="str">
        <f t="shared" si="3"/>
        <v/>
      </c>
      <c r="N335" s="47" t="str">
        <f>IFERROR(__xludf.DUMMYFUNCTION("IFERROR(IF(OR(ISBLANK($G335), IFERROR(INDEX(GOOGLEFINANCE($C335, ""price"", WORKDAY(INT($B335), 1)), 2, 2), """")=""""), """", IF($D335=""LONG"", (IFERROR(INDEX(GOOGLEFINANCE($C335, ""price"", WORKDAY(INT($B335), 1)), 2, 2), """")-$G335)/$G335, ($G335-IFE"&amp;"RROR(INDEX(GOOGLEFINANCE($C335, ""price"", WORKDAY(INT($B335), 1)), 2, 2), """"))/$G335)), """")"),"")</f>
        <v/>
      </c>
      <c r="O335" s="47" t="str">
        <f>IFERROR(__xludf.DUMMYFUNCTION("IFERROR(IF(OR(ISBLANK($G335), IFERROR(INDEX(GOOGLEFINANCE($C335, ""price"", WORKDAY(INT($B335), 5)), 2, 2), """")=""""), """", IF($D335=""LONG"", (IFERROR(INDEX(GOOGLEFINANCE($C335, ""price"", WORKDAY(INT($B335), 5)), 2, 2), """")-$G335)/$G335, ($G335-IFE"&amp;"RROR(INDEX(GOOGLEFINANCE($C335, ""price"", WORKDAY(INT($B335), 5)), 2, 2), """"))/$G335)), """")"),"")</f>
        <v/>
      </c>
      <c r="P335" s="47" t="str">
        <f>IFERROR(__xludf.DUMMYFUNCTION("IFERROR(IF(OR(ISBLANK($G335), IFERROR(INDEX(GOOGLEFINANCE($C335, ""price"", WORKDAY(INT($B335), 20)), 2, 2), """")=""""), """", IF($D335=""LONG"", (IFERROR(INDEX(GOOGLEFINANCE($C335, ""price"", WORKDAY(INT($B335), 20)), 2, 2), """")-$G335)/$G335, ($G335-I"&amp;"FERROR(INDEX(GOOGLEFINANCE($C335, ""price"", WORKDAY(INT($B335), 20)), 2, 2), """"))/$G335)), """")"),"")</f>
        <v/>
      </c>
      <c r="Q335" s="44"/>
      <c r="R335" s="44"/>
      <c r="S335" s="44"/>
      <c r="T335" s="44"/>
      <c r="U335" s="44"/>
      <c r="V335" s="44"/>
      <c r="W335" s="44"/>
      <c r="X335" s="44"/>
      <c r="Y335" s="44"/>
      <c r="Z335" s="44"/>
    </row>
    <row r="336">
      <c r="A336" s="44"/>
      <c r="B336" s="45"/>
      <c r="C336" s="44"/>
      <c r="D336" s="44"/>
      <c r="E336" s="44"/>
      <c r="F336" s="44"/>
      <c r="G336" s="46"/>
      <c r="H336" s="44"/>
      <c r="I336" s="44"/>
      <c r="J336" s="44"/>
      <c r="K336" s="44"/>
      <c r="L336" s="46" t="str">
        <f>IFERROR(__xludf.DUMMYFUNCTION("IFERROR(IF(ISBLANK($C336), """", GOOGLEFINANCE($C336, ""price"")), """")"),"")</f>
        <v/>
      </c>
      <c r="M336" s="47" t="str">
        <f t="shared" si="3"/>
        <v/>
      </c>
      <c r="N336" s="47" t="str">
        <f>IFERROR(__xludf.DUMMYFUNCTION("IFERROR(IF(OR(ISBLANK($G336), IFERROR(INDEX(GOOGLEFINANCE($C336, ""price"", WORKDAY(INT($B336), 1)), 2, 2), """")=""""), """", IF($D336=""LONG"", (IFERROR(INDEX(GOOGLEFINANCE($C336, ""price"", WORKDAY(INT($B336), 1)), 2, 2), """")-$G336)/$G336, ($G336-IFE"&amp;"RROR(INDEX(GOOGLEFINANCE($C336, ""price"", WORKDAY(INT($B336), 1)), 2, 2), """"))/$G336)), """")"),"")</f>
        <v/>
      </c>
      <c r="O336" s="47" t="str">
        <f>IFERROR(__xludf.DUMMYFUNCTION("IFERROR(IF(OR(ISBLANK($G336), IFERROR(INDEX(GOOGLEFINANCE($C336, ""price"", WORKDAY(INT($B336), 5)), 2, 2), """")=""""), """", IF($D336=""LONG"", (IFERROR(INDEX(GOOGLEFINANCE($C336, ""price"", WORKDAY(INT($B336), 5)), 2, 2), """")-$G336)/$G336, ($G336-IFE"&amp;"RROR(INDEX(GOOGLEFINANCE($C336, ""price"", WORKDAY(INT($B336), 5)), 2, 2), """"))/$G336)), """")"),"")</f>
        <v/>
      </c>
      <c r="P336" s="47" t="str">
        <f>IFERROR(__xludf.DUMMYFUNCTION("IFERROR(IF(OR(ISBLANK($G336), IFERROR(INDEX(GOOGLEFINANCE($C336, ""price"", WORKDAY(INT($B336), 20)), 2, 2), """")=""""), """", IF($D336=""LONG"", (IFERROR(INDEX(GOOGLEFINANCE($C336, ""price"", WORKDAY(INT($B336), 20)), 2, 2), """")-$G336)/$G336, ($G336-I"&amp;"FERROR(INDEX(GOOGLEFINANCE($C336, ""price"", WORKDAY(INT($B336), 20)), 2, 2), """"))/$G336)), """")"),"")</f>
        <v/>
      </c>
      <c r="Q336" s="44"/>
      <c r="R336" s="44"/>
      <c r="S336" s="44"/>
      <c r="T336" s="44"/>
      <c r="U336" s="44"/>
      <c r="V336" s="44"/>
      <c r="W336" s="44"/>
      <c r="X336" s="44"/>
      <c r="Y336" s="44"/>
      <c r="Z336" s="44"/>
    </row>
    <row r="337">
      <c r="A337" s="44"/>
      <c r="B337" s="45"/>
      <c r="C337" s="44"/>
      <c r="D337" s="44"/>
      <c r="E337" s="44"/>
      <c r="F337" s="44"/>
      <c r="G337" s="46"/>
      <c r="H337" s="44"/>
      <c r="I337" s="44"/>
      <c r="J337" s="44"/>
      <c r="K337" s="44"/>
      <c r="L337" s="46" t="str">
        <f>IFERROR(__xludf.DUMMYFUNCTION("IFERROR(IF(ISBLANK($C337), """", GOOGLEFINANCE($C337, ""price"")), """")"),"")</f>
        <v/>
      </c>
      <c r="M337" s="47" t="str">
        <f t="shared" si="3"/>
        <v/>
      </c>
      <c r="N337" s="47" t="str">
        <f>IFERROR(__xludf.DUMMYFUNCTION("IFERROR(IF(OR(ISBLANK($G337), IFERROR(INDEX(GOOGLEFINANCE($C337, ""price"", WORKDAY(INT($B337), 1)), 2, 2), """")=""""), """", IF($D337=""LONG"", (IFERROR(INDEX(GOOGLEFINANCE($C337, ""price"", WORKDAY(INT($B337), 1)), 2, 2), """")-$G337)/$G337, ($G337-IFE"&amp;"RROR(INDEX(GOOGLEFINANCE($C337, ""price"", WORKDAY(INT($B337), 1)), 2, 2), """"))/$G337)), """")"),"")</f>
        <v/>
      </c>
      <c r="O337" s="47" t="str">
        <f>IFERROR(__xludf.DUMMYFUNCTION("IFERROR(IF(OR(ISBLANK($G337), IFERROR(INDEX(GOOGLEFINANCE($C337, ""price"", WORKDAY(INT($B337), 5)), 2, 2), """")=""""), """", IF($D337=""LONG"", (IFERROR(INDEX(GOOGLEFINANCE($C337, ""price"", WORKDAY(INT($B337), 5)), 2, 2), """")-$G337)/$G337, ($G337-IFE"&amp;"RROR(INDEX(GOOGLEFINANCE($C337, ""price"", WORKDAY(INT($B337), 5)), 2, 2), """"))/$G337)), """")"),"")</f>
        <v/>
      </c>
      <c r="P337" s="47" t="str">
        <f>IFERROR(__xludf.DUMMYFUNCTION("IFERROR(IF(OR(ISBLANK($G337), IFERROR(INDEX(GOOGLEFINANCE($C337, ""price"", WORKDAY(INT($B337), 20)), 2, 2), """")=""""), """", IF($D337=""LONG"", (IFERROR(INDEX(GOOGLEFINANCE($C337, ""price"", WORKDAY(INT($B337), 20)), 2, 2), """")-$G337)/$G337, ($G337-I"&amp;"FERROR(INDEX(GOOGLEFINANCE($C337, ""price"", WORKDAY(INT($B337), 20)), 2, 2), """"))/$G337)), """")"),"")</f>
        <v/>
      </c>
      <c r="Q337" s="44"/>
      <c r="R337" s="44"/>
      <c r="S337" s="44"/>
      <c r="T337" s="44"/>
      <c r="U337" s="44"/>
      <c r="V337" s="44"/>
      <c r="W337" s="44"/>
      <c r="X337" s="44"/>
      <c r="Y337" s="44"/>
      <c r="Z337" s="44"/>
    </row>
    <row r="338">
      <c r="A338" s="44"/>
      <c r="B338" s="45"/>
      <c r="C338" s="44"/>
      <c r="D338" s="44"/>
      <c r="E338" s="44"/>
      <c r="F338" s="44"/>
      <c r="G338" s="46"/>
      <c r="H338" s="44"/>
      <c r="I338" s="44"/>
      <c r="J338" s="44"/>
      <c r="K338" s="44"/>
      <c r="L338" s="46" t="str">
        <f>IFERROR(__xludf.DUMMYFUNCTION("IFERROR(IF(ISBLANK($C338), """", GOOGLEFINANCE($C338, ""price"")), """")"),"")</f>
        <v/>
      </c>
      <c r="M338" s="47" t="str">
        <f t="shared" si="3"/>
        <v/>
      </c>
      <c r="N338" s="47" t="str">
        <f>IFERROR(__xludf.DUMMYFUNCTION("IFERROR(IF(OR(ISBLANK($G338), IFERROR(INDEX(GOOGLEFINANCE($C338, ""price"", WORKDAY(INT($B338), 1)), 2, 2), """")=""""), """", IF($D338=""LONG"", (IFERROR(INDEX(GOOGLEFINANCE($C338, ""price"", WORKDAY(INT($B338), 1)), 2, 2), """")-$G338)/$G338, ($G338-IFE"&amp;"RROR(INDEX(GOOGLEFINANCE($C338, ""price"", WORKDAY(INT($B338), 1)), 2, 2), """"))/$G338)), """")"),"")</f>
        <v/>
      </c>
      <c r="O338" s="47" t="str">
        <f>IFERROR(__xludf.DUMMYFUNCTION("IFERROR(IF(OR(ISBLANK($G338), IFERROR(INDEX(GOOGLEFINANCE($C338, ""price"", WORKDAY(INT($B338), 5)), 2, 2), """")=""""), """", IF($D338=""LONG"", (IFERROR(INDEX(GOOGLEFINANCE($C338, ""price"", WORKDAY(INT($B338), 5)), 2, 2), """")-$G338)/$G338, ($G338-IFE"&amp;"RROR(INDEX(GOOGLEFINANCE($C338, ""price"", WORKDAY(INT($B338), 5)), 2, 2), """"))/$G338)), """")"),"")</f>
        <v/>
      </c>
      <c r="P338" s="47" t="str">
        <f>IFERROR(__xludf.DUMMYFUNCTION("IFERROR(IF(OR(ISBLANK($G338), IFERROR(INDEX(GOOGLEFINANCE($C338, ""price"", WORKDAY(INT($B338), 20)), 2, 2), """")=""""), """", IF($D338=""LONG"", (IFERROR(INDEX(GOOGLEFINANCE($C338, ""price"", WORKDAY(INT($B338), 20)), 2, 2), """")-$G338)/$G338, ($G338-I"&amp;"FERROR(INDEX(GOOGLEFINANCE($C338, ""price"", WORKDAY(INT($B338), 20)), 2, 2), """"))/$G338)), """")"),"")</f>
        <v/>
      </c>
      <c r="Q338" s="44"/>
      <c r="R338" s="44"/>
      <c r="S338" s="44"/>
      <c r="T338" s="44"/>
      <c r="U338" s="44"/>
      <c r="V338" s="44"/>
      <c r="W338" s="44"/>
      <c r="X338" s="44"/>
      <c r="Y338" s="44"/>
      <c r="Z338" s="44"/>
    </row>
    <row r="339">
      <c r="A339" s="44"/>
      <c r="B339" s="45"/>
      <c r="C339" s="44"/>
      <c r="D339" s="44"/>
      <c r="E339" s="44"/>
      <c r="F339" s="44"/>
      <c r="G339" s="46"/>
      <c r="H339" s="44"/>
      <c r="I339" s="44"/>
      <c r="J339" s="44"/>
      <c r="K339" s="44"/>
      <c r="L339" s="46" t="str">
        <f>IFERROR(__xludf.DUMMYFUNCTION("IFERROR(IF(ISBLANK($C339), """", GOOGLEFINANCE($C339, ""price"")), """")"),"")</f>
        <v/>
      </c>
      <c r="M339" s="47" t="str">
        <f t="shared" si="3"/>
        <v/>
      </c>
      <c r="N339" s="47" t="str">
        <f>IFERROR(__xludf.DUMMYFUNCTION("IFERROR(IF(OR(ISBLANK($G339), IFERROR(INDEX(GOOGLEFINANCE($C339, ""price"", WORKDAY(INT($B339), 1)), 2, 2), """")=""""), """", IF($D339=""LONG"", (IFERROR(INDEX(GOOGLEFINANCE($C339, ""price"", WORKDAY(INT($B339), 1)), 2, 2), """")-$G339)/$G339, ($G339-IFE"&amp;"RROR(INDEX(GOOGLEFINANCE($C339, ""price"", WORKDAY(INT($B339), 1)), 2, 2), """"))/$G339)), """")"),"")</f>
        <v/>
      </c>
      <c r="O339" s="47" t="str">
        <f>IFERROR(__xludf.DUMMYFUNCTION("IFERROR(IF(OR(ISBLANK($G339), IFERROR(INDEX(GOOGLEFINANCE($C339, ""price"", WORKDAY(INT($B339), 5)), 2, 2), """")=""""), """", IF($D339=""LONG"", (IFERROR(INDEX(GOOGLEFINANCE($C339, ""price"", WORKDAY(INT($B339), 5)), 2, 2), """")-$G339)/$G339, ($G339-IFE"&amp;"RROR(INDEX(GOOGLEFINANCE($C339, ""price"", WORKDAY(INT($B339), 5)), 2, 2), """"))/$G339)), """")"),"")</f>
        <v/>
      </c>
      <c r="P339" s="47" t="str">
        <f>IFERROR(__xludf.DUMMYFUNCTION("IFERROR(IF(OR(ISBLANK($G339), IFERROR(INDEX(GOOGLEFINANCE($C339, ""price"", WORKDAY(INT($B339), 20)), 2, 2), """")=""""), """", IF($D339=""LONG"", (IFERROR(INDEX(GOOGLEFINANCE($C339, ""price"", WORKDAY(INT($B339), 20)), 2, 2), """")-$G339)/$G339, ($G339-I"&amp;"FERROR(INDEX(GOOGLEFINANCE($C339, ""price"", WORKDAY(INT($B339), 20)), 2, 2), """"))/$G339)), """")"),"")</f>
        <v/>
      </c>
      <c r="Q339" s="44"/>
      <c r="R339" s="44"/>
      <c r="S339" s="44"/>
      <c r="T339" s="44"/>
      <c r="U339" s="44"/>
      <c r="V339" s="44"/>
      <c r="W339" s="44"/>
      <c r="X339" s="44"/>
      <c r="Y339" s="44"/>
      <c r="Z339" s="44"/>
    </row>
    <row r="340">
      <c r="A340" s="44"/>
      <c r="B340" s="45"/>
      <c r="C340" s="44"/>
      <c r="D340" s="44"/>
      <c r="E340" s="44"/>
      <c r="F340" s="44"/>
      <c r="G340" s="46"/>
      <c r="H340" s="44"/>
      <c r="I340" s="44"/>
      <c r="J340" s="44"/>
      <c r="K340" s="44"/>
      <c r="L340" s="46" t="str">
        <f>IFERROR(__xludf.DUMMYFUNCTION("IFERROR(IF(ISBLANK($C340), """", GOOGLEFINANCE($C340, ""price"")), """")"),"")</f>
        <v/>
      </c>
      <c r="M340" s="47" t="str">
        <f t="shared" si="3"/>
        <v/>
      </c>
      <c r="N340" s="47" t="str">
        <f>IFERROR(__xludf.DUMMYFUNCTION("IFERROR(IF(OR(ISBLANK($G340), IFERROR(INDEX(GOOGLEFINANCE($C340, ""price"", WORKDAY(INT($B340), 1)), 2, 2), """")=""""), """", IF($D340=""LONG"", (IFERROR(INDEX(GOOGLEFINANCE($C340, ""price"", WORKDAY(INT($B340), 1)), 2, 2), """")-$G340)/$G340, ($G340-IFE"&amp;"RROR(INDEX(GOOGLEFINANCE($C340, ""price"", WORKDAY(INT($B340), 1)), 2, 2), """"))/$G340)), """")"),"")</f>
        <v/>
      </c>
      <c r="O340" s="47" t="str">
        <f>IFERROR(__xludf.DUMMYFUNCTION("IFERROR(IF(OR(ISBLANK($G340), IFERROR(INDEX(GOOGLEFINANCE($C340, ""price"", WORKDAY(INT($B340), 5)), 2, 2), """")=""""), """", IF($D340=""LONG"", (IFERROR(INDEX(GOOGLEFINANCE($C340, ""price"", WORKDAY(INT($B340), 5)), 2, 2), """")-$G340)/$G340, ($G340-IFE"&amp;"RROR(INDEX(GOOGLEFINANCE($C340, ""price"", WORKDAY(INT($B340), 5)), 2, 2), """"))/$G340)), """")"),"")</f>
        <v/>
      </c>
      <c r="P340" s="47" t="str">
        <f>IFERROR(__xludf.DUMMYFUNCTION("IFERROR(IF(OR(ISBLANK($G340), IFERROR(INDEX(GOOGLEFINANCE($C340, ""price"", WORKDAY(INT($B340), 20)), 2, 2), """")=""""), """", IF($D340=""LONG"", (IFERROR(INDEX(GOOGLEFINANCE($C340, ""price"", WORKDAY(INT($B340), 20)), 2, 2), """")-$G340)/$G340, ($G340-I"&amp;"FERROR(INDEX(GOOGLEFINANCE($C340, ""price"", WORKDAY(INT($B340), 20)), 2, 2), """"))/$G340)), """")"),"")</f>
        <v/>
      </c>
      <c r="Q340" s="44"/>
      <c r="R340" s="44"/>
      <c r="S340" s="44"/>
      <c r="T340" s="44"/>
      <c r="U340" s="44"/>
      <c r="V340" s="44"/>
      <c r="W340" s="44"/>
      <c r="X340" s="44"/>
      <c r="Y340" s="44"/>
      <c r="Z340" s="44"/>
    </row>
    <row r="341">
      <c r="A341" s="44"/>
      <c r="B341" s="45"/>
      <c r="C341" s="44"/>
      <c r="D341" s="44"/>
      <c r="E341" s="44"/>
      <c r="F341" s="44"/>
      <c r="G341" s="46"/>
      <c r="H341" s="44"/>
      <c r="I341" s="44"/>
      <c r="J341" s="44"/>
      <c r="K341" s="44"/>
      <c r="L341" s="46" t="str">
        <f>IFERROR(__xludf.DUMMYFUNCTION("IFERROR(IF(ISBLANK($C341), """", GOOGLEFINANCE($C341, ""price"")), """")"),"")</f>
        <v/>
      </c>
      <c r="M341" s="47" t="str">
        <f t="shared" si="3"/>
        <v/>
      </c>
      <c r="N341" s="47" t="str">
        <f>IFERROR(__xludf.DUMMYFUNCTION("IFERROR(IF(OR(ISBLANK($G341), IFERROR(INDEX(GOOGLEFINANCE($C341, ""price"", WORKDAY(INT($B341), 1)), 2, 2), """")=""""), """", IF($D341=""LONG"", (IFERROR(INDEX(GOOGLEFINANCE($C341, ""price"", WORKDAY(INT($B341), 1)), 2, 2), """")-$G341)/$G341, ($G341-IFE"&amp;"RROR(INDEX(GOOGLEFINANCE($C341, ""price"", WORKDAY(INT($B341), 1)), 2, 2), """"))/$G341)), """")"),"")</f>
        <v/>
      </c>
      <c r="O341" s="47" t="str">
        <f>IFERROR(__xludf.DUMMYFUNCTION("IFERROR(IF(OR(ISBLANK($G341), IFERROR(INDEX(GOOGLEFINANCE($C341, ""price"", WORKDAY(INT($B341), 5)), 2, 2), """")=""""), """", IF($D341=""LONG"", (IFERROR(INDEX(GOOGLEFINANCE($C341, ""price"", WORKDAY(INT($B341), 5)), 2, 2), """")-$G341)/$G341, ($G341-IFE"&amp;"RROR(INDEX(GOOGLEFINANCE($C341, ""price"", WORKDAY(INT($B341), 5)), 2, 2), """"))/$G341)), """")"),"")</f>
        <v/>
      </c>
      <c r="P341" s="47" t="str">
        <f>IFERROR(__xludf.DUMMYFUNCTION("IFERROR(IF(OR(ISBLANK($G341), IFERROR(INDEX(GOOGLEFINANCE($C341, ""price"", WORKDAY(INT($B341), 20)), 2, 2), """")=""""), """", IF($D341=""LONG"", (IFERROR(INDEX(GOOGLEFINANCE($C341, ""price"", WORKDAY(INT($B341), 20)), 2, 2), """")-$G341)/$G341, ($G341-I"&amp;"FERROR(INDEX(GOOGLEFINANCE($C341, ""price"", WORKDAY(INT($B341), 20)), 2, 2), """"))/$G341)), """")"),"")</f>
        <v/>
      </c>
      <c r="Q341" s="44"/>
      <c r="R341" s="44"/>
      <c r="S341" s="44"/>
      <c r="T341" s="44"/>
      <c r="U341" s="44"/>
      <c r="V341" s="44"/>
      <c r="W341" s="44"/>
      <c r="X341" s="44"/>
      <c r="Y341" s="44"/>
      <c r="Z341" s="44"/>
    </row>
    <row r="342">
      <c r="A342" s="44"/>
      <c r="B342" s="45"/>
      <c r="C342" s="44"/>
      <c r="D342" s="44"/>
      <c r="E342" s="44"/>
      <c r="F342" s="44"/>
      <c r="G342" s="46"/>
      <c r="H342" s="44"/>
      <c r="I342" s="44"/>
      <c r="J342" s="44"/>
      <c r="K342" s="44"/>
      <c r="L342" s="46" t="str">
        <f>IFERROR(__xludf.DUMMYFUNCTION("IFERROR(IF(ISBLANK($C342), """", GOOGLEFINANCE($C342, ""price"")), """")"),"")</f>
        <v/>
      </c>
      <c r="M342" s="47" t="str">
        <f t="shared" si="3"/>
        <v/>
      </c>
      <c r="N342" s="47" t="str">
        <f>IFERROR(__xludf.DUMMYFUNCTION("IFERROR(IF(OR(ISBLANK($G342), IFERROR(INDEX(GOOGLEFINANCE($C342, ""price"", WORKDAY(INT($B342), 1)), 2, 2), """")=""""), """", IF($D342=""LONG"", (IFERROR(INDEX(GOOGLEFINANCE($C342, ""price"", WORKDAY(INT($B342), 1)), 2, 2), """")-$G342)/$G342, ($G342-IFE"&amp;"RROR(INDEX(GOOGLEFINANCE($C342, ""price"", WORKDAY(INT($B342), 1)), 2, 2), """"))/$G342)), """")"),"")</f>
        <v/>
      </c>
      <c r="O342" s="47" t="str">
        <f>IFERROR(__xludf.DUMMYFUNCTION("IFERROR(IF(OR(ISBLANK($G342), IFERROR(INDEX(GOOGLEFINANCE($C342, ""price"", WORKDAY(INT($B342), 5)), 2, 2), """")=""""), """", IF($D342=""LONG"", (IFERROR(INDEX(GOOGLEFINANCE($C342, ""price"", WORKDAY(INT($B342), 5)), 2, 2), """")-$G342)/$G342, ($G342-IFE"&amp;"RROR(INDEX(GOOGLEFINANCE($C342, ""price"", WORKDAY(INT($B342), 5)), 2, 2), """"))/$G342)), """")"),"")</f>
        <v/>
      </c>
      <c r="P342" s="47" t="str">
        <f>IFERROR(__xludf.DUMMYFUNCTION("IFERROR(IF(OR(ISBLANK($G342), IFERROR(INDEX(GOOGLEFINANCE($C342, ""price"", WORKDAY(INT($B342), 20)), 2, 2), """")=""""), """", IF($D342=""LONG"", (IFERROR(INDEX(GOOGLEFINANCE($C342, ""price"", WORKDAY(INT($B342), 20)), 2, 2), """")-$G342)/$G342, ($G342-I"&amp;"FERROR(INDEX(GOOGLEFINANCE($C342, ""price"", WORKDAY(INT($B342), 20)), 2, 2), """"))/$G342)), """")"),"")</f>
        <v/>
      </c>
      <c r="Q342" s="44"/>
      <c r="R342" s="44"/>
      <c r="S342" s="44"/>
      <c r="T342" s="44"/>
      <c r="U342" s="44"/>
      <c r="V342" s="44"/>
      <c r="W342" s="44"/>
      <c r="X342" s="44"/>
      <c r="Y342" s="44"/>
      <c r="Z342" s="44"/>
    </row>
    <row r="343">
      <c r="A343" s="44"/>
      <c r="B343" s="45"/>
      <c r="C343" s="44"/>
      <c r="D343" s="44"/>
      <c r="E343" s="44"/>
      <c r="F343" s="44"/>
      <c r="G343" s="46"/>
      <c r="H343" s="44"/>
      <c r="I343" s="44"/>
      <c r="J343" s="44"/>
      <c r="K343" s="44"/>
      <c r="L343" s="46" t="str">
        <f>IFERROR(__xludf.DUMMYFUNCTION("IFERROR(IF(ISBLANK($C343), """", GOOGLEFINANCE($C343, ""price"")), """")"),"")</f>
        <v/>
      </c>
      <c r="M343" s="47" t="str">
        <f t="shared" si="3"/>
        <v/>
      </c>
      <c r="N343" s="47" t="str">
        <f>IFERROR(__xludf.DUMMYFUNCTION("IFERROR(IF(OR(ISBLANK($G343), IFERROR(INDEX(GOOGLEFINANCE($C343, ""price"", WORKDAY(INT($B343), 1)), 2, 2), """")=""""), """", IF($D343=""LONG"", (IFERROR(INDEX(GOOGLEFINANCE($C343, ""price"", WORKDAY(INT($B343), 1)), 2, 2), """")-$G343)/$G343, ($G343-IFE"&amp;"RROR(INDEX(GOOGLEFINANCE($C343, ""price"", WORKDAY(INT($B343), 1)), 2, 2), """"))/$G343)), """")"),"")</f>
        <v/>
      </c>
      <c r="O343" s="47" t="str">
        <f>IFERROR(__xludf.DUMMYFUNCTION("IFERROR(IF(OR(ISBLANK($G343), IFERROR(INDEX(GOOGLEFINANCE($C343, ""price"", WORKDAY(INT($B343), 5)), 2, 2), """")=""""), """", IF($D343=""LONG"", (IFERROR(INDEX(GOOGLEFINANCE($C343, ""price"", WORKDAY(INT($B343), 5)), 2, 2), """")-$G343)/$G343, ($G343-IFE"&amp;"RROR(INDEX(GOOGLEFINANCE($C343, ""price"", WORKDAY(INT($B343), 5)), 2, 2), """"))/$G343)), """")"),"")</f>
        <v/>
      </c>
      <c r="P343" s="47" t="str">
        <f>IFERROR(__xludf.DUMMYFUNCTION("IFERROR(IF(OR(ISBLANK($G343), IFERROR(INDEX(GOOGLEFINANCE($C343, ""price"", WORKDAY(INT($B343), 20)), 2, 2), """")=""""), """", IF($D343=""LONG"", (IFERROR(INDEX(GOOGLEFINANCE($C343, ""price"", WORKDAY(INT($B343), 20)), 2, 2), """")-$G343)/$G343, ($G343-I"&amp;"FERROR(INDEX(GOOGLEFINANCE($C343, ""price"", WORKDAY(INT($B343), 20)), 2, 2), """"))/$G343)), """")"),"")</f>
        <v/>
      </c>
      <c r="Q343" s="44"/>
      <c r="R343" s="44"/>
      <c r="S343" s="44"/>
      <c r="T343" s="44"/>
      <c r="U343" s="44"/>
      <c r="V343" s="44"/>
      <c r="W343" s="44"/>
      <c r="X343" s="44"/>
      <c r="Y343" s="44"/>
      <c r="Z343" s="44"/>
    </row>
    <row r="344">
      <c r="A344" s="44"/>
      <c r="B344" s="45"/>
      <c r="C344" s="44"/>
      <c r="D344" s="44"/>
      <c r="E344" s="44"/>
      <c r="F344" s="44"/>
      <c r="G344" s="46"/>
      <c r="H344" s="44"/>
      <c r="I344" s="44"/>
      <c r="J344" s="44"/>
      <c r="K344" s="44"/>
      <c r="L344" s="46" t="str">
        <f>IFERROR(__xludf.DUMMYFUNCTION("IFERROR(IF(ISBLANK($C344), """", GOOGLEFINANCE($C344, ""price"")), """")"),"")</f>
        <v/>
      </c>
      <c r="M344" s="47" t="str">
        <f t="shared" si="3"/>
        <v/>
      </c>
      <c r="N344" s="47" t="str">
        <f>IFERROR(__xludf.DUMMYFUNCTION("IFERROR(IF(OR(ISBLANK($G344), IFERROR(INDEX(GOOGLEFINANCE($C344, ""price"", WORKDAY(INT($B344), 1)), 2, 2), """")=""""), """", IF($D344=""LONG"", (IFERROR(INDEX(GOOGLEFINANCE($C344, ""price"", WORKDAY(INT($B344), 1)), 2, 2), """")-$G344)/$G344, ($G344-IFE"&amp;"RROR(INDEX(GOOGLEFINANCE($C344, ""price"", WORKDAY(INT($B344), 1)), 2, 2), """"))/$G344)), """")"),"")</f>
        <v/>
      </c>
      <c r="O344" s="47" t="str">
        <f>IFERROR(__xludf.DUMMYFUNCTION("IFERROR(IF(OR(ISBLANK($G344), IFERROR(INDEX(GOOGLEFINANCE($C344, ""price"", WORKDAY(INT($B344), 5)), 2, 2), """")=""""), """", IF($D344=""LONG"", (IFERROR(INDEX(GOOGLEFINANCE($C344, ""price"", WORKDAY(INT($B344), 5)), 2, 2), """")-$G344)/$G344, ($G344-IFE"&amp;"RROR(INDEX(GOOGLEFINANCE($C344, ""price"", WORKDAY(INT($B344), 5)), 2, 2), """"))/$G344)), """")"),"")</f>
        <v/>
      </c>
      <c r="P344" s="47" t="str">
        <f>IFERROR(__xludf.DUMMYFUNCTION("IFERROR(IF(OR(ISBLANK($G344), IFERROR(INDEX(GOOGLEFINANCE($C344, ""price"", WORKDAY(INT($B344), 20)), 2, 2), """")=""""), """", IF($D344=""LONG"", (IFERROR(INDEX(GOOGLEFINANCE($C344, ""price"", WORKDAY(INT($B344), 20)), 2, 2), """")-$G344)/$G344, ($G344-I"&amp;"FERROR(INDEX(GOOGLEFINANCE($C344, ""price"", WORKDAY(INT($B344), 20)), 2, 2), """"))/$G344)), """")"),"")</f>
        <v/>
      </c>
      <c r="Q344" s="44"/>
      <c r="R344" s="44"/>
      <c r="S344" s="44"/>
      <c r="T344" s="44"/>
      <c r="U344" s="44"/>
      <c r="V344" s="44"/>
      <c r="W344" s="44"/>
      <c r="X344" s="44"/>
      <c r="Y344" s="44"/>
      <c r="Z344" s="44"/>
    </row>
    <row r="345">
      <c r="A345" s="44"/>
      <c r="B345" s="45"/>
      <c r="C345" s="44"/>
      <c r="D345" s="44"/>
      <c r="E345" s="44"/>
      <c r="F345" s="44"/>
      <c r="G345" s="46"/>
      <c r="H345" s="44"/>
      <c r="I345" s="44"/>
      <c r="J345" s="44"/>
      <c r="K345" s="44"/>
      <c r="L345" s="46" t="str">
        <f>IFERROR(__xludf.DUMMYFUNCTION("IFERROR(IF(ISBLANK($C345), """", GOOGLEFINANCE($C345, ""price"")), """")"),"")</f>
        <v/>
      </c>
      <c r="M345" s="47" t="str">
        <f t="shared" si="3"/>
        <v/>
      </c>
      <c r="N345" s="47" t="str">
        <f>IFERROR(__xludf.DUMMYFUNCTION("IFERROR(IF(OR(ISBLANK($G345), IFERROR(INDEX(GOOGLEFINANCE($C345, ""price"", WORKDAY(INT($B345), 1)), 2, 2), """")=""""), """", IF($D345=""LONG"", (IFERROR(INDEX(GOOGLEFINANCE($C345, ""price"", WORKDAY(INT($B345), 1)), 2, 2), """")-$G345)/$G345, ($G345-IFE"&amp;"RROR(INDEX(GOOGLEFINANCE($C345, ""price"", WORKDAY(INT($B345), 1)), 2, 2), """"))/$G345)), """")"),"")</f>
        <v/>
      </c>
      <c r="O345" s="47" t="str">
        <f>IFERROR(__xludf.DUMMYFUNCTION("IFERROR(IF(OR(ISBLANK($G345), IFERROR(INDEX(GOOGLEFINANCE($C345, ""price"", WORKDAY(INT($B345), 5)), 2, 2), """")=""""), """", IF($D345=""LONG"", (IFERROR(INDEX(GOOGLEFINANCE($C345, ""price"", WORKDAY(INT($B345), 5)), 2, 2), """")-$G345)/$G345, ($G345-IFE"&amp;"RROR(INDEX(GOOGLEFINANCE($C345, ""price"", WORKDAY(INT($B345), 5)), 2, 2), """"))/$G345)), """")"),"")</f>
        <v/>
      </c>
      <c r="P345" s="47" t="str">
        <f>IFERROR(__xludf.DUMMYFUNCTION("IFERROR(IF(OR(ISBLANK($G345), IFERROR(INDEX(GOOGLEFINANCE($C345, ""price"", WORKDAY(INT($B345), 20)), 2, 2), """")=""""), """", IF($D345=""LONG"", (IFERROR(INDEX(GOOGLEFINANCE($C345, ""price"", WORKDAY(INT($B345), 20)), 2, 2), """")-$G345)/$G345, ($G345-I"&amp;"FERROR(INDEX(GOOGLEFINANCE($C345, ""price"", WORKDAY(INT($B345), 20)), 2, 2), """"))/$G345)), """")"),"")</f>
        <v/>
      </c>
      <c r="Q345" s="44"/>
      <c r="R345" s="44"/>
      <c r="S345" s="44"/>
      <c r="T345" s="44"/>
      <c r="U345" s="44"/>
      <c r="V345" s="44"/>
      <c r="W345" s="44"/>
      <c r="X345" s="44"/>
      <c r="Y345" s="44"/>
      <c r="Z345" s="44"/>
    </row>
    <row r="346">
      <c r="A346" s="44"/>
      <c r="B346" s="45"/>
      <c r="C346" s="44"/>
      <c r="D346" s="44"/>
      <c r="E346" s="44"/>
      <c r="F346" s="44"/>
      <c r="G346" s="46"/>
      <c r="H346" s="44"/>
      <c r="I346" s="44"/>
      <c r="J346" s="44"/>
      <c r="K346" s="44"/>
      <c r="L346" s="46" t="str">
        <f>IFERROR(__xludf.DUMMYFUNCTION("IFERROR(IF(ISBLANK($C346), """", GOOGLEFINANCE($C346, ""price"")), """")"),"")</f>
        <v/>
      </c>
      <c r="M346" s="47" t="str">
        <f t="shared" si="3"/>
        <v/>
      </c>
      <c r="N346" s="47" t="str">
        <f>IFERROR(__xludf.DUMMYFUNCTION("IFERROR(IF(OR(ISBLANK($G346), IFERROR(INDEX(GOOGLEFINANCE($C346, ""price"", WORKDAY(INT($B346), 1)), 2, 2), """")=""""), """", IF($D346=""LONG"", (IFERROR(INDEX(GOOGLEFINANCE($C346, ""price"", WORKDAY(INT($B346), 1)), 2, 2), """")-$G346)/$G346, ($G346-IFE"&amp;"RROR(INDEX(GOOGLEFINANCE($C346, ""price"", WORKDAY(INT($B346), 1)), 2, 2), """"))/$G346)), """")"),"")</f>
        <v/>
      </c>
      <c r="O346" s="47" t="str">
        <f>IFERROR(__xludf.DUMMYFUNCTION("IFERROR(IF(OR(ISBLANK($G346), IFERROR(INDEX(GOOGLEFINANCE($C346, ""price"", WORKDAY(INT($B346), 5)), 2, 2), """")=""""), """", IF($D346=""LONG"", (IFERROR(INDEX(GOOGLEFINANCE($C346, ""price"", WORKDAY(INT($B346), 5)), 2, 2), """")-$G346)/$G346, ($G346-IFE"&amp;"RROR(INDEX(GOOGLEFINANCE($C346, ""price"", WORKDAY(INT($B346), 5)), 2, 2), """"))/$G346)), """")"),"")</f>
        <v/>
      </c>
      <c r="P346" s="47" t="str">
        <f>IFERROR(__xludf.DUMMYFUNCTION("IFERROR(IF(OR(ISBLANK($G346), IFERROR(INDEX(GOOGLEFINANCE($C346, ""price"", WORKDAY(INT($B346), 20)), 2, 2), """")=""""), """", IF($D346=""LONG"", (IFERROR(INDEX(GOOGLEFINANCE($C346, ""price"", WORKDAY(INT($B346), 20)), 2, 2), """")-$G346)/$G346, ($G346-I"&amp;"FERROR(INDEX(GOOGLEFINANCE($C346, ""price"", WORKDAY(INT($B346), 20)), 2, 2), """"))/$G346)), """")"),"")</f>
        <v/>
      </c>
      <c r="Q346" s="44"/>
      <c r="R346" s="44"/>
      <c r="S346" s="44"/>
      <c r="T346" s="44"/>
      <c r="U346" s="44"/>
      <c r="V346" s="44"/>
      <c r="W346" s="44"/>
      <c r="X346" s="44"/>
      <c r="Y346" s="44"/>
      <c r="Z346" s="44"/>
    </row>
    <row r="347">
      <c r="A347" s="44"/>
      <c r="B347" s="45"/>
      <c r="C347" s="44"/>
      <c r="D347" s="44"/>
      <c r="E347" s="44"/>
      <c r="F347" s="44"/>
      <c r="G347" s="46"/>
      <c r="H347" s="44"/>
      <c r="I347" s="44"/>
      <c r="J347" s="44"/>
      <c r="K347" s="44"/>
      <c r="L347" s="46" t="str">
        <f>IFERROR(__xludf.DUMMYFUNCTION("IFERROR(IF(ISBLANK($C347), """", GOOGLEFINANCE($C347, ""price"")), """")"),"")</f>
        <v/>
      </c>
      <c r="M347" s="47" t="str">
        <f t="shared" si="3"/>
        <v/>
      </c>
      <c r="N347" s="47" t="str">
        <f>IFERROR(__xludf.DUMMYFUNCTION("IFERROR(IF(OR(ISBLANK($G347), IFERROR(INDEX(GOOGLEFINANCE($C347, ""price"", WORKDAY(INT($B347), 1)), 2, 2), """")=""""), """", IF($D347=""LONG"", (IFERROR(INDEX(GOOGLEFINANCE($C347, ""price"", WORKDAY(INT($B347), 1)), 2, 2), """")-$G347)/$G347, ($G347-IFE"&amp;"RROR(INDEX(GOOGLEFINANCE($C347, ""price"", WORKDAY(INT($B347), 1)), 2, 2), """"))/$G347)), """")"),"")</f>
        <v/>
      </c>
      <c r="O347" s="47" t="str">
        <f>IFERROR(__xludf.DUMMYFUNCTION("IFERROR(IF(OR(ISBLANK($G347), IFERROR(INDEX(GOOGLEFINANCE($C347, ""price"", WORKDAY(INT($B347), 5)), 2, 2), """")=""""), """", IF($D347=""LONG"", (IFERROR(INDEX(GOOGLEFINANCE($C347, ""price"", WORKDAY(INT($B347), 5)), 2, 2), """")-$G347)/$G347, ($G347-IFE"&amp;"RROR(INDEX(GOOGLEFINANCE($C347, ""price"", WORKDAY(INT($B347), 5)), 2, 2), """"))/$G347)), """")"),"")</f>
        <v/>
      </c>
      <c r="P347" s="47" t="str">
        <f>IFERROR(__xludf.DUMMYFUNCTION("IFERROR(IF(OR(ISBLANK($G347), IFERROR(INDEX(GOOGLEFINANCE($C347, ""price"", WORKDAY(INT($B347), 20)), 2, 2), """")=""""), """", IF($D347=""LONG"", (IFERROR(INDEX(GOOGLEFINANCE($C347, ""price"", WORKDAY(INT($B347), 20)), 2, 2), """")-$G347)/$G347, ($G347-I"&amp;"FERROR(INDEX(GOOGLEFINANCE($C347, ""price"", WORKDAY(INT($B347), 20)), 2, 2), """"))/$G347)), """")"),"")</f>
        <v/>
      </c>
      <c r="Q347" s="44"/>
      <c r="R347" s="44"/>
      <c r="S347" s="44"/>
      <c r="T347" s="44"/>
      <c r="U347" s="44"/>
      <c r="V347" s="44"/>
      <c r="W347" s="44"/>
      <c r="X347" s="44"/>
      <c r="Y347" s="44"/>
      <c r="Z347" s="44"/>
    </row>
    <row r="348">
      <c r="A348" s="44"/>
      <c r="B348" s="45"/>
      <c r="C348" s="44"/>
      <c r="D348" s="44"/>
      <c r="E348" s="44"/>
      <c r="F348" s="44"/>
      <c r="G348" s="46"/>
      <c r="H348" s="44"/>
      <c r="I348" s="44"/>
      <c r="J348" s="44"/>
      <c r="K348" s="44"/>
      <c r="L348" s="46" t="str">
        <f>IFERROR(__xludf.DUMMYFUNCTION("IFERROR(IF(ISBLANK($C348), """", GOOGLEFINANCE($C348, ""price"")), """")"),"")</f>
        <v/>
      </c>
      <c r="M348" s="47" t="str">
        <f t="shared" si="3"/>
        <v/>
      </c>
      <c r="N348" s="47" t="str">
        <f>IFERROR(__xludf.DUMMYFUNCTION("IFERROR(IF(OR(ISBLANK($G348), IFERROR(INDEX(GOOGLEFINANCE($C348, ""price"", WORKDAY(INT($B348), 1)), 2, 2), """")=""""), """", IF($D348=""LONG"", (IFERROR(INDEX(GOOGLEFINANCE($C348, ""price"", WORKDAY(INT($B348), 1)), 2, 2), """")-$G348)/$G348, ($G348-IFE"&amp;"RROR(INDEX(GOOGLEFINANCE($C348, ""price"", WORKDAY(INT($B348), 1)), 2, 2), """"))/$G348)), """")"),"")</f>
        <v/>
      </c>
      <c r="O348" s="47" t="str">
        <f>IFERROR(__xludf.DUMMYFUNCTION("IFERROR(IF(OR(ISBLANK($G348), IFERROR(INDEX(GOOGLEFINANCE($C348, ""price"", WORKDAY(INT($B348), 5)), 2, 2), """")=""""), """", IF($D348=""LONG"", (IFERROR(INDEX(GOOGLEFINANCE($C348, ""price"", WORKDAY(INT($B348), 5)), 2, 2), """")-$G348)/$G348, ($G348-IFE"&amp;"RROR(INDEX(GOOGLEFINANCE($C348, ""price"", WORKDAY(INT($B348), 5)), 2, 2), """"))/$G348)), """")"),"")</f>
        <v/>
      </c>
      <c r="P348" s="47" t="str">
        <f>IFERROR(__xludf.DUMMYFUNCTION("IFERROR(IF(OR(ISBLANK($G348), IFERROR(INDEX(GOOGLEFINANCE($C348, ""price"", WORKDAY(INT($B348), 20)), 2, 2), """")=""""), """", IF($D348=""LONG"", (IFERROR(INDEX(GOOGLEFINANCE($C348, ""price"", WORKDAY(INT($B348), 20)), 2, 2), """")-$G348)/$G348, ($G348-I"&amp;"FERROR(INDEX(GOOGLEFINANCE($C348, ""price"", WORKDAY(INT($B348), 20)), 2, 2), """"))/$G348)), """")"),"")</f>
        <v/>
      </c>
      <c r="Q348" s="44"/>
      <c r="R348" s="44"/>
      <c r="S348" s="44"/>
      <c r="T348" s="44"/>
      <c r="U348" s="44"/>
      <c r="V348" s="44"/>
      <c r="W348" s="44"/>
      <c r="X348" s="44"/>
      <c r="Y348" s="44"/>
      <c r="Z348" s="44"/>
    </row>
    <row r="349">
      <c r="A349" s="44"/>
      <c r="B349" s="45"/>
      <c r="C349" s="44"/>
      <c r="D349" s="44"/>
      <c r="E349" s="44"/>
      <c r="F349" s="44"/>
      <c r="G349" s="46"/>
      <c r="H349" s="44"/>
      <c r="I349" s="44"/>
      <c r="J349" s="44"/>
      <c r="K349" s="44"/>
      <c r="L349" s="46" t="str">
        <f>IFERROR(__xludf.DUMMYFUNCTION("IFERROR(IF(ISBLANK($C349), """", GOOGLEFINANCE($C349, ""price"")), """")"),"")</f>
        <v/>
      </c>
      <c r="M349" s="47" t="str">
        <f t="shared" si="3"/>
        <v/>
      </c>
      <c r="N349" s="47" t="str">
        <f>IFERROR(__xludf.DUMMYFUNCTION("IFERROR(IF(OR(ISBLANK($G349), IFERROR(INDEX(GOOGLEFINANCE($C349, ""price"", WORKDAY(INT($B349), 1)), 2, 2), """")=""""), """", IF($D349=""LONG"", (IFERROR(INDEX(GOOGLEFINANCE($C349, ""price"", WORKDAY(INT($B349), 1)), 2, 2), """")-$G349)/$G349, ($G349-IFE"&amp;"RROR(INDEX(GOOGLEFINANCE($C349, ""price"", WORKDAY(INT($B349), 1)), 2, 2), """"))/$G349)), """")"),"")</f>
        <v/>
      </c>
      <c r="O349" s="47" t="str">
        <f>IFERROR(__xludf.DUMMYFUNCTION("IFERROR(IF(OR(ISBLANK($G349), IFERROR(INDEX(GOOGLEFINANCE($C349, ""price"", WORKDAY(INT($B349), 5)), 2, 2), """")=""""), """", IF($D349=""LONG"", (IFERROR(INDEX(GOOGLEFINANCE($C349, ""price"", WORKDAY(INT($B349), 5)), 2, 2), """")-$G349)/$G349, ($G349-IFE"&amp;"RROR(INDEX(GOOGLEFINANCE($C349, ""price"", WORKDAY(INT($B349), 5)), 2, 2), """"))/$G349)), """")"),"")</f>
        <v/>
      </c>
      <c r="P349" s="47" t="str">
        <f>IFERROR(__xludf.DUMMYFUNCTION("IFERROR(IF(OR(ISBLANK($G349), IFERROR(INDEX(GOOGLEFINANCE($C349, ""price"", WORKDAY(INT($B349), 20)), 2, 2), """")=""""), """", IF($D349=""LONG"", (IFERROR(INDEX(GOOGLEFINANCE($C349, ""price"", WORKDAY(INT($B349), 20)), 2, 2), """")-$G349)/$G349, ($G349-I"&amp;"FERROR(INDEX(GOOGLEFINANCE($C349, ""price"", WORKDAY(INT($B349), 20)), 2, 2), """"))/$G349)), """")"),"")</f>
        <v/>
      </c>
      <c r="Q349" s="44"/>
      <c r="R349" s="44"/>
      <c r="S349" s="44"/>
      <c r="T349" s="44"/>
      <c r="U349" s="44"/>
      <c r="V349" s="44"/>
      <c r="W349" s="44"/>
      <c r="X349" s="44"/>
      <c r="Y349" s="44"/>
      <c r="Z349" s="44"/>
    </row>
    <row r="350">
      <c r="A350" s="44"/>
      <c r="B350" s="45"/>
      <c r="C350" s="44"/>
      <c r="D350" s="44"/>
      <c r="E350" s="44"/>
      <c r="F350" s="44"/>
      <c r="G350" s="46"/>
      <c r="H350" s="44"/>
      <c r="I350" s="44"/>
      <c r="J350" s="44"/>
      <c r="K350" s="44"/>
      <c r="L350" s="46" t="str">
        <f>IFERROR(__xludf.DUMMYFUNCTION("IFERROR(IF(ISBLANK($C350), """", GOOGLEFINANCE($C350, ""price"")), """")"),"")</f>
        <v/>
      </c>
      <c r="M350" s="47" t="str">
        <f t="shared" si="3"/>
        <v/>
      </c>
      <c r="N350" s="47" t="str">
        <f>IFERROR(__xludf.DUMMYFUNCTION("IFERROR(IF(OR(ISBLANK($G350), IFERROR(INDEX(GOOGLEFINANCE($C350, ""price"", WORKDAY(INT($B350), 1)), 2, 2), """")=""""), """", IF($D350=""LONG"", (IFERROR(INDEX(GOOGLEFINANCE($C350, ""price"", WORKDAY(INT($B350), 1)), 2, 2), """")-$G350)/$G350, ($G350-IFE"&amp;"RROR(INDEX(GOOGLEFINANCE($C350, ""price"", WORKDAY(INT($B350), 1)), 2, 2), """"))/$G350)), """")"),"")</f>
        <v/>
      </c>
      <c r="O350" s="47" t="str">
        <f>IFERROR(__xludf.DUMMYFUNCTION("IFERROR(IF(OR(ISBLANK($G350), IFERROR(INDEX(GOOGLEFINANCE($C350, ""price"", WORKDAY(INT($B350), 5)), 2, 2), """")=""""), """", IF($D350=""LONG"", (IFERROR(INDEX(GOOGLEFINANCE($C350, ""price"", WORKDAY(INT($B350), 5)), 2, 2), """")-$G350)/$G350, ($G350-IFE"&amp;"RROR(INDEX(GOOGLEFINANCE($C350, ""price"", WORKDAY(INT($B350), 5)), 2, 2), """"))/$G350)), """")"),"")</f>
        <v/>
      </c>
      <c r="P350" s="47" t="str">
        <f>IFERROR(__xludf.DUMMYFUNCTION("IFERROR(IF(OR(ISBLANK($G350), IFERROR(INDEX(GOOGLEFINANCE($C350, ""price"", WORKDAY(INT($B350), 20)), 2, 2), """")=""""), """", IF($D350=""LONG"", (IFERROR(INDEX(GOOGLEFINANCE($C350, ""price"", WORKDAY(INT($B350), 20)), 2, 2), """")-$G350)/$G350, ($G350-I"&amp;"FERROR(INDEX(GOOGLEFINANCE($C350, ""price"", WORKDAY(INT($B350), 20)), 2, 2), """"))/$G350)), """")"),"")</f>
        <v/>
      </c>
      <c r="Q350" s="44"/>
      <c r="R350" s="44"/>
      <c r="S350" s="44"/>
      <c r="T350" s="44"/>
      <c r="U350" s="44"/>
      <c r="V350" s="44"/>
      <c r="W350" s="44"/>
      <c r="X350" s="44"/>
      <c r="Y350" s="44"/>
      <c r="Z350" s="44"/>
    </row>
    <row r="351">
      <c r="A351" s="44"/>
      <c r="B351" s="45"/>
      <c r="C351" s="44"/>
      <c r="D351" s="44"/>
      <c r="E351" s="44"/>
      <c r="F351" s="44"/>
      <c r="G351" s="46"/>
      <c r="H351" s="44"/>
      <c r="I351" s="44"/>
      <c r="J351" s="44"/>
      <c r="K351" s="44"/>
      <c r="L351" s="46" t="str">
        <f>IFERROR(__xludf.DUMMYFUNCTION("IFERROR(IF(ISBLANK($C351), """", GOOGLEFINANCE($C351, ""price"")), """")"),"")</f>
        <v/>
      </c>
      <c r="M351" s="47" t="str">
        <f t="shared" si="3"/>
        <v/>
      </c>
      <c r="N351" s="47" t="str">
        <f>IFERROR(__xludf.DUMMYFUNCTION("IFERROR(IF(OR(ISBLANK($G351), IFERROR(INDEX(GOOGLEFINANCE($C351, ""price"", WORKDAY(INT($B351), 1)), 2, 2), """")=""""), """", IF($D351=""LONG"", (IFERROR(INDEX(GOOGLEFINANCE($C351, ""price"", WORKDAY(INT($B351), 1)), 2, 2), """")-$G351)/$G351, ($G351-IFE"&amp;"RROR(INDEX(GOOGLEFINANCE($C351, ""price"", WORKDAY(INT($B351), 1)), 2, 2), """"))/$G351)), """")"),"")</f>
        <v/>
      </c>
      <c r="O351" s="47" t="str">
        <f>IFERROR(__xludf.DUMMYFUNCTION("IFERROR(IF(OR(ISBLANK($G351), IFERROR(INDEX(GOOGLEFINANCE($C351, ""price"", WORKDAY(INT($B351), 5)), 2, 2), """")=""""), """", IF($D351=""LONG"", (IFERROR(INDEX(GOOGLEFINANCE($C351, ""price"", WORKDAY(INT($B351), 5)), 2, 2), """")-$G351)/$G351, ($G351-IFE"&amp;"RROR(INDEX(GOOGLEFINANCE($C351, ""price"", WORKDAY(INT($B351), 5)), 2, 2), """"))/$G351)), """")"),"")</f>
        <v/>
      </c>
      <c r="P351" s="47" t="str">
        <f>IFERROR(__xludf.DUMMYFUNCTION("IFERROR(IF(OR(ISBLANK($G351), IFERROR(INDEX(GOOGLEFINANCE($C351, ""price"", WORKDAY(INT($B351), 20)), 2, 2), """")=""""), """", IF($D351=""LONG"", (IFERROR(INDEX(GOOGLEFINANCE($C351, ""price"", WORKDAY(INT($B351), 20)), 2, 2), """")-$G351)/$G351, ($G351-I"&amp;"FERROR(INDEX(GOOGLEFINANCE($C351, ""price"", WORKDAY(INT($B351), 20)), 2, 2), """"))/$G351)), """")"),"")</f>
        <v/>
      </c>
      <c r="Q351" s="44"/>
      <c r="R351" s="44"/>
      <c r="S351" s="44"/>
      <c r="T351" s="44"/>
      <c r="U351" s="44"/>
      <c r="V351" s="44"/>
      <c r="W351" s="44"/>
      <c r="X351" s="44"/>
      <c r="Y351" s="44"/>
      <c r="Z351" s="44"/>
    </row>
    <row r="352">
      <c r="A352" s="44"/>
      <c r="B352" s="45"/>
      <c r="C352" s="44"/>
      <c r="D352" s="44"/>
      <c r="E352" s="44"/>
      <c r="F352" s="44"/>
      <c r="G352" s="46"/>
      <c r="H352" s="44"/>
      <c r="I352" s="44"/>
      <c r="J352" s="44"/>
      <c r="K352" s="44"/>
      <c r="L352" s="46" t="str">
        <f>IFERROR(__xludf.DUMMYFUNCTION("IFERROR(IF(ISBLANK($C352), """", GOOGLEFINANCE($C352, ""price"")), """")"),"")</f>
        <v/>
      </c>
      <c r="M352" s="47" t="str">
        <f t="shared" si="3"/>
        <v/>
      </c>
      <c r="N352" s="47" t="str">
        <f>IFERROR(__xludf.DUMMYFUNCTION("IFERROR(IF(OR(ISBLANK($G352), IFERROR(INDEX(GOOGLEFINANCE($C352, ""price"", WORKDAY(INT($B352), 1)), 2, 2), """")=""""), """", IF($D352=""LONG"", (IFERROR(INDEX(GOOGLEFINANCE($C352, ""price"", WORKDAY(INT($B352), 1)), 2, 2), """")-$G352)/$G352, ($G352-IFE"&amp;"RROR(INDEX(GOOGLEFINANCE($C352, ""price"", WORKDAY(INT($B352), 1)), 2, 2), """"))/$G352)), """")"),"")</f>
        <v/>
      </c>
      <c r="O352" s="47" t="str">
        <f>IFERROR(__xludf.DUMMYFUNCTION("IFERROR(IF(OR(ISBLANK($G352), IFERROR(INDEX(GOOGLEFINANCE($C352, ""price"", WORKDAY(INT($B352), 5)), 2, 2), """")=""""), """", IF($D352=""LONG"", (IFERROR(INDEX(GOOGLEFINANCE($C352, ""price"", WORKDAY(INT($B352), 5)), 2, 2), """")-$G352)/$G352, ($G352-IFE"&amp;"RROR(INDEX(GOOGLEFINANCE($C352, ""price"", WORKDAY(INT($B352), 5)), 2, 2), """"))/$G352)), """")"),"")</f>
        <v/>
      </c>
      <c r="P352" s="47" t="str">
        <f>IFERROR(__xludf.DUMMYFUNCTION("IFERROR(IF(OR(ISBLANK($G352), IFERROR(INDEX(GOOGLEFINANCE($C352, ""price"", WORKDAY(INT($B352), 20)), 2, 2), """")=""""), """", IF($D352=""LONG"", (IFERROR(INDEX(GOOGLEFINANCE($C352, ""price"", WORKDAY(INT($B352), 20)), 2, 2), """")-$G352)/$G352, ($G352-I"&amp;"FERROR(INDEX(GOOGLEFINANCE($C352, ""price"", WORKDAY(INT($B352), 20)), 2, 2), """"))/$G352)), """")"),"")</f>
        <v/>
      </c>
      <c r="Q352" s="44"/>
      <c r="R352" s="44"/>
      <c r="S352" s="44"/>
      <c r="T352" s="44"/>
      <c r="U352" s="44"/>
      <c r="V352" s="44"/>
      <c r="W352" s="44"/>
      <c r="X352" s="44"/>
      <c r="Y352" s="44"/>
      <c r="Z352" s="44"/>
    </row>
    <row r="353">
      <c r="A353" s="44"/>
      <c r="B353" s="45"/>
      <c r="C353" s="44"/>
      <c r="D353" s="44"/>
      <c r="E353" s="44"/>
      <c r="F353" s="44"/>
      <c r="G353" s="46"/>
      <c r="H353" s="44"/>
      <c r="I353" s="44"/>
      <c r="J353" s="44"/>
      <c r="K353" s="44"/>
      <c r="L353" s="46" t="str">
        <f>IFERROR(__xludf.DUMMYFUNCTION("IFERROR(IF(ISBLANK($C353), """", GOOGLEFINANCE($C353, ""price"")), """")"),"")</f>
        <v/>
      </c>
      <c r="M353" s="47" t="str">
        <f t="shared" si="3"/>
        <v/>
      </c>
      <c r="N353" s="47" t="str">
        <f>IFERROR(__xludf.DUMMYFUNCTION("IFERROR(IF(OR(ISBLANK($G353), IFERROR(INDEX(GOOGLEFINANCE($C353, ""price"", WORKDAY(INT($B353), 1)), 2, 2), """")=""""), """", IF($D353=""LONG"", (IFERROR(INDEX(GOOGLEFINANCE($C353, ""price"", WORKDAY(INT($B353), 1)), 2, 2), """")-$G353)/$G353, ($G353-IFE"&amp;"RROR(INDEX(GOOGLEFINANCE($C353, ""price"", WORKDAY(INT($B353), 1)), 2, 2), """"))/$G353)), """")"),"")</f>
        <v/>
      </c>
      <c r="O353" s="47" t="str">
        <f>IFERROR(__xludf.DUMMYFUNCTION("IFERROR(IF(OR(ISBLANK($G353), IFERROR(INDEX(GOOGLEFINANCE($C353, ""price"", WORKDAY(INT($B353), 5)), 2, 2), """")=""""), """", IF($D353=""LONG"", (IFERROR(INDEX(GOOGLEFINANCE($C353, ""price"", WORKDAY(INT($B353), 5)), 2, 2), """")-$G353)/$G353, ($G353-IFE"&amp;"RROR(INDEX(GOOGLEFINANCE($C353, ""price"", WORKDAY(INT($B353), 5)), 2, 2), """"))/$G353)), """")"),"")</f>
        <v/>
      </c>
      <c r="P353" s="47" t="str">
        <f>IFERROR(__xludf.DUMMYFUNCTION("IFERROR(IF(OR(ISBLANK($G353), IFERROR(INDEX(GOOGLEFINANCE($C353, ""price"", WORKDAY(INT($B353), 20)), 2, 2), """")=""""), """", IF($D353=""LONG"", (IFERROR(INDEX(GOOGLEFINANCE($C353, ""price"", WORKDAY(INT($B353), 20)), 2, 2), """")-$G353)/$G353, ($G353-I"&amp;"FERROR(INDEX(GOOGLEFINANCE($C353, ""price"", WORKDAY(INT($B353), 20)), 2, 2), """"))/$G353)), """")"),"")</f>
        <v/>
      </c>
      <c r="Q353" s="44"/>
      <c r="R353" s="44"/>
      <c r="S353" s="44"/>
      <c r="T353" s="44"/>
      <c r="U353" s="44"/>
      <c r="V353" s="44"/>
      <c r="W353" s="44"/>
      <c r="X353" s="44"/>
      <c r="Y353" s="44"/>
      <c r="Z353" s="44"/>
    </row>
    <row r="354">
      <c r="A354" s="44"/>
      <c r="B354" s="45"/>
      <c r="C354" s="44"/>
      <c r="D354" s="44"/>
      <c r="E354" s="44"/>
      <c r="F354" s="44"/>
      <c r="G354" s="46"/>
      <c r="H354" s="44"/>
      <c r="I354" s="44"/>
      <c r="J354" s="44"/>
      <c r="K354" s="44"/>
      <c r="L354" s="46" t="str">
        <f>IFERROR(__xludf.DUMMYFUNCTION("IFERROR(IF(ISBLANK($C354), """", GOOGLEFINANCE($C354, ""price"")), """")"),"")</f>
        <v/>
      </c>
      <c r="M354" s="47" t="str">
        <f t="shared" si="3"/>
        <v/>
      </c>
      <c r="N354" s="47" t="str">
        <f>IFERROR(__xludf.DUMMYFUNCTION("IFERROR(IF(OR(ISBLANK($G354), IFERROR(INDEX(GOOGLEFINANCE($C354, ""price"", WORKDAY(INT($B354), 1)), 2, 2), """")=""""), """", IF($D354=""LONG"", (IFERROR(INDEX(GOOGLEFINANCE($C354, ""price"", WORKDAY(INT($B354), 1)), 2, 2), """")-$G354)/$G354, ($G354-IFE"&amp;"RROR(INDEX(GOOGLEFINANCE($C354, ""price"", WORKDAY(INT($B354), 1)), 2, 2), """"))/$G354)), """")"),"")</f>
        <v/>
      </c>
      <c r="O354" s="47" t="str">
        <f>IFERROR(__xludf.DUMMYFUNCTION("IFERROR(IF(OR(ISBLANK($G354), IFERROR(INDEX(GOOGLEFINANCE($C354, ""price"", WORKDAY(INT($B354), 5)), 2, 2), """")=""""), """", IF($D354=""LONG"", (IFERROR(INDEX(GOOGLEFINANCE($C354, ""price"", WORKDAY(INT($B354), 5)), 2, 2), """")-$G354)/$G354, ($G354-IFE"&amp;"RROR(INDEX(GOOGLEFINANCE($C354, ""price"", WORKDAY(INT($B354), 5)), 2, 2), """"))/$G354)), """")"),"")</f>
        <v/>
      </c>
      <c r="P354" s="47" t="str">
        <f>IFERROR(__xludf.DUMMYFUNCTION("IFERROR(IF(OR(ISBLANK($G354), IFERROR(INDEX(GOOGLEFINANCE($C354, ""price"", WORKDAY(INT($B354), 20)), 2, 2), """")=""""), """", IF($D354=""LONG"", (IFERROR(INDEX(GOOGLEFINANCE($C354, ""price"", WORKDAY(INT($B354), 20)), 2, 2), """")-$G354)/$G354, ($G354-I"&amp;"FERROR(INDEX(GOOGLEFINANCE($C354, ""price"", WORKDAY(INT($B354), 20)), 2, 2), """"))/$G354)), """")"),"")</f>
        <v/>
      </c>
      <c r="Q354" s="44"/>
      <c r="R354" s="44"/>
      <c r="S354" s="44"/>
      <c r="T354" s="44"/>
      <c r="U354" s="44"/>
      <c r="V354" s="44"/>
      <c r="W354" s="44"/>
      <c r="X354" s="44"/>
      <c r="Y354" s="44"/>
      <c r="Z354" s="44"/>
    </row>
    <row r="355">
      <c r="A355" s="44"/>
      <c r="B355" s="45"/>
      <c r="C355" s="44"/>
      <c r="D355" s="44"/>
      <c r="E355" s="44"/>
      <c r="F355" s="44"/>
      <c r="G355" s="46"/>
      <c r="H355" s="44"/>
      <c r="I355" s="44"/>
      <c r="J355" s="44"/>
      <c r="K355" s="44"/>
      <c r="L355" s="46" t="str">
        <f>IFERROR(__xludf.DUMMYFUNCTION("IFERROR(IF(ISBLANK($C355), """", GOOGLEFINANCE($C355, ""price"")), """")"),"")</f>
        <v/>
      </c>
      <c r="M355" s="47" t="str">
        <f t="shared" si="3"/>
        <v/>
      </c>
      <c r="N355" s="47" t="str">
        <f>IFERROR(__xludf.DUMMYFUNCTION("IFERROR(IF(OR(ISBLANK($G355), IFERROR(INDEX(GOOGLEFINANCE($C355, ""price"", WORKDAY(INT($B355), 1)), 2, 2), """")=""""), """", IF($D355=""LONG"", (IFERROR(INDEX(GOOGLEFINANCE($C355, ""price"", WORKDAY(INT($B355), 1)), 2, 2), """")-$G355)/$G355, ($G355-IFE"&amp;"RROR(INDEX(GOOGLEFINANCE($C355, ""price"", WORKDAY(INT($B355), 1)), 2, 2), """"))/$G355)), """")"),"")</f>
        <v/>
      </c>
      <c r="O355" s="47" t="str">
        <f>IFERROR(__xludf.DUMMYFUNCTION("IFERROR(IF(OR(ISBLANK($G355), IFERROR(INDEX(GOOGLEFINANCE($C355, ""price"", WORKDAY(INT($B355), 5)), 2, 2), """")=""""), """", IF($D355=""LONG"", (IFERROR(INDEX(GOOGLEFINANCE($C355, ""price"", WORKDAY(INT($B355), 5)), 2, 2), """")-$G355)/$G355, ($G355-IFE"&amp;"RROR(INDEX(GOOGLEFINANCE($C355, ""price"", WORKDAY(INT($B355), 5)), 2, 2), """"))/$G355)), """")"),"")</f>
        <v/>
      </c>
      <c r="P355" s="47" t="str">
        <f>IFERROR(__xludf.DUMMYFUNCTION("IFERROR(IF(OR(ISBLANK($G355), IFERROR(INDEX(GOOGLEFINANCE($C355, ""price"", WORKDAY(INT($B355), 20)), 2, 2), """")=""""), """", IF($D355=""LONG"", (IFERROR(INDEX(GOOGLEFINANCE($C355, ""price"", WORKDAY(INT($B355), 20)), 2, 2), """")-$G355)/$G355, ($G355-I"&amp;"FERROR(INDEX(GOOGLEFINANCE($C355, ""price"", WORKDAY(INT($B355), 20)), 2, 2), """"))/$G355)), """")"),"")</f>
        <v/>
      </c>
      <c r="Q355" s="44"/>
      <c r="R355" s="44"/>
      <c r="S355" s="44"/>
      <c r="T355" s="44"/>
      <c r="U355" s="44"/>
      <c r="V355" s="44"/>
      <c r="W355" s="44"/>
      <c r="X355" s="44"/>
      <c r="Y355" s="44"/>
      <c r="Z355" s="44"/>
    </row>
    <row r="356">
      <c r="A356" s="44"/>
      <c r="B356" s="45"/>
      <c r="C356" s="44"/>
      <c r="D356" s="44"/>
      <c r="E356" s="44"/>
      <c r="F356" s="44"/>
      <c r="G356" s="46"/>
      <c r="H356" s="44"/>
      <c r="I356" s="44"/>
      <c r="J356" s="44"/>
      <c r="K356" s="44"/>
      <c r="L356" s="46" t="str">
        <f>IFERROR(__xludf.DUMMYFUNCTION("IFERROR(IF(ISBLANK($C356), """", GOOGLEFINANCE($C356, ""price"")), """")"),"")</f>
        <v/>
      </c>
      <c r="M356" s="47" t="str">
        <f t="shared" si="3"/>
        <v/>
      </c>
      <c r="N356" s="47" t="str">
        <f>IFERROR(__xludf.DUMMYFUNCTION("IFERROR(IF(OR(ISBLANK($G356), IFERROR(INDEX(GOOGLEFINANCE($C356, ""price"", WORKDAY(INT($B356), 1)), 2, 2), """")=""""), """", IF($D356=""LONG"", (IFERROR(INDEX(GOOGLEFINANCE($C356, ""price"", WORKDAY(INT($B356), 1)), 2, 2), """")-$G356)/$G356, ($G356-IFE"&amp;"RROR(INDEX(GOOGLEFINANCE($C356, ""price"", WORKDAY(INT($B356), 1)), 2, 2), """"))/$G356)), """")"),"")</f>
        <v/>
      </c>
      <c r="O356" s="47" t="str">
        <f>IFERROR(__xludf.DUMMYFUNCTION("IFERROR(IF(OR(ISBLANK($G356), IFERROR(INDEX(GOOGLEFINANCE($C356, ""price"", WORKDAY(INT($B356), 5)), 2, 2), """")=""""), """", IF($D356=""LONG"", (IFERROR(INDEX(GOOGLEFINANCE($C356, ""price"", WORKDAY(INT($B356), 5)), 2, 2), """")-$G356)/$G356, ($G356-IFE"&amp;"RROR(INDEX(GOOGLEFINANCE($C356, ""price"", WORKDAY(INT($B356), 5)), 2, 2), """"))/$G356)), """")"),"")</f>
        <v/>
      </c>
      <c r="P356" s="47" t="str">
        <f>IFERROR(__xludf.DUMMYFUNCTION("IFERROR(IF(OR(ISBLANK($G356), IFERROR(INDEX(GOOGLEFINANCE($C356, ""price"", WORKDAY(INT($B356), 20)), 2, 2), """")=""""), """", IF($D356=""LONG"", (IFERROR(INDEX(GOOGLEFINANCE($C356, ""price"", WORKDAY(INT($B356), 20)), 2, 2), """")-$G356)/$G356, ($G356-I"&amp;"FERROR(INDEX(GOOGLEFINANCE($C356, ""price"", WORKDAY(INT($B356), 20)), 2, 2), """"))/$G356)), """")"),"")</f>
        <v/>
      </c>
      <c r="Q356" s="44"/>
      <c r="R356" s="44"/>
      <c r="S356" s="44"/>
      <c r="T356" s="44"/>
      <c r="U356" s="44"/>
      <c r="V356" s="44"/>
      <c r="W356" s="44"/>
      <c r="X356" s="44"/>
      <c r="Y356" s="44"/>
      <c r="Z356" s="44"/>
    </row>
    <row r="357">
      <c r="A357" s="44"/>
      <c r="B357" s="45"/>
      <c r="C357" s="44"/>
      <c r="D357" s="44"/>
      <c r="E357" s="44"/>
      <c r="F357" s="44"/>
      <c r="G357" s="46"/>
      <c r="H357" s="44"/>
      <c r="I357" s="44"/>
      <c r="J357" s="44"/>
      <c r="K357" s="44"/>
      <c r="L357" s="46" t="str">
        <f>IFERROR(__xludf.DUMMYFUNCTION("IFERROR(IF(ISBLANK($C357), """", GOOGLEFINANCE($C357, ""price"")), """")"),"")</f>
        <v/>
      </c>
      <c r="M357" s="47" t="str">
        <f t="shared" si="3"/>
        <v/>
      </c>
      <c r="N357" s="47" t="str">
        <f>IFERROR(__xludf.DUMMYFUNCTION("IFERROR(IF(OR(ISBLANK($G357), IFERROR(INDEX(GOOGLEFINANCE($C357, ""price"", WORKDAY(INT($B357), 1)), 2, 2), """")=""""), """", IF($D357=""LONG"", (IFERROR(INDEX(GOOGLEFINANCE($C357, ""price"", WORKDAY(INT($B357), 1)), 2, 2), """")-$G357)/$G357, ($G357-IFE"&amp;"RROR(INDEX(GOOGLEFINANCE($C357, ""price"", WORKDAY(INT($B357), 1)), 2, 2), """"))/$G357)), """")"),"")</f>
        <v/>
      </c>
      <c r="O357" s="47" t="str">
        <f>IFERROR(__xludf.DUMMYFUNCTION("IFERROR(IF(OR(ISBLANK($G357), IFERROR(INDEX(GOOGLEFINANCE($C357, ""price"", WORKDAY(INT($B357), 5)), 2, 2), """")=""""), """", IF($D357=""LONG"", (IFERROR(INDEX(GOOGLEFINANCE($C357, ""price"", WORKDAY(INT($B357), 5)), 2, 2), """")-$G357)/$G357, ($G357-IFE"&amp;"RROR(INDEX(GOOGLEFINANCE($C357, ""price"", WORKDAY(INT($B357), 5)), 2, 2), """"))/$G357)), """")"),"")</f>
        <v/>
      </c>
      <c r="P357" s="47" t="str">
        <f>IFERROR(__xludf.DUMMYFUNCTION("IFERROR(IF(OR(ISBLANK($G357), IFERROR(INDEX(GOOGLEFINANCE($C357, ""price"", WORKDAY(INT($B357), 20)), 2, 2), """")=""""), """", IF($D357=""LONG"", (IFERROR(INDEX(GOOGLEFINANCE($C357, ""price"", WORKDAY(INT($B357), 20)), 2, 2), """")-$G357)/$G357, ($G357-I"&amp;"FERROR(INDEX(GOOGLEFINANCE($C357, ""price"", WORKDAY(INT($B357), 20)), 2, 2), """"))/$G357)), """")"),"")</f>
        <v/>
      </c>
      <c r="Q357" s="44"/>
      <c r="R357" s="44"/>
      <c r="S357" s="44"/>
      <c r="T357" s="44"/>
      <c r="U357" s="44"/>
      <c r="V357" s="44"/>
      <c r="W357" s="44"/>
      <c r="X357" s="44"/>
      <c r="Y357" s="44"/>
      <c r="Z357" s="44"/>
    </row>
    <row r="358">
      <c r="A358" s="44"/>
      <c r="B358" s="45"/>
      <c r="C358" s="44"/>
      <c r="D358" s="44"/>
      <c r="E358" s="44"/>
      <c r="F358" s="44"/>
      <c r="G358" s="46"/>
      <c r="H358" s="44"/>
      <c r="I358" s="44"/>
      <c r="J358" s="44"/>
      <c r="K358" s="44"/>
      <c r="L358" s="46" t="str">
        <f>IFERROR(__xludf.DUMMYFUNCTION("IFERROR(IF(ISBLANK($C358), """", GOOGLEFINANCE($C358, ""price"")), """")"),"")</f>
        <v/>
      </c>
      <c r="M358" s="47" t="str">
        <f t="shared" si="3"/>
        <v/>
      </c>
      <c r="N358" s="47" t="str">
        <f>IFERROR(__xludf.DUMMYFUNCTION("IFERROR(IF(OR(ISBLANK($G358), IFERROR(INDEX(GOOGLEFINANCE($C358, ""price"", WORKDAY(INT($B358), 1)), 2, 2), """")=""""), """", IF($D358=""LONG"", (IFERROR(INDEX(GOOGLEFINANCE($C358, ""price"", WORKDAY(INT($B358), 1)), 2, 2), """")-$G358)/$G358, ($G358-IFE"&amp;"RROR(INDEX(GOOGLEFINANCE($C358, ""price"", WORKDAY(INT($B358), 1)), 2, 2), """"))/$G358)), """")"),"")</f>
        <v/>
      </c>
      <c r="O358" s="47" t="str">
        <f>IFERROR(__xludf.DUMMYFUNCTION("IFERROR(IF(OR(ISBLANK($G358), IFERROR(INDEX(GOOGLEFINANCE($C358, ""price"", WORKDAY(INT($B358), 5)), 2, 2), """")=""""), """", IF($D358=""LONG"", (IFERROR(INDEX(GOOGLEFINANCE($C358, ""price"", WORKDAY(INT($B358), 5)), 2, 2), """")-$G358)/$G358, ($G358-IFE"&amp;"RROR(INDEX(GOOGLEFINANCE($C358, ""price"", WORKDAY(INT($B358), 5)), 2, 2), """"))/$G358)), """")"),"")</f>
        <v/>
      </c>
      <c r="P358" s="47" t="str">
        <f>IFERROR(__xludf.DUMMYFUNCTION("IFERROR(IF(OR(ISBLANK($G358), IFERROR(INDEX(GOOGLEFINANCE($C358, ""price"", WORKDAY(INT($B358), 20)), 2, 2), """")=""""), """", IF($D358=""LONG"", (IFERROR(INDEX(GOOGLEFINANCE($C358, ""price"", WORKDAY(INT($B358), 20)), 2, 2), """")-$G358)/$G358, ($G358-I"&amp;"FERROR(INDEX(GOOGLEFINANCE($C358, ""price"", WORKDAY(INT($B358), 20)), 2, 2), """"))/$G358)), """")"),"")</f>
        <v/>
      </c>
      <c r="Q358" s="44"/>
      <c r="R358" s="44"/>
      <c r="S358" s="44"/>
      <c r="T358" s="44"/>
      <c r="U358" s="44"/>
      <c r="V358" s="44"/>
      <c r="W358" s="44"/>
      <c r="X358" s="44"/>
      <c r="Y358" s="44"/>
      <c r="Z358" s="44"/>
    </row>
    <row r="359">
      <c r="A359" s="44"/>
      <c r="B359" s="45"/>
      <c r="C359" s="44"/>
      <c r="D359" s="44"/>
      <c r="E359" s="44"/>
      <c r="F359" s="44"/>
      <c r="G359" s="46"/>
      <c r="H359" s="44"/>
      <c r="I359" s="44"/>
      <c r="J359" s="44"/>
      <c r="K359" s="44"/>
      <c r="L359" s="46" t="str">
        <f>IFERROR(__xludf.DUMMYFUNCTION("IFERROR(IF(ISBLANK($C359), """", GOOGLEFINANCE($C359, ""price"")), """")"),"")</f>
        <v/>
      </c>
      <c r="M359" s="47" t="str">
        <f t="shared" si="3"/>
        <v/>
      </c>
      <c r="N359" s="47" t="str">
        <f>IFERROR(__xludf.DUMMYFUNCTION("IFERROR(IF(OR(ISBLANK($G359), IFERROR(INDEX(GOOGLEFINANCE($C359, ""price"", WORKDAY(INT($B359), 1)), 2, 2), """")=""""), """", IF($D359=""LONG"", (IFERROR(INDEX(GOOGLEFINANCE($C359, ""price"", WORKDAY(INT($B359), 1)), 2, 2), """")-$G359)/$G359, ($G359-IFE"&amp;"RROR(INDEX(GOOGLEFINANCE($C359, ""price"", WORKDAY(INT($B359), 1)), 2, 2), """"))/$G359)), """")"),"")</f>
        <v/>
      </c>
      <c r="O359" s="47" t="str">
        <f>IFERROR(__xludf.DUMMYFUNCTION("IFERROR(IF(OR(ISBLANK($G359), IFERROR(INDEX(GOOGLEFINANCE($C359, ""price"", WORKDAY(INT($B359), 5)), 2, 2), """")=""""), """", IF($D359=""LONG"", (IFERROR(INDEX(GOOGLEFINANCE($C359, ""price"", WORKDAY(INT($B359), 5)), 2, 2), """")-$G359)/$G359, ($G359-IFE"&amp;"RROR(INDEX(GOOGLEFINANCE($C359, ""price"", WORKDAY(INT($B359), 5)), 2, 2), """"))/$G359)), """")"),"")</f>
        <v/>
      </c>
      <c r="P359" s="47" t="str">
        <f>IFERROR(__xludf.DUMMYFUNCTION("IFERROR(IF(OR(ISBLANK($G359), IFERROR(INDEX(GOOGLEFINANCE($C359, ""price"", WORKDAY(INT($B359), 20)), 2, 2), """")=""""), """", IF($D359=""LONG"", (IFERROR(INDEX(GOOGLEFINANCE($C359, ""price"", WORKDAY(INT($B359), 20)), 2, 2), """")-$G359)/$G359, ($G359-I"&amp;"FERROR(INDEX(GOOGLEFINANCE($C359, ""price"", WORKDAY(INT($B359), 20)), 2, 2), """"))/$G359)), """")"),"")</f>
        <v/>
      </c>
      <c r="Q359" s="44"/>
      <c r="R359" s="44"/>
      <c r="S359" s="44"/>
      <c r="T359" s="44"/>
      <c r="U359" s="44"/>
      <c r="V359" s="44"/>
      <c r="W359" s="44"/>
      <c r="X359" s="44"/>
      <c r="Y359" s="44"/>
      <c r="Z359" s="44"/>
    </row>
    <row r="360">
      <c r="A360" s="44"/>
      <c r="B360" s="45"/>
      <c r="C360" s="44"/>
      <c r="D360" s="44"/>
      <c r="E360" s="44"/>
      <c r="F360" s="44"/>
      <c r="G360" s="46"/>
      <c r="H360" s="44"/>
      <c r="I360" s="44"/>
      <c r="J360" s="44"/>
      <c r="K360" s="44"/>
      <c r="L360" s="46" t="str">
        <f>IFERROR(__xludf.DUMMYFUNCTION("IFERROR(IF(ISBLANK($C360), """", GOOGLEFINANCE($C360, ""price"")), """")"),"")</f>
        <v/>
      </c>
      <c r="M360" s="47" t="str">
        <f t="shared" si="3"/>
        <v/>
      </c>
      <c r="N360" s="47" t="str">
        <f>IFERROR(__xludf.DUMMYFUNCTION("IFERROR(IF(OR(ISBLANK($G360), IFERROR(INDEX(GOOGLEFINANCE($C360, ""price"", WORKDAY(INT($B360), 1)), 2, 2), """")=""""), """", IF($D360=""LONG"", (IFERROR(INDEX(GOOGLEFINANCE($C360, ""price"", WORKDAY(INT($B360), 1)), 2, 2), """")-$G360)/$G360, ($G360-IFE"&amp;"RROR(INDEX(GOOGLEFINANCE($C360, ""price"", WORKDAY(INT($B360), 1)), 2, 2), """"))/$G360)), """")"),"")</f>
        <v/>
      </c>
      <c r="O360" s="47" t="str">
        <f>IFERROR(__xludf.DUMMYFUNCTION("IFERROR(IF(OR(ISBLANK($G360), IFERROR(INDEX(GOOGLEFINANCE($C360, ""price"", WORKDAY(INT($B360), 5)), 2, 2), """")=""""), """", IF($D360=""LONG"", (IFERROR(INDEX(GOOGLEFINANCE($C360, ""price"", WORKDAY(INT($B360), 5)), 2, 2), """")-$G360)/$G360, ($G360-IFE"&amp;"RROR(INDEX(GOOGLEFINANCE($C360, ""price"", WORKDAY(INT($B360), 5)), 2, 2), """"))/$G360)), """")"),"")</f>
        <v/>
      </c>
      <c r="P360" s="47" t="str">
        <f>IFERROR(__xludf.DUMMYFUNCTION("IFERROR(IF(OR(ISBLANK($G360), IFERROR(INDEX(GOOGLEFINANCE($C360, ""price"", WORKDAY(INT($B360), 20)), 2, 2), """")=""""), """", IF($D360=""LONG"", (IFERROR(INDEX(GOOGLEFINANCE($C360, ""price"", WORKDAY(INT($B360), 20)), 2, 2), """")-$G360)/$G360, ($G360-I"&amp;"FERROR(INDEX(GOOGLEFINANCE($C360, ""price"", WORKDAY(INT($B360), 20)), 2, 2), """"))/$G360)), """")"),"")</f>
        <v/>
      </c>
      <c r="Q360" s="44"/>
      <c r="R360" s="44"/>
      <c r="S360" s="44"/>
      <c r="T360" s="44"/>
      <c r="U360" s="44"/>
      <c r="V360" s="44"/>
      <c r="W360" s="44"/>
      <c r="X360" s="44"/>
      <c r="Y360" s="44"/>
      <c r="Z360" s="44"/>
    </row>
    <row r="361">
      <c r="A361" s="44"/>
      <c r="B361" s="45"/>
      <c r="C361" s="44"/>
      <c r="D361" s="44"/>
      <c r="E361" s="44"/>
      <c r="F361" s="44"/>
      <c r="G361" s="46"/>
      <c r="H361" s="44"/>
      <c r="I361" s="44"/>
      <c r="J361" s="44"/>
      <c r="K361" s="44"/>
      <c r="L361" s="46" t="str">
        <f>IFERROR(__xludf.DUMMYFUNCTION("IFERROR(IF(ISBLANK($C361), """", GOOGLEFINANCE($C361, ""price"")), """")"),"")</f>
        <v/>
      </c>
      <c r="M361" s="47" t="str">
        <f t="shared" si="3"/>
        <v/>
      </c>
      <c r="N361" s="47" t="str">
        <f>IFERROR(__xludf.DUMMYFUNCTION("IFERROR(IF(OR(ISBLANK($G361), IFERROR(INDEX(GOOGLEFINANCE($C361, ""price"", WORKDAY(INT($B361), 1)), 2, 2), """")=""""), """", IF($D361=""LONG"", (IFERROR(INDEX(GOOGLEFINANCE($C361, ""price"", WORKDAY(INT($B361), 1)), 2, 2), """")-$G361)/$G361, ($G361-IFE"&amp;"RROR(INDEX(GOOGLEFINANCE($C361, ""price"", WORKDAY(INT($B361), 1)), 2, 2), """"))/$G361)), """")"),"")</f>
        <v/>
      </c>
      <c r="O361" s="47" t="str">
        <f>IFERROR(__xludf.DUMMYFUNCTION("IFERROR(IF(OR(ISBLANK($G361), IFERROR(INDEX(GOOGLEFINANCE($C361, ""price"", WORKDAY(INT($B361), 5)), 2, 2), """")=""""), """", IF($D361=""LONG"", (IFERROR(INDEX(GOOGLEFINANCE($C361, ""price"", WORKDAY(INT($B361), 5)), 2, 2), """")-$G361)/$G361, ($G361-IFE"&amp;"RROR(INDEX(GOOGLEFINANCE($C361, ""price"", WORKDAY(INT($B361), 5)), 2, 2), """"))/$G361)), """")"),"")</f>
        <v/>
      </c>
      <c r="P361" s="47" t="str">
        <f>IFERROR(__xludf.DUMMYFUNCTION("IFERROR(IF(OR(ISBLANK($G361), IFERROR(INDEX(GOOGLEFINANCE($C361, ""price"", WORKDAY(INT($B361), 20)), 2, 2), """")=""""), """", IF($D361=""LONG"", (IFERROR(INDEX(GOOGLEFINANCE($C361, ""price"", WORKDAY(INT($B361), 20)), 2, 2), """")-$G361)/$G361, ($G361-I"&amp;"FERROR(INDEX(GOOGLEFINANCE($C361, ""price"", WORKDAY(INT($B361), 20)), 2, 2), """"))/$G361)), """")"),"")</f>
        <v/>
      </c>
      <c r="Q361" s="44"/>
      <c r="R361" s="44"/>
      <c r="S361" s="44"/>
      <c r="T361" s="44"/>
      <c r="U361" s="44"/>
      <c r="V361" s="44"/>
      <c r="W361" s="44"/>
      <c r="X361" s="44"/>
      <c r="Y361" s="44"/>
      <c r="Z361" s="44"/>
    </row>
    <row r="362">
      <c r="A362" s="44"/>
      <c r="B362" s="45"/>
      <c r="C362" s="44"/>
      <c r="D362" s="44"/>
      <c r="E362" s="44"/>
      <c r="F362" s="44"/>
      <c r="G362" s="46"/>
      <c r="H362" s="44"/>
      <c r="I362" s="44"/>
      <c r="J362" s="44"/>
      <c r="K362" s="44"/>
      <c r="L362" s="46" t="str">
        <f>IFERROR(__xludf.DUMMYFUNCTION("IFERROR(IF(ISBLANK($C362), """", GOOGLEFINANCE($C362, ""price"")), """")"),"")</f>
        <v/>
      </c>
      <c r="M362" s="47" t="str">
        <f t="shared" si="3"/>
        <v/>
      </c>
      <c r="N362" s="47" t="str">
        <f>IFERROR(__xludf.DUMMYFUNCTION("IFERROR(IF(OR(ISBLANK($G362), IFERROR(INDEX(GOOGLEFINANCE($C362, ""price"", WORKDAY(INT($B362), 1)), 2, 2), """")=""""), """", IF($D362=""LONG"", (IFERROR(INDEX(GOOGLEFINANCE($C362, ""price"", WORKDAY(INT($B362), 1)), 2, 2), """")-$G362)/$G362, ($G362-IFE"&amp;"RROR(INDEX(GOOGLEFINANCE($C362, ""price"", WORKDAY(INT($B362), 1)), 2, 2), """"))/$G362)), """")"),"")</f>
        <v/>
      </c>
      <c r="O362" s="47" t="str">
        <f>IFERROR(__xludf.DUMMYFUNCTION("IFERROR(IF(OR(ISBLANK($G362), IFERROR(INDEX(GOOGLEFINANCE($C362, ""price"", WORKDAY(INT($B362), 5)), 2, 2), """")=""""), """", IF($D362=""LONG"", (IFERROR(INDEX(GOOGLEFINANCE($C362, ""price"", WORKDAY(INT($B362), 5)), 2, 2), """")-$G362)/$G362, ($G362-IFE"&amp;"RROR(INDEX(GOOGLEFINANCE($C362, ""price"", WORKDAY(INT($B362), 5)), 2, 2), """"))/$G362)), """")"),"")</f>
        <v/>
      </c>
      <c r="P362" s="47" t="str">
        <f>IFERROR(__xludf.DUMMYFUNCTION("IFERROR(IF(OR(ISBLANK($G362), IFERROR(INDEX(GOOGLEFINANCE($C362, ""price"", WORKDAY(INT($B362), 20)), 2, 2), """")=""""), """", IF($D362=""LONG"", (IFERROR(INDEX(GOOGLEFINANCE($C362, ""price"", WORKDAY(INT($B362), 20)), 2, 2), """")-$G362)/$G362, ($G362-I"&amp;"FERROR(INDEX(GOOGLEFINANCE($C362, ""price"", WORKDAY(INT($B362), 20)), 2, 2), """"))/$G362)), """")"),"")</f>
        <v/>
      </c>
      <c r="Q362" s="44"/>
      <c r="R362" s="44"/>
      <c r="S362" s="44"/>
      <c r="T362" s="44"/>
      <c r="U362" s="44"/>
      <c r="V362" s="44"/>
      <c r="W362" s="44"/>
      <c r="X362" s="44"/>
      <c r="Y362" s="44"/>
      <c r="Z362" s="44"/>
    </row>
    <row r="363">
      <c r="A363" s="44"/>
      <c r="B363" s="45"/>
      <c r="C363" s="44"/>
      <c r="D363" s="44"/>
      <c r="E363" s="44"/>
      <c r="F363" s="44"/>
      <c r="G363" s="46"/>
      <c r="H363" s="44"/>
      <c r="I363" s="44"/>
      <c r="J363" s="44"/>
      <c r="K363" s="44"/>
      <c r="L363" s="46" t="str">
        <f>IFERROR(__xludf.DUMMYFUNCTION("IFERROR(IF(ISBLANK($C363), """", GOOGLEFINANCE($C363, ""price"")), """")"),"")</f>
        <v/>
      </c>
      <c r="M363" s="47" t="str">
        <f t="shared" si="3"/>
        <v/>
      </c>
      <c r="N363" s="47" t="str">
        <f>IFERROR(__xludf.DUMMYFUNCTION("IFERROR(IF(OR(ISBLANK($G363), IFERROR(INDEX(GOOGLEFINANCE($C363, ""price"", WORKDAY(INT($B363), 1)), 2, 2), """")=""""), """", IF($D363=""LONG"", (IFERROR(INDEX(GOOGLEFINANCE($C363, ""price"", WORKDAY(INT($B363), 1)), 2, 2), """")-$G363)/$G363, ($G363-IFE"&amp;"RROR(INDEX(GOOGLEFINANCE($C363, ""price"", WORKDAY(INT($B363), 1)), 2, 2), """"))/$G363)), """")"),"")</f>
        <v/>
      </c>
      <c r="O363" s="47" t="str">
        <f>IFERROR(__xludf.DUMMYFUNCTION("IFERROR(IF(OR(ISBLANK($G363), IFERROR(INDEX(GOOGLEFINANCE($C363, ""price"", WORKDAY(INT($B363), 5)), 2, 2), """")=""""), """", IF($D363=""LONG"", (IFERROR(INDEX(GOOGLEFINANCE($C363, ""price"", WORKDAY(INT($B363), 5)), 2, 2), """")-$G363)/$G363, ($G363-IFE"&amp;"RROR(INDEX(GOOGLEFINANCE($C363, ""price"", WORKDAY(INT($B363), 5)), 2, 2), """"))/$G363)), """")"),"")</f>
        <v/>
      </c>
      <c r="P363" s="47" t="str">
        <f>IFERROR(__xludf.DUMMYFUNCTION("IFERROR(IF(OR(ISBLANK($G363), IFERROR(INDEX(GOOGLEFINANCE($C363, ""price"", WORKDAY(INT($B363), 20)), 2, 2), """")=""""), """", IF($D363=""LONG"", (IFERROR(INDEX(GOOGLEFINANCE($C363, ""price"", WORKDAY(INT($B363), 20)), 2, 2), """")-$G363)/$G363, ($G363-I"&amp;"FERROR(INDEX(GOOGLEFINANCE($C363, ""price"", WORKDAY(INT($B363), 20)), 2, 2), """"))/$G363)), """")"),"")</f>
        <v/>
      </c>
      <c r="Q363" s="44"/>
      <c r="R363" s="44"/>
      <c r="S363" s="44"/>
      <c r="T363" s="44"/>
      <c r="U363" s="44"/>
      <c r="V363" s="44"/>
      <c r="W363" s="44"/>
      <c r="X363" s="44"/>
      <c r="Y363" s="44"/>
      <c r="Z363" s="44"/>
    </row>
    <row r="364">
      <c r="A364" s="44"/>
      <c r="B364" s="45"/>
      <c r="C364" s="44"/>
      <c r="D364" s="44"/>
      <c r="E364" s="44"/>
      <c r="F364" s="44"/>
      <c r="G364" s="46"/>
      <c r="H364" s="44"/>
      <c r="I364" s="44"/>
      <c r="J364" s="44"/>
      <c r="K364" s="44"/>
      <c r="L364" s="46" t="str">
        <f>IFERROR(__xludf.DUMMYFUNCTION("IFERROR(IF(ISBLANK($C364), """", GOOGLEFINANCE($C364, ""price"")), """")"),"")</f>
        <v/>
      </c>
      <c r="M364" s="47" t="str">
        <f t="shared" si="3"/>
        <v/>
      </c>
      <c r="N364" s="47" t="str">
        <f>IFERROR(__xludf.DUMMYFUNCTION("IFERROR(IF(OR(ISBLANK($G364), IFERROR(INDEX(GOOGLEFINANCE($C364, ""price"", WORKDAY(INT($B364), 1)), 2, 2), """")=""""), """", IF($D364=""LONG"", (IFERROR(INDEX(GOOGLEFINANCE($C364, ""price"", WORKDAY(INT($B364), 1)), 2, 2), """")-$G364)/$G364, ($G364-IFE"&amp;"RROR(INDEX(GOOGLEFINANCE($C364, ""price"", WORKDAY(INT($B364), 1)), 2, 2), """"))/$G364)), """")"),"")</f>
        <v/>
      </c>
      <c r="O364" s="47" t="str">
        <f>IFERROR(__xludf.DUMMYFUNCTION("IFERROR(IF(OR(ISBLANK($G364), IFERROR(INDEX(GOOGLEFINANCE($C364, ""price"", WORKDAY(INT($B364), 5)), 2, 2), """")=""""), """", IF($D364=""LONG"", (IFERROR(INDEX(GOOGLEFINANCE($C364, ""price"", WORKDAY(INT($B364), 5)), 2, 2), """")-$G364)/$G364, ($G364-IFE"&amp;"RROR(INDEX(GOOGLEFINANCE($C364, ""price"", WORKDAY(INT($B364), 5)), 2, 2), """"))/$G364)), """")"),"")</f>
        <v/>
      </c>
      <c r="P364" s="47" t="str">
        <f>IFERROR(__xludf.DUMMYFUNCTION("IFERROR(IF(OR(ISBLANK($G364), IFERROR(INDEX(GOOGLEFINANCE($C364, ""price"", WORKDAY(INT($B364), 20)), 2, 2), """")=""""), """", IF($D364=""LONG"", (IFERROR(INDEX(GOOGLEFINANCE($C364, ""price"", WORKDAY(INT($B364), 20)), 2, 2), """")-$G364)/$G364, ($G364-I"&amp;"FERROR(INDEX(GOOGLEFINANCE($C364, ""price"", WORKDAY(INT($B364), 20)), 2, 2), """"))/$G364)), """")"),"")</f>
        <v/>
      </c>
      <c r="Q364" s="44"/>
      <c r="R364" s="44"/>
      <c r="S364" s="44"/>
      <c r="T364" s="44"/>
      <c r="U364" s="44"/>
      <c r="V364" s="44"/>
      <c r="W364" s="44"/>
      <c r="X364" s="44"/>
      <c r="Y364" s="44"/>
      <c r="Z364" s="44"/>
    </row>
    <row r="365">
      <c r="A365" s="44"/>
      <c r="B365" s="45"/>
      <c r="C365" s="44"/>
      <c r="D365" s="44"/>
      <c r="E365" s="44"/>
      <c r="F365" s="44"/>
      <c r="G365" s="46"/>
      <c r="H365" s="44"/>
      <c r="I365" s="44"/>
      <c r="J365" s="44"/>
      <c r="K365" s="44"/>
      <c r="L365" s="46" t="str">
        <f>IFERROR(__xludf.DUMMYFUNCTION("IFERROR(IF(ISBLANK($C365), """", GOOGLEFINANCE($C365, ""price"")), """")"),"")</f>
        <v/>
      </c>
      <c r="M365" s="47" t="str">
        <f t="shared" si="3"/>
        <v/>
      </c>
      <c r="N365" s="47" t="str">
        <f>IFERROR(__xludf.DUMMYFUNCTION("IFERROR(IF(OR(ISBLANK($G365), IFERROR(INDEX(GOOGLEFINANCE($C365, ""price"", WORKDAY(INT($B365), 1)), 2, 2), """")=""""), """", IF($D365=""LONG"", (IFERROR(INDEX(GOOGLEFINANCE($C365, ""price"", WORKDAY(INT($B365), 1)), 2, 2), """")-$G365)/$G365, ($G365-IFE"&amp;"RROR(INDEX(GOOGLEFINANCE($C365, ""price"", WORKDAY(INT($B365), 1)), 2, 2), """"))/$G365)), """")"),"")</f>
        <v/>
      </c>
      <c r="O365" s="47" t="str">
        <f>IFERROR(__xludf.DUMMYFUNCTION("IFERROR(IF(OR(ISBLANK($G365), IFERROR(INDEX(GOOGLEFINANCE($C365, ""price"", WORKDAY(INT($B365), 5)), 2, 2), """")=""""), """", IF($D365=""LONG"", (IFERROR(INDEX(GOOGLEFINANCE($C365, ""price"", WORKDAY(INT($B365), 5)), 2, 2), """")-$G365)/$G365, ($G365-IFE"&amp;"RROR(INDEX(GOOGLEFINANCE($C365, ""price"", WORKDAY(INT($B365), 5)), 2, 2), """"))/$G365)), """")"),"")</f>
        <v/>
      </c>
      <c r="P365" s="47" t="str">
        <f>IFERROR(__xludf.DUMMYFUNCTION("IFERROR(IF(OR(ISBLANK($G365), IFERROR(INDEX(GOOGLEFINANCE($C365, ""price"", WORKDAY(INT($B365), 20)), 2, 2), """")=""""), """", IF($D365=""LONG"", (IFERROR(INDEX(GOOGLEFINANCE($C365, ""price"", WORKDAY(INT($B365), 20)), 2, 2), """")-$G365)/$G365, ($G365-I"&amp;"FERROR(INDEX(GOOGLEFINANCE($C365, ""price"", WORKDAY(INT($B365), 20)), 2, 2), """"))/$G365)), """")"),"")</f>
        <v/>
      </c>
      <c r="Q365" s="44"/>
      <c r="R365" s="44"/>
      <c r="S365" s="44"/>
      <c r="T365" s="44"/>
      <c r="U365" s="44"/>
      <c r="V365" s="44"/>
      <c r="W365" s="44"/>
      <c r="X365" s="44"/>
      <c r="Y365" s="44"/>
      <c r="Z365" s="44"/>
    </row>
    <row r="366">
      <c r="A366" s="44"/>
      <c r="B366" s="45"/>
      <c r="C366" s="44"/>
      <c r="D366" s="44"/>
      <c r="E366" s="44"/>
      <c r="F366" s="44"/>
      <c r="G366" s="46"/>
      <c r="H366" s="44"/>
      <c r="I366" s="44"/>
      <c r="J366" s="44"/>
      <c r="K366" s="44"/>
      <c r="L366" s="46" t="str">
        <f>IFERROR(__xludf.DUMMYFUNCTION("IFERROR(IF(ISBLANK($C366), """", GOOGLEFINANCE($C366, ""price"")), """")"),"")</f>
        <v/>
      </c>
      <c r="M366" s="47" t="str">
        <f t="shared" si="3"/>
        <v/>
      </c>
      <c r="N366" s="47" t="str">
        <f>IFERROR(__xludf.DUMMYFUNCTION("IFERROR(IF(OR(ISBLANK($G366), IFERROR(INDEX(GOOGLEFINANCE($C366, ""price"", WORKDAY(INT($B366), 1)), 2, 2), """")=""""), """", IF($D366=""LONG"", (IFERROR(INDEX(GOOGLEFINANCE($C366, ""price"", WORKDAY(INT($B366), 1)), 2, 2), """")-$G366)/$G366, ($G366-IFE"&amp;"RROR(INDEX(GOOGLEFINANCE($C366, ""price"", WORKDAY(INT($B366), 1)), 2, 2), """"))/$G366)), """")"),"")</f>
        <v/>
      </c>
      <c r="O366" s="47" t="str">
        <f>IFERROR(__xludf.DUMMYFUNCTION("IFERROR(IF(OR(ISBLANK($G366), IFERROR(INDEX(GOOGLEFINANCE($C366, ""price"", WORKDAY(INT($B366), 5)), 2, 2), """")=""""), """", IF($D366=""LONG"", (IFERROR(INDEX(GOOGLEFINANCE($C366, ""price"", WORKDAY(INT($B366), 5)), 2, 2), """")-$G366)/$G366, ($G366-IFE"&amp;"RROR(INDEX(GOOGLEFINANCE($C366, ""price"", WORKDAY(INT($B366), 5)), 2, 2), """"))/$G366)), """")"),"")</f>
        <v/>
      </c>
      <c r="P366" s="47" t="str">
        <f>IFERROR(__xludf.DUMMYFUNCTION("IFERROR(IF(OR(ISBLANK($G366), IFERROR(INDEX(GOOGLEFINANCE($C366, ""price"", WORKDAY(INT($B366), 20)), 2, 2), """")=""""), """", IF($D366=""LONG"", (IFERROR(INDEX(GOOGLEFINANCE($C366, ""price"", WORKDAY(INT($B366), 20)), 2, 2), """")-$G366)/$G366, ($G366-I"&amp;"FERROR(INDEX(GOOGLEFINANCE($C366, ""price"", WORKDAY(INT($B366), 20)), 2, 2), """"))/$G366)), """")"),"")</f>
        <v/>
      </c>
      <c r="Q366" s="44"/>
      <c r="R366" s="44"/>
      <c r="S366" s="44"/>
      <c r="T366" s="44"/>
      <c r="U366" s="44"/>
      <c r="V366" s="44"/>
      <c r="W366" s="44"/>
      <c r="X366" s="44"/>
      <c r="Y366" s="44"/>
      <c r="Z366" s="44"/>
    </row>
    <row r="367">
      <c r="A367" s="44"/>
      <c r="B367" s="45"/>
      <c r="C367" s="44"/>
      <c r="D367" s="44"/>
      <c r="E367" s="44"/>
      <c r="F367" s="44"/>
      <c r="G367" s="46"/>
      <c r="H367" s="44"/>
      <c r="I367" s="44"/>
      <c r="J367" s="44"/>
      <c r="K367" s="44"/>
      <c r="L367" s="46" t="str">
        <f>IFERROR(__xludf.DUMMYFUNCTION("IFERROR(IF(ISBLANK($C367), """", GOOGLEFINANCE($C367, ""price"")), """")"),"")</f>
        <v/>
      </c>
      <c r="M367" s="47" t="str">
        <f t="shared" si="3"/>
        <v/>
      </c>
      <c r="N367" s="47" t="str">
        <f>IFERROR(__xludf.DUMMYFUNCTION("IFERROR(IF(OR(ISBLANK($G367), IFERROR(INDEX(GOOGLEFINANCE($C367, ""price"", WORKDAY(INT($B367), 1)), 2, 2), """")=""""), """", IF($D367=""LONG"", (IFERROR(INDEX(GOOGLEFINANCE($C367, ""price"", WORKDAY(INT($B367), 1)), 2, 2), """")-$G367)/$G367, ($G367-IFE"&amp;"RROR(INDEX(GOOGLEFINANCE($C367, ""price"", WORKDAY(INT($B367), 1)), 2, 2), """"))/$G367)), """")"),"")</f>
        <v/>
      </c>
      <c r="O367" s="47" t="str">
        <f>IFERROR(__xludf.DUMMYFUNCTION("IFERROR(IF(OR(ISBLANK($G367), IFERROR(INDEX(GOOGLEFINANCE($C367, ""price"", WORKDAY(INT($B367), 5)), 2, 2), """")=""""), """", IF($D367=""LONG"", (IFERROR(INDEX(GOOGLEFINANCE($C367, ""price"", WORKDAY(INT($B367), 5)), 2, 2), """")-$G367)/$G367, ($G367-IFE"&amp;"RROR(INDEX(GOOGLEFINANCE($C367, ""price"", WORKDAY(INT($B367), 5)), 2, 2), """"))/$G367)), """")"),"")</f>
        <v/>
      </c>
      <c r="P367" s="47" t="str">
        <f>IFERROR(__xludf.DUMMYFUNCTION("IFERROR(IF(OR(ISBLANK($G367), IFERROR(INDEX(GOOGLEFINANCE($C367, ""price"", WORKDAY(INT($B367), 20)), 2, 2), """")=""""), """", IF($D367=""LONG"", (IFERROR(INDEX(GOOGLEFINANCE($C367, ""price"", WORKDAY(INT($B367), 20)), 2, 2), """")-$G367)/$G367, ($G367-I"&amp;"FERROR(INDEX(GOOGLEFINANCE($C367, ""price"", WORKDAY(INT($B367), 20)), 2, 2), """"))/$G367)), """")"),"")</f>
        <v/>
      </c>
      <c r="Q367" s="44"/>
      <c r="R367" s="44"/>
      <c r="S367" s="44"/>
      <c r="T367" s="44"/>
      <c r="U367" s="44"/>
      <c r="V367" s="44"/>
      <c r="W367" s="44"/>
      <c r="X367" s="44"/>
      <c r="Y367" s="44"/>
      <c r="Z367" s="44"/>
    </row>
    <row r="368">
      <c r="A368" s="44"/>
      <c r="B368" s="45"/>
      <c r="C368" s="44"/>
      <c r="D368" s="44"/>
      <c r="E368" s="44"/>
      <c r="F368" s="44"/>
      <c r="G368" s="46"/>
      <c r="H368" s="44"/>
      <c r="I368" s="44"/>
      <c r="J368" s="44"/>
      <c r="K368" s="44"/>
      <c r="L368" s="46" t="str">
        <f>IFERROR(__xludf.DUMMYFUNCTION("IFERROR(IF(ISBLANK($C368), """", GOOGLEFINANCE($C368, ""price"")), """")"),"")</f>
        <v/>
      </c>
      <c r="M368" s="47" t="str">
        <f t="shared" si="3"/>
        <v/>
      </c>
      <c r="N368" s="47" t="str">
        <f>IFERROR(__xludf.DUMMYFUNCTION("IFERROR(IF(OR(ISBLANK($G368), IFERROR(INDEX(GOOGLEFINANCE($C368, ""price"", WORKDAY(INT($B368), 1)), 2, 2), """")=""""), """", IF($D368=""LONG"", (IFERROR(INDEX(GOOGLEFINANCE($C368, ""price"", WORKDAY(INT($B368), 1)), 2, 2), """")-$G368)/$G368, ($G368-IFE"&amp;"RROR(INDEX(GOOGLEFINANCE($C368, ""price"", WORKDAY(INT($B368), 1)), 2, 2), """"))/$G368)), """")"),"")</f>
        <v/>
      </c>
      <c r="O368" s="47" t="str">
        <f>IFERROR(__xludf.DUMMYFUNCTION("IFERROR(IF(OR(ISBLANK($G368), IFERROR(INDEX(GOOGLEFINANCE($C368, ""price"", WORKDAY(INT($B368), 5)), 2, 2), """")=""""), """", IF($D368=""LONG"", (IFERROR(INDEX(GOOGLEFINANCE($C368, ""price"", WORKDAY(INT($B368), 5)), 2, 2), """")-$G368)/$G368, ($G368-IFE"&amp;"RROR(INDEX(GOOGLEFINANCE($C368, ""price"", WORKDAY(INT($B368), 5)), 2, 2), """"))/$G368)), """")"),"")</f>
        <v/>
      </c>
      <c r="P368" s="47" t="str">
        <f>IFERROR(__xludf.DUMMYFUNCTION("IFERROR(IF(OR(ISBLANK($G368), IFERROR(INDEX(GOOGLEFINANCE($C368, ""price"", WORKDAY(INT($B368), 20)), 2, 2), """")=""""), """", IF($D368=""LONG"", (IFERROR(INDEX(GOOGLEFINANCE($C368, ""price"", WORKDAY(INT($B368), 20)), 2, 2), """")-$G368)/$G368, ($G368-I"&amp;"FERROR(INDEX(GOOGLEFINANCE($C368, ""price"", WORKDAY(INT($B368), 20)), 2, 2), """"))/$G368)), """")"),"")</f>
        <v/>
      </c>
      <c r="Q368" s="44"/>
      <c r="R368" s="44"/>
      <c r="S368" s="44"/>
      <c r="T368" s="44"/>
      <c r="U368" s="44"/>
      <c r="V368" s="44"/>
      <c r="W368" s="44"/>
      <c r="X368" s="44"/>
      <c r="Y368" s="44"/>
      <c r="Z368" s="44"/>
    </row>
    <row r="369">
      <c r="A369" s="44"/>
      <c r="B369" s="45"/>
      <c r="C369" s="44"/>
      <c r="D369" s="44"/>
      <c r="E369" s="44"/>
      <c r="F369" s="44"/>
      <c r="G369" s="46"/>
      <c r="H369" s="44"/>
      <c r="I369" s="44"/>
      <c r="J369" s="44"/>
      <c r="K369" s="44"/>
      <c r="L369" s="46" t="str">
        <f>IFERROR(__xludf.DUMMYFUNCTION("IFERROR(IF(ISBLANK($C369), """", GOOGLEFINANCE($C369, ""price"")), """")"),"")</f>
        <v/>
      </c>
      <c r="M369" s="47" t="str">
        <f t="shared" si="3"/>
        <v/>
      </c>
      <c r="N369" s="47" t="str">
        <f>IFERROR(__xludf.DUMMYFUNCTION("IFERROR(IF(OR(ISBLANK($G369), IFERROR(INDEX(GOOGLEFINANCE($C369, ""price"", WORKDAY(INT($B369), 1)), 2, 2), """")=""""), """", IF($D369=""LONG"", (IFERROR(INDEX(GOOGLEFINANCE($C369, ""price"", WORKDAY(INT($B369), 1)), 2, 2), """")-$G369)/$G369, ($G369-IFE"&amp;"RROR(INDEX(GOOGLEFINANCE($C369, ""price"", WORKDAY(INT($B369), 1)), 2, 2), """"))/$G369)), """")"),"")</f>
        <v/>
      </c>
      <c r="O369" s="47" t="str">
        <f>IFERROR(__xludf.DUMMYFUNCTION("IFERROR(IF(OR(ISBLANK($G369), IFERROR(INDEX(GOOGLEFINANCE($C369, ""price"", WORKDAY(INT($B369), 5)), 2, 2), """")=""""), """", IF($D369=""LONG"", (IFERROR(INDEX(GOOGLEFINANCE($C369, ""price"", WORKDAY(INT($B369), 5)), 2, 2), """")-$G369)/$G369, ($G369-IFE"&amp;"RROR(INDEX(GOOGLEFINANCE($C369, ""price"", WORKDAY(INT($B369), 5)), 2, 2), """"))/$G369)), """")"),"")</f>
        <v/>
      </c>
      <c r="P369" s="47" t="str">
        <f>IFERROR(__xludf.DUMMYFUNCTION("IFERROR(IF(OR(ISBLANK($G369), IFERROR(INDEX(GOOGLEFINANCE($C369, ""price"", WORKDAY(INT($B369), 20)), 2, 2), """")=""""), """", IF($D369=""LONG"", (IFERROR(INDEX(GOOGLEFINANCE($C369, ""price"", WORKDAY(INT($B369), 20)), 2, 2), """")-$G369)/$G369, ($G369-I"&amp;"FERROR(INDEX(GOOGLEFINANCE($C369, ""price"", WORKDAY(INT($B369), 20)), 2, 2), """"))/$G369)), """")"),"")</f>
        <v/>
      </c>
      <c r="Q369" s="44"/>
      <c r="R369" s="44"/>
      <c r="S369" s="44"/>
      <c r="T369" s="44"/>
      <c r="U369" s="44"/>
      <c r="V369" s="44"/>
      <c r="W369" s="44"/>
      <c r="X369" s="44"/>
      <c r="Y369" s="44"/>
      <c r="Z369" s="44"/>
    </row>
    <row r="370">
      <c r="A370" s="44"/>
      <c r="B370" s="45"/>
      <c r="C370" s="44"/>
      <c r="D370" s="44"/>
      <c r="E370" s="44"/>
      <c r="F370" s="44"/>
      <c r="G370" s="46"/>
      <c r="H370" s="44"/>
      <c r="I370" s="44"/>
      <c r="J370" s="44"/>
      <c r="K370" s="44"/>
      <c r="L370" s="46" t="str">
        <f>IFERROR(__xludf.DUMMYFUNCTION("IFERROR(IF(ISBLANK($C370), """", GOOGLEFINANCE($C370, ""price"")), """")"),"")</f>
        <v/>
      </c>
      <c r="M370" s="47" t="str">
        <f t="shared" si="3"/>
        <v/>
      </c>
      <c r="N370" s="47" t="str">
        <f>IFERROR(__xludf.DUMMYFUNCTION("IFERROR(IF(OR(ISBLANK($G370), IFERROR(INDEX(GOOGLEFINANCE($C370, ""price"", WORKDAY(INT($B370), 1)), 2, 2), """")=""""), """", IF($D370=""LONG"", (IFERROR(INDEX(GOOGLEFINANCE($C370, ""price"", WORKDAY(INT($B370), 1)), 2, 2), """")-$G370)/$G370, ($G370-IFE"&amp;"RROR(INDEX(GOOGLEFINANCE($C370, ""price"", WORKDAY(INT($B370), 1)), 2, 2), """"))/$G370)), """")"),"")</f>
        <v/>
      </c>
      <c r="O370" s="47" t="str">
        <f>IFERROR(__xludf.DUMMYFUNCTION("IFERROR(IF(OR(ISBLANK($G370), IFERROR(INDEX(GOOGLEFINANCE($C370, ""price"", WORKDAY(INT($B370), 5)), 2, 2), """")=""""), """", IF($D370=""LONG"", (IFERROR(INDEX(GOOGLEFINANCE($C370, ""price"", WORKDAY(INT($B370), 5)), 2, 2), """")-$G370)/$G370, ($G370-IFE"&amp;"RROR(INDEX(GOOGLEFINANCE($C370, ""price"", WORKDAY(INT($B370), 5)), 2, 2), """"))/$G370)), """")"),"")</f>
        <v/>
      </c>
      <c r="P370" s="47" t="str">
        <f>IFERROR(__xludf.DUMMYFUNCTION("IFERROR(IF(OR(ISBLANK($G370), IFERROR(INDEX(GOOGLEFINANCE($C370, ""price"", WORKDAY(INT($B370), 20)), 2, 2), """")=""""), """", IF($D370=""LONG"", (IFERROR(INDEX(GOOGLEFINANCE($C370, ""price"", WORKDAY(INT($B370), 20)), 2, 2), """")-$G370)/$G370, ($G370-I"&amp;"FERROR(INDEX(GOOGLEFINANCE($C370, ""price"", WORKDAY(INT($B370), 20)), 2, 2), """"))/$G370)), """")"),"")</f>
        <v/>
      </c>
      <c r="Q370" s="44"/>
      <c r="R370" s="44"/>
      <c r="S370" s="44"/>
      <c r="T370" s="44"/>
      <c r="U370" s="44"/>
      <c r="V370" s="44"/>
      <c r="W370" s="44"/>
      <c r="X370" s="44"/>
      <c r="Y370" s="44"/>
      <c r="Z370" s="44"/>
    </row>
    <row r="371">
      <c r="A371" s="44"/>
      <c r="B371" s="45"/>
      <c r="C371" s="44"/>
      <c r="D371" s="44"/>
      <c r="E371" s="44"/>
      <c r="F371" s="44"/>
      <c r="G371" s="46"/>
      <c r="H371" s="44"/>
      <c r="I371" s="44"/>
      <c r="J371" s="44"/>
      <c r="K371" s="44"/>
      <c r="L371" s="46" t="str">
        <f>IFERROR(__xludf.DUMMYFUNCTION("IFERROR(IF(ISBLANK($C371), """", GOOGLEFINANCE($C371, ""price"")), """")"),"")</f>
        <v/>
      </c>
      <c r="M371" s="47" t="str">
        <f t="shared" si="3"/>
        <v/>
      </c>
      <c r="N371" s="47" t="str">
        <f>IFERROR(__xludf.DUMMYFUNCTION("IFERROR(IF(OR(ISBLANK($G371), IFERROR(INDEX(GOOGLEFINANCE($C371, ""price"", WORKDAY(INT($B371), 1)), 2, 2), """")=""""), """", IF($D371=""LONG"", (IFERROR(INDEX(GOOGLEFINANCE($C371, ""price"", WORKDAY(INT($B371), 1)), 2, 2), """")-$G371)/$G371, ($G371-IFE"&amp;"RROR(INDEX(GOOGLEFINANCE($C371, ""price"", WORKDAY(INT($B371), 1)), 2, 2), """"))/$G371)), """")"),"")</f>
        <v/>
      </c>
      <c r="O371" s="47" t="str">
        <f>IFERROR(__xludf.DUMMYFUNCTION("IFERROR(IF(OR(ISBLANK($G371), IFERROR(INDEX(GOOGLEFINANCE($C371, ""price"", WORKDAY(INT($B371), 5)), 2, 2), """")=""""), """", IF($D371=""LONG"", (IFERROR(INDEX(GOOGLEFINANCE($C371, ""price"", WORKDAY(INT($B371), 5)), 2, 2), """")-$G371)/$G371, ($G371-IFE"&amp;"RROR(INDEX(GOOGLEFINANCE($C371, ""price"", WORKDAY(INT($B371), 5)), 2, 2), """"))/$G371)), """")"),"")</f>
        <v/>
      </c>
      <c r="P371" s="47" t="str">
        <f>IFERROR(__xludf.DUMMYFUNCTION("IFERROR(IF(OR(ISBLANK($G371), IFERROR(INDEX(GOOGLEFINANCE($C371, ""price"", WORKDAY(INT($B371), 20)), 2, 2), """")=""""), """", IF($D371=""LONG"", (IFERROR(INDEX(GOOGLEFINANCE($C371, ""price"", WORKDAY(INT($B371), 20)), 2, 2), """")-$G371)/$G371, ($G371-I"&amp;"FERROR(INDEX(GOOGLEFINANCE($C371, ""price"", WORKDAY(INT($B371), 20)), 2, 2), """"))/$G371)), """")"),"")</f>
        <v/>
      </c>
      <c r="Q371" s="44"/>
      <c r="R371" s="44"/>
      <c r="S371" s="44"/>
      <c r="T371" s="44"/>
      <c r="U371" s="44"/>
      <c r="V371" s="44"/>
      <c r="W371" s="44"/>
      <c r="X371" s="44"/>
      <c r="Y371" s="44"/>
      <c r="Z371" s="44"/>
    </row>
    <row r="372">
      <c r="A372" s="44"/>
      <c r="B372" s="45"/>
      <c r="C372" s="44"/>
      <c r="D372" s="44"/>
      <c r="E372" s="44"/>
      <c r="F372" s="44"/>
      <c r="G372" s="46"/>
      <c r="H372" s="44"/>
      <c r="I372" s="44"/>
      <c r="J372" s="44"/>
      <c r="K372" s="44"/>
      <c r="L372" s="46" t="str">
        <f>IFERROR(__xludf.DUMMYFUNCTION("IFERROR(IF(ISBLANK($C372), """", GOOGLEFINANCE($C372, ""price"")), """")"),"")</f>
        <v/>
      </c>
      <c r="M372" s="47" t="str">
        <f t="shared" si="3"/>
        <v/>
      </c>
      <c r="N372" s="47" t="str">
        <f>IFERROR(__xludf.DUMMYFUNCTION("IFERROR(IF(OR(ISBLANK($G372), IFERROR(INDEX(GOOGLEFINANCE($C372, ""price"", WORKDAY(INT($B372), 1)), 2, 2), """")=""""), """", IF($D372=""LONG"", (IFERROR(INDEX(GOOGLEFINANCE($C372, ""price"", WORKDAY(INT($B372), 1)), 2, 2), """")-$G372)/$G372, ($G372-IFE"&amp;"RROR(INDEX(GOOGLEFINANCE($C372, ""price"", WORKDAY(INT($B372), 1)), 2, 2), """"))/$G372)), """")"),"")</f>
        <v/>
      </c>
      <c r="O372" s="47" t="str">
        <f>IFERROR(__xludf.DUMMYFUNCTION("IFERROR(IF(OR(ISBLANK($G372), IFERROR(INDEX(GOOGLEFINANCE($C372, ""price"", WORKDAY(INT($B372), 5)), 2, 2), """")=""""), """", IF($D372=""LONG"", (IFERROR(INDEX(GOOGLEFINANCE($C372, ""price"", WORKDAY(INT($B372), 5)), 2, 2), """")-$G372)/$G372, ($G372-IFE"&amp;"RROR(INDEX(GOOGLEFINANCE($C372, ""price"", WORKDAY(INT($B372), 5)), 2, 2), """"))/$G372)), """")"),"")</f>
        <v/>
      </c>
      <c r="P372" s="47" t="str">
        <f>IFERROR(__xludf.DUMMYFUNCTION("IFERROR(IF(OR(ISBLANK($G372), IFERROR(INDEX(GOOGLEFINANCE($C372, ""price"", WORKDAY(INT($B372), 20)), 2, 2), """")=""""), """", IF($D372=""LONG"", (IFERROR(INDEX(GOOGLEFINANCE($C372, ""price"", WORKDAY(INT($B372), 20)), 2, 2), """")-$G372)/$G372, ($G372-I"&amp;"FERROR(INDEX(GOOGLEFINANCE($C372, ""price"", WORKDAY(INT($B372), 20)), 2, 2), """"))/$G372)), """")"),"")</f>
        <v/>
      </c>
      <c r="Q372" s="44"/>
      <c r="R372" s="44"/>
      <c r="S372" s="44"/>
      <c r="T372" s="44"/>
      <c r="U372" s="44"/>
      <c r="V372" s="44"/>
      <c r="W372" s="44"/>
      <c r="X372" s="44"/>
      <c r="Y372" s="44"/>
      <c r="Z372" s="44"/>
    </row>
    <row r="373">
      <c r="A373" s="44"/>
      <c r="B373" s="45"/>
      <c r="C373" s="44"/>
      <c r="D373" s="44"/>
      <c r="E373" s="44"/>
      <c r="F373" s="44"/>
      <c r="G373" s="46"/>
      <c r="H373" s="44"/>
      <c r="I373" s="44"/>
      <c r="J373" s="44"/>
      <c r="K373" s="44"/>
      <c r="L373" s="46" t="str">
        <f>IFERROR(__xludf.DUMMYFUNCTION("IFERROR(IF(ISBLANK($C373), """", GOOGLEFINANCE($C373, ""price"")), """")"),"")</f>
        <v/>
      </c>
      <c r="M373" s="47" t="str">
        <f t="shared" si="3"/>
        <v/>
      </c>
      <c r="N373" s="47" t="str">
        <f>IFERROR(__xludf.DUMMYFUNCTION("IFERROR(IF(OR(ISBLANK($G373), IFERROR(INDEX(GOOGLEFINANCE($C373, ""price"", WORKDAY(INT($B373), 1)), 2, 2), """")=""""), """", IF($D373=""LONG"", (IFERROR(INDEX(GOOGLEFINANCE($C373, ""price"", WORKDAY(INT($B373), 1)), 2, 2), """")-$G373)/$G373, ($G373-IFE"&amp;"RROR(INDEX(GOOGLEFINANCE($C373, ""price"", WORKDAY(INT($B373), 1)), 2, 2), """"))/$G373)), """")"),"")</f>
        <v/>
      </c>
      <c r="O373" s="47" t="str">
        <f>IFERROR(__xludf.DUMMYFUNCTION("IFERROR(IF(OR(ISBLANK($G373), IFERROR(INDEX(GOOGLEFINANCE($C373, ""price"", WORKDAY(INT($B373), 5)), 2, 2), """")=""""), """", IF($D373=""LONG"", (IFERROR(INDEX(GOOGLEFINANCE($C373, ""price"", WORKDAY(INT($B373), 5)), 2, 2), """")-$G373)/$G373, ($G373-IFE"&amp;"RROR(INDEX(GOOGLEFINANCE($C373, ""price"", WORKDAY(INT($B373), 5)), 2, 2), """"))/$G373)), """")"),"")</f>
        <v/>
      </c>
      <c r="P373" s="47" t="str">
        <f>IFERROR(__xludf.DUMMYFUNCTION("IFERROR(IF(OR(ISBLANK($G373), IFERROR(INDEX(GOOGLEFINANCE($C373, ""price"", WORKDAY(INT($B373), 20)), 2, 2), """")=""""), """", IF($D373=""LONG"", (IFERROR(INDEX(GOOGLEFINANCE($C373, ""price"", WORKDAY(INT($B373), 20)), 2, 2), """")-$G373)/$G373, ($G373-I"&amp;"FERROR(INDEX(GOOGLEFINANCE($C373, ""price"", WORKDAY(INT($B373), 20)), 2, 2), """"))/$G373)), """")"),"")</f>
        <v/>
      </c>
      <c r="Q373" s="44"/>
      <c r="R373" s="44"/>
      <c r="S373" s="44"/>
      <c r="T373" s="44"/>
      <c r="U373" s="44"/>
      <c r="V373" s="44"/>
      <c r="W373" s="44"/>
      <c r="X373" s="44"/>
      <c r="Y373" s="44"/>
      <c r="Z373" s="44"/>
    </row>
    <row r="374">
      <c r="A374" s="44"/>
      <c r="B374" s="45"/>
      <c r="C374" s="44"/>
      <c r="D374" s="44"/>
      <c r="E374" s="44"/>
      <c r="F374" s="44"/>
      <c r="G374" s="46"/>
      <c r="H374" s="44"/>
      <c r="I374" s="44"/>
      <c r="J374" s="44"/>
      <c r="K374" s="44"/>
      <c r="L374" s="46" t="str">
        <f>IFERROR(__xludf.DUMMYFUNCTION("IFERROR(IF(ISBLANK($C374), """", GOOGLEFINANCE($C374, ""price"")), """")"),"")</f>
        <v/>
      </c>
      <c r="M374" s="47" t="str">
        <f t="shared" si="3"/>
        <v/>
      </c>
      <c r="N374" s="47" t="str">
        <f>IFERROR(__xludf.DUMMYFUNCTION("IFERROR(IF(OR(ISBLANK($G374), IFERROR(INDEX(GOOGLEFINANCE($C374, ""price"", WORKDAY(INT($B374), 1)), 2, 2), """")=""""), """", IF($D374=""LONG"", (IFERROR(INDEX(GOOGLEFINANCE($C374, ""price"", WORKDAY(INT($B374), 1)), 2, 2), """")-$G374)/$G374, ($G374-IFE"&amp;"RROR(INDEX(GOOGLEFINANCE($C374, ""price"", WORKDAY(INT($B374), 1)), 2, 2), """"))/$G374)), """")"),"")</f>
        <v/>
      </c>
      <c r="O374" s="47" t="str">
        <f>IFERROR(__xludf.DUMMYFUNCTION("IFERROR(IF(OR(ISBLANK($G374), IFERROR(INDEX(GOOGLEFINANCE($C374, ""price"", WORKDAY(INT($B374), 5)), 2, 2), """")=""""), """", IF($D374=""LONG"", (IFERROR(INDEX(GOOGLEFINANCE($C374, ""price"", WORKDAY(INT($B374), 5)), 2, 2), """")-$G374)/$G374, ($G374-IFE"&amp;"RROR(INDEX(GOOGLEFINANCE($C374, ""price"", WORKDAY(INT($B374), 5)), 2, 2), """"))/$G374)), """")"),"")</f>
        <v/>
      </c>
      <c r="P374" s="47" t="str">
        <f>IFERROR(__xludf.DUMMYFUNCTION("IFERROR(IF(OR(ISBLANK($G374), IFERROR(INDEX(GOOGLEFINANCE($C374, ""price"", WORKDAY(INT($B374), 20)), 2, 2), """")=""""), """", IF($D374=""LONG"", (IFERROR(INDEX(GOOGLEFINANCE($C374, ""price"", WORKDAY(INT($B374), 20)), 2, 2), """")-$G374)/$G374, ($G374-I"&amp;"FERROR(INDEX(GOOGLEFINANCE($C374, ""price"", WORKDAY(INT($B374), 20)), 2, 2), """"))/$G374)), """")"),"")</f>
        <v/>
      </c>
      <c r="Q374" s="44"/>
      <c r="R374" s="44"/>
      <c r="S374" s="44"/>
      <c r="T374" s="44"/>
      <c r="U374" s="44"/>
      <c r="V374" s="44"/>
      <c r="W374" s="44"/>
      <c r="X374" s="44"/>
      <c r="Y374" s="44"/>
      <c r="Z374" s="44"/>
    </row>
    <row r="375">
      <c r="A375" s="44"/>
      <c r="B375" s="45"/>
      <c r="C375" s="44"/>
      <c r="D375" s="44"/>
      <c r="E375" s="44"/>
      <c r="F375" s="44"/>
      <c r="G375" s="46"/>
      <c r="H375" s="44"/>
      <c r="I375" s="44"/>
      <c r="J375" s="44"/>
      <c r="K375" s="44"/>
      <c r="L375" s="46" t="str">
        <f>IFERROR(__xludf.DUMMYFUNCTION("IFERROR(IF(ISBLANK($C375), """", GOOGLEFINANCE($C375, ""price"")), """")"),"")</f>
        <v/>
      </c>
      <c r="M375" s="47" t="str">
        <f t="shared" si="3"/>
        <v/>
      </c>
      <c r="N375" s="47" t="str">
        <f>IFERROR(__xludf.DUMMYFUNCTION("IFERROR(IF(OR(ISBLANK($G375), IFERROR(INDEX(GOOGLEFINANCE($C375, ""price"", WORKDAY(INT($B375), 1)), 2, 2), """")=""""), """", IF($D375=""LONG"", (IFERROR(INDEX(GOOGLEFINANCE($C375, ""price"", WORKDAY(INT($B375), 1)), 2, 2), """")-$G375)/$G375, ($G375-IFE"&amp;"RROR(INDEX(GOOGLEFINANCE($C375, ""price"", WORKDAY(INT($B375), 1)), 2, 2), """"))/$G375)), """")"),"")</f>
        <v/>
      </c>
      <c r="O375" s="47" t="str">
        <f>IFERROR(__xludf.DUMMYFUNCTION("IFERROR(IF(OR(ISBLANK($G375), IFERROR(INDEX(GOOGLEFINANCE($C375, ""price"", WORKDAY(INT($B375), 5)), 2, 2), """")=""""), """", IF($D375=""LONG"", (IFERROR(INDEX(GOOGLEFINANCE($C375, ""price"", WORKDAY(INT($B375), 5)), 2, 2), """")-$G375)/$G375, ($G375-IFE"&amp;"RROR(INDEX(GOOGLEFINANCE($C375, ""price"", WORKDAY(INT($B375), 5)), 2, 2), """"))/$G375)), """")"),"")</f>
        <v/>
      </c>
      <c r="P375" s="47" t="str">
        <f>IFERROR(__xludf.DUMMYFUNCTION("IFERROR(IF(OR(ISBLANK($G375), IFERROR(INDEX(GOOGLEFINANCE($C375, ""price"", WORKDAY(INT($B375), 20)), 2, 2), """")=""""), """", IF($D375=""LONG"", (IFERROR(INDEX(GOOGLEFINANCE($C375, ""price"", WORKDAY(INT($B375), 20)), 2, 2), """")-$G375)/$G375, ($G375-I"&amp;"FERROR(INDEX(GOOGLEFINANCE($C375, ""price"", WORKDAY(INT($B375), 20)), 2, 2), """"))/$G375)), """")"),"")</f>
        <v/>
      </c>
      <c r="Q375" s="44"/>
      <c r="R375" s="44"/>
      <c r="S375" s="44"/>
      <c r="T375" s="44"/>
      <c r="U375" s="44"/>
      <c r="V375" s="44"/>
      <c r="W375" s="44"/>
      <c r="X375" s="44"/>
      <c r="Y375" s="44"/>
      <c r="Z375" s="44"/>
    </row>
    <row r="376">
      <c r="A376" s="44"/>
      <c r="B376" s="45"/>
      <c r="C376" s="44"/>
      <c r="D376" s="44"/>
      <c r="E376" s="44"/>
      <c r="F376" s="44"/>
      <c r="G376" s="46"/>
      <c r="H376" s="44"/>
      <c r="I376" s="44"/>
      <c r="J376" s="44"/>
      <c r="K376" s="44"/>
      <c r="L376" s="46" t="str">
        <f>IFERROR(__xludf.DUMMYFUNCTION("IFERROR(IF(ISBLANK($C376), """", GOOGLEFINANCE($C376, ""price"")), """")"),"")</f>
        <v/>
      </c>
      <c r="M376" s="47" t="str">
        <f t="shared" si="3"/>
        <v/>
      </c>
      <c r="N376" s="47" t="str">
        <f>IFERROR(__xludf.DUMMYFUNCTION("IFERROR(IF(OR(ISBLANK($G376), IFERROR(INDEX(GOOGLEFINANCE($C376, ""price"", WORKDAY(INT($B376), 1)), 2, 2), """")=""""), """", IF($D376=""LONG"", (IFERROR(INDEX(GOOGLEFINANCE($C376, ""price"", WORKDAY(INT($B376), 1)), 2, 2), """")-$G376)/$G376, ($G376-IFE"&amp;"RROR(INDEX(GOOGLEFINANCE($C376, ""price"", WORKDAY(INT($B376), 1)), 2, 2), """"))/$G376)), """")"),"")</f>
        <v/>
      </c>
      <c r="O376" s="47" t="str">
        <f>IFERROR(__xludf.DUMMYFUNCTION("IFERROR(IF(OR(ISBLANK($G376), IFERROR(INDEX(GOOGLEFINANCE($C376, ""price"", WORKDAY(INT($B376), 5)), 2, 2), """")=""""), """", IF($D376=""LONG"", (IFERROR(INDEX(GOOGLEFINANCE($C376, ""price"", WORKDAY(INT($B376), 5)), 2, 2), """")-$G376)/$G376, ($G376-IFE"&amp;"RROR(INDEX(GOOGLEFINANCE($C376, ""price"", WORKDAY(INT($B376), 5)), 2, 2), """"))/$G376)), """")"),"")</f>
        <v/>
      </c>
      <c r="P376" s="47" t="str">
        <f>IFERROR(__xludf.DUMMYFUNCTION("IFERROR(IF(OR(ISBLANK($G376), IFERROR(INDEX(GOOGLEFINANCE($C376, ""price"", WORKDAY(INT($B376), 20)), 2, 2), """")=""""), """", IF($D376=""LONG"", (IFERROR(INDEX(GOOGLEFINANCE($C376, ""price"", WORKDAY(INT($B376), 20)), 2, 2), """")-$G376)/$G376, ($G376-I"&amp;"FERROR(INDEX(GOOGLEFINANCE($C376, ""price"", WORKDAY(INT($B376), 20)), 2, 2), """"))/$G376)), """")"),"")</f>
        <v/>
      </c>
      <c r="Q376" s="44"/>
      <c r="R376" s="44"/>
      <c r="S376" s="44"/>
      <c r="T376" s="44"/>
      <c r="U376" s="44"/>
      <c r="V376" s="44"/>
      <c r="W376" s="44"/>
      <c r="X376" s="44"/>
      <c r="Y376" s="44"/>
      <c r="Z376" s="44"/>
    </row>
    <row r="377">
      <c r="A377" s="44"/>
      <c r="B377" s="45"/>
      <c r="C377" s="44"/>
      <c r="D377" s="44"/>
      <c r="E377" s="44"/>
      <c r="F377" s="44"/>
      <c r="G377" s="46"/>
      <c r="H377" s="44"/>
      <c r="I377" s="44"/>
      <c r="J377" s="44"/>
      <c r="K377" s="44"/>
      <c r="L377" s="46" t="str">
        <f>IFERROR(__xludf.DUMMYFUNCTION("IFERROR(IF(ISBLANK($C377), """", GOOGLEFINANCE($C377, ""price"")), """")"),"")</f>
        <v/>
      </c>
      <c r="M377" s="47" t="str">
        <f t="shared" si="3"/>
        <v/>
      </c>
      <c r="N377" s="47" t="str">
        <f>IFERROR(__xludf.DUMMYFUNCTION("IFERROR(IF(OR(ISBLANK($G377), IFERROR(INDEX(GOOGLEFINANCE($C377, ""price"", WORKDAY(INT($B377), 1)), 2, 2), """")=""""), """", IF($D377=""LONG"", (IFERROR(INDEX(GOOGLEFINANCE($C377, ""price"", WORKDAY(INT($B377), 1)), 2, 2), """")-$G377)/$G377, ($G377-IFE"&amp;"RROR(INDEX(GOOGLEFINANCE($C377, ""price"", WORKDAY(INT($B377), 1)), 2, 2), """"))/$G377)), """")"),"")</f>
        <v/>
      </c>
      <c r="O377" s="47" t="str">
        <f>IFERROR(__xludf.DUMMYFUNCTION("IFERROR(IF(OR(ISBLANK($G377), IFERROR(INDEX(GOOGLEFINANCE($C377, ""price"", WORKDAY(INT($B377), 5)), 2, 2), """")=""""), """", IF($D377=""LONG"", (IFERROR(INDEX(GOOGLEFINANCE($C377, ""price"", WORKDAY(INT($B377), 5)), 2, 2), """")-$G377)/$G377, ($G377-IFE"&amp;"RROR(INDEX(GOOGLEFINANCE($C377, ""price"", WORKDAY(INT($B377), 5)), 2, 2), """"))/$G377)), """")"),"")</f>
        <v/>
      </c>
      <c r="P377" s="47" t="str">
        <f>IFERROR(__xludf.DUMMYFUNCTION("IFERROR(IF(OR(ISBLANK($G377), IFERROR(INDEX(GOOGLEFINANCE($C377, ""price"", WORKDAY(INT($B377), 20)), 2, 2), """")=""""), """", IF($D377=""LONG"", (IFERROR(INDEX(GOOGLEFINANCE($C377, ""price"", WORKDAY(INT($B377), 20)), 2, 2), """")-$G377)/$G377, ($G377-I"&amp;"FERROR(INDEX(GOOGLEFINANCE($C377, ""price"", WORKDAY(INT($B377), 20)), 2, 2), """"))/$G377)), """")"),"")</f>
        <v/>
      </c>
      <c r="Q377" s="44"/>
      <c r="R377" s="44"/>
      <c r="S377" s="44"/>
      <c r="T377" s="44"/>
      <c r="U377" s="44"/>
      <c r="V377" s="44"/>
      <c r="W377" s="44"/>
      <c r="X377" s="44"/>
      <c r="Y377" s="44"/>
      <c r="Z377" s="44"/>
    </row>
    <row r="378">
      <c r="A378" s="44"/>
      <c r="B378" s="45"/>
      <c r="C378" s="44"/>
      <c r="D378" s="44"/>
      <c r="E378" s="44"/>
      <c r="F378" s="44"/>
      <c r="G378" s="46"/>
      <c r="H378" s="44"/>
      <c r="I378" s="44"/>
      <c r="J378" s="44"/>
      <c r="K378" s="44"/>
      <c r="L378" s="46" t="str">
        <f>IFERROR(__xludf.DUMMYFUNCTION("IFERROR(IF(ISBLANK($C378), """", GOOGLEFINANCE($C378, ""price"")), """")"),"")</f>
        <v/>
      </c>
      <c r="M378" s="47" t="str">
        <f t="shared" si="3"/>
        <v/>
      </c>
      <c r="N378" s="47" t="str">
        <f>IFERROR(__xludf.DUMMYFUNCTION("IFERROR(IF(OR(ISBLANK($G378), IFERROR(INDEX(GOOGLEFINANCE($C378, ""price"", WORKDAY(INT($B378), 1)), 2, 2), """")=""""), """", IF($D378=""LONG"", (IFERROR(INDEX(GOOGLEFINANCE($C378, ""price"", WORKDAY(INT($B378), 1)), 2, 2), """")-$G378)/$G378, ($G378-IFE"&amp;"RROR(INDEX(GOOGLEFINANCE($C378, ""price"", WORKDAY(INT($B378), 1)), 2, 2), """"))/$G378)), """")"),"")</f>
        <v/>
      </c>
      <c r="O378" s="47" t="str">
        <f>IFERROR(__xludf.DUMMYFUNCTION("IFERROR(IF(OR(ISBLANK($G378), IFERROR(INDEX(GOOGLEFINANCE($C378, ""price"", WORKDAY(INT($B378), 5)), 2, 2), """")=""""), """", IF($D378=""LONG"", (IFERROR(INDEX(GOOGLEFINANCE($C378, ""price"", WORKDAY(INT($B378), 5)), 2, 2), """")-$G378)/$G378, ($G378-IFE"&amp;"RROR(INDEX(GOOGLEFINANCE($C378, ""price"", WORKDAY(INT($B378), 5)), 2, 2), """"))/$G378)), """")"),"")</f>
        <v/>
      </c>
      <c r="P378" s="47" t="str">
        <f>IFERROR(__xludf.DUMMYFUNCTION("IFERROR(IF(OR(ISBLANK($G378), IFERROR(INDEX(GOOGLEFINANCE($C378, ""price"", WORKDAY(INT($B378), 20)), 2, 2), """")=""""), """", IF($D378=""LONG"", (IFERROR(INDEX(GOOGLEFINANCE($C378, ""price"", WORKDAY(INT($B378), 20)), 2, 2), """")-$G378)/$G378, ($G378-I"&amp;"FERROR(INDEX(GOOGLEFINANCE($C378, ""price"", WORKDAY(INT($B378), 20)), 2, 2), """"))/$G378)), """")"),"")</f>
        <v/>
      </c>
      <c r="Q378" s="44"/>
      <c r="R378" s="44"/>
      <c r="S378" s="44"/>
      <c r="T378" s="44"/>
      <c r="U378" s="44"/>
      <c r="V378" s="44"/>
      <c r="W378" s="44"/>
      <c r="X378" s="44"/>
      <c r="Y378" s="44"/>
      <c r="Z378" s="44"/>
    </row>
    <row r="379">
      <c r="A379" s="44"/>
      <c r="B379" s="45"/>
      <c r="C379" s="44"/>
      <c r="D379" s="44"/>
      <c r="E379" s="44"/>
      <c r="F379" s="44"/>
      <c r="G379" s="46"/>
      <c r="H379" s="44"/>
      <c r="I379" s="44"/>
      <c r="J379" s="44"/>
      <c r="K379" s="44"/>
      <c r="L379" s="46" t="str">
        <f>IFERROR(__xludf.DUMMYFUNCTION("IFERROR(IF(ISBLANK($C379), """", GOOGLEFINANCE($C379, ""price"")), """")"),"")</f>
        <v/>
      </c>
      <c r="M379" s="47" t="str">
        <f t="shared" si="3"/>
        <v/>
      </c>
      <c r="N379" s="47" t="str">
        <f>IFERROR(__xludf.DUMMYFUNCTION("IFERROR(IF(OR(ISBLANK($G379), IFERROR(INDEX(GOOGLEFINANCE($C379, ""price"", WORKDAY(INT($B379), 1)), 2, 2), """")=""""), """", IF($D379=""LONG"", (IFERROR(INDEX(GOOGLEFINANCE($C379, ""price"", WORKDAY(INT($B379), 1)), 2, 2), """")-$G379)/$G379, ($G379-IFE"&amp;"RROR(INDEX(GOOGLEFINANCE($C379, ""price"", WORKDAY(INT($B379), 1)), 2, 2), """"))/$G379)), """")"),"")</f>
        <v/>
      </c>
      <c r="O379" s="47" t="str">
        <f>IFERROR(__xludf.DUMMYFUNCTION("IFERROR(IF(OR(ISBLANK($G379), IFERROR(INDEX(GOOGLEFINANCE($C379, ""price"", WORKDAY(INT($B379), 5)), 2, 2), """")=""""), """", IF($D379=""LONG"", (IFERROR(INDEX(GOOGLEFINANCE($C379, ""price"", WORKDAY(INT($B379), 5)), 2, 2), """")-$G379)/$G379, ($G379-IFE"&amp;"RROR(INDEX(GOOGLEFINANCE($C379, ""price"", WORKDAY(INT($B379), 5)), 2, 2), """"))/$G379)), """")"),"")</f>
        <v/>
      </c>
      <c r="P379" s="47" t="str">
        <f>IFERROR(__xludf.DUMMYFUNCTION("IFERROR(IF(OR(ISBLANK($G379), IFERROR(INDEX(GOOGLEFINANCE($C379, ""price"", WORKDAY(INT($B379), 20)), 2, 2), """")=""""), """", IF($D379=""LONG"", (IFERROR(INDEX(GOOGLEFINANCE($C379, ""price"", WORKDAY(INT($B379), 20)), 2, 2), """")-$G379)/$G379, ($G379-I"&amp;"FERROR(INDEX(GOOGLEFINANCE($C379, ""price"", WORKDAY(INT($B379), 20)), 2, 2), """"))/$G379)), """")"),"")</f>
        <v/>
      </c>
      <c r="Q379" s="44"/>
      <c r="R379" s="44"/>
      <c r="S379" s="44"/>
      <c r="T379" s="44"/>
      <c r="U379" s="44"/>
      <c r="V379" s="44"/>
      <c r="W379" s="44"/>
      <c r="X379" s="44"/>
      <c r="Y379" s="44"/>
      <c r="Z379" s="44"/>
    </row>
    <row r="380">
      <c r="A380" s="44"/>
      <c r="B380" s="45"/>
      <c r="C380" s="44"/>
      <c r="D380" s="44"/>
      <c r="E380" s="44"/>
      <c r="F380" s="44"/>
      <c r="G380" s="46"/>
      <c r="H380" s="44"/>
      <c r="I380" s="44"/>
      <c r="J380" s="44"/>
      <c r="K380" s="44"/>
      <c r="L380" s="46" t="str">
        <f>IFERROR(__xludf.DUMMYFUNCTION("IFERROR(IF(ISBLANK($C380), """", GOOGLEFINANCE($C380, ""price"")), """")"),"")</f>
        <v/>
      </c>
      <c r="M380" s="47" t="str">
        <f t="shared" si="3"/>
        <v/>
      </c>
      <c r="N380" s="47" t="str">
        <f>IFERROR(__xludf.DUMMYFUNCTION("IFERROR(IF(OR(ISBLANK($G380), IFERROR(INDEX(GOOGLEFINANCE($C380, ""price"", WORKDAY(INT($B380), 1)), 2, 2), """")=""""), """", IF($D380=""LONG"", (IFERROR(INDEX(GOOGLEFINANCE($C380, ""price"", WORKDAY(INT($B380), 1)), 2, 2), """")-$G380)/$G380, ($G380-IFE"&amp;"RROR(INDEX(GOOGLEFINANCE($C380, ""price"", WORKDAY(INT($B380), 1)), 2, 2), """"))/$G380)), """")"),"")</f>
        <v/>
      </c>
      <c r="O380" s="47" t="str">
        <f>IFERROR(__xludf.DUMMYFUNCTION("IFERROR(IF(OR(ISBLANK($G380), IFERROR(INDEX(GOOGLEFINANCE($C380, ""price"", WORKDAY(INT($B380), 5)), 2, 2), """")=""""), """", IF($D380=""LONG"", (IFERROR(INDEX(GOOGLEFINANCE($C380, ""price"", WORKDAY(INT($B380), 5)), 2, 2), """")-$G380)/$G380, ($G380-IFE"&amp;"RROR(INDEX(GOOGLEFINANCE($C380, ""price"", WORKDAY(INT($B380), 5)), 2, 2), """"))/$G380)), """")"),"")</f>
        <v/>
      </c>
      <c r="P380" s="47" t="str">
        <f>IFERROR(__xludf.DUMMYFUNCTION("IFERROR(IF(OR(ISBLANK($G380), IFERROR(INDEX(GOOGLEFINANCE($C380, ""price"", WORKDAY(INT($B380), 20)), 2, 2), """")=""""), """", IF($D380=""LONG"", (IFERROR(INDEX(GOOGLEFINANCE($C380, ""price"", WORKDAY(INT($B380), 20)), 2, 2), """")-$G380)/$G380, ($G380-I"&amp;"FERROR(INDEX(GOOGLEFINANCE($C380, ""price"", WORKDAY(INT($B380), 20)), 2, 2), """"))/$G380)), """")"),"")</f>
        <v/>
      </c>
      <c r="Q380" s="44"/>
      <c r="R380" s="44"/>
      <c r="S380" s="44"/>
      <c r="T380" s="44"/>
      <c r="U380" s="44"/>
      <c r="V380" s="44"/>
      <c r="W380" s="44"/>
      <c r="X380" s="44"/>
      <c r="Y380" s="44"/>
      <c r="Z380" s="44"/>
    </row>
    <row r="381">
      <c r="A381" s="44"/>
      <c r="B381" s="45"/>
      <c r="C381" s="44"/>
      <c r="D381" s="44"/>
      <c r="E381" s="44"/>
      <c r="F381" s="44"/>
      <c r="G381" s="46"/>
      <c r="H381" s="44"/>
      <c r="I381" s="44"/>
      <c r="J381" s="44"/>
      <c r="K381" s="44"/>
      <c r="L381" s="46" t="str">
        <f>IFERROR(__xludf.DUMMYFUNCTION("IFERROR(IF(ISBLANK($C381), """", GOOGLEFINANCE($C381, ""price"")), """")"),"")</f>
        <v/>
      </c>
      <c r="M381" s="47" t="str">
        <f t="shared" si="3"/>
        <v/>
      </c>
      <c r="N381" s="47" t="str">
        <f>IFERROR(__xludf.DUMMYFUNCTION("IFERROR(IF(OR(ISBLANK($G381), IFERROR(INDEX(GOOGLEFINANCE($C381, ""price"", WORKDAY(INT($B381), 1)), 2, 2), """")=""""), """", IF($D381=""LONG"", (IFERROR(INDEX(GOOGLEFINANCE($C381, ""price"", WORKDAY(INT($B381), 1)), 2, 2), """")-$G381)/$G381, ($G381-IFE"&amp;"RROR(INDEX(GOOGLEFINANCE($C381, ""price"", WORKDAY(INT($B381), 1)), 2, 2), """"))/$G381)), """")"),"")</f>
        <v/>
      </c>
      <c r="O381" s="47" t="str">
        <f>IFERROR(__xludf.DUMMYFUNCTION("IFERROR(IF(OR(ISBLANK($G381), IFERROR(INDEX(GOOGLEFINANCE($C381, ""price"", WORKDAY(INT($B381), 5)), 2, 2), """")=""""), """", IF($D381=""LONG"", (IFERROR(INDEX(GOOGLEFINANCE($C381, ""price"", WORKDAY(INT($B381), 5)), 2, 2), """")-$G381)/$G381, ($G381-IFE"&amp;"RROR(INDEX(GOOGLEFINANCE($C381, ""price"", WORKDAY(INT($B381), 5)), 2, 2), """"))/$G381)), """")"),"")</f>
        <v/>
      </c>
      <c r="P381" s="47" t="str">
        <f>IFERROR(__xludf.DUMMYFUNCTION("IFERROR(IF(OR(ISBLANK($G381), IFERROR(INDEX(GOOGLEFINANCE($C381, ""price"", WORKDAY(INT($B381), 20)), 2, 2), """")=""""), """", IF($D381=""LONG"", (IFERROR(INDEX(GOOGLEFINANCE($C381, ""price"", WORKDAY(INT($B381), 20)), 2, 2), """")-$G381)/$G381, ($G381-I"&amp;"FERROR(INDEX(GOOGLEFINANCE($C381, ""price"", WORKDAY(INT($B381), 20)), 2, 2), """"))/$G381)), """")"),"")</f>
        <v/>
      </c>
      <c r="Q381" s="44"/>
      <c r="R381" s="44"/>
      <c r="S381" s="44"/>
      <c r="T381" s="44"/>
      <c r="U381" s="44"/>
      <c r="V381" s="44"/>
      <c r="W381" s="44"/>
      <c r="X381" s="44"/>
      <c r="Y381" s="44"/>
      <c r="Z381" s="44"/>
    </row>
    <row r="382">
      <c r="A382" s="44"/>
      <c r="B382" s="45"/>
      <c r="C382" s="44"/>
      <c r="D382" s="44"/>
      <c r="E382" s="44"/>
      <c r="F382" s="44"/>
      <c r="G382" s="46"/>
      <c r="H382" s="44"/>
      <c r="I382" s="44"/>
      <c r="J382" s="44"/>
      <c r="K382" s="44"/>
      <c r="L382" s="46" t="str">
        <f>IFERROR(__xludf.DUMMYFUNCTION("IFERROR(IF(ISBLANK($C382), """", GOOGLEFINANCE($C382, ""price"")), """")"),"")</f>
        <v/>
      </c>
      <c r="M382" s="47" t="str">
        <f t="shared" si="3"/>
        <v/>
      </c>
      <c r="N382" s="47" t="str">
        <f>IFERROR(__xludf.DUMMYFUNCTION("IFERROR(IF(OR(ISBLANK($G382), IFERROR(INDEX(GOOGLEFINANCE($C382, ""price"", WORKDAY(INT($B382), 1)), 2, 2), """")=""""), """", IF($D382=""LONG"", (IFERROR(INDEX(GOOGLEFINANCE($C382, ""price"", WORKDAY(INT($B382), 1)), 2, 2), """")-$G382)/$G382, ($G382-IFE"&amp;"RROR(INDEX(GOOGLEFINANCE($C382, ""price"", WORKDAY(INT($B382), 1)), 2, 2), """"))/$G382)), """")"),"")</f>
        <v/>
      </c>
      <c r="O382" s="47" t="str">
        <f>IFERROR(__xludf.DUMMYFUNCTION("IFERROR(IF(OR(ISBLANK($G382), IFERROR(INDEX(GOOGLEFINANCE($C382, ""price"", WORKDAY(INT($B382), 5)), 2, 2), """")=""""), """", IF($D382=""LONG"", (IFERROR(INDEX(GOOGLEFINANCE($C382, ""price"", WORKDAY(INT($B382), 5)), 2, 2), """")-$G382)/$G382, ($G382-IFE"&amp;"RROR(INDEX(GOOGLEFINANCE($C382, ""price"", WORKDAY(INT($B382), 5)), 2, 2), """"))/$G382)), """")"),"")</f>
        <v/>
      </c>
      <c r="P382" s="47" t="str">
        <f>IFERROR(__xludf.DUMMYFUNCTION("IFERROR(IF(OR(ISBLANK($G382), IFERROR(INDEX(GOOGLEFINANCE($C382, ""price"", WORKDAY(INT($B382), 20)), 2, 2), """")=""""), """", IF($D382=""LONG"", (IFERROR(INDEX(GOOGLEFINANCE($C382, ""price"", WORKDAY(INT($B382), 20)), 2, 2), """")-$G382)/$G382, ($G382-I"&amp;"FERROR(INDEX(GOOGLEFINANCE($C382, ""price"", WORKDAY(INT($B382), 20)), 2, 2), """"))/$G382)), """")"),"")</f>
        <v/>
      </c>
      <c r="Q382" s="44"/>
      <c r="R382" s="44"/>
      <c r="S382" s="44"/>
      <c r="T382" s="44"/>
      <c r="U382" s="44"/>
      <c r="V382" s="44"/>
      <c r="W382" s="44"/>
      <c r="X382" s="44"/>
      <c r="Y382" s="44"/>
      <c r="Z382" s="44"/>
    </row>
    <row r="383">
      <c r="A383" s="44"/>
      <c r="B383" s="45"/>
      <c r="C383" s="44"/>
      <c r="D383" s="44"/>
      <c r="E383" s="44"/>
      <c r="F383" s="44"/>
      <c r="G383" s="46"/>
      <c r="H383" s="44"/>
      <c r="I383" s="44"/>
      <c r="J383" s="44"/>
      <c r="K383" s="44"/>
      <c r="L383" s="46" t="str">
        <f>IFERROR(__xludf.DUMMYFUNCTION("IFERROR(IF(ISBLANK($C383), """", GOOGLEFINANCE($C383, ""price"")), """")"),"")</f>
        <v/>
      </c>
      <c r="M383" s="47" t="str">
        <f t="shared" si="3"/>
        <v/>
      </c>
      <c r="N383" s="47" t="str">
        <f>IFERROR(__xludf.DUMMYFUNCTION("IFERROR(IF(OR(ISBLANK($G383), IFERROR(INDEX(GOOGLEFINANCE($C383, ""price"", WORKDAY(INT($B383), 1)), 2, 2), """")=""""), """", IF($D383=""LONG"", (IFERROR(INDEX(GOOGLEFINANCE($C383, ""price"", WORKDAY(INT($B383), 1)), 2, 2), """")-$G383)/$G383, ($G383-IFE"&amp;"RROR(INDEX(GOOGLEFINANCE($C383, ""price"", WORKDAY(INT($B383), 1)), 2, 2), """"))/$G383)), """")"),"")</f>
        <v/>
      </c>
      <c r="O383" s="47" t="str">
        <f>IFERROR(__xludf.DUMMYFUNCTION("IFERROR(IF(OR(ISBLANK($G383), IFERROR(INDEX(GOOGLEFINANCE($C383, ""price"", WORKDAY(INT($B383), 5)), 2, 2), """")=""""), """", IF($D383=""LONG"", (IFERROR(INDEX(GOOGLEFINANCE($C383, ""price"", WORKDAY(INT($B383), 5)), 2, 2), """")-$G383)/$G383, ($G383-IFE"&amp;"RROR(INDEX(GOOGLEFINANCE($C383, ""price"", WORKDAY(INT($B383), 5)), 2, 2), """"))/$G383)), """")"),"")</f>
        <v/>
      </c>
      <c r="P383" s="47" t="str">
        <f>IFERROR(__xludf.DUMMYFUNCTION("IFERROR(IF(OR(ISBLANK($G383), IFERROR(INDEX(GOOGLEFINANCE($C383, ""price"", WORKDAY(INT($B383), 20)), 2, 2), """")=""""), """", IF($D383=""LONG"", (IFERROR(INDEX(GOOGLEFINANCE($C383, ""price"", WORKDAY(INT($B383), 20)), 2, 2), """")-$G383)/$G383, ($G383-I"&amp;"FERROR(INDEX(GOOGLEFINANCE($C383, ""price"", WORKDAY(INT($B383), 20)), 2, 2), """"))/$G383)), """")"),"")</f>
        <v/>
      </c>
      <c r="Q383" s="44"/>
      <c r="R383" s="44"/>
      <c r="S383" s="44"/>
      <c r="T383" s="44"/>
      <c r="U383" s="44"/>
      <c r="V383" s="44"/>
      <c r="W383" s="44"/>
      <c r="X383" s="44"/>
      <c r="Y383" s="44"/>
      <c r="Z383" s="44"/>
    </row>
    <row r="384">
      <c r="A384" s="44"/>
      <c r="B384" s="45"/>
      <c r="C384" s="44"/>
      <c r="D384" s="44"/>
      <c r="E384" s="44"/>
      <c r="F384" s="44"/>
      <c r="G384" s="46"/>
      <c r="H384" s="44"/>
      <c r="I384" s="44"/>
      <c r="J384" s="44"/>
      <c r="K384" s="44"/>
      <c r="L384" s="46" t="str">
        <f>IFERROR(__xludf.DUMMYFUNCTION("IFERROR(IF(ISBLANK($C384), """", GOOGLEFINANCE($C384, ""price"")), """")"),"")</f>
        <v/>
      </c>
      <c r="M384" s="47" t="str">
        <f t="shared" si="3"/>
        <v/>
      </c>
      <c r="N384" s="47" t="str">
        <f>IFERROR(__xludf.DUMMYFUNCTION("IFERROR(IF(OR(ISBLANK($G384), IFERROR(INDEX(GOOGLEFINANCE($C384, ""price"", WORKDAY(INT($B384), 1)), 2, 2), """")=""""), """", IF($D384=""LONG"", (IFERROR(INDEX(GOOGLEFINANCE($C384, ""price"", WORKDAY(INT($B384), 1)), 2, 2), """")-$G384)/$G384, ($G384-IFE"&amp;"RROR(INDEX(GOOGLEFINANCE($C384, ""price"", WORKDAY(INT($B384), 1)), 2, 2), """"))/$G384)), """")"),"")</f>
        <v/>
      </c>
      <c r="O384" s="47" t="str">
        <f>IFERROR(__xludf.DUMMYFUNCTION("IFERROR(IF(OR(ISBLANK($G384), IFERROR(INDEX(GOOGLEFINANCE($C384, ""price"", WORKDAY(INT($B384), 5)), 2, 2), """")=""""), """", IF($D384=""LONG"", (IFERROR(INDEX(GOOGLEFINANCE($C384, ""price"", WORKDAY(INT($B384), 5)), 2, 2), """")-$G384)/$G384, ($G384-IFE"&amp;"RROR(INDEX(GOOGLEFINANCE($C384, ""price"", WORKDAY(INT($B384), 5)), 2, 2), """"))/$G384)), """")"),"")</f>
        <v/>
      </c>
      <c r="P384" s="47" t="str">
        <f>IFERROR(__xludf.DUMMYFUNCTION("IFERROR(IF(OR(ISBLANK($G384), IFERROR(INDEX(GOOGLEFINANCE($C384, ""price"", WORKDAY(INT($B384), 20)), 2, 2), """")=""""), """", IF($D384=""LONG"", (IFERROR(INDEX(GOOGLEFINANCE($C384, ""price"", WORKDAY(INT($B384), 20)), 2, 2), """")-$G384)/$G384, ($G384-I"&amp;"FERROR(INDEX(GOOGLEFINANCE($C384, ""price"", WORKDAY(INT($B384), 20)), 2, 2), """"))/$G384)), """")"),"")</f>
        <v/>
      </c>
      <c r="Q384" s="44"/>
      <c r="R384" s="44"/>
      <c r="S384" s="44"/>
      <c r="T384" s="44"/>
      <c r="U384" s="44"/>
      <c r="V384" s="44"/>
      <c r="W384" s="44"/>
      <c r="X384" s="44"/>
      <c r="Y384" s="44"/>
      <c r="Z384" s="44"/>
    </row>
    <row r="385">
      <c r="A385" s="44"/>
      <c r="B385" s="45"/>
      <c r="C385" s="44"/>
      <c r="D385" s="44"/>
      <c r="E385" s="44"/>
      <c r="F385" s="44"/>
      <c r="G385" s="46"/>
      <c r="H385" s="44"/>
      <c r="I385" s="44"/>
      <c r="J385" s="44"/>
      <c r="K385" s="44"/>
      <c r="L385" s="46" t="str">
        <f>IFERROR(__xludf.DUMMYFUNCTION("IFERROR(IF(ISBLANK($C385), """", GOOGLEFINANCE($C385, ""price"")), """")"),"")</f>
        <v/>
      </c>
      <c r="M385" s="47" t="str">
        <f t="shared" si="3"/>
        <v/>
      </c>
      <c r="N385" s="47" t="str">
        <f>IFERROR(__xludf.DUMMYFUNCTION("IFERROR(IF(OR(ISBLANK($G385), IFERROR(INDEX(GOOGLEFINANCE($C385, ""price"", WORKDAY(INT($B385), 1)), 2, 2), """")=""""), """", IF($D385=""LONG"", (IFERROR(INDEX(GOOGLEFINANCE($C385, ""price"", WORKDAY(INT($B385), 1)), 2, 2), """")-$G385)/$G385, ($G385-IFE"&amp;"RROR(INDEX(GOOGLEFINANCE($C385, ""price"", WORKDAY(INT($B385), 1)), 2, 2), """"))/$G385)), """")"),"")</f>
        <v/>
      </c>
      <c r="O385" s="47" t="str">
        <f>IFERROR(__xludf.DUMMYFUNCTION("IFERROR(IF(OR(ISBLANK($G385), IFERROR(INDEX(GOOGLEFINANCE($C385, ""price"", WORKDAY(INT($B385), 5)), 2, 2), """")=""""), """", IF($D385=""LONG"", (IFERROR(INDEX(GOOGLEFINANCE($C385, ""price"", WORKDAY(INT($B385), 5)), 2, 2), """")-$G385)/$G385, ($G385-IFE"&amp;"RROR(INDEX(GOOGLEFINANCE($C385, ""price"", WORKDAY(INT($B385), 5)), 2, 2), """"))/$G385)), """")"),"")</f>
        <v/>
      </c>
      <c r="P385" s="47" t="str">
        <f>IFERROR(__xludf.DUMMYFUNCTION("IFERROR(IF(OR(ISBLANK($G385), IFERROR(INDEX(GOOGLEFINANCE($C385, ""price"", WORKDAY(INT($B385), 20)), 2, 2), """")=""""), """", IF($D385=""LONG"", (IFERROR(INDEX(GOOGLEFINANCE($C385, ""price"", WORKDAY(INT($B385), 20)), 2, 2), """")-$G385)/$G385, ($G385-I"&amp;"FERROR(INDEX(GOOGLEFINANCE($C385, ""price"", WORKDAY(INT($B385), 20)), 2, 2), """"))/$G385)), """")"),"")</f>
        <v/>
      </c>
      <c r="Q385" s="44"/>
      <c r="R385" s="44"/>
      <c r="S385" s="44"/>
      <c r="T385" s="44"/>
      <c r="U385" s="44"/>
      <c r="V385" s="44"/>
      <c r="W385" s="44"/>
      <c r="X385" s="44"/>
      <c r="Y385" s="44"/>
      <c r="Z385" s="44"/>
    </row>
    <row r="386">
      <c r="A386" s="44"/>
      <c r="B386" s="45"/>
      <c r="C386" s="44"/>
      <c r="D386" s="44"/>
      <c r="E386" s="44"/>
      <c r="F386" s="44"/>
      <c r="G386" s="46"/>
      <c r="H386" s="44"/>
      <c r="I386" s="44"/>
      <c r="J386" s="44"/>
      <c r="K386" s="44"/>
      <c r="L386" s="46" t="str">
        <f>IFERROR(__xludf.DUMMYFUNCTION("IFERROR(IF(ISBLANK($C386), """", GOOGLEFINANCE($C386, ""price"")), """")"),"")</f>
        <v/>
      </c>
      <c r="M386" s="47" t="str">
        <f t="shared" si="3"/>
        <v/>
      </c>
      <c r="N386" s="47" t="str">
        <f>IFERROR(__xludf.DUMMYFUNCTION("IFERROR(IF(OR(ISBLANK($G386), IFERROR(INDEX(GOOGLEFINANCE($C386, ""price"", WORKDAY(INT($B386), 1)), 2, 2), """")=""""), """", IF($D386=""LONG"", (IFERROR(INDEX(GOOGLEFINANCE($C386, ""price"", WORKDAY(INT($B386), 1)), 2, 2), """")-$G386)/$G386, ($G386-IFE"&amp;"RROR(INDEX(GOOGLEFINANCE($C386, ""price"", WORKDAY(INT($B386), 1)), 2, 2), """"))/$G386)), """")"),"")</f>
        <v/>
      </c>
      <c r="O386" s="47" t="str">
        <f>IFERROR(__xludf.DUMMYFUNCTION("IFERROR(IF(OR(ISBLANK($G386), IFERROR(INDEX(GOOGLEFINANCE($C386, ""price"", WORKDAY(INT($B386), 5)), 2, 2), """")=""""), """", IF($D386=""LONG"", (IFERROR(INDEX(GOOGLEFINANCE($C386, ""price"", WORKDAY(INT($B386), 5)), 2, 2), """")-$G386)/$G386, ($G386-IFE"&amp;"RROR(INDEX(GOOGLEFINANCE($C386, ""price"", WORKDAY(INT($B386), 5)), 2, 2), """"))/$G386)), """")"),"")</f>
        <v/>
      </c>
      <c r="P386" s="47" t="str">
        <f>IFERROR(__xludf.DUMMYFUNCTION("IFERROR(IF(OR(ISBLANK($G386), IFERROR(INDEX(GOOGLEFINANCE($C386, ""price"", WORKDAY(INT($B386), 20)), 2, 2), """")=""""), """", IF($D386=""LONG"", (IFERROR(INDEX(GOOGLEFINANCE($C386, ""price"", WORKDAY(INT($B386), 20)), 2, 2), """")-$G386)/$G386, ($G386-I"&amp;"FERROR(INDEX(GOOGLEFINANCE($C386, ""price"", WORKDAY(INT($B386), 20)), 2, 2), """"))/$G386)), """")"),"")</f>
        <v/>
      </c>
      <c r="Q386" s="44"/>
      <c r="R386" s="44"/>
      <c r="S386" s="44"/>
      <c r="T386" s="44"/>
      <c r="U386" s="44"/>
      <c r="V386" s="44"/>
      <c r="W386" s="44"/>
      <c r="X386" s="44"/>
      <c r="Y386" s="44"/>
      <c r="Z386" s="44"/>
    </row>
    <row r="387">
      <c r="A387" s="44"/>
      <c r="B387" s="45"/>
      <c r="C387" s="44"/>
      <c r="D387" s="44"/>
      <c r="E387" s="44"/>
      <c r="F387" s="44"/>
      <c r="G387" s="46"/>
      <c r="H387" s="44"/>
      <c r="I387" s="44"/>
      <c r="J387" s="44"/>
      <c r="K387" s="44"/>
      <c r="L387" s="46" t="str">
        <f>IFERROR(__xludf.DUMMYFUNCTION("IFERROR(IF(ISBLANK($C387), """", GOOGLEFINANCE($C387, ""price"")), """")"),"")</f>
        <v/>
      </c>
      <c r="M387" s="47" t="str">
        <f t="shared" si="3"/>
        <v/>
      </c>
      <c r="N387" s="47" t="str">
        <f>IFERROR(__xludf.DUMMYFUNCTION("IFERROR(IF(OR(ISBLANK($G387), IFERROR(INDEX(GOOGLEFINANCE($C387, ""price"", WORKDAY(INT($B387), 1)), 2, 2), """")=""""), """", IF($D387=""LONG"", (IFERROR(INDEX(GOOGLEFINANCE($C387, ""price"", WORKDAY(INT($B387), 1)), 2, 2), """")-$G387)/$G387, ($G387-IFE"&amp;"RROR(INDEX(GOOGLEFINANCE($C387, ""price"", WORKDAY(INT($B387), 1)), 2, 2), """"))/$G387)), """")"),"")</f>
        <v/>
      </c>
      <c r="O387" s="47" t="str">
        <f>IFERROR(__xludf.DUMMYFUNCTION("IFERROR(IF(OR(ISBLANK($G387), IFERROR(INDEX(GOOGLEFINANCE($C387, ""price"", WORKDAY(INT($B387), 5)), 2, 2), """")=""""), """", IF($D387=""LONG"", (IFERROR(INDEX(GOOGLEFINANCE($C387, ""price"", WORKDAY(INT($B387), 5)), 2, 2), """")-$G387)/$G387, ($G387-IFE"&amp;"RROR(INDEX(GOOGLEFINANCE($C387, ""price"", WORKDAY(INT($B387), 5)), 2, 2), """"))/$G387)), """")"),"")</f>
        <v/>
      </c>
      <c r="P387" s="47" t="str">
        <f>IFERROR(__xludf.DUMMYFUNCTION("IFERROR(IF(OR(ISBLANK($G387), IFERROR(INDEX(GOOGLEFINANCE($C387, ""price"", WORKDAY(INT($B387), 20)), 2, 2), """")=""""), """", IF($D387=""LONG"", (IFERROR(INDEX(GOOGLEFINANCE($C387, ""price"", WORKDAY(INT($B387), 20)), 2, 2), """")-$G387)/$G387, ($G387-I"&amp;"FERROR(INDEX(GOOGLEFINANCE($C387, ""price"", WORKDAY(INT($B387), 20)), 2, 2), """"))/$G387)), """")"),"")</f>
        <v/>
      </c>
      <c r="Q387" s="44"/>
      <c r="R387" s="44"/>
      <c r="S387" s="44"/>
      <c r="T387" s="44"/>
      <c r="U387" s="44"/>
      <c r="V387" s="44"/>
      <c r="W387" s="44"/>
      <c r="X387" s="44"/>
      <c r="Y387" s="44"/>
      <c r="Z387" s="44"/>
    </row>
    <row r="388">
      <c r="A388" s="44"/>
      <c r="B388" s="45"/>
      <c r="C388" s="44"/>
      <c r="D388" s="44"/>
      <c r="E388" s="44"/>
      <c r="F388" s="44"/>
      <c r="G388" s="46"/>
      <c r="H388" s="44"/>
      <c r="I388" s="44"/>
      <c r="J388" s="44"/>
      <c r="K388" s="44"/>
      <c r="L388" s="46" t="str">
        <f>IFERROR(__xludf.DUMMYFUNCTION("IFERROR(IF(ISBLANK($C388), """", GOOGLEFINANCE($C388, ""price"")), """")"),"")</f>
        <v/>
      </c>
      <c r="M388" s="47" t="str">
        <f t="shared" si="3"/>
        <v/>
      </c>
      <c r="N388" s="47" t="str">
        <f>IFERROR(__xludf.DUMMYFUNCTION("IFERROR(IF(OR(ISBLANK($G388), IFERROR(INDEX(GOOGLEFINANCE($C388, ""price"", WORKDAY(INT($B388), 1)), 2, 2), """")=""""), """", IF($D388=""LONG"", (IFERROR(INDEX(GOOGLEFINANCE($C388, ""price"", WORKDAY(INT($B388), 1)), 2, 2), """")-$G388)/$G388, ($G388-IFE"&amp;"RROR(INDEX(GOOGLEFINANCE($C388, ""price"", WORKDAY(INT($B388), 1)), 2, 2), """"))/$G388)), """")"),"")</f>
        <v/>
      </c>
      <c r="O388" s="47" t="str">
        <f>IFERROR(__xludf.DUMMYFUNCTION("IFERROR(IF(OR(ISBLANK($G388), IFERROR(INDEX(GOOGLEFINANCE($C388, ""price"", WORKDAY(INT($B388), 5)), 2, 2), """")=""""), """", IF($D388=""LONG"", (IFERROR(INDEX(GOOGLEFINANCE($C388, ""price"", WORKDAY(INT($B388), 5)), 2, 2), """")-$G388)/$G388, ($G388-IFE"&amp;"RROR(INDEX(GOOGLEFINANCE($C388, ""price"", WORKDAY(INT($B388), 5)), 2, 2), """"))/$G388)), """")"),"")</f>
        <v/>
      </c>
      <c r="P388" s="47" t="str">
        <f>IFERROR(__xludf.DUMMYFUNCTION("IFERROR(IF(OR(ISBLANK($G388), IFERROR(INDEX(GOOGLEFINANCE($C388, ""price"", WORKDAY(INT($B388), 20)), 2, 2), """")=""""), """", IF($D388=""LONG"", (IFERROR(INDEX(GOOGLEFINANCE($C388, ""price"", WORKDAY(INT($B388), 20)), 2, 2), """")-$G388)/$G388, ($G388-I"&amp;"FERROR(INDEX(GOOGLEFINANCE($C388, ""price"", WORKDAY(INT($B388), 20)), 2, 2), """"))/$G388)), """")"),"")</f>
        <v/>
      </c>
      <c r="Q388" s="44"/>
      <c r="R388" s="44"/>
      <c r="S388" s="44"/>
      <c r="T388" s="44"/>
      <c r="U388" s="44"/>
      <c r="V388" s="44"/>
      <c r="W388" s="44"/>
      <c r="X388" s="44"/>
      <c r="Y388" s="44"/>
      <c r="Z388" s="44"/>
    </row>
    <row r="389">
      <c r="A389" s="44"/>
      <c r="B389" s="45"/>
      <c r="C389" s="44"/>
      <c r="D389" s="44"/>
      <c r="E389" s="44"/>
      <c r="F389" s="44"/>
      <c r="G389" s="46"/>
      <c r="H389" s="44"/>
      <c r="I389" s="44"/>
      <c r="J389" s="44"/>
      <c r="K389" s="44"/>
      <c r="L389" s="46" t="str">
        <f>IFERROR(__xludf.DUMMYFUNCTION("IFERROR(IF(ISBLANK($C389), """", GOOGLEFINANCE($C389, ""price"")), """")"),"")</f>
        <v/>
      </c>
      <c r="M389" s="47" t="str">
        <f t="shared" si="3"/>
        <v/>
      </c>
      <c r="N389" s="47" t="str">
        <f>IFERROR(__xludf.DUMMYFUNCTION("IFERROR(IF(OR(ISBLANK($G389), IFERROR(INDEX(GOOGLEFINANCE($C389, ""price"", WORKDAY(INT($B389), 1)), 2, 2), """")=""""), """", IF($D389=""LONG"", (IFERROR(INDEX(GOOGLEFINANCE($C389, ""price"", WORKDAY(INT($B389), 1)), 2, 2), """")-$G389)/$G389, ($G389-IFE"&amp;"RROR(INDEX(GOOGLEFINANCE($C389, ""price"", WORKDAY(INT($B389), 1)), 2, 2), """"))/$G389)), """")"),"")</f>
        <v/>
      </c>
      <c r="O389" s="47" t="str">
        <f>IFERROR(__xludf.DUMMYFUNCTION("IFERROR(IF(OR(ISBLANK($G389), IFERROR(INDEX(GOOGLEFINANCE($C389, ""price"", WORKDAY(INT($B389), 5)), 2, 2), """")=""""), """", IF($D389=""LONG"", (IFERROR(INDEX(GOOGLEFINANCE($C389, ""price"", WORKDAY(INT($B389), 5)), 2, 2), """")-$G389)/$G389, ($G389-IFE"&amp;"RROR(INDEX(GOOGLEFINANCE($C389, ""price"", WORKDAY(INT($B389), 5)), 2, 2), """"))/$G389)), """")"),"")</f>
        <v/>
      </c>
      <c r="P389" s="47" t="str">
        <f>IFERROR(__xludf.DUMMYFUNCTION("IFERROR(IF(OR(ISBLANK($G389), IFERROR(INDEX(GOOGLEFINANCE($C389, ""price"", WORKDAY(INT($B389), 20)), 2, 2), """")=""""), """", IF($D389=""LONG"", (IFERROR(INDEX(GOOGLEFINANCE($C389, ""price"", WORKDAY(INT($B389), 20)), 2, 2), """")-$G389)/$G389, ($G389-I"&amp;"FERROR(INDEX(GOOGLEFINANCE($C389, ""price"", WORKDAY(INT($B389), 20)), 2, 2), """"))/$G389)), """")"),"")</f>
        <v/>
      </c>
      <c r="Q389" s="44"/>
      <c r="R389" s="44"/>
      <c r="S389" s="44"/>
      <c r="T389" s="44"/>
      <c r="U389" s="44"/>
      <c r="V389" s="44"/>
      <c r="W389" s="44"/>
      <c r="X389" s="44"/>
      <c r="Y389" s="44"/>
      <c r="Z389" s="44"/>
    </row>
    <row r="390">
      <c r="A390" s="44"/>
      <c r="B390" s="45"/>
      <c r="C390" s="44"/>
      <c r="D390" s="44"/>
      <c r="E390" s="44"/>
      <c r="F390" s="44"/>
      <c r="G390" s="46"/>
      <c r="H390" s="44"/>
      <c r="I390" s="44"/>
      <c r="J390" s="44"/>
      <c r="K390" s="44"/>
      <c r="L390" s="46" t="str">
        <f>IFERROR(__xludf.DUMMYFUNCTION("IFERROR(IF(ISBLANK($C390), """", GOOGLEFINANCE($C390, ""price"")), """")"),"")</f>
        <v/>
      </c>
      <c r="M390" s="47" t="str">
        <f t="shared" si="3"/>
        <v/>
      </c>
      <c r="N390" s="47" t="str">
        <f>IFERROR(__xludf.DUMMYFUNCTION("IFERROR(IF(OR(ISBLANK($G390), IFERROR(INDEX(GOOGLEFINANCE($C390, ""price"", WORKDAY(INT($B390), 1)), 2, 2), """")=""""), """", IF($D390=""LONG"", (IFERROR(INDEX(GOOGLEFINANCE($C390, ""price"", WORKDAY(INT($B390), 1)), 2, 2), """")-$G390)/$G390, ($G390-IFE"&amp;"RROR(INDEX(GOOGLEFINANCE($C390, ""price"", WORKDAY(INT($B390), 1)), 2, 2), """"))/$G390)), """")"),"")</f>
        <v/>
      </c>
      <c r="O390" s="47" t="str">
        <f>IFERROR(__xludf.DUMMYFUNCTION("IFERROR(IF(OR(ISBLANK($G390), IFERROR(INDEX(GOOGLEFINANCE($C390, ""price"", WORKDAY(INT($B390), 5)), 2, 2), """")=""""), """", IF($D390=""LONG"", (IFERROR(INDEX(GOOGLEFINANCE($C390, ""price"", WORKDAY(INT($B390), 5)), 2, 2), """")-$G390)/$G390, ($G390-IFE"&amp;"RROR(INDEX(GOOGLEFINANCE($C390, ""price"", WORKDAY(INT($B390), 5)), 2, 2), """"))/$G390)), """")"),"")</f>
        <v/>
      </c>
      <c r="P390" s="47" t="str">
        <f>IFERROR(__xludf.DUMMYFUNCTION("IFERROR(IF(OR(ISBLANK($G390), IFERROR(INDEX(GOOGLEFINANCE($C390, ""price"", WORKDAY(INT($B390), 20)), 2, 2), """")=""""), """", IF($D390=""LONG"", (IFERROR(INDEX(GOOGLEFINANCE($C390, ""price"", WORKDAY(INT($B390), 20)), 2, 2), """")-$G390)/$G390, ($G390-I"&amp;"FERROR(INDEX(GOOGLEFINANCE($C390, ""price"", WORKDAY(INT($B390), 20)), 2, 2), """"))/$G390)), """")"),"")</f>
        <v/>
      </c>
      <c r="Q390" s="44"/>
      <c r="R390" s="44"/>
      <c r="S390" s="44"/>
      <c r="T390" s="44"/>
      <c r="U390" s="44"/>
      <c r="V390" s="44"/>
      <c r="W390" s="44"/>
      <c r="X390" s="44"/>
      <c r="Y390" s="44"/>
      <c r="Z390" s="44"/>
    </row>
    <row r="391">
      <c r="A391" s="44"/>
      <c r="B391" s="45"/>
      <c r="C391" s="44"/>
      <c r="D391" s="44"/>
      <c r="E391" s="44"/>
      <c r="F391" s="44"/>
      <c r="G391" s="46"/>
      <c r="H391" s="44"/>
      <c r="I391" s="44"/>
      <c r="J391" s="44"/>
      <c r="K391" s="44"/>
      <c r="L391" s="46" t="str">
        <f>IFERROR(__xludf.DUMMYFUNCTION("IFERROR(IF(ISBLANK($C391), """", GOOGLEFINANCE($C391, ""price"")), """")"),"")</f>
        <v/>
      </c>
      <c r="M391" s="47" t="str">
        <f t="shared" si="3"/>
        <v/>
      </c>
      <c r="N391" s="47" t="str">
        <f>IFERROR(__xludf.DUMMYFUNCTION("IFERROR(IF(OR(ISBLANK($G391), IFERROR(INDEX(GOOGLEFINANCE($C391, ""price"", WORKDAY(INT($B391), 1)), 2, 2), """")=""""), """", IF($D391=""LONG"", (IFERROR(INDEX(GOOGLEFINANCE($C391, ""price"", WORKDAY(INT($B391), 1)), 2, 2), """")-$G391)/$G391, ($G391-IFE"&amp;"RROR(INDEX(GOOGLEFINANCE($C391, ""price"", WORKDAY(INT($B391), 1)), 2, 2), """"))/$G391)), """")"),"")</f>
        <v/>
      </c>
      <c r="O391" s="47" t="str">
        <f>IFERROR(__xludf.DUMMYFUNCTION("IFERROR(IF(OR(ISBLANK($G391), IFERROR(INDEX(GOOGLEFINANCE($C391, ""price"", WORKDAY(INT($B391), 5)), 2, 2), """")=""""), """", IF($D391=""LONG"", (IFERROR(INDEX(GOOGLEFINANCE($C391, ""price"", WORKDAY(INT($B391), 5)), 2, 2), """")-$G391)/$G391, ($G391-IFE"&amp;"RROR(INDEX(GOOGLEFINANCE($C391, ""price"", WORKDAY(INT($B391), 5)), 2, 2), """"))/$G391)), """")"),"")</f>
        <v/>
      </c>
      <c r="P391" s="47" t="str">
        <f>IFERROR(__xludf.DUMMYFUNCTION("IFERROR(IF(OR(ISBLANK($G391), IFERROR(INDEX(GOOGLEFINANCE($C391, ""price"", WORKDAY(INT($B391), 20)), 2, 2), """")=""""), """", IF($D391=""LONG"", (IFERROR(INDEX(GOOGLEFINANCE($C391, ""price"", WORKDAY(INT($B391), 20)), 2, 2), """")-$G391)/$G391, ($G391-I"&amp;"FERROR(INDEX(GOOGLEFINANCE($C391, ""price"", WORKDAY(INT($B391), 20)), 2, 2), """"))/$G391)), """")"),"")</f>
        <v/>
      </c>
      <c r="Q391" s="44"/>
      <c r="R391" s="44"/>
      <c r="S391" s="44"/>
      <c r="T391" s="44"/>
      <c r="U391" s="44"/>
      <c r="V391" s="44"/>
      <c r="W391" s="44"/>
      <c r="X391" s="44"/>
      <c r="Y391" s="44"/>
      <c r="Z391" s="44"/>
    </row>
    <row r="392">
      <c r="A392" s="44"/>
      <c r="B392" s="45"/>
      <c r="C392" s="44"/>
      <c r="D392" s="44"/>
      <c r="E392" s="44"/>
      <c r="F392" s="44"/>
      <c r="G392" s="46"/>
      <c r="H392" s="44"/>
      <c r="I392" s="44"/>
      <c r="J392" s="44"/>
      <c r="K392" s="44"/>
      <c r="L392" s="46" t="str">
        <f>IFERROR(__xludf.DUMMYFUNCTION("IFERROR(IF(ISBLANK($C392), """", GOOGLEFINANCE($C392, ""price"")), """")"),"")</f>
        <v/>
      </c>
      <c r="M392" s="47" t="str">
        <f t="shared" si="3"/>
        <v/>
      </c>
      <c r="N392" s="47" t="str">
        <f>IFERROR(__xludf.DUMMYFUNCTION("IFERROR(IF(OR(ISBLANK($G392), IFERROR(INDEX(GOOGLEFINANCE($C392, ""price"", WORKDAY(INT($B392), 1)), 2, 2), """")=""""), """", IF($D392=""LONG"", (IFERROR(INDEX(GOOGLEFINANCE($C392, ""price"", WORKDAY(INT($B392), 1)), 2, 2), """")-$G392)/$G392, ($G392-IFE"&amp;"RROR(INDEX(GOOGLEFINANCE($C392, ""price"", WORKDAY(INT($B392), 1)), 2, 2), """"))/$G392)), """")"),"")</f>
        <v/>
      </c>
      <c r="O392" s="47" t="str">
        <f>IFERROR(__xludf.DUMMYFUNCTION("IFERROR(IF(OR(ISBLANK($G392), IFERROR(INDEX(GOOGLEFINANCE($C392, ""price"", WORKDAY(INT($B392), 5)), 2, 2), """")=""""), """", IF($D392=""LONG"", (IFERROR(INDEX(GOOGLEFINANCE($C392, ""price"", WORKDAY(INT($B392), 5)), 2, 2), """")-$G392)/$G392, ($G392-IFE"&amp;"RROR(INDEX(GOOGLEFINANCE($C392, ""price"", WORKDAY(INT($B392), 5)), 2, 2), """"))/$G392)), """")"),"")</f>
        <v/>
      </c>
      <c r="P392" s="47" t="str">
        <f>IFERROR(__xludf.DUMMYFUNCTION("IFERROR(IF(OR(ISBLANK($G392), IFERROR(INDEX(GOOGLEFINANCE($C392, ""price"", WORKDAY(INT($B392), 20)), 2, 2), """")=""""), """", IF($D392=""LONG"", (IFERROR(INDEX(GOOGLEFINANCE($C392, ""price"", WORKDAY(INT($B392), 20)), 2, 2), """")-$G392)/$G392, ($G392-I"&amp;"FERROR(INDEX(GOOGLEFINANCE($C392, ""price"", WORKDAY(INT($B392), 20)), 2, 2), """"))/$G392)), """")"),"")</f>
        <v/>
      </c>
      <c r="Q392" s="44"/>
      <c r="R392" s="44"/>
      <c r="S392" s="44"/>
      <c r="T392" s="44"/>
      <c r="U392" s="44"/>
      <c r="V392" s="44"/>
      <c r="W392" s="44"/>
      <c r="X392" s="44"/>
      <c r="Y392" s="44"/>
      <c r="Z392" s="44"/>
    </row>
    <row r="393">
      <c r="A393" s="44"/>
      <c r="B393" s="45"/>
      <c r="C393" s="44"/>
      <c r="D393" s="44"/>
      <c r="E393" s="44"/>
      <c r="F393" s="44"/>
      <c r="G393" s="46"/>
      <c r="H393" s="44"/>
      <c r="I393" s="44"/>
      <c r="J393" s="44"/>
      <c r="K393" s="44"/>
      <c r="L393" s="46" t="str">
        <f>IFERROR(__xludf.DUMMYFUNCTION("IFERROR(IF(ISBLANK($C393), """", GOOGLEFINANCE($C393, ""price"")), """")"),"")</f>
        <v/>
      </c>
      <c r="M393" s="47" t="str">
        <f t="shared" si="3"/>
        <v/>
      </c>
      <c r="N393" s="47" t="str">
        <f>IFERROR(__xludf.DUMMYFUNCTION("IFERROR(IF(OR(ISBLANK($G393), IFERROR(INDEX(GOOGLEFINANCE($C393, ""price"", WORKDAY(INT($B393), 1)), 2, 2), """")=""""), """", IF($D393=""LONG"", (IFERROR(INDEX(GOOGLEFINANCE($C393, ""price"", WORKDAY(INT($B393), 1)), 2, 2), """")-$G393)/$G393, ($G393-IFE"&amp;"RROR(INDEX(GOOGLEFINANCE($C393, ""price"", WORKDAY(INT($B393), 1)), 2, 2), """"))/$G393)), """")"),"")</f>
        <v/>
      </c>
      <c r="O393" s="47" t="str">
        <f>IFERROR(__xludf.DUMMYFUNCTION("IFERROR(IF(OR(ISBLANK($G393), IFERROR(INDEX(GOOGLEFINANCE($C393, ""price"", WORKDAY(INT($B393), 5)), 2, 2), """")=""""), """", IF($D393=""LONG"", (IFERROR(INDEX(GOOGLEFINANCE($C393, ""price"", WORKDAY(INT($B393), 5)), 2, 2), """")-$G393)/$G393, ($G393-IFE"&amp;"RROR(INDEX(GOOGLEFINANCE($C393, ""price"", WORKDAY(INT($B393), 5)), 2, 2), """"))/$G393)), """")"),"")</f>
        <v/>
      </c>
      <c r="P393" s="47" t="str">
        <f>IFERROR(__xludf.DUMMYFUNCTION("IFERROR(IF(OR(ISBLANK($G393), IFERROR(INDEX(GOOGLEFINANCE($C393, ""price"", WORKDAY(INT($B393), 20)), 2, 2), """")=""""), """", IF($D393=""LONG"", (IFERROR(INDEX(GOOGLEFINANCE($C393, ""price"", WORKDAY(INT($B393), 20)), 2, 2), """")-$G393)/$G393, ($G393-I"&amp;"FERROR(INDEX(GOOGLEFINANCE($C393, ""price"", WORKDAY(INT($B393), 20)), 2, 2), """"))/$G393)), """")"),"")</f>
        <v/>
      </c>
      <c r="Q393" s="44"/>
      <c r="R393" s="44"/>
      <c r="S393" s="44"/>
      <c r="T393" s="44"/>
      <c r="U393" s="44"/>
      <c r="V393" s="44"/>
      <c r="W393" s="44"/>
      <c r="X393" s="44"/>
      <c r="Y393" s="44"/>
      <c r="Z393" s="44"/>
    </row>
    <row r="394">
      <c r="A394" s="44"/>
      <c r="B394" s="45"/>
      <c r="C394" s="44"/>
      <c r="D394" s="44"/>
      <c r="E394" s="44"/>
      <c r="F394" s="44"/>
      <c r="G394" s="46"/>
      <c r="H394" s="44"/>
      <c r="I394" s="44"/>
      <c r="J394" s="44"/>
      <c r="K394" s="44"/>
      <c r="L394" s="46" t="str">
        <f>IFERROR(__xludf.DUMMYFUNCTION("IFERROR(IF(ISBLANK($C394), """", GOOGLEFINANCE($C394, ""price"")), """")"),"")</f>
        <v/>
      </c>
      <c r="M394" s="47" t="str">
        <f t="shared" si="3"/>
        <v/>
      </c>
      <c r="N394" s="47" t="str">
        <f>IFERROR(__xludf.DUMMYFUNCTION("IFERROR(IF(OR(ISBLANK($G394), IFERROR(INDEX(GOOGLEFINANCE($C394, ""price"", WORKDAY(INT($B394), 1)), 2, 2), """")=""""), """", IF($D394=""LONG"", (IFERROR(INDEX(GOOGLEFINANCE($C394, ""price"", WORKDAY(INT($B394), 1)), 2, 2), """")-$G394)/$G394, ($G394-IFE"&amp;"RROR(INDEX(GOOGLEFINANCE($C394, ""price"", WORKDAY(INT($B394), 1)), 2, 2), """"))/$G394)), """")"),"")</f>
        <v/>
      </c>
      <c r="O394" s="47" t="str">
        <f>IFERROR(__xludf.DUMMYFUNCTION("IFERROR(IF(OR(ISBLANK($G394), IFERROR(INDEX(GOOGLEFINANCE($C394, ""price"", WORKDAY(INT($B394), 5)), 2, 2), """")=""""), """", IF($D394=""LONG"", (IFERROR(INDEX(GOOGLEFINANCE($C394, ""price"", WORKDAY(INT($B394), 5)), 2, 2), """")-$G394)/$G394, ($G394-IFE"&amp;"RROR(INDEX(GOOGLEFINANCE($C394, ""price"", WORKDAY(INT($B394), 5)), 2, 2), """"))/$G394)), """")"),"")</f>
        <v/>
      </c>
      <c r="P394" s="47" t="str">
        <f>IFERROR(__xludf.DUMMYFUNCTION("IFERROR(IF(OR(ISBLANK($G394), IFERROR(INDEX(GOOGLEFINANCE($C394, ""price"", WORKDAY(INT($B394), 20)), 2, 2), """")=""""), """", IF($D394=""LONG"", (IFERROR(INDEX(GOOGLEFINANCE($C394, ""price"", WORKDAY(INT($B394), 20)), 2, 2), """")-$G394)/$G394, ($G394-I"&amp;"FERROR(INDEX(GOOGLEFINANCE($C394, ""price"", WORKDAY(INT($B394), 20)), 2, 2), """"))/$G394)), """")"),"")</f>
        <v/>
      </c>
      <c r="Q394" s="44"/>
      <c r="R394" s="44"/>
      <c r="S394" s="44"/>
      <c r="T394" s="44"/>
      <c r="U394" s="44"/>
      <c r="V394" s="44"/>
      <c r="W394" s="44"/>
      <c r="X394" s="44"/>
      <c r="Y394" s="44"/>
      <c r="Z394" s="44"/>
    </row>
    <row r="395">
      <c r="A395" s="44"/>
      <c r="B395" s="45"/>
      <c r="C395" s="44"/>
      <c r="D395" s="44"/>
      <c r="E395" s="44"/>
      <c r="F395" s="44"/>
      <c r="G395" s="46"/>
      <c r="H395" s="44"/>
      <c r="I395" s="44"/>
      <c r="J395" s="44"/>
      <c r="K395" s="44"/>
      <c r="L395" s="46" t="str">
        <f>IFERROR(__xludf.DUMMYFUNCTION("IFERROR(IF(ISBLANK($C395), """", GOOGLEFINANCE($C395, ""price"")), """")"),"")</f>
        <v/>
      </c>
      <c r="M395" s="47" t="str">
        <f t="shared" si="3"/>
        <v/>
      </c>
      <c r="N395" s="47" t="str">
        <f>IFERROR(__xludf.DUMMYFUNCTION("IFERROR(IF(OR(ISBLANK($G395), IFERROR(INDEX(GOOGLEFINANCE($C395, ""price"", WORKDAY(INT($B395), 1)), 2, 2), """")=""""), """", IF($D395=""LONG"", (IFERROR(INDEX(GOOGLEFINANCE($C395, ""price"", WORKDAY(INT($B395), 1)), 2, 2), """")-$G395)/$G395, ($G395-IFE"&amp;"RROR(INDEX(GOOGLEFINANCE($C395, ""price"", WORKDAY(INT($B395), 1)), 2, 2), """"))/$G395)), """")"),"")</f>
        <v/>
      </c>
      <c r="O395" s="47" t="str">
        <f>IFERROR(__xludf.DUMMYFUNCTION("IFERROR(IF(OR(ISBLANK($G395), IFERROR(INDEX(GOOGLEFINANCE($C395, ""price"", WORKDAY(INT($B395), 5)), 2, 2), """")=""""), """", IF($D395=""LONG"", (IFERROR(INDEX(GOOGLEFINANCE($C395, ""price"", WORKDAY(INT($B395), 5)), 2, 2), """")-$G395)/$G395, ($G395-IFE"&amp;"RROR(INDEX(GOOGLEFINANCE($C395, ""price"", WORKDAY(INT($B395), 5)), 2, 2), """"))/$G395)), """")"),"")</f>
        <v/>
      </c>
      <c r="P395" s="47" t="str">
        <f>IFERROR(__xludf.DUMMYFUNCTION("IFERROR(IF(OR(ISBLANK($G395), IFERROR(INDEX(GOOGLEFINANCE($C395, ""price"", WORKDAY(INT($B395), 20)), 2, 2), """")=""""), """", IF($D395=""LONG"", (IFERROR(INDEX(GOOGLEFINANCE($C395, ""price"", WORKDAY(INT($B395), 20)), 2, 2), """")-$G395)/$G395, ($G395-I"&amp;"FERROR(INDEX(GOOGLEFINANCE($C395, ""price"", WORKDAY(INT($B395), 20)), 2, 2), """"))/$G395)), """")"),"")</f>
        <v/>
      </c>
      <c r="Q395" s="44"/>
      <c r="R395" s="44"/>
      <c r="S395" s="44"/>
      <c r="T395" s="44"/>
      <c r="U395" s="44"/>
      <c r="V395" s="44"/>
      <c r="W395" s="44"/>
      <c r="X395" s="44"/>
      <c r="Y395" s="44"/>
      <c r="Z395" s="44"/>
    </row>
    <row r="396">
      <c r="A396" s="44"/>
      <c r="B396" s="45"/>
      <c r="C396" s="44"/>
      <c r="D396" s="44"/>
      <c r="E396" s="44"/>
      <c r="F396" s="44"/>
      <c r="G396" s="46"/>
      <c r="H396" s="44"/>
      <c r="I396" s="44"/>
      <c r="J396" s="44"/>
      <c r="K396" s="44"/>
      <c r="L396" s="46" t="str">
        <f>IFERROR(__xludf.DUMMYFUNCTION("IFERROR(IF(ISBLANK($C396), """", GOOGLEFINANCE($C396, ""price"")), """")"),"")</f>
        <v/>
      </c>
      <c r="M396" s="47" t="str">
        <f t="shared" si="3"/>
        <v/>
      </c>
      <c r="N396" s="47" t="str">
        <f>IFERROR(__xludf.DUMMYFUNCTION("IFERROR(IF(OR(ISBLANK($G396), IFERROR(INDEX(GOOGLEFINANCE($C396, ""price"", WORKDAY(INT($B396), 1)), 2, 2), """")=""""), """", IF($D396=""LONG"", (IFERROR(INDEX(GOOGLEFINANCE($C396, ""price"", WORKDAY(INT($B396), 1)), 2, 2), """")-$G396)/$G396, ($G396-IFE"&amp;"RROR(INDEX(GOOGLEFINANCE($C396, ""price"", WORKDAY(INT($B396), 1)), 2, 2), """"))/$G396)), """")"),"")</f>
        <v/>
      </c>
      <c r="O396" s="47" t="str">
        <f>IFERROR(__xludf.DUMMYFUNCTION("IFERROR(IF(OR(ISBLANK($G396), IFERROR(INDEX(GOOGLEFINANCE($C396, ""price"", WORKDAY(INT($B396), 5)), 2, 2), """")=""""), """", IF($D396=""LONG"", (IFERROR(INDEX(GOOGLEFINANCE($C396, ""price"", WORKDAY(INT($B396), 5)), 2, 2), """")-$G396)/$G396, ($G396-IFE"&amp;"RROR(INDEX(GOOGLEFINANCE($C396, ""price"", WORKDAY(INT($B396), 5)), 2, 2), """"))/$G396)), """")"),"")</f>
        <v/>
      </c>
      <c r="P396" s="47" t="str">
        <f>IFERROR(__xludf.DUMMYFUNCTION("IFERROR(IF(OR(ISBLANK($G396), IFERROR(INDEX(GOOGLEFINANCE($C396, ""price"", WORKDAY(INT($B396), 20)), 2, 2), """")=""""), """", IF($D396=""LONG"", (IFERROR(INDEX(GOOGLEFINANCE($C396, ""price"", WORKDAY(INT($B396), 20)), 2, 2), """")-$G396)/$G396, ($G396-I"&amp;"FERROR(INDEX(GOOGLEFINANCE($C396, ""price"", WORKDAY(INT($B396), 20)), 2, 2), """"))/$G396)), """")"),"")</f>
        <v/>
      </c>
      <c r="Q396" s="44"/>
      <c r="R396" s="44"/>
      <c r="S396" s="44"/>
      <c r="T396" s="44"/>
      <c r="U396" s="44"/>
      <c r="V396" s="44"/>
      <c r="W396" s="44"/>
      <c r="X396" s="44"/>
      <c r="Y396" s="44"/>
      <c r="Z396" s="44"/>
    </row>
    <row r="397">
      <c r="A397" s="44"/>
      <c r="B397" s="45"/>
      <c r="C397" s="44"/>
      <c r="D397" s="44"/>
      <c r="E397" s="44"/>
      <c r="F397" s="44"/>
      <c r="G397" s="46"/>
      <c r="H397" s="44"/>
      <c r="I397" s="44"/>
      <c r="J397" s="44"/>
      <c r="K397" s="44"/>
      <c r="L397" s="46" t="str">
        <f>IFERROR(__xludf.DUMMYFUNCTION("IFERROR(IF(ISBLANK($C397), """", GOOGLEFINANCE($C397, ""price"")), """")"),"")</f>
        <v/>
      </c>
      <c r="M397" s="47" t="str">
        <f t="shared" si="3"/>
        <v/>
      </c>
      <c r="N397" s="47" t="str">
        <f>IFERROR(__xludf.DUMMYFUNCTION("IFERROR(IF(OR(ISBLANK($G397), IFERROR(INDEX(GOOGLEFINANCE($C397, ""price"", WORKDAY(INT($B397), 1)), 2, 2), """")=""""), """", IF($D397=""LONG"", (IFERROR(INDEX(GOOGLEFINANCE($C397, ""price"", WORKDAY(INT($B397), 1)), 2, 2), """")-$G397)/$G397, ($G397-IFE"&amp;"RROR(INDEX(GOOGLEFINANCE($C397, ""price"", WORKDAY(INT($B397), 1)), 2, 2), """"))/$G397)), """")"),"")</f>
        <v/>
      </c>
      <c r="O397" s="47" t="str">
        <f>IFERROR(__xludf.DUMMYFUNCTION("IFERROR(IF(OR(ISBLANK($G397), IFERROR(INDEX(GOOGLEFINANCE($C397, ""price"", WORKDAY(INT($B397), 5)), 2, 2), """")=""""), """", IF($D397=""LONG"", (IFERROR(INDEX(GOOGLEFINANCE($C397, ""price"", WORKDAY(INT($B397), 5)), 2, 2), """")-$G397)/$G397, ($G397-IFE"&amp;"RROR(INDEX(GOOGLEFINANCE($C397, ""price"", WORKDAY(INT($B397), 5)), 2, 2), """"))/$G397)), """")"),"")</f>
        <v/>
      </c>
      <c r="P397" s="47" t="str">
        <f>IFERROR(__xludf.DUMMYFUNCTION("IFERROR(IF(OR(ISBLANK($G397), IFERROR(INDEX(GOOGLEFINANCE($C397, ""price"", WORKDAY(INT($B397), 20)), 2, 2), """")=""""), """", IF($D397=""LONG"", (IFERROR(INDEX(GOOGLEFINANCE($C397, ""price"", WORKDAY(INT($B397), 20)), 2, 2), """")-$G397)/$G397, ($G397-I"&amp;"FERROR(INDEX(GOOGLEFINANCE($C397, ""price"", WORKDAY(INT($B397), 20)), 2, 2), """"))/$G397)), """")"),"")</f>
        <v/>
      </c>
      <c r="Q397" s="44"/>
      <c r="R397" s="44"/>
      <c r="S397" s="44"/>
      <c r="T397" s="44"/>
      <c r="U397" s="44"/>
      <c r="V397" s="44"/>
      <c r="W397" s="44"/>
      <c r="X397" s="44"/>
      <c r="Y397" s="44"/>
      <c r="Z397" s="44"/>
    </row>
    <row r="398">
      <c r="A398" s="44"/>
      <c r="B398" s="45"/>
      <c r="C398" s="44"/>
      <c r="D398" s="44"/>
      <c r="E398" s="44"/>
      <c r="F398" s="44"/>
      <c r="G398" s="46"/>
      <c r="H398" s="44"/>
      <c r="I398" s="44"/>
      <c r="J398" s="44"/>
      <c r="K398" s="44"/>
      <c r="L398" s="46" t="str">
        <f>IFERROR(__xludf.DUMMYFUNCTION("IFERROR(IF(ISBLANK($C398), """", GOOGLEFINANCE($C398, ""price"")), """")"),"")</f>
        <v/>
      </c>
      <c r="M398" s="47" t="str">
        <f t="shared" si="3"/>
        <v/>
      </c>
      <c r="N398" s="47" t="str">
        <f>IFERROR(__xludf.DUMMYFUNCTION("IFERROR(IF(OR(ISBLANK($G398), IFERROR(INDEX(GOOGLEFINANCE($C398, ""price"", WORKDAY(INT($B398), 1)), 2, 2), """")=""""), """", IF($D398=""LONG"", (IFERROR(INDEX(GOOGLEFINANCE($C398, ""price"", WORKDAY(INT($B398), 1)), 2, 2), """")-$G398)/$G398, ($G398-IFE"&amp;"RROR(INDEX(GOOGLEFINANCE($C398, ""price"", WORKDAY(INT($B398), 1)), 2, 2), """"))/$G398)), """")"),"")</f>
        <v/>
      </c>
      <c r="O398" s="47" t="str">
        <f>IFERROR(__xludf.DUMMYFUNCTION("IFERROR(IF(OR(ISBLANK($G398), IFERROR(INDEX(GOOGLEFINANCE($C398, ""price"", WORKDAY(INT($B398), 5)), 2, 2), """")=""""), """", IF($D398=""LONG"", (IFERROR(INDEX(GOOGLEFINANCE($C398, ""price"", WORKDAY(INT($B398), 5)), 2, 2), """")-$G398)/$G398, ($G398-IFE"&amp;"RROR(INDEX(GOOGLEFINANCE($C398, ""price"", WORKDAY(INT($B398), 5)), 2, 2), """"))/$G398)), """")"),"")</f>
        <v/>
      </c>
      <c r="P398" s="47" t="str">
        <f>IFERROR(__xludf.DUMMYFUNCTION("IFERROR(IF(OR(ISBLANK($G398), IFERROR(INDEX(GOOGLEFINANCE($C398, ""price"", WORKDAY(INT($B398), 20)), 2, 2), """")=""""), """", IF($D398=""LONG"", (IFERROR(INDEX(GOOGLEFINANCE($C398, ""price"", WORKDAY(INT($B398), 20)), 2, 2), """")-$G398)/$G398, ($G398-I"&amp;"FERROR(INDEX(GOOGLEFINANCE($C398, ""price"", WORKDAY(INT($B398), 20)), 2, 2), """"))/$G398)), """")"),"")</f>
        <v/>
      </c>
      <c r="Q398" s="44"/>
      <c r="R398" s="44"/>
      <c r="S398" s="44"/>
      <c r="T398" s="44"/>
      <c r="U398" s="44"/>
      <c r="V398" s="44"/>
      <c r="W398" s="44"/>
      <c r="X398" s="44"/>
      <c r="Y398" s="44"/>
      <c r="Z398" s="44"/>
    </row>
    <row r="399">
      <c r="A399" s="44"/>
      <c r="B399" s="45"/>
      <c r="C399" s="44"/>
      <c r="D399" s="44"/>
      <c r="E399" s="44"/>
      <c r="F399" s="44"/>
      <c r="G399" s="46"/>
      <c r="H399" s="44"/>
      <c r="I399" s="44"/>
      <c r="J399" s="44"/>
      <c r="K399" s="44"/>
      <c r="L399" s="46" t="str">
        <f>IFERROR(__xludf.DUMMYFUNCTION("IFERROR(IF(ISBLANK($C399), """", GOOGLEFINANCE($C399, ""price"")), """")"),"")</f>
        <v/>
      </c>
      <c r="M399" s="47" t="str">
        <f t="shared" si="3"/>
        <v/>
      </c>
      <c r="N399" s="47" t="str">
        <f>IFERROR(__xludf.DUMMYFUNCTION("IFERROR(IF(OR(ISBLANK($G399), IFERROR(INDEX(GOOGLEFINANCE($C399, ""price"", WORKDAY(INT($B399), 1)), 2, 2), """")=""""), """", IF($D399=""LONG"", (IFERROR(INDEX(GOOGLEFINANCE($C399, ""price"", WORKDAY(INT($B399), 1)), 2, 2), """")-$G399)/$G399, ($G399-IFE"&amp;"RROR(INDEX(GOOGLEFINANCE($C399, ""price"", WORKDAY(INT($B399), 1)), 2, 2), """"))/$G399)), """")"),"")</f>
        <v/>
      </c>
      <c r="O399" s="47" t="str">
        <f>IFERROR(__xludf.DUMMYFUNCTION("IFERROR(IF(OR(ISBLANK($G399), IFERROR(INDEX(GOOGLEFINANCE($C399, ""price"", WORKDAY(INT($B399), 5)), 2, 2), """")=""""), """", IF($D399=""LONG"", (IFERROR(INDEX(GOOGLEFINANCE($C399, ""price"", WORKDAY(INT($B399), 5)), 2, 2), """")-$G399)/$G399, ($G399-IFE"&amp;"RROR(INDEX(GOOGLEFINANCE($C399, ""price"", WORKDAY(INT($B399), 5)), 2, 2), """"))/$G399)), """")"),"")</f>
        <v/>
      </c>
      <c r="P399" s="47" t="str">
        <f>IFERROR(__xludf.DUMMYFUNCTION("IFERROR(IF(OR(ISBLANK($G399), IFERROR(INDEX(GOOGLEFINANCE($C399, ""price"", WORKDAY(INT($B399), 20)), 2, 2), """")=""""), """", IF($D399=""LONG"", (IFERROR(INDEX(GOOGLEFINANCE($C399, ""price"", WORKDAY(INT($B399), 20)), 2, 2), """")-$G399)/$G399, ($G399-I"&amp;"FERROR(INDEX(GOOGLEFINANCE($C399, ""price"", WORKDAY(INT($B399), 20)), 2, 2), """"))/$G399)), """")"),"")</f>
        <v/>
      </c>
      <c r="Q399" s="44"/>
      <c r="R399" s="44"/>
      <c r="S399" s="44"/>
      <c r="T399" s="44"/>
      <c r="U399" s="44"/>
      <c r="V399" s="44"/>
      <c r="W399" s="44"/>
      <c r="X399" s="44"/>
      <c r="Y399" s="44"/>
      <c r="Z399" s="44"/>
    </row>
    <row r="400">
      <c r="A400" s="44"/>
      <c r="B400" s="45"/>
      <c r="C400" s="44"/>
      <c r="D400" s="44"/>
      <c r="E400" s="44"/>
      <c r="F400" s="44"/>
      <c r="G400" s="46"/>
      <c r="H400" s="44"/>
      <c r="I400" s="44"/>
      <c r="J400" s="44"/>
      <c r="K400" s="44"/>
      <c r="L400" s="46" t="str">
        <f>IFERROR(__xludf.DUMMYFUNCTION("IFERROR(IF(ISBLANK($C400), """", GOOGLEFINANCE($C400, ""price"")), """")"),"")</f>
        <v/>
      </c>
      <c r="M400" s="47" t="str">
        <f t="shared" si="3"/>
        <v/>
      </c>
      <c r="N400" s="47" t="str">
        <f>IFERROR(__xludf.DUMMYFUNCTION("IFERROR(IF(OR(ISBLANK($G400), IFERROR(INDEX(GOOGLEFINANCE($C400, ""price"", WORKDAY(INT($B400), 1)), 2, 2), """")=""""), """", IF($D400=""LONG"", (IFERROR(INDEX(GOOGLEFINANCE($C400, ""price"", WORKDAY(INT($B400), 1)), 2, 2), """")-$G400)/$G400, ($G400-IFE"&amp;"RROR(INDEX(GOOGLEFINANCE($C400, ""price"", WORKDAY(INT($B400), 1)), 2, 2), """"))/$G400)), """")"),"")</f>
        <v/>
      </c>
      <c r="O400" s="47" t="str">
        <f>IFERROR(__xludf.DUMMYFUNCTION("IFERROR(IF(OR(ISBLANK($G400), IFERROR(INDEX(GOOGLEFINANCE($C400, ""price"", WORKDAY(INT($B400), 5)), 2, 2), """")=""""), """", IF($D400=""LONG"", (IFERROR(INDEX(GOOGLEFINANCE($C400, ""price"", WORKDAY(INT($B400), 5)), 2, 2), """")-$G400)/$G400, ($G400-IFE"&amp;"RROR(INDEX(GOOGLEFINANCE($C400, ""price"", WORKDAY(INT($B400), 5)), 2, 2), """"))/$G400)), """")"),"")</f>
        <v/>
      </c>
      <c r="P400" s="47" t="str">
        <f>IFERROR(__xludf.DUMMYFUNCTION("IFERROR(IF(OR(ISBLANK($G400), IFERROR(INDEX(GOOGLEFINANCE($C400, ""price"", WORKDAY(INT($B400), 20)), 2, 2), """")=""""), """", IF($D400=""LONG"", (IFERROR(INDEX(GOOGLEFINANCE($C400, ""price"", WORKDAY(INT($B400), 20)), 2, 2), """")-$G400)/$G400, ($G400-I"&amp;"FERROR(INDEX(GOOGLEFINANCE($C400, ""price"", WORKDAY(INT($B400), 20)), 2, 2), """"))/$G400)), """")"),"")</f>
        <v/>
      </c>
      <c r="Q400" s="44"/>
      <c r="R400" s="44"/>
      <c r="S400" s="44"/>
      <c r="T400" s="44"/>
      <c r="U400" s="44"/>
      <c r="V400" s="44"/>
      <c r="W400" s="44"/>
      <c r="X400" s="44"/>
      <c r="Y400" s="44"/>
      <c r="Z400" s="44"/>
    </row>
    <row r="401">
      <c r="A401" s="44"/>
      <c r="B401" s="45"/>
      <c r="C401" s="44"/>
      <c r="D401" s="44"/>
      <c r="E401" s="44"/>
      <c r="F401" s="44"/>
      <c r="G401" s="46"/>
      <c r="H401" s="44"/>
      <c r="I401" s="44"/>
      <c r="J401" s="44"/>
      <c r="K401" s="44"/>
      <c r="L401" s="46" t="str">
        <f>IFERROR(__xludf.DUMMYFUNCTION("IFERROR(IF(ISBLANK($C401), """", GOOGLEFINANCE($C401, ""price"")), """")"),"")</f>
        <v/>
      </c>
      <c r="M401" s="47" t="str">
        <f t="shared" si="3"/>
        <v/>
      </c>
      <c r="N401" s="47" t="str">
        <f>IFERROR(__xludf.DUMMYFUNCTION("IFERROR(IF(OR(ISBLANK($G401), IFERROR(INDEX(GOOGLEFINANCE($C401, ""price"", WORKDAY(INT($B401), 1)), 2, 2), """")=""""), """", IF($D401=""LONG"", (IFERROR(INDEX(GOOGLEFINANCE($C401, ""price"", WORKDAY(INT($B401), 1)), 2, 2), """")-$G401)/$G401, ($G401-IFE"&amp;"RROR(INDEX(GOOGLEFINANCE($C401, ""price"", WORKDAY(INT($B401), 1)), 2, 2), """"))/$G401)), """")"),"")</f>
        <v/>
      </c>
      <c r="O401" s="47" t="str">
        <f>IFERROR(__xludf.DUMMYFUNCTION("IFERROR(IF(OR(ISBLANK($G401), IFERROR(INDEX(GOOGLEFINANCE($C401, ""price"", WORKDAY(INT($B401), 5)), 2, 2), """")=""""), """", IF($D401=""LONG"", (IFERROR(INDEX(GOOGLEFINANCE($C401, ""price"", WORKDAY(INT($B401), 5)), 2, 2), """")-$G401)/$G401, ($G401-IFE"&amp;"RROR(INDEX(GOOGLEFINANCE($C401, ""price"", WORKDAY(INT($B401), 5)), 2, 2), """"))/$G401)), """")"),"")</f>
        <v/>
      </c>
      <c r="P401" s="47" t="str">
        <f>IFERROR(__xludf.DUMMYFUNCTION("IFERROR(IF(OR(ISBLANK($G401), IFERROR(INDEX(GOOGLEFINANCE($C401, ""price"", WORKDAY(INT($B401), 20)), 2, 2), """")=""""), """", IF($D401=""LONG"", (IFERROR(INDEX(GOOGLEFINANCE($C401, ""price"", WORKDAY(INT($B401), 20)), 2, 2), """")-$G401)/$G401, ($G401-I"&amp;"FERROR(INDEX(GOOGLEFINANCE($C401, ""price"", WORKDAY(INT($B401), 20)), 2, 2), """"))/$G401)), """")"),"")</f>
        <v/>
      </c>
      <c r="Q401" s="44"/>
      <c r="R401" s="44"/>
      <c r="S401" s="44"/>
      <c r="T401" s="44"/>
      <c r="U401" s="44"/>
      <c r="V401" s="44"/>
      <c r="W401" s="44"/>
      <c r="X401" s="44"/>
      <c r="Y401" s="44"/>
      <c r="Z401" s="44"/>
    </row>
    <row r="402">
      <c r="A402" s="44"/>
      <c r="B402" s="45"/>
      <c r="C402" s="44"/>
      <c r="D402" s="44"/>
      <c r="E402" s="44"/>
      <c r="F402" s="44"/>
      <c r="G402" s="46"/>
      <c r="H402" s="44"/>
      <c r="I402" s="44"/>
      <c r="J402" s="44"/>
      <c r="K402" s="44"/>
      <c r="L402" s="46" t="str">
        <f>IFERROR(__xludf.DUMMYFUNCTION("IFERROR(IF(ISBLANK($C402), """", GOOGLEFINANCE($C402, ""price"")), """")"),"")</f>
        <v/>
      </c>
      <c r="M402" s="47" t="str">
        <f t="shared" si="3"/>
        <v/>
      </c>
      <c r="N402" s="47" t="str">
        <f>IFERROR(__xludf.DUMMYFUNCTION("IFERROR(IF(OR(ISBLANK($G402), IFERROR(INDEX(GOOGLEFINANCE($C402, ""price"", WORKDAY(INT($B402), 1)), 2, 2), """")=""""), """", IF($D402=""LONG"", (IFERROR(INDEX(GOOGLEFINANCE($C402, ""price"", WORKDAY(INT($B402), 1)), 2, 2), """")-$G402)/$G402, ($G402-IFE"&amp;"RROR(INDEX(GOOGLEFINANCE($C402, ""price"", WORKDAY(INT($B402), 1)), 2, 2), """"))/$G402)), """")"),"")</f>
        <v/>
      </c>
      <c r="O402" s="47" t="str">
        <f>IFERROR(__xludf.DUMMYFUNCTION("IFERROR(IF(OR(ISBLANK($G402), IFERROR(INDEX(GOOGLEFINANCE($C402, ""price"", WORKDAY(INT($B402), 5)), 2, 2), """")=""""), """", IF($D402=""LONG"", (IFERROR(INDEX(GOOGLEFINANCE($C402, ""price"", WORKDAY(INT($B402), 5)), 2, 2), """")-$G402)/$G402, ($G402-IFE"&amp;"RROR(INDEX(GOOGLEFINANCE($C402, ""price"", WORKDAY(INT($B402), 5)), 2, 2), """"))/$G402)), """")"),"")</f>
        <v/>
      </c>
      <c r="P402" s="47" t="str">
        <f>IFERROR(__xludf.DUMMYFUNCTION("IFERROR(IF(OR(ISBLANK($G402), IFERROR(INDEX(GOOGLEFINANCE($C402, ""price"", WORKDAY(INT($B402), 20)), 2, 2), """")=""""), """", IF($D402=""LONG"", (IFERROR(INDEX(GOOGLEFINANCE($C402, ""price"", WORKDAY(INT($B402), 20)), 2, 2), """")-$G402)/$G402, ($G402-I"&amp;"FERROR(INDEX(GOOGLEFINANCE($C402, ""price"", WORKDAY(INT($B402), 20)), 2, 2), """"))/$G402)), """")"),"")</f>
        <v/>
      </c>
      <c r="Q402" s="44"/>
      <c r="R402" s="44"/>
      <c r="S402" s="44"/>
      <c r="T402" s="44"/>
      <c r="U402" s="44"/>
      <c r="V402" s="44"/>
      <c r="W402" s="44"/>
      <c r="X402" s="44"/>
      <c r="Y402" s="44"/>
      <c r="Z402" s="44"/>
    </row>
    <row r="403">
      <c r="A403" s="44"/>
      <c r="B403" s="45"/>
      <c r="C403" s="44"/>
      <c r="D403" s="44"/>
      <c r="E403" s="44"/>
      <c r="F403" s="44"/>
      <c r="G403" s="46"/>
      <c r="H403" s="44"/>
      <c r="I403" s="44"/>
      <c r="J403" s="44"/>
      <c r="K403" s="44"/>
      <c r="L403" s="46" t="str">
        <f>IFERROR(__xludf.DUMMYFUNCTION("IFERROR(IF(ISBLANK($C403), """", GOOGLEFINANCE($C403, ""price"")), """")"),"")</f>
        <v/>
      </c>
      <c r="M403" s="47" t="str">
        <f t="shared" si="3"/>
        <v/>
      </c>
      <c r="N403" s="47" t="str">
        <f>IFERROR(__xludf.DUMMYFUNCTION("IFERROR(IF(OR(ISBLANK($G403), IFERROR(INDEX(GOOGLEFINANCE($C403, ""price"", WORKDAY(INT($B403), 1)), 2, 2), """")=""""), """", IF($D403=""LONG"", (IFERROR(INDEX(GOOGLEFINANCE($C403, ""price"", WORKDAY(INT($B403), 1)), 2, 2), """")-$G403)/$G403, ($G403-IFE"&amp;"RROR(INDEX(GOOGLEFINANCE($C403, ""price"", WORKDAY(INT($B403), 1)), 2, 2), """"))/$G403)), """")"),"")</f>
        <v/>
      </c>
      <c r="O403" s="47" t="str">
        <f>IFERROR(__xludf.DUMMYFUNCTION("IFERROR(IF(OR(ISBLANK($G403), IFERROR(INDEX(GOOGLEFINANCE($C403, ""price"", WORKDAY(INT($B403), 5)), 2, 2), """")=""""), """", IF($D403=""LONG"", (IFERROR(INDEX(GOOGLEFINANCE($C403, ""price"", WORKDAY(INT($B403), 5)), 2, 2), """")-$G403)/$G403, ($G403-IFE"&amp;"RROR(INDEX(GOOGLEFINANCE($C403, ""price"", WORKDAY(INT($B403), 5)), 2, 2), """"))/$G403)), """")"),"")</f>
        <v/>
      </c>
      <c r="P403" s="47" t="str">
        <f>IFERROR(__xludf.DUMMYFUNCTION("IFERROR(IF(OR(ISBLANK($G403), IFERROR(INDEX(GOOGLEFINANCE($C403, ""price"", WORKDAY(INT($B403), 20)), 2, 2), """")=""""), """", IF($D403=""LONG"", (IFERROR(INDEX(GOOGLEFINANCE($C403, ""price"", WORKDAY(INT($B403), 20)), 2, 2), """")-$G403)/$G403, ($G403-I"&amp;"FERROR(INDEX(GOOGLEFINANCE($C403, ""price"", WORKDAY(INT($B403), 20)), 2, 2), """"))/$G403)), """")"),"")</f>
        <v/>
      </c>
      <c r="Q403" s="44"/>
      <c r="R403" s="44"/>
      <c r="S403" s="44"/>
      <c r="T403" s="44"/>
      <c r="U403" s="44"/>
      <c r="V403" s="44"/>
      <c r="W403" s="44"/>
      <c r="X403" s="44"/>
      <c r="Y403" s="44"/>
      <c r="Z403" s="44"/>
    </row>
    <row r="404">
      <c r="A404" s="44"/>
      <c r="B404" s="45"/>
      <c r="C404" s="44"/>
      <c r="D404" s="44"/>
      <c r="E404" s="44"/>
      <c r="F404" s="44"/>
      <c r="G404" s="46"/>
      <c r="H404" s="44"/>
      <c r="I404" s="44"/>
      <c r="J404" s="44"/>
      <c r="K404" s="44"/>
      <c r="L404" s="46" t="str">
        <f>IFERROR(__xludf.DUMMYFUNCTION("IFERROR(IF(ISBLANK($C404), """", GOOGLEFINANCE($C404, ""price"")), """")"),"")</f>
        <v/>
      </c>
      <c r="M404" s="47" t="str">
        <f t="shared" si="3"/>
        <v/>
      </c>
      <c r="N404" s="47" t="str">
        <f>IFERROR(__xludf.DUMMYFUNCTION("IFERROR(IF(OR(ISBLANK($G404), IFERROR(INDEX(GOOGLEFINANCE($C404, ""price"", WORKDAY(INT($B404), 1)), 2, 2), """")=""""), """", IF($D404=""LONG"", (IFERROR(INDEX(GOOGLEFINANCE($C404, ""price"", WORKDAY(INT($B404), 1)), 2, 2), """")-$G404)/$G404, ($G404-IFE"&amp;"RROR(INDEX(GOOGLEFINANCE($C404, ""price"", WORKDAY(INT($B404), 1)), 2, 2), """"))/$G404)), """")"),"")</f>
        <v/>
      </c>
      <c r="O404" s="47" t="str">
        <f>IFERROR(__xludf.DUMMYFUNCTION("IFERROR(IF(OR(ISBLANK($G404), IFERROR(INDEX(GOOGLEFINANCE($C404, ""price"", WORKDAY(INT($B404), 5)), 2, 2), """")=""""), """", IF($D404=""LONG"", (IFERROR(INDEX(GOOGLEFINANCE($C404, ""price"", WORKDAY(INT($B404), 5)), 2, 2), """")-$G404)/$G404, ($G404-IFE"&amp;"RROR(INDEX(GOOGLEFINANCE($C404, ""price"", WORKDAY(INT($B404), 5)), 2, 2), """"))/$G404)), """")"),"")</f>
        <v/>
      </c>
      <c r="P404" s="47" t="str">
        <f>IFERROR(__xludf.DUMMYFUNCTION("IFERROR(IF(OR(ISBLANK($G404), IFERROR(INDEX(GOOGLEFINANCE($C404, ""price"", WORKDAY(INT($B404), 20)), 2, 2), """")=""""), """", IF($D404=""LONG"", (IFERROR(INDEX(GOOGLEFINANCE($C404, ""price"", WORKDAY(INT($B404), 20)), 2, 2), """")-$G404)/$G404, ($G404-I"&amp;"FERROR(INDEX(GOOGLEFINANCE($C404, ""price"", WORKDAY(INT($B404), 20)), 2, 2), """"))/$G404)), """")"),"")</f>
        <v/>
      </c>
      <c r="Q404" s="44"/>
      <c r="R404" s="44"/>
      <c r="S404" s="44"/>
      <c r="T404" s="44"/>
      <c r="U404" s="44"/>
      <c r="V404" s="44"/>
      <c r="W404" s="44"/>
      <c r="X404" s="44"/>
      <c r="Y404" s="44"/>
      <c r="Z404" s="44"/>
    </row>
    <row r="405">
      <c r="A405" s="44"/>
      <c r="B405" s="45"/>
      <c r="C405" s="44"/>
      <c r="D405" s="44"/>
      <c r="E405" s="44"/>
      <c r="F405" s="44"/>
      <c r="G405" s="46"/>
      <c r="H405" s="44"/>
      <c r="I405" s="44"/>
      <c r="J405" s="44"/>
      <c r="K405" s="44"/>
      <c r="L405" s="46" t="str">
        <f>IFERROR(__xludf.DUMMYFUNCTION("IFERROR(IF(ISBLANK($C405), """", GOOGLEFINANCE($C405, ""price"")), """")"),"")</f>
        <v/>
      </c>
      <c r="M405" s="47" t="str">
        <f t="shared" si="3"/>
        <v/>
      </c>
      <c r="N405" s="47" t="str">
        <f>IFERROR(__xludf.DUMMYFUNCTION("IFERROR(IF(OR(ISBLANK($G405), IFERROR(INDEX(GOOGLEFINANCE($C405, ""price"", WORKDAY(INT($B405), 1)), 2, 2), """")=""""), """", IF($D405=""LONG"", (IFERROR(INDEX(GOOGLEFINANCE($C405, ""price"", WORKDAY(INT($B405), 1)), 2, 2), """")-$G405)/$G405, ($G405-IFE"&amp;"RROR(INDEX(GOOGLEFINANCE($C405, ""price"", WORKDAY(INT($B405), 1)), 2, 2), """"))/$G405)), """")"),"")</f>
        <v/>
      </c>
      <c r="O405" s="47" t="str">
        <f>IFERROR(__xludf.DUMMYFUNCTION("IFERROR(IF(OR(ISBLANK($G405), IFERROR(INDEX(GOOGLEFINANCE($C405, ""price"", WORKDAY(INT($B405), 5)), 2, 2), """")=""""), """", IF($D405=""LONG"", (IFERROR(INDEX(GOOGLEFINANCE($C405, ""price"", WORKDAY(INT($B405), 5)), 2, 2), """")-$G405)/$G405, ($G405-IFE"&amp;"RROR(INDEX(GOOGLEFINANCE($C405, ""price"", WORKDAY(INT($B405), 5)), 2, 2), """"))/$G405)), """")"),"")</f>
        <v/>
      </c>
      <c r="P405" s="47" t="str">
        <f>IFERROR(__xludf.DUMMYFUNCTION("IFERROR(IF(OR(ISBLANK($G405), IFERROR(INDEX(GOOGLEFINANCE($C405, ""price"", WORKDAY(INT($B405), 20)), 2, 2), """")=""""), """", IF($D405=""LONG"", (IFERROR(INDEX(GOOGLEFINANCE($C405, ""price"", WORKDAY(INT($B405), 20)), 2, 2), """")-$G405)/$G405, ($G405-I"&amp;"FERROR(INDEX(GOOGLEFINANCE($C405, ""price"", WORKDAY(INT($B405), 20)), 2, 2), """"))/$G405)), """")"),"")</f>
        <v/>
      </c>
      <c r="Q405" s="44"/>
      <c r="R405" s="44"/>
      <c r="S405" s="44"/>
      <c r="T405" s="44"/>
      <c r="U405" s="44"/>
      <c r="V405" s="44"/>
      <c r="W405" s="44"/>
      <c r="X405" s="44"/>
      <c r="Y405" s="44"/>
      <c r="Z405" s="44"/>
    </row>
    <row r="406">
      <c r="A406" s="44"/>
      <c r="B406" s="45"/>
      <c r="C406" s="44"/>
      <c r="D406" s="44"/>
      <c r="E406" s="44"/>
      <c r="F406" s="44"/>
      <c r="G406" s="46"/>
      <c r="H406" s="44"/>
      <c r="I406" s="44"/>
      <c r="J406" s="44"/>
      <c r="K406" s="44"/>
      <c r="L406" s="46" t="str">
        <f>IFERROR(__xludf.DUMMYFUNCTION("IFERROR(IF(ISBLANK($C406), """", GOOGLEFINANCE($C406, ""price"")), """")"),"")</f>
        <v/>
      </c>
      <c r="M406" s="47" t="str">
        <f t="shared" si="3"/>
        <v/>
      </c>
      <c r="N406" s="47" t="str">
        <f>IFERROR(__xludf.DUMMYFUNCTION("IFERROR(IF(OR(ISBLANK($G406), IFERROR(INDEX(GOOGLEFINANCE($C406, ""price"", WORKDAY(INT($B406), 1)), 2, 2), """")=""""), """", IF($D406=""LONG"", (IFERROR(INDEX(GOOGLEFINANCE($C406, ""price"", WORKDAY(INT($B406), 1)), 2, 2), """")-$G406)/$G406, ($G406-IFE"&amp;"RROR(INDEX(GOOGLEFINANCE($C406, ""price"", WORKDAY(INT($B406), 1)), 2, 2), """"))/$G406)), """")"),"")</f>
        <v/>
      </c>
      <c r="O406" s="47" t="str">
        <f>IFERROR(__xludf.DUMMYFUNCTION("IFERROR(IF(OR(ISBLANK($G406), IFERROR(INDEX(GOOGLEFINANCE($C406, ""price"", WORKDAY(INT($B406), 5)), 2, 2), """")=""""), """", IF($D406=""LONG"", (IFERROR(INDEX(GOOGLEFINANCE($C406, ""price"", WORKDAY(INT($B406), 5)), 2, 2), """")-$G406)/$G406, ($G406-IFE"&amp;"RROR(INDEX(GOOGLEFINANCE($C406, ""price"", WORKDAY(INT($B406), 5)), 2, 2), """"))/$G406)), """")"),"")</f>
        <v/>
      </c>
      <c r="P406" s="47" t="str">
        <f>IFERROR(__xludf.DUMMYFUNCTION("IFERROR(IF(OR(ISBLANK($G406), IFERROR(INDEX(GOOGLEFINANCE($C406, ""price"", WORKDAY(INT($B406), 20)), 2, 2), """")=""""), """", IF($D406=""LONG"", (IFERROR(INDEX(GOOGLEFINANCE($C406, ""price"", WORKDAY(INT($B406), 20)), 2, 2), """")-$G406)/$G406, ($G406-I"&amp;"FERROR(INDEX(GOOGLEFINANCE($C406, ""price"", WORKDAY(INT($B406), 20)), 2, 2), """"))/$G406)), """")"),"")</f>
        <v/>
      </c>
      <c r="Q406" s="44"/>
      <c r="R406" s="44"/>
      <c r="S406" s="44"/>
      <c r="T406" s="44"/>
      <c r="U406" s="44"/>
      <c r="V406" s="44"/>
      <c r="W406" s="44"/>
      <c r="X406" s="44"/>
      <c r="Y406" s="44"/>
      <c r="Z406" s="44"/>
    </row>
    <row r="407">
      <c r="A407" s="44"/>
      <c r="B407" s="45"/>
      <c r="C407" s="44"/>
      <c r="D407" s="44"/>
      <c r="E407" s="44"/>
      <c r="F407" s="44"/>
      <c r="G407" s="46"/>
      <c r="H407" s="44"/>
      <c r="I407" s="44"/>
      <c r="J407" s="44"/>
      <c r="K407" s="44"/>
      <c r="L407" s="46" t="str">
        <f>IFERROR(__xludf.DUMMYFUNCTION("IFERROR(IF(ISBLANK($C407), """", GOOGLEFINANCE($C407, ""price"")), """")"),"")</f>
        <v/>
      </c>
      <c r="M407" s="47" t="str">
        <f t="shared" si="3"/>
        <v/>
      </c>
      <c r="N407" s="47" t="str">
        <f>IFERROR(__xludf.DUMMYFUNCTION("IFERROR(IF(OR(ISBLANK($G407), IFERROR(INDEX(GOOGLEFINANCE($C407, ""price"", WORKDAY(INT($B407), 1)), 2, 2), """")=""""), """", IF($D407=""LONG"", (IFERROR(INDEX(GOOGLEFINANCE($C407, ""price"", WORKDAY(INT($B407), 1)), 2, 2), """")-$G407)/$G407, ($G407-IFE"&amp;"RROR(INDEX(GOOGLEFINANCE($C407, ""price"", WORKDAY(INT($B407), 1)), 2, 2), """"))/$G407)), """")"),"")</f>
        <v/>
      </c>
      <c r="O407" s="47" t="str">
        <f>IFERROR(__xludf.DUMMYFUNCTION("IFERROR(IF(OR(ISBLANK($G407), IFERROR(INDEX(GOOGLEFINANCE($C407, ""price"", WORKDAY(INT($B407), 5)), 2, 2), """")=""""), """", IF($D407=""LONG"", (IFERROR(INDEX(GOOGLEFINANCE($C407, ""price"", WORKDAY(INT($B407), 5)), 2, 2), """")-$G407)/$G407, ($G407-IFE"&amp;"RROR(INDEX(GOOGLEFINANCE($C407, ""price"", WORKDAY(INT($B407), 5)), 2, 2), """"))/$G407)), """")"),"")</f>
        <v/>
      </c>
      <c r="P407" s="47" t="str">
        <f>IFERROR(__xludf.DUMMYFUNCTION("IFERROR(IF(OR(ISBLANK($G407), IFERROR(INDEX(GOOGLEFINANCE($C407, ""price"", WORKDAY(INT($B407), 20)), 2, 2), """")=""""), """", IF($D407=""LONG"", (IFERROR(INDEX(GOOGLEFINANCE($C407, ""price"", WORKDAY(INT($B407), 20)), 2, 2), """")-$G407)/$G407, ($G407-I"&amp;"FERROR(INDEX(GOOGLEFINANCE($C407, ""price"", WORKDAY(INT($B407), 20)), 2, 2), """"))/$G407)), """")"),"")</f>
        <v/>
      </c>
      <c r="Q407" s="44"/>
      <c r="R407" s="44"/>
      <c r="S407" s="44"/>
      <c r="T407" s="44"/>
      <c r="U407" s="44"/>
      <c r="V407" s="44"/>
      <c r="W407" s="44"/>
      <c r="X407" s="44"/>
      <c r="Y407" s="44"/>
      <c r="Z407" s="44"/>
    </row>
    <row r="408">
      <c r="A408" s="44"/>
      <c r="B408" s="45"/>
      <c r="C408" s="44"/>
      <c r="D408" s="44"/>
      <c r="E408" s="44"/>
      <c r="F408" s="44"/>
      <c r="G408" s="46"/>
      <c r="H408" s="44"/>
      <c r="I408" s="44"/>
      <c r="J408" s="44"/>
      <c r="K408" s="44"/>
      <c r="L408" s="46" t="str">
        <f>IFERROR(__xludf.DUMMYFUNCTION("IFERROR(IF(ISBLANK($C408), """", GOOGLEFINANCE($C408, ""price"")), """")"),"")</f>
        <v/>
      </c>
      <c r="M408" s="47" t="str">
        <f t="shared" si="3"/>
        <v/>
      </c>
      <c r="N408" s="47" t="str">
        <f>IFERROR(__xludf.DUMMYFUNCTION("IFERROR(IF(OR(ISBLANK($G408), IFERROR(INDEX(GOOGLEFINANCE($C408, ""price"", WORKDAY(INT($B408), 1)), 2, 2), """")=""""), """", IF($D408=""LONG"", (IFERROR(INDEX(GOOGLEFINANCE($C408, ""price"", WORKDAY(INT($B408), 1)), 2, 2), """")-$G408)/$G408, ($G408-IFE"&amp;"RROR(INDEX(GOOGLEFINANCE($C408, ""price"", WORKDAY(INT($B408), 1)), 2, 2), """"))/$G408)), """")"),"")</f>
        <v/>
      </c>
      <c r="O408" s="47" t="str">
        <f>IFERROR(__xludf.DUMMYFUNCTION("IFERROR(IF(OR(ISBLANK($G408), IFERROR(INDEX(GOOGLEFINANCE($C408, ""price"", WORKDAY(INT($B408), 5)), 2, 2), """")=""""), """", IF($D408=""LONG"", (IFERROR(INDEX(GOOGLEFINANCE($C408, ""price"", WORKDAY(INT($B408), 5)), 2, 2), """")-$G408)/$G408, ($G408-IFE"&amp;"RROR(INDEX(GOOGLEFINANCE($C408, ""price"", WORKDAY(INT($B408), 5)), 2, 2), """"))/$G408)), """")"),"")</f>
        <v/>
      </c>
      <c r="P408" s="47" t="str">
        <f>IFERROR(__xludf.DUMMYFUNCTION("IFERROR(IF(OR(ISBLANK($G408), IFERROR(INDEX(GOOGLEFINANCE($C408, ""price"", WORKDAY(INT($B408), 20)), 2, 2), """")=""""), """", IF($D408=""LONG"", (IFERROR(INDEX(GOOGLEFINANCE($C408, ""price"", WORKDAY(INT($B408), 20)), 2, 2), """")-$G408)/$G408, ($G408-I"&amp;"FERROR(INDEX(GOOGLEFINANCE($C408, ""price"", WORKDAY(INT($B408), 20)), 2, 2), """"))/$G408)), """")"),"")</f>
        <v/>
      </c>
      <c r="Q408" s="44"/>
      <c r="R408" s="44"/>
      <c r="S408" s="44"/>
      <c r="T408" s="44"/>
      <c r="U408" s="44"/>
      <c r="V408" s="44"/>
      <c r="W408" s="44"/>
      <c r="X408" s="44"/>
      <c r="Y408" s="44"/>
      <c r="Z408" s="44"/>
    </row>
    <row r="409">
      <c r="A409" s="44"/>
      <c r="B409" s="45"/>
      <c r="C409" s="44"/>
      <c r="D409" s="44"/>
      <c r="E409" s="44"/>
      <c r="F409" s="44"/>
      <c r="G409" s="46"/>
      <c r="H409" s="44"/>
      <c r="I409" s="44"/>
      <c r="J409" s="44"/>
      <c r="K409" s="44"/>
      <c r="L409" s="46" t="str">
        <f>IFERROR(__xludf.DUMMYFUNCTION("IFERROR(IF(ISBLANK($C409), """", GOOGLEFINANCE($C409, ""price"")), """")"),"")</f>
        <v/>
      </c>
      <c r="M409" s="47" t="str">
        <f t="shared" si="3"/>
        <v/>
      </c>
      <c r="N409" s="47" t="str">
        <f>IFERROR(__xludf.DUMMYFUNCTION("IFERROR(IF(OR(ISBLANK($G409), IFERROR(INDEX(GOOGLEFINANCE($C409, ""price"", WORKDAY(INT($B409), 1)), 2, 2), """")=""""), """", IF($D409=""LONG"", (IFERROR(INDEX(GOOGLEFINANCE($C409, ""price"", WORKDAY(INT($B409), 1)), 2, 2), """")-$G409)/$G409, ($G409-IFE"&amp;"RROR(INDEX(GOOGLEFINANCE($C409, ""price"", WORKDAY(INT($B409), 1)), 2, 2), """"))/$G409)), """")"),"")</f>
        <v/>
      </c>
      <c r="O409" s="47" t="str">
        <f>IFERROR(__xludf.DUMMYFUNCTION("IFERROR(IF(OR(ISBLANK($G409), IFERROR(INDEX(GOOGLEFINANCE($C409, ""price"", WORKDAY(INT($B409), 5)), 2, 2), """")=""""), """", IF($D409=""LONG"", (IFERROR(INDEX(GOOGLEFINANCE($C409, ""price"", WORKDAY(INT($B409), 5)), 2, 2), """")-$G409)/$G409, ($G409-IFE"&amp;"RROR(INDEX(GOOGLEFINANCE($C409, ""price"", WORKDAY(INT($B409), 5)), 2, 2), """"))/$G409)), """")"),"")</f>
        <v/>
      </c>
      <c r="P409" s="47" t="str">
        <f>IFERROR(__xludf.DUMMYFUNCTION("IFERROR(IF(OR(ISBLANK($G409), IFERROR(INDEX(GOOGLEFINANCE($C409, ""price"", WORKDAY(INT($B409), 20)), 2, 2), """")=""""), """", IF($D409=""LONG"", (IFERROR(INDEX(GOOGLEFINANCE($C409, ""price"", WORKDAY(INT($B409), 20)), 2, 2), """")-$G409)/$G409, ($G409-I"&amp;"FERROR(INDEX(GOOGLEFINANCE($C409, ""price"", WORKDAY(INT($B409), 20)), 2, 2), """"))/$G409)), """")"),"")</f>
        <v/>
      </c>
      <c r="Q409" s="44"/>
      <c r="R409" s="44"/>
      <c r="S409" s="44"/>
      <c r="T409" s="44"/>
      <c r="U409" s="44"/>
      <c r="V409" s="44"/>
      <c r="W409" s="44"/>
      <c r="X409" s="44"/>
      <c r="Y409" s="44"/>
      <c r="Z409" s="44"/>
    </row>
    <row r="410">
      <c r="A410" s="44"/>
      <c r="B410" s="45"/>
      <c r="C410" s="44"/>
      <c r="D410" s="44"/>
      <c r="E410" s="44"/>
      <c r="F410" s="44"/>
      <c r="G410" s="46"/>
      <c r="H410" s="44"/>
      <c r="I410" s="44"/>
      <c r="J410" s="44"/>
      <c r="K410" s="44"/>
      <c r="L410" s="46" t="str">
        <f>IFERROR(__xludf.DUMMYFUNCTION("IFERROR(IF(ISBLANK($C410), """", GOOGLEFINANCE($C410, ""price"")), """")"),"")</f>
        <v/>
      </c>
      <c r="M410" s="47" t="str">
        <f t="shared" si="3"/>
        <v/>
      </c>
      <c r="N410" s="47" t="str">
        <f>IFERROR(__xludf.DUMMYFUNCTION("IFERROR(IF(OR(ISBLANK($G410), IFERROR(INDEX(GOOGLEFINANCE($C410, ""price"", WORKDAY(INT($B410), 1)), 2, 2), """")=""""), """", IF($D410=""LONG"", (IFERROR(INDEX(GOOGLEFINANCE($C410, ""price"", WORKDAY(INT($B410), 1)), 2, 2), """")-$G410)/$G410, ($G410-IFE"&amp;"RROR(INDEX(GOOGLEFINANCE($C410, ""price"", WORKDAY(INT($B410), 1)), 2, 2), """"))/$G410)), """")"),"")</f>
        <v/>
      </c>
      <c r="O410" s="47" t="str">
        <f>IFERROR(__xludf.DUMMYFUNCTION("IFERROR(IF(OR(ISBLANK($G410), IFERROR(INDEX(GOOGLEFINANCE($C410, ""price"", WORKDAY(INT($B410), 5)), 2, 2), """")=""""), """", IF($D410=""LONG"", (IFERROR(INDEX(GOOGLEFINANCE($C410, ""price"", WORKDAY(INT($B410), 5)), 2, 2), """")-$G410)/$G410, ($G410-IFE"&amp;"RROR(INDEX(GOOGLEFINANCE($C410, ""price"", WORKDAY(INT($B410), 5)), 2, 2), """"))/$G410)), """")"),"")</f>
        <v/>
      </c>
      <c r="P410" s="47" t="str">
        <f>IFERROR(__xludf.DUMMYFUNCTION("IFERROR(IF(OR(ISBLANK($G410), IFERROR(INDEX(GOOGLEFINANCE($C410, ""price"", WORKDAY(INT($B410), 20)), 2, 2), """")=""""), """", IF($D410=""LONG"", (IFERROR(INDEX(GOOGLEFINANCE($C410, ""price"", WORKDAY(INT($B410), 20)), 2, 2), """")-$G410)/$G410, ($G410-I"&amp;"FERROR(INDEX(GOOGLEFINANCE($C410, ""price"", WORKDAY(INT($B410), 20)), 2, 2), """"))/$G410)), """")"),"")</f>
        <v/>
      </c>
      <c r="Q410" s="44"/>
      <c r="R410" s="44"/>
      <c r="S410" s="44"/>
      <c r="T410" s="44"/>
      <c r="U410" s="44"/>
      <c r="V410" s="44"/>
      <c r="W410" s="44"/>
      <c r="X410" s="44"/>
      <c r="Y410" s="44"/>
      <c r="Z410" s="44"/>
    </row>
    <row r="411">
      <c r="A411" s="44"/>
      <c r="B411" s="45"/>
      <c r="C411" s="44"/>
      <c r="D411" s="44"/>
      <c r="E411" s="44"/>
      <c r="F411" s="44"/>
      <c r="G411" s="46"/>
      <c r="H411" s="44"/>
      <c r="I411" s="44"/>
      <c r="J411" s="44"/>
      <c r="K411" s="44"/>
      <c r="L411" s="46" t="str">
        <f>IFERROR(__xludf.DUMMYFUNCTION("IFERROR(IF(ISBLANK($C411), """", GOOGLEFINANCE($C411, ""price"")), """")"),"")</f>
        <v/>
      </c>
      <c r="M411" s="47" t="str">
        <f t="shared" si="3"/>
        <v/>
      </c>
      <c r="N411" s="47" t="str">
        <f>IFERROR(__xludf.DUMMYFUNCTION("IFERROR(IF(OR(ISBLANK($G411), IFERROR(INDEX(GOOGLEFINANCE($C411, ""price"", WORKDAY(INT($B411), 1)), 2, 2), """")=""""), """", IF($D411=""LONG"", (IFERROR(INDEX(GOOGLEFINANCE($C411, ""price"", WORKDAY(INT($B411), 1)), 2, 2), """")-$G411)/$G411, ($G411-IFE"&amp;"RROR(INDEX(GOOGLEFINANCE($C411, ""price"", WORKDAY(INT($B411), 1)), 2, 2), """"))/$G411)), """")"),"")</f>
        <v/>
      </c>
      <c r="O411" s="47" t="str">
        <f>IFERROR(__xludf.DUMMYFUNCTION("IFERROR(IF(OR(ISBLANK($G411), IFERROR(INDEX(GOOGLEFINANCE($C411, ""price"", WORKDAY(INT($B411), 5)), 2, 2), """")=""""), """", IF($D411=""LONG"", (IFERROR(INDEX(GOOGLEFINANCE($C411, ""price"", WORKDAY(INT($B411), 5)), 2, 2), """")-$G411)/$G411, ($G411-IFE"&amp;"RROR(INDEX(GOOGLEFINANCE($C411, ""price"", WORKDAY(INT($B411), 5)), 2, 2), """"))/$G411)), """")"),"")</f>
        <v/>
      </c>
      <c r="P411" s="47" t="str">
        <f>IFERROR(__xludf.DUMMYFUNCTION("IFERROR(IF(OR(ISBLANK($G411), IFERROR(INDEX(GOOGLEFINANCE($C411, ""price"", WORKDAY(INT($B411), 20)), 2, 2), """")=""""), """", IF($D411=""LONG"", (IFERROR(INDEX(GOOGLEFINANCE($C411, ""price"", WORKDAY(INT($B411), 20)), 2, 2), """")-$G411)/$G411, ($G411-I"&amp;"FERROR(INDEX(GOOGLEFINANCE($C411, ""price"", WORKDAY(INT($B411), 20)), 2, 2), """"))/$G411)), """")"),"")</f>
        <v/>
      </c>
      <c r="Q411" s="44"/>
      <c r="R411" s="44"/>
      <c r="S411" s="44"/>
      <c r="T411" s="44"/>
      <c r="U411" s="44"/>
      <c r="V411" s="44"/>
      <c r="W411" s="44"/>
      <c r="X411" s="44"/>
      <c r="Y411" s="44"/>
      <c r="Z411" s="44"/>
    </row>
    <row r="412">
      <c r="A412" s="44"/>
      <c r="B412" s="45"/>
      <c r="C412" s="44"/>
      <c r="D412" s="44"/>
      <c r="E412" s="44"/>
      <c r="F412" s="44"/>
      <c r="G412" s="46"/>
      <c r="H412" s="44"/>
      <c r="I412" s="44"/>
      <c r="J412" s="44"/>
      <c r="K412" s="44"/>
      <c r="L412" s="46" t="str">
        <f>IFERROR(__xludf.DUMMYFUNCTION("IFERROR(IF(ISBLANK($C412), """", GOOGLEFINANCE($C412, ""price"")), """")"),"")</f>
        <v/>
      </c>
      <c r="M412" s="47" t="str">
        <f t="shared" si="3"/>
        <v/>
      </c>
      <c r="N412" s="47" t="str">
        <f>IFERROR(__xludf.DUMMYFUNCTION("IFERROR(IF(OR(ISBLANK($G412), IFERROR(INDEX(GOOGLEFINANCE($C412, ""price"", WORKDAY(INT($B412), 1)), 2, 2), """")=""""), """", IF($D412=""LONG"", (IFERROR(INDEX(GOOGLEFINANCE($C412, ""price"", WORKDAY(INT($B412), 1)), 2, 2), """")-$G412)/$G412, ($G412-IFE"&amp;"RROR(INDEX(GOOGLEFINANCE($C412, ""price"", WORKDAY(INT($B412), 1)), 2, 2), """"))/$G412)), """")"),"")</f>
        <v/>
      </c>
      <c r="O412" s="47" t="str">
        <f>IFERROR(__xludf.DUMMYFUNCTION("IFERROR(IF(OR(ISBLANK($G412), IFERROR(INDEX(GOOGLEFINANCE($C412, ""price"", WORKDAY(INT($B412), 5)), 2, 2), """")=""""), """", IF($D412=""LONG"", (IFERROR(INDEX(GOOGLEFINANCE($C412, ""price"", WORKDAY(INT($B412), 5)), 2, 2), """")-$G412)/$G412, ($G412-IFE"&amp;"RROR(INDEX(GOOGLEFINANCE($C412, ""price"", WORKDAY(INT($B412), 5)), 2, 2), """"))/$G412)), """")"),"")</f>
        <v/>
      </c>
      <c r="P412" s="47" t="str">
        <f>IFERROR(__xludf.DUMMYFUNCTION("IFERROR(IF(OR(ISBLANK($G412), IFERROR(INDEX(GOOGLEFINANCE($C412, ""price"", WORKDAY(INT($B412), 20)), 2, 2), """")=""""), """", IF($D412=""LONG"", (IFERROR(INDEX(GOOGLEFINANCE($C412, ""price"", WORKDAY(INT($B412), 20)), 2, 2), """")-$G412)/$G412, ($G412-I"&amp;"FERROR(INDEX(GOOGLEFINANCE($C412, ""price"", WORKDAY(INT($B412), 20)), 2, 2), """"))/$G412)), """")"),"")</f>
        <v/>
      </c>
      <c r="Q412" s="44"/>
      <c r="R412" s="44"/>
      <c r="S412" s="44"/>
      <c r="T412" s="44"/>
      <c r="U412" s="44"/>
      <c r="V412" s="44"/>
      <c r="W412" s="44"/>
      <c r="X412" s="44"/>
      <c r="Y412" s="44"/>
      <c r="Z412" s="44"/>
    </row>
    <row r="413">
      <c r="A413" s="44"/>
      <c r="B413" s="45"/>
      <c r="C413" s="44"/>
      <c r="D413" s="44"/>
      <c r="E413" s="44"/>
      <c r="F413" s="44"/>
      <c r="G413" s="46"/>
      <c r="H413" s="44"/>
      <c r="I413" s="44"/>
      <c r="J413" s="44"/>
      <c r="K413" s="44"/>
      <c r="L413" s="46" t="str">
        <f>IFERROR(__xludf.DUMMYFUNCTION("IFERROR(IF(ISBLANK($C413), """", GOOGLEFINANCE($C413, ""price"")), """")"),"")</f>
        <v/>
      </c>
      <c r="M413" s="47" t="str">
        <f t="shared" si="3"/>
        <v/>
      </c>
      <c r="N413" s="47" t="str">
        <f>IFERROR(__xludf.DUMMYFUNCTION("IFERROR(IF(OR(ISBLANK($G413), IFERROR(INDEX(GOOGLEFINANCE($C413, ""price"", WORKDAY(INT($B413), 1)), 2, 2), """")=""""), """", IF($D413=""LONG"", (IFERROR(INDEX(GOOGLEFINANCE($C413, ""price"", WORKDAY(INT($B413), 1)), 2, 2), """")-$G413)/$G413, ($G413-IFE"&amp;"RROR(INDEX(GOOGLEFINANCE($C413, ""price"", WORKDAY(INT($B413), 1)), 2, 2), """"))/$G413)), """")"),"")</f>
        <v/>
      </c>
      <c r="O413" s="47" t="str">
        <f>IFERROR(__xludf.DUMMYFUNCTION("IFERROR(IF(OR(ISBLANK($G413), IFERROR(INDEX(GOOGLEFINANCE($C413, ""price"", WORKDAY(INT($B413), 5)), 2, 2), """")=""""), """", IF($D413=""LONG"", (IFERROR(INDEX(GOOGLEFINANCE($C413, ""price"", WORKDAY(INT($B413), 5)), 2, 2), """")-$G413)/$G413, ($G413-IFE"&amp;"RROR(INDEX(GOOGLEFINANCE($C413, ""price"", WORKDAY(INT($B413), 5)), 2, 2), """"))/$G413)), """")"),"")</f>
        <v/>
      </c>
      <c r="P413" s="47" t="str">
        <f>IFERROR(__xludf.DUMMYFUNCTION("IFERROR(IF(OR(ISBLANK($G413), IFERROR(INDEX(GOOGLEFINANCE($C413, ""price"", WORKDAY(INT($B413), 20)), 2, 2), """")=""""), """", IF($D413=""LONG"", (IFERROR(INDEX(GOOGLEFINANCE($C413, ""price"", WORKDAY(INT($B413), 20)), 2, 2), """")-$G413)/$G413, ($G413-I"&amp;"FERROR(INDEX(GOOGLEFINANCE($C413, ""price"", WORKDAY(INT($B413), 20)), 2, 2), """"))/$G413)), """")"),"")</f>
        <v/>
      </c>
      <c r="Q413" s="44"/>
      <c r="R413" s="44"/>
      <c r="S413" s="44"/>
      <c r="T413" s="44"/>
      <c r="U413" s="44"/>
      <c r="V413" s="44"/>
      <c r="W413" s="44"/>
      <c r="X413" s="44"/>
      <c r="Y413" s="44"/>
      <c r="Z413" s="44"/>
    </row>
    <row r="414">
      <c r="A414" s="44"/>
      <c r="B414" s="45"/>
      <c r="C414" s="44"/>
      <c r="D414" s="44"/>
      <c r="E414" s="44"/>
      <c r="F414" s="44"/>
      <c r="G414" s="46"/>
      <c r="H414" s="44"/>
      <c r="I414" s="44"/>
      <c r="J414" s="44"/>
      <c r="K414" s="44"/>
      <c r="L414" s="46" t="str">
        <f>IFERROR(__xludf.DUMMYFUNCTION("IFERROR(IF(ISBLANK($C414), """", GOOGLEFINANCE($C414, ""price"")), """")"),"")</f>
        <v/>
      </c>
      <c r="M414" s="47" t="str">
        <f t="shared" si="3"/>
        <v/>
      </c>
      <c r="N414" s="47" t="str">
        <f>IFERROR(__xludf.DUMMYFUNCTION("IFERROR(IF(OR(ISBLANK($G414), IFERROR(INDEX(GOOGLEFINANCE($C414, ""price"", WORKDAY(INT($B414), 1)), 2, 2), """")=""""), """", IF($D414=""LONG"", (IFERROR(INDEX(GOOGLEFINANCE($C414, ""price"", WORKDAY(INT($B414), 1)), 2, 2), """")-$G414)/$G414, ($G414-IFE"&amp;"RROR(INDEX(GOOGLEFINANCE($C414, ""price"", WORKDAY(INT($B414), 1)), 2, 2), """"))/$G414)), """")"),"")</f>
        <v/>
      </c>
      <c r="O414" s="47" t="str">
        <f>IFERROR(__xludf.DUMMYFUNCTION("IFERROR(IF(OR(ISBLANK($G414), IFERROR(INDEX(GOOGLEFINANCE($C414, ""price"", WORKDAY(INT($B414), 5)), 2, 2), """")=""""), """", IF($D414=""LONG"", (IFERROR(INDEX(GOOGLEFINANCE($C414, ""price"", WORKDAY(INT($B414), 5)), 2, 2), """")-$G414)/$G414, ($G414-IFE"&amp;"RROR(INDEX(GOOGLEFINANCE($C414, ""price"", WORKDAY(INT($B414), 5)), 2, 2), """"))/$G414)), """")"),"")</f>
        <v/>
      </c>
      <c r="P414" s="47" t="str">
        <f>IFERROR(__xludf.DUMMYFUNCTION("IFERROR(IF(OR(ISBLANK($G414), IFERROR(INDEX(GOOGLEFINANCE($C414, ""price"", WORKDAY(INT($B414), 20)), 2, 2), """")=""""), """", IF($D414=""LONG"", (IFERROR(INDEX(GOOGLEFINANCE($C414, ""price"", WORKDAY(INT($B414), 20)), 2, 2), """")-$G414)/$G414, ($G414-I"&amp;"FERROR(INDEX(GOOGLEFINANCE($C414, ""price"", WORKDAY(INT($B414), 20)), 2, 2), """"))/$G414)), """")"),"")</f>
        <v/>
      </c>
      <c r="Q414" s="44"/>
      <c r="R414" s="44"/>
      <c r="S414" s="44"/>
      <c r="T414" s="44"/>
      <c r="U414" s="44"/>
      <c r="V414" s="44"/>
      <c r="W414" s="44"/>
      <c r="X414" s="44"/>
      <c r="Y414" s="44"/>
      <c r="Z414" s="44"/>
    </row>
    <row r="415">
      <c r="A415" s="44"/>
      <c r="B415" s="45"/>
      <c r="C415" s="44"/>
      <c r="D415" s="44"/>
      <c r="E415" s="44"/>
      <c r="F415" s="44"/>
      <c r="G415" s="46"/>
      <c r="H415" s="44"/>
      <c r="I415" s="44"/>
      <c r="J415" s="44"/>
      <c r="K415" s="44"/>
      <c r="L415" s="46" t="str">
        <f>IFERROR(__xludf.DUMMYFUNCTION("IFERROR(IF(ISBLANK($C415), """", GOOGLEFINANCE($C415, ""price"")), """")"),"")</f>
        <v/>
      </c>
      <c r="M415" s="47" t="str">
        <f t="shared" si="3"/>
        <v/>
      </c>
      <c r="N415" s="47" t="str">
        <f>IFERROR(__xludf.DUMMYFUNCTION("IFERROR(IF(OR(ISBLANK($G415), IFERROR(INDEX(GOOGLEFINANCE($C415, ""price"", WORKDAY(INT($B415), 1)), 2, 2), """")=""""), """", IF($D415=""LONG"", (IFERROR(INDEX(GOOGLEFINANCE($C415, ""price"", WORKDAY(INT($B415), 1)), 2, 2), """")-$G415)/$G415, ($G415-IFE"&amp;"RROR(INDEX(GOOGLEFINANCE($C415, ""price"", WORKDAY(INT($B415), 1)), 2, 2), """"))/$G415)), """")"),"")</f>
        <v/>
      </c>
      <c r="O415" s="47" t="str">
        <f>IFERROR(__xludf.DUMMYFUNCTION("IFERROR(IF(OR(ISBLANK($G415), IFERROR(INDEX(GOOGLEFINANCE($C415, ""price"", WORKDAY(INT($B415), 5)), 2, 2), """")=""""), """", IF($D415=""LONG"", (IFERROR(INDEX(GOOGLEFINANCE($C415, ""price"", WORKDAY(INT($B415), 5)), 2, 2), """")-$G415)/$G415, ($G415-IFE"&amp;"RROR(INDEX(GOOGLEFINANCE($C415, ""price"", WORKDAY(INT($B415), 5)), 2, 2), """"))/$G415)), """")"),"")</f>
        <v/>
      </c>
      <c r="P415" s="47" t="str">
        <f>IFERROR(__xludf.DUMMYFUNCTION("IFERROR(IF(OR(ISBLANK($G415), IFERROR(INDEX(GOOGLEFINANCE($C415, ""price"", WORKDAY(INT($B415), 20)), 2, 2), """")=""""), """", IF($D415=""LONG"", (IFERROR(INDEX(GOOGLEFINANCE($C415, ""price"", WORKDAY(INT($B415), 20)), 2, 2), """")-$G415)/$G415, ($G415-I"&amp;"FERROR(INDEX(GOOGLEFINANCE($C415, ""price"", WORKDAY(INT($B415), 20)), 2, 2), """"))/$G415)), """")"),"")</f>
        <v/>
      </c>
      <c r="Q415" s="44"/>
      <c r="R415" s="44"/>
      <c r="S415" s="44"/>
      <c r="T415" s="44"/>
      <c r="U415" s="44"/>
      <c r="V415" s="44"/>
      <c r="W415" s="44"/>
      <c r="X415" s="44"/>
      <c r="Y415" s="44"/>
      <c r="Z415" s="44"/>
    </row>
    <row r="416">
      <c r="A416" s="44"/>
      <c r="B416" s="45"/>
      <c r="C416" s="44"/>
      <c r="D416" s="44"/>
      <c r="E416" s="44"/>
      <c r="F416" s="44"/>
      <c r="G416" s="46"/>
      <c r="H416" s="44"/>
      <c r="I416" s="44"/>
      <c r="J416" s="44"/>
      <c r="K416" s="44"/>
      <c r="L416" s="46" t="str">
        <f>IFERROR(__xludf.DUMMYFUNCTION("IFERROR(IF(ISBLANK($C416), """", GOOGLEFINANCE($C416, ""price"")), """")"),"")</f>
        <v/>
      </c>
      <c r="M416" s="47" t="str">
        <f t="shared" si="3"/>
        <v/>
      </c>
      <c r="N416" s="47" t="str">
        <f>IFERROR(__xludf.DUMMYFUNCTION("IFERROR(IF(OR(ISBLANK($G416), IFERROR(INDEX(GOOGLEFINANCE($C416, ""price"", WORKDAY(INT($B416), 1)), 2, 2), """")=""""), """", IF($D416=""LONG"", (IFERROR(INDEX(GOOGLEFINANCE($C416, ""price"", WORKDAY(INT($B416), 1)), 2, 2), """")-$G416)/$G416, ($G416-IFE"&amp;"RROR(INDEX(GOOGLEFINANCE($C416, ""price"", WORKDAY(INT($B416), 1)), 2, 2), """"))/$G416)), """")"),"")</f>
        <v/>
      </c>
      <c r="O416" s="47" t="str">
        <f>IFERROR(__xludf.DUMMYFUNCTION("IFERROR(IF(OR(ISBLANK($G416), IFERROR(INDEX(GOOGLEFINANCE($C416, ""price"", WORKDAY(INT($B416), 5)), 2, 2), """")=""""), """", IF($D416=""LONG"", (IFERROR(INDEX(GOOGLEFINANCE($C416, ""price"", WORKDAY(INT($B416), 5)), 2, 2), """")-$G416)/$G416, ($G416-IFE"&amp;"RROR(INDEX(GOOGLEFINANCE($C416, ""price"", WORKDAY(INT($B416), 5)), 2, 2), """"))/$G416)), """")"),"")</f>
        <v/>
      </c>
      <c r="P416" s="47" t="str">
        <f>IFERROR(__xludf.DUMMYFUNCTION("IFERROR(IF(OR(ISBLANK($G416), IFERROR(INDEX(GOOGLEFINANCE($C416, ""price"", WORKDAY(INT($B416), 20)), 2, 2), """")=""""), """", IF($D416=""LONG"", (IFERROR(INDEX(GOOGLEFINANCE($C416, ""price"", WORKDAY(INT($B416), 20)), 2, 2), """")-$G416)/$G416, ($G416-I"&amp;"FERROR(INDEX(GOOGLEFINANCE($C416, ""price"", WORKDAY(INT($B416), 20)), 2, 2), """"))/$G416)), """")"),"")</f>
        <v/>
      </c>
      <c r="Q416" s="44"/>
      <c r="R416" s="44"/>
      <c r="S416" s="44"/>
      <c r="T416" s="44"/>
      <c r="U416" s="44"/>
      <c r="V416" s="44"/>
      <c r="W416" s="44"/>
      <c r="X416" s="44"/>
      <c r="Y416" s="44"/>
      <c r="Z416" s="44"/>
    </row>
    <row r="417">
      <c r="A417" s="44"/>
      <c r="B417" s="45"/>
      <c r="C417" s="44"/>
      <c r="D417" s="44"/>
      <c r="E417" s="44"/>
      <c r="F417" s="44"/>
      <c r="G417" s="46"/>
      <c r="H417" s="44"/>
      <c r="I417" s="44"/>
      <c r="J417" s="44"/>
      <c r="K417" s="44"/>
      <c r="L417" s="46" t="str">
        <f>IFERROR(__xludf.DUMMYFUNCTION("IFERROR(IF(ISBLANK($C417), """", GOOGLEFINANCE($C417, ""price"")), """")"),"")</f>
        <v/>
      </c>
      <c r="M417" s="47" t="str">
        <f t="shared" si="3"/>
        <v/>
      </c>
      <c r="N417" s="47" t="str">
        <f>IFERROR(__xludf.DUMMYFUNCTION("IFERROR(IF(OR(ISBLANK($G417), IFERROR(INDEX(GOOGLEFINANCE($C417, ""price"", WORKDAY(INT($B417), 1)), 2, 2), """")=""""), """", IF($D417=""LONG"", (IFERROR(INDEX(GOOGLEFINANCE($C417, ""price"", WORKDAY(INT($B417), 1)), 2, 2), """")-$G417)/$G417, ($G417-IFE"&amp;"RROR(INDEX(GOOGLEFINANCE($C417, ""price"", WORKDAY(INT($B417), 1)), 2, 2), """"))/$G417)), """")"),"")</f>
        <v/>
      </c>
      <c r="O417" s="47" t="str">
        <f>IFERROR(__xludf.DUMMYFUNCTION("IFERROR(IF(OR(ISBLANK($G417), IFERROR(INDEX(GOOGLEFINANCE($C417, ""price"", WORKDAY(INT($B417), 5)), 2, 2), """")=""""), """", IF($D417=""LONG"", (IFERROR(INDEX(GOOGLEFINANCE($C417, ""price"", WORKDAY(INT($B417), 5)), 2, 2), """")-$G417)/$G417, ($G417-IFE"&amp;"RROR(INDEX(GOOGLEFINANCE($C417, ""price"", WORKDAY(INT($B417), 5)), 2, 2), """"))/$G417)), """")"),"")</f>
        <v/>
      </c>
      <c r="P417" s="47" t="str">
        <f>IFERROR(__xludf.DUMMYFUNCTION("IFERROR(IF(OR(ISBLANK($G417), IFERROR(INDEX(GOOGLEFINANCE($C417, ""price"", WORKDAY(INT($B417), 20)), 2, 2), """")=""""), """", IF($D417=""LONG"", (IFERROR(INDEX(GOOGLEFINANCE($C417, ""price"", WORKDAY(INT($B417), 20)), 2, 2), """")-$G417)/$G417, ($G417-I"&amp;"FERROR(INDEX(GOOGLEFINANCE($C417, ""price"", WORKDAY(INT($B417), 20)), 2, 2), """"))/$G417)), """")"),"")</f>
        <v/>
      </c>
      <c r="Q417" s="44"/>
      <c r="R417" s="44"/>
      <c r="S417" s="44"/>
      <c r="T417" s="44"/>
      <c r="U417" s="44"/>
      <c r="V417" s="44"/>
      <c r="W417" s="44"/>
      <c r="X417" s="44"/>
      <c r="Y417" s="44"/>
      <c r="Z417" s="44"/>
    </row>
    <row r="418">
      <c r="A418" s="44"/>
      <c r="B418" s="45"/>
      <c r="C418" s="44"/>
      <c r="D418" s="44"/>
      <c r="E418" s="44"/>
      <c r="F418" s="44"/>
      <c r="G418" s="46"/>
      <c r="H418" s="44"/>
      <c r="I418" s="44"/>
      <c r="J418" s="44"/>
      <c r="K418" s="44"/>
      <c r="L418" s="46" t="str">
        <f>IFERROR(__xludf.DUMMYFUNCTION("IFERROR(IF(ISBLANK($C418), """", GOOGLEFINANCE($C418, ""price"")), """")"),"")</f>
        <v/>
      </c>
      <c r="M418" s="47" t="str">
        <f t="shared" si="3"/>
        <v/>
      </c>
      <c r="N418" s="47" t="str">
        <f>IFERROR(__xludf.DUMMYFUNCTION("IFERROR(IF(OR(ISBLANK($G418), IFERROR(INDEX(GOOGLEFINANCE($C418, ""price"", WORKDAY(INT($B418), 1)), 2, 2), """")=""""), """", IF($D418=""LONG"", (IFERROR(INDEX(GOOGLEFINANCE($C418, ""price"", WORKDAY(INT($B418), 1)), 2, 2), """")-$G418)/$G418, ($G418-IFE"&amp;"RROR(INDEX(GOOGLEFINANCE($C418, ""price"", WORKDAY(INT($B418), 1)), 2, 2), """"))/$G418)), """")"),"")</f>
        <v/>
      </c>
      <c r="O418" s="47" t="str">
        <f>IFERROR(__xludf.DUMMYFUNCTION("IFERROR(IF(OR(ISBLANK($G418), IFERROR(INDEX(GOOGLEFINANCE($C418, ""price"", WORKDAY(INT($B418), 5)), 2, 2), """")=""""), """", IF($D418=""LONG"", (IFERROR(INDEX(GOOGLEFINANCE($C418, ""price"", WORKDAY(INT($B418), 5)), 2, 2), """")-$G418)/$G418, ($G418-IFE"&amp;"RROR(INDEX(GOOGLEFINANCE($C418, ""price"", WORKDAY(INT($B418), 5)), 2, 2), """"))/$G418)), """")"),"")</f>
        <v/>
      </c>
      <c r="P418" s="47" t="str">
        <f>IFERROR(__xludf.DUMMYFUNCTION("IFERROR(IF(OR(ISBLANK($G418), IFERROR(INDEX(GOOGLEFINANCE($C418, ""price"", WORKDAY(INT($B418), 20)), 2, 2), """")=""""), """", IF($D418=""LONG"", (IFERROR(INDEX(GOOGLEFINANCE($C418, ""price"", WORKDAY(INT($B418), 20)), 2, 2), """")-$G418)/$G418, ($G418-I"&amp;"FERROR(INDEX(GOOGLEFINANCE($C418, ""price"", WORKDAY(INT($B418), 20)), 2, 2), """"))/$G418)), """")"),"")</f>
        <v/>
      </c>
      <c r="Q418" s="44"/>
      <c r="R418" s="44"/>
      <c r="S418" s="44"/>
      <c r="T418" s="44"/>
      <c r="U418" s="44"/>
      <c r="V418" s="44"/>
      <c r="W418" s="44"/>
      <c r="X418" s="44"/>
      <c r="Y418" s="44"/>
      <c r="Z418" s="44"/>
    </row>
    <row r="419">
      <c r="A419" s="44"/>
      <c r="B419" s="45"/>
      <c r="C419" s="44"/>
      <c r="D419" s="44"/>
      <c r="E419" s="44"/>
      <c r="F419" s="44"/>
      <c r="G419" s="46"/>
      <c r="H419" s="44"/>
      <c r="I419" s="44"/>
      <c r="J419" s="44"/>
      <c r="K419" s="44"/>
      <c r="L419" s="46" t="str">
        <f>IFERROR(__xludf.DUMMYFUNCTION("IFERROR(IF(ISBLANK($C419), """", GOOGLEFINANCE($C419, ""price"")), """")"),"")</f>
        <v/>
      </c>
      <c r="M419" s="47" t="str">
        <f t="shared" si="3"/>
        <v/>
      </c>
      <c r="N419" s="47" t="str">
        <f>IFERROR(__xludf.DUMMYFUNCTION("IFERROR(IF(OR(ISBLANK($G419), IFERROR(INDEX(GOOGLEFINANCE($C419, ""price"", WORKDAY(INT($B419), 1)), 2, 2), """")=""""), """", IF($D419=""LONG"", (IFERROR(INDEX(GOOGLEFINANCE($C419, ""price"", WORKDAY(INT($B419), 1)), 2, 2), """")-$G419)/$G419, ($G419-IFE"&amp;"RROR(INDEX(GOOGLEFINANCE($C419, ""price"", WORKDAY(INT($B419), 1)), 2, 2), """"))/$G419)), """")"),"")</f>
        <v/>
      </c>
      <c r="O419" s="47" t="str">
        <f>IFERROR(__xludf.DUMMYFUNCTION("IFERROR(IF(OR(ISBLANK($G419), IFERROR(INDEX(GOOGLEFINANCE($C419, ""price"", WORKDAY(INT($B419), 5)), 2, 2), """")=""""), """", IF($D419=""LONG"", (IFERROR(INDEX(GOOGLEFINANCE($C419, ""price"", WORKDAY(INT($B419), 5)), 2, 2), """")-$G419)/$G419, ($G419-IFE"&amp;"RROR(INDEX(GOOGLEFINANCE($C419, ""price"", WORKDAY(INT($B419), 5)), 2, 2), """"))/$G419)), """")"),"")</f>
        <v/>
      </c>
      <c r="P419" s="47" t="str">
        <f>IFERROR(__xludf.DUMMYFUNCTION("IFERROR(IF(OR(ISBLANK($G419), IFERROR(INDEX(GOOGLEFINANCE($C419, ""price"", WORKDAY(INT($B419), 20)), 2, 2), """")=""""), """", IF($D419=""LONG"", (IFERROR(INDEX(GOOGLEFINANCE($C419, ""price"", WORKDAY(INT($B419), 20)), 2, 2), """")-$G419)/$G419, ($G419-I"&amp;"FERROR(INDEX(GOOGLEFINANCE($C419, ""price"", WORKDAY(INT($B419), 20)), 2, 2), """"))/$G419)), """")"),"")</f>
        <v/>
      </c>
      <c r="Q419" s="44"/>
      <c r="R419" s="44"/>
      <c r="S419" s="44"/>
      <c r="T419" s="44"/>
      <c r="U419" s="44"/>
      <c r="V419" s="44"/>
      <c r="W419" s="44"/>
      <c r="X419" s="44"/>
      <c r="Y419" s="44"/>
      <c r="Z419" s="44"/>
    </row>
    <row r="420">
      <c r="A420" s="44"/>
      <c r="B420" s="45"/>
      <c r="C420" s="44"/>
      <c r="D420" s="44"/>
      <c r="E420" s="44"/>
      <c r="F420" s="44"/>
      <c r="G420" s="46"/>
      <c r="H420" s="44"/>
      <c r="I420" s="44"/>
      <c r="J420" s="44"/>
      <c r="K420" s="44"/>
      <c r="L420" s="46" t="str">
        <f>IFERROR(__xludf.DUMMYFUNCTION("IFERROR(IF(ISBLANK($C420), """", GOOGLEFINANCE($C420, ""price"")), """")"),"")</f>
        <v/>
      </c>
      <c r="M420" s="47" t="str">
        <f t="shared" si="3"/>
        <v/>
      </c>
      <c r="N420" s="47" t="str">
        <f>IFERROR(__xludf.DUMMYFUNCTION("IFERROR(IF(OR(ISBLANK($G420), IFERROR(INDEX(GOOGLEFINANCE($C420, ""price"", WORKDAY(INT($B420), 1)), 2, 2), """")=""""), """", IF($D420=""LONG"", (IFERROR(INDEX(GOOGLEFINANCE($C420, ""price"", WORKDAY(INT($B420), 1)), 2, 2), """")-$G420)/$G420, ($G420-IFE"&amp;"RROR(INDEX(GOOGLEFINANCE($C420, ""price"", WORKDAY(INT($B420), 1)), 2, 2), """"))/$G420)), """")"),"")</f>
        <v/>
      </c>
      <c r="O420" s="47" t="str">
        <f>IFERROR(__xludf.DUMMYFUNCTION("IFERROR(IF(OR(ISBLANK($G420), IFERROR(INDEX(GOOGLEFINANCE($C420, ""price"", WORKDAY(INT($B420), 5)), 2, 2), """")=""""), """", IF($D420=""LONG"", (IFERROR(INDEX(GOOGLEFINANCE($C420, ""price"", WORKDAY(INT($B420), 5)), 2, 2), """")-$G420)/$G420, ($G420-IFE"&amp;"RROR(INDEX(GOOGLEFINANCE($C420, ""price"", WORKDAY(INT($B420), 5)), 2, 2), """"))/$G420)), """")"),"")</f>
        <v/>
      </c>
      <c r="P420" s="47" t="str">
        <f>IFERROR(__xludf.DUMMYFUNCTION("IFERROR(IF(OR(ISBLANK($G420), IFERROR(INDEX(GOOGLEFINANCE($C420, ""price"", WORKDAY(INT($B420), 20)), 2, 2), """")=""""), """", IF($D420=""LONG"", (IFERROR(INDEX(GOOGLEFINANCE($C420, ""price"", WORKDAY(INT($B420), 20)), 2, 2), """")-$G420)/$G420, ($G420-I"&amp;"FERROR(INDEX(GOOGLEFINANCE($C420, ""price"", WORKDAY(INT($B420), 20)), 2, 2), """"))/$G420)), """")"),"")</f>
        <v/>
      </c>
      <c r="Q420" s="44"/>
      <c r="R420" s="44"/>
      <c r="S420" s="44"/>
      <c r="T420" s="44"/>
      <c r="U420" s="44"/>
      <c r="V420" s="44"/>
      <c r="W420" s="44"/>
      <c r="X420" s="44"/>
      <c r="Y420" s="44"/>
      <c r="Z420" s="44"/>
    </row>
    <row r="421">
      <c r="A421" s="44"/>
      <c r="B421" s="45"/>
      <c r="C421" s="44"/>
      <c r="D421" s="44"/>
      <c r="E421" s="44"/>
      <c r="F421" s="44"/>
      <c r="G421" s="46"/>
      <c r="H421" s="44"/>
      <c r="I421" s="44"/>
      <c r="J421" s="44"/>
      <c r="K421" s="44"/>
      <c r="L421" s="46" t="str">
        <f>IFERROR(__xludf.DUMMYFUNCTION("IFERROR(IF(ISBLANK($C421), """", GOOGLEFINANCE($C421, ""price"")), """")"),"")</f>
        <v/>
      </c>
      <c r="M421" s="47" t="str">
        <f t="shared" si="3"/>
        <v/>
      </c>
      <c r="N421" s="47" t="str">
        <f>IFERROR(__xludf.DUMMYFUNCTION("IFERROR(IF(OR(ISBLANK($G421), IFERROR(INDEX(GOOGLEFINANCE($C421, ""price"", WORKDAY(INT($B421), 1)), 2, 2), """")=""""), """", IF($D421=""LONG"", (IFERROR(INDEX(GOOGLEFINANCE($C421, ""price"", WORKDAY(INT($B421), 1)), 2, 2), """")-$G421)/$G421, ($G421-IFE"&amp;"RROR(INDEX(GOOGLEFINANCE($C421, ""price"", WORKDAY(INT($B421), 1)), 2, 2), """"))/$G421)), """")"),"")</f>
        <v/>
      </c>
      <c r="O421" s="47" t="str">
        <f>IFERROR(__xludf.DUMMYFUNCTION("IFERROR(IF(OR(ISBLANK($G421), IFERROR(INDEX(GOOGLEFINANCE($C421, ""price"", WORKDAY(INT($B421), 5)), 2, 2), """")=""""), """", IF($D421=""LONG"", (IFERROR(INDEX(GOOGLEFINANCE($C421, ""price"", WORKDAY(INT($B421), 5)), 2, 2), """")-$G421)/$G421, ($G421-IFE"&amp;"RROR(INDEX(GOOGLEFINANCE($C421, ""price"", WORKDAY(INT($B421), 5)), 2, 2), """"))/$G421)), """")"),"")</f>
        <v/>
      </c>
      <c r="P421" s="47" t="str">
        <f>IFERROR(__xludf.DUMMYFUNCTION("IFERROR(IF(OR(ISBLANK($G421), IFERROR(INDEX(GOOGLEFINANCE($C421, ""price"", WORKDAY(INT($B421), 20)), 2, 2), """")=""""), """", IF($D421=""LONG"", (IFERROR(INDEX(GOOGLEFINANCE($C421, ""price"", WORKDAY(INT($B421), 20)), 2, 2), """")-$G421)/$G421, ($G421-I"&amp;"FERROR(INDEX(GOOGLEFINANCE($C421, ""price"", WORKDAY(INT($B421), 20)), 2, 2), """"))/$G421)), """")"),"")</f>
        <v/>
      </c>
      <c r="Q421" s="44"/>
      <c r="R421" s="44"/>
      <c r="S421" s="44"/>
      <c r="T421" s="44"/>
      <c r="U421" s="44"/>
      <c r="V421" s="44"/>
      <c r="W421" s="44"/>
      <c r="X421" s="44"/>
      <c r="Y421" s="44"/>
      <c r="Z421" s="44"/>
    </row>
    <row r="422">
      <c r="A422" s="44"/>
      <c r="B422" s="45"/>
      <c r="C422" s="44"/>
      <c r="D422" s="44"/>
      <c r="E422" s="44"/>
      <c r="F422" s="44"/>
      <c r="G422" s="46"/>
      <c r="H422" s="44"/>
      <c r="I422" s="44"/>
      <c r="J422" s="44"/>
      <c r="K422" s="44"/>
      <c r="L422" s="46" t="str">
        <f>IFERROR(__xludf.DUMMYFUNCTION("IFERROR(IF(ISBLANK($C422), """", GOOGLEFINANCE($C422, ""price"")), """")"),"")</f>
        <v/>
      </c>
      <c r="M422" s="47" t="str">
        <f t="shared" si="3"/>
        <v/>
      </c>
      <c r="N422" s="47" t="str">
        <f>IFERROR(__xludf.DUMMYFUNCTION("IFERROR(IF(OR(ISBLANK($G422), IFERROR(INDEX(GOOGLEFINANCE($C422, ""price"", WORKDAY(INT($B422), 1)), 2, 2), """")=""""), """", IF($D422=""LONG"", (IFERROR(INDEX(GOOGLEFINANCE($C422, ""price"", WORKDAY(INT($B422), 1)), 2, 2), """")-$G422)/$G422, ($G422-IFE"&amp;"RROR(INDEX(GOOGLEFINANCE($C422, ""price"", WORKDAY(INT($B422), 1)), 2, 2), """"))/$G422)), """")"),"")</f>
        <v/>
      </c>
      <c r="O422" s="47" t="str">
        <f>IFERROR(__xludf.DUMMYFUNCTION("IFERROR(IF(OR(ISBLANK($G422), IFERROR(INDEX(GOOGLEFINANCE($C422, ""price"", WORKDAY(INT($B422), 5)), 2, 2), """")=""""), """", IF($D422=""LONG"", (IFERROR(INDEX(GOOGLEFINANCE($C422, ""price"", WORKDAY(INT($B422), 5)), 2, 2), """")-$G422)/$G422, ($G422-IFE"&amp;"RROR(INDEX(GOOGLEFINANCE($C422, ""price"", WORKDAY(INT($B422), 5)), 2, 2), """"))/$G422)), """")"),"")</f>
        <v/>
      </c>
      <c r="P422" s="47" t="str">
        <f>IFERROR(__xludf.DUMMYFUNCTION("IFERROR(IF(OR(ISBLANK($G422), IFERROR(INDEX(GOOGLEFINANCE($C422, ""price"", WORKDAY(INT($B422), 20)), 2, 2), """")=""""), """", IF($D422=""LONG"", (IFERROR(INDEX(GOOGLEFINANCE($C422, ""price"", WORKDAY(INT($B422), 20)), 2, 2), """")-$G422)/$G422, ($G422-I"&amp;"FERROR(INDEX(GOOGLEFINANCE($C422, ""price"", WORKDAY(INT($B422), 20)), 2, 2), """"))/$G422)), """")"),"")</f>
        <v/>
      </c>
      <c r="Q422" s="44"/>
      <c r="R422" s="44"/>
      <c r="S422" s="44"/>
      <c r="T422" s="44"/>
      <c r="U422" s="44"/>
      <c r="V422" s="44"/>
      <c r="W422" s="44"/>
      <c r="X422" s="44"/>
      <c r="Y422" s="44"/>
      <c r="Z422" s="44"/>
    </row>
    <row r="423">
      <c r="A423" s="44"/>
      <c r="B423" s="45"/>
      <c r="C423" s="44"/>
      <c r="D423" s="44"/>
      <c r="E423" s="44"/>
      <c r="F423" s="44"/>
      <c r="G423" s="46"/>
      <c r="H423" s="44"/>
      <c r="I423" s="44"/>
      <c r="J423" s="44"/>
      <c r="K423" s="44"/>
      <c r="L423" s="46" t="str">
        <f>IFERROR(__xludf.DUMMYFUNCTION("IFERROR(IF(ISBLANK($C423), """", GOOGLEFINANCE($C423, ""price"")), """")"),"")</f>
        <v/>
      </c>
      <c r="M423" s="47" t="str">
        <f t="shared" si="3"/>
        <v/>
      </c>
      <c r="N423" s="47" t="str">
        <f>IFERROR(__xludf.DUMMYFUNCTION("IFERROR(IF(OR(ISBLANK($G423), IFERROR(INDEX(GOOGLEFINANCE($C423, ""price"", WORKDAY(INT($B423), 1)), 2, 2), """")=""""), """", IF($D423=""LONG"", (IFERROR(INDEX(GOOGLEFINANCE($C423, ""price"", WORKDAY(INT($B423), 1)), 2, 2), """")-$G423)/$G423, ($G423-IFE"&amp;"RROR(INDEX(GOOGLEFINANCE($C423, ""price"", WORKDAY(INT($B423), 1)), 2, 2), """"))/$G423)), """")"),"")</f>
        <v/>
      </c>
      <c r="O423" s="47" t="str">
        <f>IFERROR(__xludf.DUMMYFUNCTION("IFERROR(IF(OR(ISBLANK($G423), IFERROR(INDEX(GOOGLEFINANCE($C423, ""price"", WORKDAY(INT($B423), 5)), 2, 2), """")=""""), """", IF($D423=""LONG"", (IFERROR(INDEX(GOOGLEFINANCE($C423, ""price"", WORKDAY(INT($B423), 5)), 2, 2), """")-$G423)/$G423, ($G423-IFE"&amp;"RROR(INDEX(GOOGLEFINANCE($C423, ""price"", WORKDAY(INT($B423), 5)), 2, 2), """"))/$G423)), """")"),"")</f>
        <v/>
      </c>
      <c r="P423" s="47" t="str">
        <f>IFERROR(__xludf.DUMMYFUNCTION("IFERROR(IF(OR(ISBLANK($G423), IFERROR(INDEX(GOOGLEFINANCE($C423, ""price"", WORKDAY(INT($B423), 20)), 2, 2), """")=""""), """", IF($D423=""LONG"", (IFERROR(INDEX(GOOGLEFINANCE($C423, ""price"", WORKDAY(INT($B423), 20)), 2, 2), """")-$G423)/$G423, ($G423-I"&amp;"FERROR(INDEX(GOOGLEFINANCE($C423, ""price"", WORKDAY(INT($B423), 20)), 2, 2), """"))/$G423)), """")"),"")</f>
        <v/>
      </c>
      <c r="Q423" s="44"/>
      <c r="R423" s="44"/>
      <c r="S423" s="44"/>
      <c r="T423" s="44"/>
      <c r="U423" s="44"/>
      <c r="V423" s="44"/>
      <c r="W423" s="44"/>
      <c r="X423" s="44"/>
      <c r="Y423" s="44"/>
      <c r="Z423" s="44"/>
    </row>
    <row r="424">
      <c r="A424" s="44"/>
      <c r="B424" s="45"/>
      <c r="C424" s="44"/>
      <c r="D424" s="44"/>
      <c r="E424" s="44"/>
      <c r="F424" s="44"/>
      <c r="G424" s="46"/>
      <c r="H424" s="44"/>
      <c r="I424" s="44"/>
      <c r="J424" s="44"/>
      <c r="K424" s="44"/>
      <c r="L424" s="46" t="str">
        <f>IFERROR(__xludf.DUMMYFUNCTION("IFERROR(IF(ISBLANK($C424), """", GOOGLEFINANCE($C424, ""price"")), """")"),"")</f>
        <v/>
      </c>
      <c r="M424" s="47" t="str">
        <f t="shared" si="3"/>
        <v/>
      </c>
      <c r="N424" s="47" t="str">
        <f>IFERROR(__xludf.DUMMYFUNCTION("IFERROR(IF(OR(ISBLANK($G424), IFERROR(INDEX(GOOGLEFINANCE($C424, ""price"", WORKDAY(INT($B424), 1)), 2, 2), """")=""""), """", IF($D424=""LONG"", (IFERROR(INDEX(GOOGLEFINANCE($C424, ""price"", WORKDAY(INT($B424), 1)), 2, 2), """")-$G424)/$G424, ($G424-IFE"&amp;"RROR(INDEX(GOOGLEFINANCE($C424, ""price"", WORKDAY(INT($B424), 1)), 2, 2), """"))/$G424)), """")"),"")</f>
        <v/>
      </c>
      <c r="O424" s="47" t="str">
        <f>IFERROR(__xludf.DUMMYFUNCTION("IFERROR(IF(OR(ISBLANK($G424), IFERROR(INDEX(GOOGLEFINANCE($C424, ""price"", WORKDAY(INT($B424), 5)), 2, 2), """")=""""), """", IF($D424=""LONG"", (IFERROR(INDEX(GOOGLEFINANCE($C424, ""price"", WORKDAY(INT($B424), 5)), 2, 2), """")-$G424)/$G424, ($G424-IFE"&amp;"RROR(INDEX(GOOGLEFINANCE($C424, ""price"", WORKDAY(INT($B424), 5)), 2, 2), """"))/$G424)), """")"),"")</f>
        <v/>
      </c>
      <c r="P424" s="47" t="str">
        <f>IFERROR(__xludf.DUMMYFUNCTION("IFERROR(IF(OR(ISBLANK($G424), IFERROR(INDEX(GOOGLEFINANCE($C424, ""price"", WORKDAY(INT($B424), 20)), 2, 2), """")=""""), """", IF($D424=""LONG"", (IFERROR(INDEX(GOOGLEFINANCE($C424, ""price"", WORKDAY(INT($B424), 20)), 2, 2), """")-$G424)/$G424, ($G424-I"&amp;"FERROR(INDEX(GOOGLEFINANCE($C424, ""price"", WORKDAY(INT($B424), 20)), 2, 2), """"))/$G424)), """")"),"")</f>
        <v/>
      </c>
      <c r="Q424" s="44"/>
      <c r="R424" s="44"/>
      <c r="S424" s="44"/>
      <c r="T424" s="44"/>
      <c r="U424" s="44"/>
      <c r="V424" s="44"/>
      <c r="W424" s="44"/>
      <c r="X424" s="44"/>
      <c r="Y424" s="44"/>
      <c r="Z424" s="44"/>
    </row>
    <row r="425">
      <c r="A425" s="44"/>
      <c r="B425" s="45"/>
      <c r="C425" s="44"/>
      <c r="D425" s="44"/>
      <c r="E425" s="44"/>
      <c r="F425" s="44"/>
      <c r="G425" s="46"/>
      <c r="H425" s="44"/>
      <c r="I425" s="44"/>
      <c r="J425" s="44"/>
      <c r="K425" s="44"/>
      <c r="L425" s="46" t="str">
        <f>IFERROR(__xludf.DUMMYFUNCTION("IFERROR(IF(ISBLANK($C425), """", GOOGLEFINANCE($C425, ""price"")), """")"),"")</f>
        <v/>
      </c>
      <c r="M425" s="47" t="str">
        <f t="shared" si="3"/>
        <v/>
      </c>
      <c r="N425" s="47" t="str">
        <f>IFERROR(__xludf.DUMMYFUNCTION("IFERROR(IF(OR(ISBLANK($G425), IFERROR(INDEX(GOOGLEFINANCE($C425, ""price"", WORKDAY(INT($B425), 1)), 2, 2), """")=""""), """", IF($D425=""LONG"", (IFERROR(INDEX(GOOGLEFINANCE($C425, ""price"", WORKDAY(INT($B425), 1)), 2, 2), """")-$G425)/$G425, ($G425-IFE"&amp;"RROR(INDEX(GOOGLEFINANCE($C425, ""price"", WORKDAY(INT($B425), 1)), 2, 2), """"))/$G425)), """")"),"")</f>
        <v/>
      </c>
      <c r="O425" s="47" t="str">
        <f>IFERROR(__xludf.DUMMYFUNCTION("IFERROR(IF(OR(ISBLANK($G425), IFERROR(INDEX(GOOGLEFINANCE($C425, ""price"", WORKDAY(INT($B425), 5)), 2, 2), """")=""""), """", IF($D425=""LONG"", (IFERROR(INDEX(GOOGLEFINANCE($C425, ""price"", WORKDAY(INT($B425), 5)), 2, 2), """")-$G425)/$G425, ($G425-IFE"&amp;"RROR(INDEX(GOOGLEFINANCE($C425, ""price"", WORKDAY(INT($B425), 5)), 2, 2), """"))/$G425)), """")"),"")</f>
        <v/>
      </c>
      <c r="P425" s="47" t="str">
        <f>IFERROR(__xludf.DUMMYFUNCTION("IFERROR(IF(OR(ISBLANK($G425), IFERROR(INDEX(GOOGLEFINANCE($C425, ""price"", WORKDAY(INT($B425), 20)), 2, 2), """")=""""), """", IF($D425=""LONG"", (IFERROR(INDEX(GOOGLEFINANCE($C425, ""price"", WORKDAY(INT($B425), 20)), 2, 2), """")-$G425)/$G425, ($G425-I"&amp;"FERROR(INDEX(GOOGLEFINANCE($C425, ""price"", WORKDAY(INT($B425), 20)), 2, 2), """"))/$G425)), """")"),"")</f>
        <v/>
      </c>
      <c r="Q425" s="44"/>
      <c r="R425" s="44"/>
      <c r="S425" s="44"/>
      <c r="T425" s="44"/>
      <c r="U425" s="44"/>
      <c r="V425" s="44"/>
      <c r="W425" s="44"/>
      <c r="X425" s="44"/>
      <c r="Y425" s="44"/>
      <c r="Z425" s="44"/>
    </row>
    <row r="426">
      <c r="A426" s="44"/>
      <c r="B426" s="45"/>
      <c r="C426" s="44"/>
      <c r="D426" s="44"/>
      <c r="E426" s="44"/>
      <c r="F426" s="44"/>
      <c r="G426" s="46"/>
      <c r="H426" s="44"/>
      <c r="I426" s="44"/>
      <c r="J426" s="44"/>
      <c r="K426" s="44"/>
      <c r="L426" s="46" t="str">
        <f>IFERROR(__xludf.DUMMYFUNCTION("IFERROR(IF(ISBLANK($C426), """", GOOGLEFINANCE($C426, ""price"")), """")"),"")</f>
        <v/>
      </c>
      <c r="M426" s="47" t="str">
        <f t="shared" si="3"/>
        <v/>
      </c>
      <c r="N426" s="47" t="str">
        <f>IFERROR(__xludf.DUMMYFUNCTION("IFERROR(IF(OR(ISBLANK($G426), IFERROR(INDEX(GOOGLEFINANCE($C426, ""price"", WORKDAY(INT($B426), 1)), 2, 2), """")=""""), """", IF($D426=""LONG"", (IFERROR(INDEX(GOOGLEFINANCE($C426, ""price"", WORKDAY(INT($B426), 1)), 2, 2), """")-$G426)/$G426, ($G426-IFE"&amp;"RROR(INDEX(GOOGLEFINANCE($C426, ""price"", WORKDAY(INT($B426), 1)), 2, 2), """"))/$G426)), """")"),"")</f>
        <v/>
      </c>
      <c r="O426" s="47" t="str">
        <f>IFERROR(__xludf.DUMMYFUNCTION("IFERROR(IF(OR(ISBLANK($G426), IFERROR(INDEX(GOOGLEFINANCE($C426, ""price"", WORKDAY(INT($B426), 5)), 2, 2), """")=""""), """", IF($D426=""LONG"", (IFERROR(INDEX(GOOGLEFINANCE($C426, ""price"", WORKDAY(INT($B426), 5)), 2, 2), """")-$G426)/$G426, ($G426-IFE"&amp;"RROR(INDEX(GOOGLEFINANCE($C426, ""price"", WORKDAY(INT($B426), 5)), 2, 2), """"))/$G426)), """")"),"")</f>
        <v/>
      </c>
      <c r="P426" s="47" t="str">
        <f>IFERROR(__xludf.DUMMYFUNCTION("IFERROR(IF(OR(ISBLANK($G426), IFERROR(INDEX(GOOGLEFINANCE($C426, ""price"", WORKDAY(INT($B426), 20)), 2, 2), """")=""""), """", IF($D426=""LONG"", (IFERROR(INDEX(GOOGLEFINANCE($C426, ""price"", WORKDAY(INT($B426), 20)), 2, 2), """")-$G426)/$G426, ($G426-I"&amp;"FERROR(INDEX(GOOGLEFINANCE($C426, ""price"", WORKDAY(INT($B426), 20)), 2, 2), """"))/$G426)), """")"),"")</f>
        <v/>
      </c>
      <c r="Q426" s="44"/>
      <c r="R426" s="44"/>
      <c r="S426" s="44"/>
      <c r="T426" s="44"/>
      <c r="U426" s="44"/>
      <c r="V426" s="44"/>
      <c r="W426" s="44"/>
      <c r="X426" s="44"/>
      <c r="Y426" s="44"/>
      <c r="Z426" s="44"/>
    </row>
    <row r="427">
      <c r="A427" s="44"/>
      <c r="B427" s="45"/>
      <c r="C427" s="44"/>
      <c r="D427" s="44"/>
      <c r="E427" s="44"/>
      <c r="F427" s="44"/>
      <c r="G427" s="46"/>
      <c r="H427" s="44"/>
      <c r="I427" s="44"/>
      <c r="J427" s="44"/>
      <c r="K427" s="44"/>
      <c r="L427" s="46" t="str">
        <f>IFERROR(__xludf.DUMMYFUNCTION("IFERROR(IF(ISBLANK($C427), """", GOOGLEFINANCE($C427, ""price"")), """")"),"")</f>
        <v/>
      </c>
      <c r="M427" s="47" t="str">
        <f t="shared" si="3"/>
        <v/>
      </c>
      <c r="N427" s="47" t="str">
        <f>IFERROR(__xludf.DUMMYFUNCTION("IFERROR(IF(OR(ISBLANK($G427), IFERROR(INDEX(GOOGLEFINANCE($C427, ""price"", WORKDAY(INT($B427), 1)), 2, 2), """")=""""), """", IF($D427=""LONG"", (IFERROR(INDEX(GOOGLEFINANCE($C427, ""price"", WORKDAY(INT($B427), 1)), 2, 2), """")-$G427)/$G427, ($G427-IFE"&amp;"RROR(INDEX(GOOGLEFINANCE($C427, ""price"", WORKDAY(INT($B427), 1)), 2, 2), """"))/$G427)), """")"),"")</f>
        <v/>
      </c>
      <c r="O427" s="47" t="str">
        <f>IFERROR(__xludf.DUMMYFUNCTION("IFERROR(IF(OR(ISBLANK($G427), IFERROR(INDEX(GOOGLEFINANCE($C427, ""price"", WORKDAY(INT($B427), 5)), 2, 2), """")=""""), """", IF($D427=""LONG"", (IFERROR(INDEX(GOOGLEFINANCE($C427, ""price"", WORKDAY(INT($B427), 5)), 2, 2), """")-$G427)/$G427, ($G427-IFE"&amp;"RROR(INDEX(GOOGLEFINANCE($C427, ""price"", WORKDAY(INT($B427), 5)), 2, 2), """"))/$G427)), """")"),"")</f>
        <v/>
      </c>
      <c r="P427" s="47" t="str">
        <f>IFERROR(__xludf.DUMMYFUNCTION("IFERROR(IF(OR(ISBLANK($G427), IFERROR(INDEX(GOOGLEFINANCE($C427, ""price"", WORKDAY(INT($B427), 20)), 2, 2), """")=""""), """", IF($D427=""LONG"", (IFERROR(INDEX(GOOGLEFINANCE($C427, ""price"", WORKDAY(INT($B427), 20)), 2, 2), """")-$G427)/$G427, ($G427-I"&amp;"FERROR(INDEX(GOOGLEFINANCE($C427, ""price"", WORKDAY(INT($B427), 20)), 2, 2), """"))/$G427)), """")"),"")</f>
        <v/>
      </c>
      <c r="Q427" s="44"/>
      <c r="R427" s="44"/>
      <c r="S427" s="44"/>
      <c r="T427" s="44"/>
      <c r="U427" s="44"/>
      <c r="V427" s="44"/>
      <c r="W427" s="44"/>
      <c r="X427" s="44"/>
      <c r="Y427" s="44"/>
      <c r="Z427" s="44"/>
    </row>
    <row r="428">
      <c r="A428" s="44"/>
      <c r="B428" s="45"/>
      <c r="C428" s="44"/>
      <c r="D428" s="44"/>
      <c r="E428" s="44"/>
      <c r="F428" s="44"/>
      <c r="G428" s="46"/>
      <c r="H428" s="44"/>
      <c r="I428" s="44"/>
      <c r="J428" s="44"/>
      <c r="K428" s="44"/>
      <c r="L428" s="46" t="str">
        <f>IFERROR(__xludf.DUMMYFUNCTION("IFERROR(IF(ISBLANK($C428), """", GOOGLEFINANCE($C428, ""price"")), """")"),"")</f>
        <v/>
      </c>
      <c r="M428" s="47" t="str">
        <f t="shared" si="3"/>
        <v/>
      </c>
      <c r="N428" s="47" t="str">
        <f>IFERROR(__xludf.DUMMYFUNCTION("IFERROR(IF(OR(ISBLANK($G428), IFERROR(INDEX(GOOGLEFINANCE($C428, ""price"", WORKDAY(INT($B428), 1)), 2, 2), """")=""""), """", IF($D428=""LONG"", (IFERROR(INDEX(GOOGLEFINANCE($C428, ""price"", WORKDAY(INT($B428), 1)), 2, 2), """")-$G428)/$G428, ($G428-IFE"&amp;"RROR(INDEX(GOOGLEFINANCE($C428, ""price"", WORKDAY(INT($B428), 1)), 2, 2), """"))/$G428)), """")"),"")</f>
        <v/>
      </c>
      <c r="O428" s="47" t="str">
        <f>IFERROR(__xludf.DUMMYFUNCTION("IFERROR(IF(OR(ISBLANK($G428), IFERROR(INDEX(GOOGLEFINANCE($C428, ""price"", WORKDAY(INT($B428), 5)), 2, 2), """")=""""), """", IF($D428=""LONG"", (IFERROR(INDEX(GOOGLEFINANCE($C428, ""price"", WORKDAY(INT($B428), 5)), 2, 2), """")-$G428)/$G428, ($G428-IFE"&amp;"RROR(INDEX(GOOGLEFINANCE($C428, ""price"", WORKDAY(INT($B428), 5)), 2, 2), """"))/$G428)), """")"),"")</f>
        <v/>
      </c>
      <c r="P428" s="47" t="str">
        <f>IFERROR(__xludf.DUMMYFUNCTION("IFERROR(IF(OR(ISBLANK($G428), IFERROR(INDEX(GOOGLEFINANCE($C428, ""price"", WORKDAY(INT($B428), 20)), 2, 2), """")=""""), """", IF($D428=""LONG"", (IFERROR(INDEX(GOOGLEFINANCE($C428, ""price"", WORKDAY(INT($B428), 20)), 2, 2), """")-$G428)/$G428, ($G428-I"&amp;"FERROR(INDEX(GOOGLEFINANCE($C428, ""price"", WORKDAY(INT($B428), 20)), 2, 2), """"))/$G428)), """")"),"")</f>
        <v/>
      </c>
      <c r="Q428" s="44"/>
      <c r="R428" s="44"/>
      <c r="S428" s="44"/>
      <c r="T428" s="44"/>
      <c r="U428" s="44"/>
      <c r="V428" s="44"/>
      <c r="W428" s="44"/>
      <c r="X428" s="44"/>
      <c r="Y428" s="44"/>
      <c r="Z428" s="44"/>
    </row>
    <row r="429">
      <c r="A429" s="44"/>
      <c r="B429" s="45"/>
      <c r="C429" s="44"/>
      <c r="D429" s="44"/>
      <c r="E429" s="44"/>
      <c r="F429" s="44"/>
      <c r="G429" s="46"/>
      <c r="H429" s="44"/>
      <c r="I429" s="44"/>
      <c r="J429" s="44"/>
      <c r="K429" s="44"/>
      <c r="L429" s="46" t="str">
        <f>IFERROR(__xludf.DUMMYFUNCTION("IFERROR(IF(ISBLANK($C429), """", GOOGLEFINANCE($C429, ""price"")), """")"),"")</f>
        <v/>
      </c>
      <c r="M429" s="47" t="str">
        <f t="shared" si="3"/>
        <v/>
      </c>
      <c r="N429" s="47" t="str">
        <f>IFERROR(__xludf.DUMMYFUNCTION("IFERROR(IF(OR(ISBLANK($G429), IFERROR(INDEX(GOOGLEFINANCE($C429, ""price"", WORKDAY(INT($B429), 1)), 2, 2), """")=""""), """", IF($D429=""LONG"", (IFERROR(INDEX(GOOGLEFINANCE($C429, ""price"", WORKDAY(INT($B429), 1)), 2, 2), """")-$G429)/$G429, ($G429-IFE"&amp;"RROR(INDEX(GOOGLEFINANCE($C429, ""price"", WORKDAY(INT($B429), 1)), 2, 2), """"))/$G429)), """")"),"")</f>
        <v/>
      </c>
      <c r="O429" s="47" t="str">
        <f>IFERROR(__xludf.DUMMYFUNCTION("IFERROR(IF(OR(ISBLANK($G429), IFERROR(INDEX(GOOGLEFINANCE($C429, ""price"", WORKDAY(INT($B429), 5)), 2, 2), """")=""""), """", IF($D429=""LONG"", (IFERROR(INDEX(GOOGLEFINANCE($C429, ""price"", WORKDAY(INT($B429), 5)), 2, 2), """")-$G429)/$G429, ($G429-IFE"&amp;"RROR(INDEX(GOOGLEFINANCE($C429, ""price"", WORKDAY(INT($B429), 5)), 2, 2), """"))/$G429)), """")"),"")</f>
        <v/>
      </c>
      <c r="P429" s="47" t="str">
        <f>IFERROR(__xludf.DUMMYFUNCTION("IFERROR(IF(OR(ISBLANK($G429), IFERROR(INDEX(GOOGLEFINANCE($C429, ""price"", WORKDAY(INT($B429), 20)), 2, 2), """")=""""), """", IF($D429=""LONG"", (IFERROR(INDEX(GOOGLEFINANCE($C429, ""price"", WORKDAY(INT($B429), 20)), 2, 2), """")-$G429)/$G429, ($G429-I"&amp;"FERROR(INDEX(GOOGLEFINANCE($C429, ""price"", WORKDAY(INT($B429), 20)), 2, 2), """"))/$G429)), """")"),"")</f>
        <v/>
      </c>
      <c r="Q429" s="44"/>
      <c r="R429" s="44"/>
      <c r="S429" s="44"/>
      <c r="T429" s="44"/>
      <c r="U429" s="44"/>
      <c r="V429" s="44"/>
      <c r="W429" s="44"/>
      <c r="X429" s="44"/>
      <c r="Y429" s="44"/>
      <c r="Z429" s="44"/>
    </row>
    <row r="430">
      <c r="A430" s="44"/>
      <c r="B430" s="45"/>
      <c r="C430" s="44"/>
      <c r="D430" s="44"/>
      <c r="E430" s="44"/>
      <c r="F430" s="44"/>
      <c r="G430" s="46"/>
      <c r="H430" s="44"/>
      <c r="I430" s="44"/>
      <c r="J430" s="44"/>
      <c r="K430" s="44"/>
      <c r="L430" s="46" t="str">
        <f>IFERROR(__xludf.DUMMYFUNCTION("IFERROR(IF(ISBLANK($C430), """", GOOGLEFINANCE($C430, ""price"")), """")"),"")</f>
        <v/>
      </c>
      <c r="M430" s="47" t="str">
        <f t="shared" si="3"/>
        <v/>
      </c>
      <c r="N430" s="47" t="str">
        <f>IFERROR(__xludf.DUMMYFUNCTION("IFERROR(IF(OR(ISBLANK($G430), IFERROR(INDEX(GOOGLEFINANCE($C430, ""price"", WORKDAY(INT($B430), 1)), 2, 2), """")=""""), """", IF($D430=""LONG"", (IFERROR(INDEX(GOOGLEFINANCE($C430, ""price"", WORKDAY(INT($B430), 1)), 2, 2), """")-$G430)/$G430, ($G430-IFE"&amp;"RROR(INDEX(GOOGLEFINANCE($C430, ""price"", WORKDAY(INT($B430), 1)), 2, 2), """"))/$G430)), """")"),"")</f>
        <v/>
      </c>
      <c r="O430" s="47" t="str">
        <f>IFERROR(__xludf.DUMMYFUNCTION("IFERROR(IF(OR(ISBLANK($G430), IFERROR(INDEX(GOOGLEFINANCE($C430, ""price"", WORKDAY(INT($B430), 5)), 2, 2), """")=""""), """", IF($D430=""LONG"", (IFERROR(INDEX(GOOGLEFINANCE($C430, ""price"", WORKDAY(INT($B430), 5)), 2, 2), """")-$G430)/$G430, ($G430-IFE"&amp;"RROR(INDEX(GOOGLEFINANCE($C430, ""price"", WORKDAY(INT($B430), 5)), 2, 2), """"))/$G430)), """")"),"")</f>
        <v/>
      </c>
      <c r="P430" s="47" t="str">
        <f>IFERROR(__xludf.DUMMYFUNCTION("IFERROR(IF(OR(ISBLANK($G430), IFERROR(INDEX(GOOGLEFINANCE($C430, ""price"", WORKDAY(INT($B430), 20)), 2, 2), """")=""""), """", IF($D430=""LONG"", (IFERROR(INDEX(GOOGLEFINANCE($C430, ""price"", WORKDAY(INT($B430), 20)), 2, 2), """")-$G430)/$G430, ($G430-I"&amp;"FERROR(INDEX(GOOGLEFINANCE($C430, ""price"", WORKDAY(INT($B430), 20)), 2, 2), """"))/$G430)), """")"),"")</f>
        <v/>
      </c>
      <c r="Q430" s="44"/>
      <c r="R430" s="44"/>
      <c r="S430" s="44"/>
      <c r="T430" s="44"/>
      <c r="U430" s="44"/>
      <c r="V430" s="44"/>
      <c r="W430" s="44"/>
      <c r="X430" s="44"/>
      <c r="Y430" s="44"/>
      <c r="Z430" s="44"/>
    </row>
    <row r="431">
      <c r="A431" s="44"/>
      <c r="B431" s="45"/>
      <c r="C431" s="44"/>
      <c r="D431" s="44"/>
      <c r="E431" s="44"/>
      <c r="F431" s="44"/>
      <c r="G431" s="46"/>
      <c r="H431" s="44"/>
      <c r="I431" s="44"/>
      <c r="J431" s="44"/>
      <c r="K431" s="44"/>
      <c r="L431" s="46" t="str">
        <f>IFERROR(__xludf.DUMMYFUNCTION("IFERROR(IF(ISBLANK($C431), """", GOOGLEFINANCE($C431, ""price"")), """")"),"")</f>
        <v/>
      </c>
      <c r="M431" s="47" t="str">
        <f t="shared" si="3"/>
        <v/>
      </c>
      <c r="N431" s="47" t="str">
        <f>IFERROR(__xludf.DUMMYFUNCTION("IFERROR(IF(OR(ISBLANK($G431), IFERROR(INDEX(GOOGLEFINANCE($C431, ""price"", WORKDAY(INT($B431), 1)), 2, 2), """")=""""), """", IF($D431=""LONG"", (IFERROR(INDEX(GOOGLEFINANCE($C431, ""price"", WORKDAY(INT($B431), 1)), 2, 2), """")-$G431)/$G431, ($G431-IFE"&amp;"RROR(INDEX(GOOGLEFINANCE($C431, ""price"", WORKDAY(INT($B431), 1)), 2, 2), """"))/$G431)), """")"),"")</f>
        <v/>
      </c>
      <c r="O431" s="47" t="str">
        <f>IFERROR(__xludf.DUMMYFUNCTION("IFERROR(IF(OR(ISBLANK($G431), IFERROR(INDEX(GOOGLEFINANCE($C431, ""price"", WORKDAY(INT($B431), 5)), 2, 2), """")=""""), """", IF($D431=""LONG"", (IFERROR(INDEX(GOOGLEFINANCE($C431, ""price"", WORKDAY(INT($B431), 5)), 2, 2), """")-$G431)/$G431, ($G431-IFE"&amp;"RROR(INDEX(GOOGLEFINANCE($C431, ""price"", WORKDAY(INT($B431), 5)), 2, 2), """"))/$G431)), """")"),"")</f>
        <v/>
      </c>
      <c r="P431" s="47" t="str">
        <f>IFERROR(__xludf.DUMMYFUNCTION("IFERROR(IF(OR(ISBLANK($G431), IFERROR(INDEX(GOOGLEFINANCE($C431, ""price"", WORKDAY(INT($B431), 20)), 2, 2), """")=""""), """", IF($D431=""LONG"", (IFERROR(INDEX(GOOGLEFINANCE($C431, ""price"", WORKDAY(INT($B431), 20)), 2, 2), """")-$G431)/$G431, ($G431-I"&amp;"FERROR(INDEX(GOOGLEFINANCE($C431, ""price"", WORKDAY(INT($B431), 20)), 2, 2), """"))/$G431)), """")"),"")</f>
        <v/>
      </c>
      <c r="Q431" s="44"/>
      <c r="R431" s="44"/>
      <c r="S431" s="44"/>
      <c r="T431" s="44"/>
      <c r="U431" s="44"/>
      <c r="V431" s="44"/>
      <c r="W431" s="44"/>
      <c r="X431" s="44"/>
      <c r="Y431" s="44"/>
      <c r="Z431" s="44"/>
    </row>
    <row r="432">
      <c r="A432" s="44"/>
      <c r="B432" s="45"/>
      <c r="C432" s="44"/>
      <c r="D432" s="44"/>
      <c r="E432" s="44"/>
      <c r="F432" s="44"/>
      <c r="G432" s="46"/>
      <c r="H432" s="44"/>
      <c r="I432" s="44"/>
      <c r="J432" s="44"/>
      <c r="K432" s="44"/>
      <c r="L432" s="46" t="str">
        <f>IFERROR(__xludf.DUMMYFUNCTION("IFERROR(IF(ISBLANK($C432), """", GOOGLEFINANCE($C432, ""price"")), """")"),"")</f>
        <v/>
      </c>
      <c r="M432" s="47" t="str">
        <f t="shared" si="3"/>
        <v/>
      </c>
      <c r="N432" s="47" t="str">
        <f>IFERROR(__xludf.DUMMYFUNCTION("IFERROR(IF(OR(ISBLANK($G432), IFERROR(INDEX(GOOGLEFINANCE($C432, ""price"", WORKDAY(INT($B432), 1)), 2, 2), """")=""""), """", IF($D432=""LONG"", (IFERROR(INDEX(GOOGLEFINANCE($C432, ""price"", WORKDAY(INT($B432), 1)), 2, 2), """")-$G432)/$G432, ($G432-IFE"&amp;"RROR(INDEX(GOOGLEFINANCE($C432, ""price"", WORKDAY(INT($B432), 1)), 2, 2), """"))/$G432)), """")"),"")</f>
        <v/>
      </c>
      <c r="O432" s="47" t="str">
        <f>IFERROR(__xludf.DUMMYFUNCTION("IFERROR(IF(OR(ISBLANK($G432), IFERROR(INDEX(GOOGLEFINANCE($C432, ""price"", WORKDAY(INT($B432), 5)), 2, 2), """")=""""), """", IF($D432=""LONG"", (IFERROR(INDEX(GOOGLEFINANCE($C432, ""price"", WORKDAY(INT($B432), 5)), 2, 2), """")-$G432)/$G432, ($G432-IFE"&amp;"RROR(INDEX(GOOGLEFINANCE($C432, ""price"", WORKDAY(INT($B432), 5)), 2, 2), """"))/$G432)), """")"),"")</f>
        <v/>
      </c>
      <c r="P432" s="47" t="str">
        <f>IFERROR(__xludf.DUMMYFUNCTION("IFERROR(IF(OR(ISBLANK($G432), IFERROR(INDEX(GOOGLEFINANCE($C432, ""price"", WORKDAY(INT($B432), 20)), 2, 2), """")=""""), """", IF($D432=""LONG"", (IFERROR(INDEX(GOOGLEFINANCE($C432, ""price"", WORKDAY(INT($B432), 20)), 2, 2), """")-$G432)/$G432, ($G432-I"&amp;"FERROR(INDEX(GOOGLEFINANCE($C432, ""price"", WORKDAY(INT($B432), 20)), 2, 2), """"))/$G432)), """")"),"")</f>
        <v/>
      </c>
      <c r="Q432" s="44"/>
      <c r="R432" s="44"/>
      <c r="S432" s="44"/>
      <c r="T432" s="44"/>
      <c r="U432" s="44"/>
      <c r="V432" s="44"/>
      <c r="W432" s="44"/>
      <c r="X432" s="44"/>
      <c r="Y432" s="44"/>
      <c r="Z432" s="44"/>
    </row>
    <row r="433">
      <c r="A433" s="44"/>
      <c r="B433" s="45"/>
      <c r="C433" s="44"/>
      <c r="D433" s="44"/>
      <c r="E433" s="44"/>
      <c r="F433" s="44"/>
      <c r="G433" s="46"/>
      <c r="H433" s="44"/>
      <c r="I433" s="44"/>
      <c r="J433" s="44"/>
      <c r="K433" s="44"/>
      <c r="L433" s="46" t="str">
        <f>IFERROR(__xludf.DUMMYFUNCTION("IFERROR(IF(ISBLANK($C433), """", GOOGLEFINANCE($C433, ""price"")), """")"),"")</f>
        <v/>
      </c>
      <c r="M433" s="47" t="str">
        <f t="shared" si="3"/>
        <v/>
      </c>
      <c r="N433" s="47" t="str">
        <f>IFERROR(__xludf.DUMMYFUNCTION("IFERROR(IF(OR(ISBLANK($G433), IFERROR(INDEX(GOOGLEFINANCE($C433, ""price"", WORKDAY(INT($B433), 1)), 2, 2), """")=""""), """", IF($D433=""LONG"", (IFERROR(INDEX(GOOGLEFINANCE($C433, ""price"", WORKDAY(INT($B433), 1)), 2, 2), """")-$G433)/$G433, ($G433-IFE"&amp;"RROR(INDEX(GOOGLEFINANCE($C433, ""price"", WORKDAY(INT($B433), 1)), 2, 2), """"))/$G433)), """")"),"")</f>
        <v/>
      </c>
      <c r="O433" s="47" t="str">
        <f>IFERROR(__xludf.DUMMYFUNCTION("IFERROR(IF(OR(ISBLANK($G433), IFERROR(INDEX(GOOGLEFINANCE($C433, ""price"", WORKDAY(INT($B433), 5)), 2, 2), """")=""""), """", IF($D433=""LONG"", (IFERROR(INDEX(GOOGLEFINANCE($C433, ""price"", WORKDAY(INT($B433), 5)), 2, 2), """")-$G433)/$G433, ($G433-IFE"&amp;"RROR(INDEX(GOOGLEFINANCE($C433, ""price"", WORKDAY(INT($B433), 5)), 2, 2), """"))/$G433)), """")"),"")</f>
        <v/>
      </c>
      <c r="P433" s="47" t="str">
        <f>IFERROR(__xludf.DUMMYFUNCTION("IFERROR(IF(OR(ISBLANK($G433), IFERROR(INDEX(GOOGLEFINANCE($C433, ""price"", WORKDAY(INT($B433), 20)), 2, 2), """")=""""), """", IF($D433=""LONG"", (IFERROR(INDEX(GOOGLEFINANCE($C433, ""price"", WORKDAY(INT($B433), 20)), 2, 2), """")-$G433)/$G433, ($G433-I"&amp;"FERROR(INDEX(GOOGLEFINANCE($C433, ""price"", WORKDAY(INT($B433), 20)), 2, 2), """"))/$G433)), """")"),"")</f>
        <v/>
      </c>
      <c r="Q433" s="44"/>
      <c r="R433" s="44"/>
      <c r="S433" s="44"/>
      <c r="T433" s="44"/>
      <c r="U433" s="44"/>
      <c r="V433" s="44"/>
      <c r="W433" s="44"/>
      <c r="X433" s="44"/>
      <c r="Y433" s="44"/>
      <c r="Z433" s="44"/>
    </row>
    <row r="434">
      <c r="A434" s="44"/>
      <c r="B434" s="45"/>
      <c r="C434" s="44"/>
      <c r="D434" s="44"/>
      <c r="E434" s="44"/>
      <c r="F434" s="44"/>
      <c r="G434" s="46"/>
      <c r="H434" s="44"/>
      <c r="I434" s="44"/>
      <c r="J434" s="44"/>
      <c r="K434" s="44"/>
      <c r="L434" s="46" t="str">
        <f>IFERROR(__xludf.DUMMYFUNCTION("IFERROR(IF(ISBLANK($C434), """", GOOGLEFINANCE($C434, ""price"")), """")"),"")</f>
        <v/>
      </c>
      <c r="M434" s="47" t="str">
        <f t="shared" si="3"/>
        <v/>
      </c>
      <c r="N434" s="47" t="str">
        <f>IFERROR(__xludf.DUMMYFUNCTION("IFERROR(IF(OR(ISBLANK($G434), IFERROR(INDEX(GOOGLEFINANCE($C434, ""price"", WORKDAY(INT($B434), 1)), 2, 2), """")=""""), """", IF($D434=""LONG"", (IFERROR(INDEX(GOOGLEFINANCE($C434, ""price"", WORKDAY(INT($B434), 1)), 2, 2), """")-$G434)/$G434, ($G434-IFE"&amp;"RROR(INDEX(GOOGLEFINANCE($C434, ""price"", WORKDAY(INT($B434), 1)), 2, 2), """"))/$G434)), """")"),"")</f>
        <v/>
      </c>
      <c r="O434" s="47" t="str">
        <f>IFERROR(__xludf.DUMMYFUNCTION("IFERROR(IF(OR(ISBLANK($G434), IFERROR(INDEX(GOOGLEFINANCE($C434, ""price"", WORKDAY(INT($B434), 5)), 2, 2), """")=""""), """", IF($D434=""LONG"", (IFERROR(INDEX(GOOGLEFINANCE($C434, ""price"", WORKDAY(INT($B434), 5)), 2, 2), """")-$G434)/$G434, ($G434-IFE"&amp;"RROR(INDEX(GOOGLEFINANCE($C434, ""price"", WORKDAY(INT($B434), 5)), 2, 2), """"))/$G434)), """")"),"")</f>
        <v/>
      </c>
      <c r="P434" s="47" t="str">
        <f>IFERROR(__xludf.DUMMYFUNCTION("IFERROR(IF(OR(ISBLANK($G434), IFERROR(INDEX(GOOGLEFINANCE($C434, ""price"", WORKDAY(INT($B434), 20)), 2, 2), """")=""""), """", IF($D434=""LONG"", (IFERROR(INDEX(GOOGLEFINANCE($C434, ""price"", WORKDAY(INT($B434), 20)), 2, 2), """")-$G434)/$G434, ($G434-I"&amp;"FERROR(INDEX(GOOGLEFINANCE($C434, ""price"", WORKDAY(INT($B434), 20)), 2, 2), """"))/$G434)), """")"),"")</f>
        <v/>
      </c>
      <c r="Q434" s="44"/>
      <c r="R434" s="44"/>
      <c r="S434" s="44"/>
      <c r="T434" s="44"/>
      <c r="U434" s="44"/>
      <c r="V434" s="44"/>
      <c r="W434" s="44"/>
      <c r="X434" s="44"/>
      <c r="Y434" s="44"/>
      <c r="Z434" s="44"/>
    </row>
    <row r="435">
      <c r="A435" s="44"/>
      <c r="B435" s="45"/>
      <c r="C435" s="44"/>
      <c r="D435" s="44"/>
      <c r="E435" s="44"/>
      <c r="F435" s="44"/>
      <c r="G435" s="46"/>
      <c r="H435" s="44"/>
      <c r="I435" s="44"/>
      <c r="J435" s="44"/>
      <c r="K435" s="44"/>
      <c r="L435" s="46" t="str">
        <f>IFERROR(__xludf.DUMMYFUNCTION("IFERROR(IF(ISBLANK($C435), """", GOOGLEFINANCE($C435, ""price"")), """")"),"")</f>
        <v/>
      </c>
      <c r="M435" s="47" t="str">
        <f t="shared" si="3"/>
        <v/>
      </c>
      <c r="N435" s="47" t="str">
        <f>IFERROR(__xludf.DUMMYFUNCTION("IFERROR(IF(OR(ISBLANK($G435), IFERROR(INDEX(GOOGLEFINANCE($C435, ""price"", WORKDAY(INT($B435), 1)), 2, 2), """")=""""), """", IF($D435=""LONG"", (IFERROR(INDEX(GOOGLEFINANCE($C435, ""price"", WORKDAY(INT($B435), 1)), 2, 2), """")-$G435)/$G435, ($G435-IFE"&amp;"RROR(INDEX(GOOGLEFINANCE($C435, ""price"", WORKDAY(INT($B435), 1)), 2, 2), """"))/$G435)), """")"),"")</f>
        <v/>
      </c>
      <c r="O435" s="47" t="str">
        <f>IFERROR(__xludf.DUMMYFUNCTION("IFERROR(IF(OR(ISBLANK($G435), IFERROR(INDEX(GOOGLEFINANCE($C435, ""price"", WORKDAY(INT($B435), 5)), 2, 2), """")=""""), """", IF($D435=""LONG"", (IFERROR(INDEX(GOOGLEFINANCE($C435, ""price"", WORKDAY(INT($B435), 5)), 2, 2), """")-$G435)/$G435, ($G435-IFE"&amp;"RROR(INDEX(GOOGLEFINANCE($C435, ""price"", WORKDAY(INT($B435), 5)), 2, 2), """"))/$G435)), """")"),"")</f>
        <v/>
      </c>
      <c r="P435" s="47" t="str">
        <f>IFERROR(__xludf.DUMMYFUNCTION("IFERROR(IF(OR(ISBLANK($G435), IFERROR(INDEX(GOOGLEFINANCE($C435, ""price"", WORKDAY(INT($B435), 20)), 2, 2), """")=""""), """", IF($D435=""LONG"", (IFERROR(INDEX(GOOGLEFINANCE($C435, ""price"", WORKDAY(INT($B435), 20)), 2, 2), """")-$G435)/$G435, ($G435-I"&amp;"FERROR(INDEX(GOOGLEFINANCE($C435, ""price"", WORKDAY(INT($B435), 20)), 2, 2), """"))/$G435)), """")"),"")</f>
        <v/>
      </c>
      <c r="Q435" s="44"/>
      <c r="R435" s="44"/>
      <c r="S435" s="44"/>
      <c r="T435" s="44"/>
      <c r="U435" s="44"/>
      <c r="V435" s="44"/>
      <c r="W435" s="44"/>
      <c r="X435" s="44"/>
      <c r="Y435" s="44"/>
      <c r="Z435" s="44"/>
    </row>
    <row r="436">
      <c r="A436" s="44"/>
      <c r="B436" s="45"/>
      <c r="C436" s="44"/>
      <c r="D436" s="44"/>
      <c r="E436" s="44"/>
      <c r="F436" s="44"/>
      <c r="G436" s="46"/>
      <c r="H436" s="44"/>
      <c r="I436" s="44"/>
      <c r="J436" s="44"/>
      <c r="K436" s="44"/>
      <c r="L436" s="46" t="str">
        <f>IFERROR(__xludf.DUMMYFUNCTION("IFERROR(IF(ISBLANK($C436), """", GOOGLEFINANCE($C436, ""price"")), """")"),"")</f>
        <v/>
      </c>
      <c r="M436" s="47" t="str">
        <f t="shared" si="3"/>
        <v/>
      </c>
      <c r="N436" s="47" t="str">
        <f>IFERROR(__xludf.DUMMYFUNCTION("IFERROR(IF(OR(ISBLANK($G436), IFERROR(INDEX(GOOGLEFINANCE($C436, ""price"", WORKDAY(INT($B436), 1)), 2, 2), """")=""""), """", IF($D436=""LONG"", (IFERROR(INDEX(GOOGLEFINANCE($C436, ""price"", WORKDAY(INT($B436), 1)), 2, 2), """")-$G436)/$G436, ($G436-IFE"&amp;"RROR(INDEX(GOOGLEFINANCE($C436, ""price"", WORKDAY(INT($B436), 1)), 2, 2), """"))/$G436)), """")"),"")</f>
        <v/>
      </c>
      <c r="O436" s="47" t="str">
        <f>IFERROR(__xludf.DUMMYFUNCTION("IFERROR(IF(OR(ISBLANK($G436), IFERROR(INDEX(GOOGLEFINANCE($C436, ""price"", WORKDAY(INT($B436), 5)), 2, 2), """")=""""), """", IF($D436=""LONG"", (IFERROR(INDEX(GOOGLEFINANCE($C436, ""price"", WORKDAY(INT($B436), 5)), 2, 2), """")-$G436)/$G436, ($G436-IFE"&amp;"RROR(INDEX(GOOGLEFINANCE($C436, ""price"", WORKDAY(INT($B436), 5)), 2, 2), """"))/$G436)), """")"),"")</f>
        <v/>
      </c>
      <c r="P436" s="47" t="str">
        <f>IFERROR(__xludf.DUMMYFUNCTION("IFERROR(IF(OR(ISBLANK($G436), IFERROR(INDEX(GOOGLEFINANCE($C436, ""price"", WORKDAY(INT($B436), 20)), 2, 2), """")=""""), """", IF($D436=""LONG"", (IFERROR(INDEX(GOOGLEFINANCE($C436, ""price"", WORKDAY(INT($B436), 20)), 2, 2), """")-$G436)/$G436, ($G436-I"&amp;"FERROR(INDEX(GOOGLEFINANCE($C436, ""price"", WORKDAY(INT($B436), 20)), 2, 2), """"))/$G436)), """")"),"")</f>
        <v/>
      </c>
      <c r="Q436" s="44"/>
      <c r="R436" s="44"/>
      <c r="S436" s="44"/>
      <c r="T436" s="44"/>
      <c r="U436" s="44"/>
      <c r="V436" s="44"/>
      <c r="W436" s="44"/>
      <c r="X436" s="44"/>
      <c r="Y436" s="44"/>
      <c r="Z436" s="44"/>
    </row>
    <row r="437">
      <c r="A437" s="44"/>
      <c r="B437" s="45"/>
      <c r="C437" s="44"/>
      <c r="D437" s="44"/>
      <c r="E437" s="44"/>
      <c r="F437" s="44"/>
      <c r="G437" s="46"/>
      <c r="H437" s="44"/>
      <c r="I437" s="44"/>
      <c r="J437" s="44"/>
      <c r="K437" s="44"/>
      <c r="L437" s="46" t="str">
        <f>IFERROR(__xludf.DUMMYFUNCTION("IFERROR(IF(ISBLANK($C437), """", GOOGLEFINANCE($C437, ""price"")), """")"),"")</f>
        <v/>
      </c>
      <c r="M437" s="47" t="str">
        <f t="shared" si="3"/>
        <v/>
      </c>
      <c r="N437" s="47" t="str">
        <f>IFERROR(__xludf.DUMMYFUNCTION("IFERROR(IF(OR(ISBLANK($G437), IFERROR(INDEX(GOOGLEFINANCE($C437, ""price"", WORKDAY(INT($B437), 1)), 2, 2), """")=""""), """", IF($D437=""LONG"", (IFERROR(INDEX(GOOGLEFINANCE($C437, ""price"", WORKDAY(INT($B437), 1)), 2, 2), """")-$G437)/$G437, ($G437-IFE"&amp;"RROR(INDEX(GOOGLEFINANCE($C437, ""price"", WORKDAY(INT($B437), 1)), 2, 2), """"))/$G437)), """")"),"")</f>
        <v/>
      </c>
      <c r="O437" s="47" t="str">
        <f>IFERROR(__xludf.DUMMYFUNCTION("IFERROR(IF(OR(ISBLANK($G437), IFERROR(INDEX(GOOGLEFINANCE($C437, ""price"", WORKDAY(INT($B437), 5)), 2, 2), """")=""""), """", IF($D437=""LONG"", (IFERROR(INDEX(GOOGLEFINANCE($C437, ""price"", WORKDAY(INT($B437), 5)), 2, 2), """")-$G437)/$G437, ($G437-IFE"&amp;"RROR(INDEX(GOOGLEFINANCE($C437, ""price"", WORKDAY(INT($B437), 5)), 2, 2), """"))/$G437)), """")"),"")</f>
        <v/>
      </c>
      <c r="P437" s="47" t="str">
        <f>IFERROR(__xludf.DUMMYFUNCTION("IFERROR(IF(OR(ISBLANK($G437), IFERROR(INDEX(GOOGLEFINANCE($C437, ""price"", WORKDAY(INT($B437), 20)), 2, 2), """")=""""), """", IF($D437=""LONG"", (IFERROR(INDEX(GOOGLEFINANCE($C437, ""price"", WORKDAY(INT($B437), 20)), 2, 2), """")-$G437)/$G437, ($G437-I"&amp;"FERROR(INDEX(GOOGLEFINANCE($C437, ""price"", WORKDAY(INT($B437), 20)), 2, 2), """"))/$G437)), """")"),"")</f>
        <v/>
      </c>
      <c r="Q437" s="44"/>
      <c r="R437" s="44"/>
      <c r="S437" s="44"/>
      <c r="T437" s="44"/>
      <c r="U437" s="44"/>
      <c r="V437" s="44"/>
      <c r="W437" s="44"/>
      <c r="X437" s="44"/>
      <c r="Y437" s="44"/>
      <c r="Z437" s="44"/>
    </row>
    <row r="438">
      <c r="A438" s="44"/>
      <c r="B438" s="45"/>
      <c r="C438" s="44"/>
      <c r="D438" s="44"/>
      <c r="E438" s="44"/>
      <c r="F438" s="44"/>
      <c r="G438" s="46"/>
      <c r="H438" s="44"/>
      <c r="I438" s="44"/>
      <c r="J438" s="44"/>
      <c r="K438" s="44"/>
      <c r="L438" s="46" t="str">
        <f>IFERROR(__xludf.DUMMYFUNCTION("IFERROR(IF(ISBLANK($C438), """", GOOGLEFINANCE($C438, ""price"")), """")"),"")</f>
        <v/>
      </c>
      <c r="M438" s="47" t="str">
        <f t="shared" si="3"/>
        <v/>
      </c>
      <c r="N438" s="47" t="str">
        <f>IFERROR(__xludf.DUMMYFUNCTION("IFERROR(IF(OR(ISBLANK($G438), IFERROR(INDEX(GOOGLEFINANCE($C438, ""price"", WORKDAY(INT($B438), 1)), 2, 2), """")=""""), """", IF($D438=""LONG"", (IFERROR(INDEX(GOOGLEFINANCE($C438, ""price"", WORKDAY(INT($B438), 1)), 2, 2), """")-$G438)/$G438, ($G438-IFE"&amp;"RROR(INDEX(GOOGLEFINANCE($C438, ""price"", WORKDAY(INT($B438), 1)), 2, 2), """"))/$G438)), """")"),"")</f>
        <v/>
      </c>
      <c r="O438" s="47" t="str">
        <f>IFERROR(__xludf.DUMMYFUNCTION("IFERROR(IF(OR(ISBLANK($G438), IFERROR(INDEX(GOOGLEFINANCE($C438, ""price"", WORKDAY(INT($B438), 5)), 2, 2), """")=""""), """", IF($D438=""LONG"", (IFERROR(INDEX(GOOGLEFINANCE($C438, ""price"", WORKDAY(INT($B438), 5)), 2, 2), """")-$G438)/$G438, ($G438-IFE"&amp;"RROR(INDEX(GOOGLEFINANCE($C438, ""price"", WORKDAY(INT($B438), 5)), 2, 2), """"))/$G438)), """")"),"")</f>
        <v/>
      </c>
      <c r="P438" s="47" t="str">
        <f>IFERROR(__xludf.DUMMYFUNCTION("IFERROR(IF(OR(ISBLANK($G438), IFERROR(INDEX(GOOGLEFINANCE($C438, ""price"", WORKDAY(INT($B438), 20)), 2, 2), """")=""""), """", IF($D438=""LONG"", (IFERROR(INDEX(GOOGLEFINANCE($C438, ""price"", WORKDAY(INT($B438), 20)), 2, 2), """")-$G438)/$G438, ($G438-I"&amp;"FERROR(INDEX(GOOGLEFINANCE($C438, ""price"", WORKDAY(INT($B438), 20)), 2, 2), """"))/$G438)), """")"),"")</f>
        <v/>
      </c>
      <c r="Q438" s="44"/>
      <c r="R438" s="44"/>
      <c r="S438" s="44"/>
      <c r="T438" s="44"/>
      <c r="U438" s="44"/>
      <c r="V438" s="44"/>
      <c r="W438" s="44"/>
      <c r="X438" s="44"/>
      <c r="Y438" s="44"/>
      <c r="Z438" s="44"/>
    </row>
    <row r="439">
      <c r="A439" s="44"/>
      <c r="B439" s="45"/>
      <c r="C439" s="44"/>
      <c r="D439" s="44"/>
      <c r="E439" s="44"/>
      <c r="F439" s="44"/>
      <c r="G439" s="46"/>
      <c r="H439" s="44"/>
      <c r="I439" s="44"/>
      <c r="J439" s="44"/>
      <c r="K439" s="44"/>
      <c r="L439" s="46" t="str">
        <f>IFERROR(__xludf.DUMMYFUNCTION("IFERROR(IF(ISBLANK($C439), """", GOOGLEFINANCE($C439, ""price"")), """")"),"")</f>
        <v/>
      </c>
      <c r="M439" s="47" t="str">
        <f t="shared" si="3"/>
        <v/>
      </c>
      <c r="N439" s="47" t="str">
        <f>IFERROR(__xludf.DUMMYFUNCTION("IFERROR(IF(OR(ISBLANK($G439), IFERROR(INDEX(GOOGLEFINANCE($C439, ""price"", WORKDAY(INT($B439), 1)), 2, 2), """")=""""), """", IF($D439=""LONG"", (IFERROR(INDEX(GOOGLEFINANCE($C439, ""price"", WORKDAY(INT($B439), 1)), 2, 2), """")-$G439)/$G439, ($G439-IFE"&amp;"RROR(INDEX(GOOGLEFINANCE($C439, ""price"", WORKDAY(INT($B439), 1)), 2, 2), """"))/$G439)), """")"),"")</f>
        <v/>
      </c>
      <c r="O439" s="47" t="str">
        <f>IFERROR(__xludf.DUMMYFUNCTION("IFERROR(IF(OR(ISBLANK($G439), IFERROR(INDEX(GOOGLEFINANCE($C439, ""price"", WORKDAY(INT($B439), 5)), 2, 2), """")=""""), """", IF($D439=""LONG"", (IFERROR(INDEX(GOOGLEFINANCE($C439, ""price"", WORKDAY(INT($B439), 5)), 2, 2), """")-$G439)/$G439, ($G439-IFE"&amp;"RROR(INDEX(GOOGLEFINANCE($C439, ""price"", WORKDAY(INT($B439), 5)), 2, 2), """"))/$G439)), """")"),"")</f>
        <v/>
      </c>
      <c r="P439" s="47" t="str">
        <f>IFERROR(__xludf.DUMMYFUNCTION("IFERROR(IF(OR(ISBLANK($G439), IFERROR(INDEX(GOOGLEFINANCE($C439, ""price"", WORKDAY(INT($B439), 20)), 2, 2), """")=""""), """", IF($D439=""LONG"", (IFERROR(INDEX(GOOGLEFINANCE($C439, ""price"", WORKDAY(INT($B439), 20)), 2, 2), """")-$G439)/$G439, ($G439-I"&amp;"FERROR(INDEX(GOOGLEFINANCE($C439, ""price"", WORKDAY(INT($B439), 20)), 2, 2), """"))/$G439)), """")"),"")</f>
        <v/>
      </c>
      <c r="Q439" s="44"/>
      <c r="R439" s="44"/>
      <c r="S439" s="44"/>
      <c r="T439" s="44"/>
      <c r="U439" s="44"/>
      <c r="V439" s="44"/>
      <c r="W439" s="44"/>
      <c r="X439" s="44"/>
      <c r="Y439" s="44"/>
      <c r="Z439" s="44"/>
    </row>
    <row r="440">
      <c r="A440" s="44"/>
      <c r="B440" s="45"/>
      <c r="C440" s="44"/>
      <c r="D440" s="44"/>
      <c r="E440" s="44"/>
      <c r="F440" s="44"/>
      <c r="G440" s="46"/>
      <c r="H440" s="44"/>
      <c r="I440" s="44"/>
      <c r="J440" s="44"/>
      <c r="K440" s="44"/>
      <c r="L440" s="46" t="str">
        <f>IFERROR(__xludf.DUMMYFUNCTION("IFERROR(IF(ISBLANK($C440), """", GOOGLEFINANCE($C440, ""price"")), """")"),"")</f>
        <v/>
      </c>
      <c r="M440" s="47" t="str">
        <f t="shared" si="3"/>
        <v/>
      </c>
      <c r="N440" s="47" t="str">
        <f>IFERROR(__xludf.DUMMYFUNCTION("IFERROR(IF(OR(ISBLANK($G440), IFERROR(INDEX(GOOGLEFINANCE($C440, ""price"", WORKDAY(INT($B440), 1)), 2, 2), """")=""""), """", IF($D440=""LONG"", (IFERROR(INDEX(GOOGLEFINANCE($C440, ""price"", WORKDAY(INT($B440), 1)), 2, 2), """")-$G440)/$G440, ($G440-IFE"&amp;"RROR(INDEX(GOOGLEFINANCE($C440, ""price"", WORKDAY(INT($B440), 1)), 2, 2), """"))/$G440)), """")"),"")</f>
        <v/>
      </c>
      <c r="O440" s="47" t="str">
        <f>IFERROR(__xludf.DUMMYFUNCTION("IFERROR(IF(OR(ISBLANK($G440), IFERROR(INDEX(GOOGLEFINANCE($C440, ""price"", WORKDAY(INT($B440), 5)), 2, 2), """")=""""), """", IF($D440=""LONG"", (IFERROR(INDEX(GOOGLEFINANCE($C440, ""price"", WORKDAY(INT($B440), 5)), 2, 2), """")-$G440)/$G440, ($G440-IFE"&amp;"RROR(INDEX(GOOGLEFINANCE($C440, ""price"", WORKDAY(INT($B440), 5)), 2, 2), """"))/$G440)), """")"),"")</f>
        <v/>
      </c>
      <c r="P440" s="47" t="str">
        <f>IFERROR(__xludf.DUMMYFUNCTION("IFERROR(IF(OR(ISBLANK($G440), IFERROR(INDEX(GOOGLEFINANCE($C440, ""price"", WORKDAY(INT($B440), 20)), 2, 2), """")=""""), """", IF($D440=""LONG"", (IFERROR(INDEX(GOOGLEFINANCE($C440, ""price"", WORKDAY(INT($B440), 20)), 2, 2), """")-$G440)/$G440, ($G440-I"&amp;"FERROR(INDEX(GOOGLEFINANCE($C440, ""price"", WORKDAY(INT($B440), 20)), 2, 2), """"))/$G440)), """")"),"")</f>
        <v/>
      </c>
      <c r="Q440" s="44"/>
      <c r="R440" s="44"/>
      <c r="S440" s="44"/>
      <c r="T440" s="44"/>
      <c r="U440" s="44"/>
      <c r="V440" s="44"/>
      <c r="W440" s="44"/>
      <c r="X440" s="44"/>
      <c r="Y440" s="44"/>
      <c r="Z440" s="44"/>
    </row>
    <row r="441">
      <c r="A441" s="44"/>
      <c r="B441" s="45"/>
      <c r="C441" s="44"/>
      <c r="D441" s="44"/>
      <c r="E441" s="44"/>
      <c r="F441" s="44"/>
      <c r="G441" s="46"/>
      <c r="H441" s="44"/>
      <c r="I441" s="44"/>
      <c r="J441" s="44"/>
      <c r="K441" s="44"/>
      <c r="L441" s="46" t="str">
        <f>IFERROR(__xludf.DUMMYFUNCTION("IFERROR(IF(ISBLANK($C441), """", GOOGLEFINANCE($C441, ""price"")), """")"),"")</f>
        <v/>
      </c>
      <c r="M441" s="47" t="str">
        <f t="shared" si="3"/>
        <v/>
      </c>
      <c r="N441" s="47" t="str">
        <f>IFERROR(__xludf.DUMMYFUNCTION("IFERROR(IF(OR(ISBLANK($G441), IFERROR(INDEX(GOOGLEFINANCE($C441, ""price"", WORKDAY(INT($B441), 1)), 2, 2), """")=""""), """", IF($D441=""LONG"", (IFERROR(INDEX(GOOGLEFINANCE($C441, ""price"", WORKDAY(INT($B441), 1)), 2, 2), """")-$G441)/$G441, ($G441-IFE"&amp;"RROR(INDEX(GOOGLEFINANCE($C441, ""price"", WORKDAY(INT($B441), 1)), 2, 2), """"))/$G441)), """")"),"")</f>
        <v/>
      </c>
      <c r="O441" s="47" t="str">
        <f>IFERROR(__xludf.DUMMYFUNCTION("IFERROR(IF(OR(ISBLANK($G441), IFERROR(INDEX(GOOGLEFINANCE($C441, ""price"", WORKDAY(INT($B441), 5)), 2, 2), """")=""""), """", IF($D441=""LONG"", (IFERROR(INDEX(GOOGLEFINANCE($C441, ""price"", WORKDAY(INT($B441), 5)), 2, 2), """")-$G441)/$G441, ($G441-IFE"&amp;"RROR(INDEX(GOOGLEFINANCE($C441, ""price"", WORKDAY(INT($B441), 5)), 2, 2), """"))/$G441)), """")"),"")</f>
        <v/>
      </c>
      <c r="P441" s="47" t="str">
        <f>IFERROR(__xludf.DUMMYFUNCTION("IFERROR(IF(OR(ISBLANK($G441), IFERROR(INDEX(GOOGLEFINANCE($C441, ""price"", WORKDAY(INT($B441), 20)), 2, 2), """")=""""), """", IF($D441=""LONG"", (IFERROR(INDEX(GOOGLEFINANCE($C441, ""price"", WORKDAY(INT($B441), 20)), 2, 2), """")-$G441)/$G441, ($G441-I"&amp;"FERROR(INDEX(GOOGLEFINANCE($C441, ""price"", WORKDAY(INT($B441), 20)), 2, 2), """"))/$G441)), """")"),"")</f>
        <v/>
      </c>
      <c r="Q441" s="44"/>
      <c r="R441" s="44"/>
      <c r="S441" s="44"/>
      <c r="T441" s="44"/>
      <c r="U441" s="44"/>
      <c r="V441" s="44"/>
      <c r="W441" s="44"/>
      <c r="X441" s="44"/>
      <c r="Y441" s="44"/>
      <c r="Z441" s="44"/>
    </row>
    <row r="442">
      <c r="A442" s="44"/>
      <c r="B442" s="45"/>
      <c r="C442" s="44"/>
      <c r="D442" s="44"/>
      <c r="E442" s="44"/>
      <c r="F442" s="44"/>
      <c r="G442" s="46"/>
      <c r="H442" s="44"/>
      <c r="I442" s="44"/>
      <c r="J442" s="44"/>
      <c r="K442" s="44"/>
      <c r="L442" s="46" t="str">
        <f>IFERROR(__xludf.DUMMYFUNCTION("IFERROR(IF(ISBLANK($C442), """", GOOGLEFINANCE($C442, ""price"")), """")"),"")</f>
        <v/>
      </c>
      <c r="M442" s="47" t="str">
        <f t="shared" si="3"/>
        <v/>
      </c>
      <c r="N442" s="47" t="str">
        <f>IFERROR(__xludf.DUMMYFUNCTION("IFERROR(IF(OR(ISBLANK($G442), IFERROR(INDEX(GOOGLEFINANCE($C442, ""price"", WORKDAY(INT($B442), 1)), 2, 2), """")=""""), """", IF($D442=""LONG"", (IFERROR(INDEX(GOOGLEFINANCE($C442, ""price"", WORKDAY(INT($B442), 1)), 2, 2), """")-$G442)/$G442, ($G442-IFE"&amp;"RROR(INDEX(GOOGLEFINANCE($C442, ""price"", WORKDAY(INT($B442), 1)), 2, 2), """"))/$G442)), """")"),"")</f>
        <v/>
      </c>
      <c r="O442" s="47" t="str">
        <f>IFERROR(__xludf.DUMMYFUNCTION("IFERROR(IF(OR(ISBLANK($G442), IFERROR(INDEX(GOOGLEFINANCE($C442, ""price"", WORKDAY(INT($B442), 5)), 2, 2), """")=""""), """", IF($D442=""LONG"", (IFERROR(INDEX(GOOGLEFINANCE($C442, ""price"", WORKDAY(INT($B442), 5)), 2, 2), """")-$G442)/$G442, ($G442-IFE"&amp;"RROR(INDEX(GOOGLEFINANCE($C442, ""price"", WORKDAY(INT($B442), 5)), 2, 2), """"))/$G442)), """")"),"")</f>
        <v/>
      </c>
      <c r="P442" s="47" t="str">
        <f>IFERROR(__xludf.DUMMYFUNCTION("IFERROR(IF(OR(ISBLANK($G442), IFERROR(INDEX(GOOGLEFINANCE($C442, ""price"", WORKDAY(INT($B442), 20)), 2, 2), """")=""""), """", IF($D442=""LONG"", (IFERROR(INDEX(GOOGLEFINANCE($C442, ""price"", WORKDAY(INT($B442), 20)), 2, 2), """")-$G442)/$G442, ($G442-I"&amp;"FERROR(INDEX(GOOGLEFINANCE($C442, ""price"", WORKDAY(INT($B442), 20)), 2, 2), """"))/$G442)), """")"),"")</f>
        <v/>
      </c>
      <c r="Q442" s="44"/>
      <c r="R442" s="44"/>
      <c r="S442" s="44"/>
      <c r="T442" s="44"/>
      <c r="U442" s="44"/>
      <c r="V442" s="44"/>
      <c r="W442" s="44"/>
      <c r="X442" s="44"/>
      <c r="Y442" s="44"/>
      <c r="Z442" s="44"/>
    </row>
    <row r="443">
      <c r="A443" s="44"/>
      <c r="B443" s="45"/>
      <c r="C443" s="44"/>
      <c r="D443" s="44"/>
      <c r="E443" s="44"/>
      <c r="F443" s="44"/>
      <c r="G443" s="46"/>
      <c r="H443" s="44"/>
      <c r="I443" s="44"/>
      <c r="J443" s="44"/>
      <c r="K443" s="44"/>
      <c r="L443" s="46" t="str">
        <f>IFERROR(__xludf.DUMMYFUNCTION("IFERROR(IF(ISBLANK($C443), """", GOOGLEFINANCE($C443, ""price"")), """")"),"")</f>
        <v/>
      </c>
      <c r="M443" s="47" t="str">
        <f t="shared" si="3"/>
        <v/>
      </c>
      <c r="N443" s="47" t="str">
        <f>IFERROR(__xludf.DUMMYFUNCTION("IFERROR(IF(OR(ISBLANK($G443), IFERROR(INDEX(GOOGLEFINANCE($C443, ""price"", WORKDAY(INT($B443), 1)), 2, 2), """")=""""), """", IF($D443=""LONG"", (IFERROR(INDEX(GOOGLEFINANCE($C443, ""price"", WORKDAY(INT($B443), 1)), 2, 2), """")-$G443)/$G443, ($G443-IFE"&amp;"RROR(INDEX(GOOGLEFINANCE($C443, ""price"", WORKDAY(INT($B443), 1)), 2, 2), """"))/$G443)), """")"),"")</f>
        <v/>
      </c>
      <c r="O443" s="47" t="str">
        <f>IFERROR(__xludf.DUMMYFUNCTION("IFERROR(IF(OR(ISBLANK($G443), IFERROR(INDEX(GOOGLEFINANCE($C443, ""price"", WORKDAY(INT($B443), 5)), 2, 2), """")=""""), """", IF($D443=""LONG"", (IFERROR(INDEX(GOOGLEFINANCE($C443, ""price"", WORKDAY(INT($B443), 5)), 2, 2), """")-$G443)/$G443, ($G443-IFE"&amp;"RROR(INDEX(GOOGLEFINANCE($C443, ""price"", WORKDAY(INT($B443), 5)), 2, 2), """"))/$G443)), """")"),"")</f>
        <v/>
      </c>
      <c r="P443" s="47" t="str">
        <f>IFERROR(__xludf.DUMMYFUNCTION("IFERROR(IF(OR(ISBLANK($G443), IFERROR(INDEX(GOOGLEFINANCE($C443, ""price"", WORKDAY(INT($B443), 20)), 2, 2), """")=""""), """", IF($D443=""LONG"", (IFERROR(INDEX(GOOGLEFINANCE($C443, ""price"", WORKDAY(INT($B443), 20)), 2, 2), """")-$G443)/$G443, ($G443-I"&amp;"FERROR(INDEX(GOOGLEFINANCE($C443, ""price"", WORKDAY(INT($B443), 20)), 2, 2), """"))/$G443)), """")"),"")</f>
        <v/>
      </c>
      <c r="Q443" s="44"/>
      <c r="R443" s="44"/>
      <c r="S443" s="44"/>
      <c r="T443" s="44"/>
      <c r="U443" s="44"/>
      <c r="V443" s="44"/>
      <c r="W443" s="44"/>
      <c r="X443" s="44"/>
      <c r="Y443" s="44"/>
      <c r="Z443" s="44"/>
    </row>
    <row r="444">
      <c r="A444" s="44"/>
      <c r="B444" s="45"/>
      <c r="C444" s="44"/>
      <c r="D444" s="44"/>
      <c r="E444" s="44"/>
      <c r="F444" s="44"/>
      <c r="G444" s="46"/>
      <c r="H444" s="44"/>
      <c r="I444" s="44"/>
      <c r="J444" s="44"/>
      <c r="K444" s="44"/>
      <c r="L444" s="46" t="str">
        <f>IFERROR(__xludf.DUMMYFUNCTION("IFERROR(IF(ISBLANK($C444), """", GOOGLEFINANCE($C444, ""price"")), """")"),"")</f>
        <v/>
      </c>
      <c r="M444" s="47" t="str">
        <f t="shared" si="3"/>
        <v/>
      </c>
      <c r="N444" s="47" t="str">
        <f>IFERROR(__xludf.DUMMYFUNCTION("IFERROR(IF(OR(ISBLANK($G444), IFERROR(INDEX(GOOGLEFINANCE($C444, ""price"", WORKDAY(INT($B444), 1)), 2, 2), """")=""""), """", IF($D444=""LONG"", (IFERROR(INDEX(GOOGLEFINANCE($C444, ""price"", WORKDAY(INT($B444), 1)), 2, 2), """")-$G444)/$G444, ($G444-IFE"&amp;"RROR(INDEX(GOOGLEFINANCE($C444, ""price"", WORKDAY(INT($B444), 1)), 2, 2), """"))/$G444)), """")"),"")</f>
        <v/>
      </c>
      <c r="O444" s="47" t="str">
        <f>IFERROR(__xludf.DUMMYFUNCTION("IFERROR(IF(OR(ISBLANK($G444), IFERROR(INDEX(GOOGLEFINANCE($C444, ""price"", WORKDAY(INT($B444), 5)), 2, 2), """")=""""), """", IF($D444=""LONG"", (IFERROR(INDEX(GOOGLEFINANCE($C444, ""price"", WORKDAY(INT($B444), 5)), 2, 2), """")-$G444)/$G444, ($G444-IFE"&amp;"RROR(INDEX(GOOGLEFINANCE($C444, ""price"", WORKDAY(INT($B444), 5)), 2, 2), """"))/$G444)), """")"),"")</f>
        <v/>
      </c>
      <c r="P444" s="47" t="str">
        <f>IFERROR(__xludf.DUMMYFUNCTION("IFERROR(IF(OR(ISBLANK($G444), IFERROR(INDEX(GOOGLEFINANCE($C444, ""price"", WORKDAY(INT($B444), 20)), 2, 2), """")=""""), """", IF($D444=""LONG"", (IFERROR(INDEX(GOOGLEFINANCE($C444, ""price"", WORKDAY(INT($B444), 20)), 2, 2), """")-$G444)/$G444, ($G444-I"&amp;"FERROR(INDEX(GOOGLEFINANCE($C444, ""price"", WORKDAY(INT($B444), 20)), 2, 2), """"))/$G444)), """")"),"")</f>
        <v/>
      </c>
      <c r="Q444" s="44"/>
      <c r="R444" s="44"/>
      <c r="S444" s="44"/>
      <c r="T444" s="44"/>
      <c r="U444" s="44"/>
      <c r="V444" s="44"/>
      <c r="W444" s="44"/>
      <c r="X444" s="44"/>
      <c r="Y444" s="44"/>
      <c r="Z444" s="44"/>
    </row>
    <row r="445">
      <c r="A445" s="44"/>
      <c r="B445" s="45"/>
      <c r="C445" s="44"/>
      <c r="D445" s="44"/>
      <c r="E445" s="44"/>
      <c r="F445" s="44"/>
      <c r="G445" s="46"/>
      <c r="H445" s="44"/>
      <c r="I445" s="44"/>
      <c r="J445" s="44"/>
      <c r="K445" s="44"/>
      <c r="L445" s="46" t="str">
        <f>IFERROR(__xludf.DUMMYFUNCTION("IFERROR(IF(ISBLANK($C445), """", GOOGLEFINANCE($C445, ""price"")), """")"),"")</f>
        <v/>
      </c>
      <c r="M445" s="47" t="str">
        <f t="shared" si="3"/>
        <v/>
      </c>
      <c r="N445" s="47" t="str">
        <f>IFERROR(__xludf.DUMMYFUNCTION("IFERROR(IF(OR(ISBLANK($G445), IFERROR(INDEX(GOOGLEFINANCE($C445, ""price"", WORKDAY(INT($B445), 1)), 2, 2), """")=""""), """", IF($D445=""LONG"", (IFERROR(INDEX(GOOGLEFINANCE($C445, ""price"", WORKDAY(INT($B445), 1)), 2, 2), """")-$G445)/$G445, ($G445-IFE"&amp;"RROR(INDEX(GOOGLEFINANCE($C445, ""price"", WORKDAY(INT($B445), 1)), 2, 2), """"))/$G445)), """")"),"")</f>
        <v/>
      </c>
      <c r="O445" s="47" t="str">
        <f>IFERROR(__xludf.DUMMYFUNCTION("IFERROR(IF(OR(ISBLANK($G445), IFERROR(INDEX(GOOGLEFINANCE($C445, ""price"", WORKDAY(INT($B445), 5)), 2, 2), """")=""""), """", IF($D445=""LONG"", (IFERROR(INDEX(GOOGLEFINANCE($C445, ""price"", WORKDAY(INT($B445), 5)), 2, 2), """")-$G445)/$G445, ($G445-IFE"&amp;"RROR(INDEX(GOOGLEFINANCE($C445, ""price"", WORKDAY(INT($B445), 5)), 2, 2), """"))/$G445)), """")"),"")</f>
        <v/>
      </c>
      <c r="P445" s="47" t="str">
        <f>IFERROR(__xludf.DUMMYFUNCTION("IFERROR(IF(OR(ISBLANK($G445), IFERROR(INDEX(GOOGLEFINANCE($C445, ""price"", WORKDAY(INT($B445), 20)), 2, 2), """")=""""), """", IF($D445=""LONG"", (IFERROR(INDEX(GOOGLEFINANCE($C445, ""price"", WORKDAY(INT($B445), 20)), 2, 2), """")-$G445)/$G445, ($G445-I"&amp;"FERROR(INDEX(GOOGLEFINANCE($C445, ""price"", WORKDAY(INT($B445), 20)), 2, 2), """"))/$G445)), """")"),"")</f>
        <v/>
      </c>
      <c r="Q445" s="44"/>
      <c r="R445" s="44"/>
      <c r="S445" s="44"/>
      <c r="T445" s="44"/>
      <c r="U445" s="44"/>
      <c r="V445" s="44"/>
      <c r="W445" s="44"/>
      <c r="X445" s="44"/>
      <c r="Y445" s="44"/>
      <c r="Z445" s="44"/>
    </row>
    <row r="446">
      <c r="A446" s="44"/>
      <c r="B446" s="45"/>
      <c r="C446" s="44"/>
      <c r="D446" s="44"/>
      <c r="E446" s="44"/>
      <c r="F446" s="44"/>
      <c r="G446" s="46"/>
      <c r="H446" s="44"/>
      <c r="I446" s="44"/>
      <c r="J446" s="44"/>
      <c r="K446" s="44"/>
      <c r="L446" s="46" t="str">
        <f>IFERROR(__xludf.DUMMYFUNCTION("IFERROR(IF(ISBLANK($C446), """", GOOGLEFINANCE($C446, ""price"")), """")"),"")</f>
        <v/>
      </c>
      <c r="M446" s="47" t="str">
        <f t="shared" si="3"/>
        <v/>
      </c>
      <c r="N446" s="47" t="str">
        <f>IFERROR(__xludf.DUMMYFUNCTION("IFERROR(IF(OR(ISBLANK($G446), IFERROR(INDEX(GOOGLEFINANCE($C446, ""price"", WORKDAY(INT($B446), 1)), 2, 2), """")=""""), """", IF($D446=""LONG"", (IFERROR(INDEX(GOOGLEFINANCE($C446, ""price"", WORKDAY(INT($B446), 1)), 2, 2), """")-$G446)/$G446, ($G446-IFE"&amp;"RROR(INDEX(GOOGLEFINANCE($C446, ""price"", WORKDAY(INT($B446), 1)), 2, 2), """"))/$G446)), """")"),"")</f>
        <v/>
      </c>
      <c r="O446" s="47" t="str">
        <f>IFERROR(__xludf.DUMMYFUNCTION("IFERROR(IF(OR(ISBLANK($G446), IFERROR(INDEX(GOOGLEFINANCE($C446, ""price"", WORKDAY(INT($B446), 5)), 2, 2), """")=""""), """", IF($D446=""LONG"", (IFERROR(INDEX(GOOGLEFINANCE($C446, ""price"", WORKDAY(INT($B446), 5)), 2, 2), """")-$G446)/$G446, ($G446-IFE"&amp;"RROR(INDEX(GOOGLEFINANCE($C446, ""price"", WORKDAY(INT($B446), 5)), 2, 2), """"))/$G446)), """")"),"")</f>
        <v/>
      </c>
      <c r="P446" s="47" t="str">
        <f>IFERROR(__xludf.DUMMYFUNCTION("IFERROR(IF(OR(ISBLANK($G446), IFERROR(INDEX(GOOGLEFINANCE($C446, ""price"", WORKDAY(INT($B446), 20)), 2, 2), """")=""""), """", IF($D446=""LONG"", (IFERROR(INDEX(GOOGLEFINANCE($C446, ""price"", WORKDAY(INT($B446), 20)), 2, 2), """")-$G446)/$G446, ($G446-I"&amp;"FERROR(INDEX(GOOGLEFINANCE($C446, ""price"", WORKDAY(INT($B446), 20)), 2, 2), """"))/$G446)), """")"),"")</f>
        <v/>
      </c>
      <c r="Q446" s="44"/>
      <c r="R446" s="44"/>
      <c r="S446" s="44"/>
      <c r="T446" s="44"/>
      <c r="U446" s="44"/>
      <c r="V446" s="44"/>
      <c r="W446" s="44"/>
      <c r="X446" s="44"/>
      <c r="Y446" s="44"/>
      <c r="Z446" s="44"/>
    </row>
    <row r="447">
      <c r="A447" s="44"/>
      <c r="B447" s="45"/>
      <c r="C447" s="44"/>
      <c r="D447" s="44"/>
      <c r="E447" s="44"/>
      <c r="F447" s="44"/>
      <c r="G447" s="46"/>
      <c r="H447" s="44"/>
      <c r="I447" s="44"/>
      <c r="J447" s="44"/>
      <c r="K447" s="44"/>
      <c r="L447" s="46" t="str">
        <f>IFERROR(__xludf.DUMMYFUNCTION("IFERROR(IF(ISBLANK($C447), """", GOOGLEFINANCE($C447, ""price"")), """")"),"")</f>
        <v/>
      </c>
      <c r="M447" s="47" t="str">
        <f t="shared" si="3"/>
        <v/>
      </c>
      <c r="N447" s="47" t="str">
        <f>IFERROR(__xludf.DUMMYFUNCTION("IFERROR(IF(OR(ISBLANK($G447), IFERROR(INDEX(GOOGLEFINANCE($C447, ""price"", WORKDAY(INT($B447), 1)), 2, 2), """")=""""), """", IF($D447=""LONG"", (IFERROR(INDEX(GOOGLEFINANCE($C447, ""price"", WORKDAY(INT($B447), 1)), 2, 2), """")-$G447)/$G447, ($G447-IFE"&amp;"RROR(INDEX(GOOGLEFINANCE($C447, ""price"", WORKDAY(INT($B447), 1)), 2, 2), """"))/$G447)), """")"),"")</f>
        <v/>
      </c>
      <c r="O447" s="47" t="str">
        <f>IFERROR(__xludf.DUMMYFUNCTION("IFERROR(IF(OR(ISBLANK($G447), IFERROR(INDEX(GOOGLEFINANCE($C447, ""price"", WORKDAY(INT($B447), 5)), 2, 2), """")=""""), """", IF($D447=""LONG"", (IFERROR(INDEX(GOOGLEFINANCE($C447, ""price"", WORKDAY(INT($B447), 5)), 2, 2), """")-$G447)/$G447, ($G447-IFE"&amp;"RROR(INDEX(GOOGLEFINANCE($C447, ""price"", WORKDAY(INT($B447), 5)), 2, 2), """"))/$G447)), """")"),"")</f>
        <v/>
      </c>
      <c r="P447" s="47" t="str">
        <f>IFERROR(__xludf.DUMMYFUNCTION("IFERROR(IF(OR(ISBLANK($G447), IFERROR(INDEX(GOOGLEFINANCE($C447, ""price"", WORKDAY(INT($B447), 20)), 2, 2), """")=""""), """", IF($D447=""LONG"", (IFERROR(INDEX(GOOGLEFINANCE($C447, ""price"", WORKDAY(INT($B447), 20)), 2, 2), """")-$G447)/$G447, ($G447-I"&amp;"FERROR(INDEX(GOOGLEFINANCE($C447, ""price"", WORKDAY(INT($B447), 20)), 2, 2), """"))/$G447)), """")"),"")</f>
        <v/>
      </c>
      <c r="Q447" s="44"/>
      <c r="R447" s="44"/>
      <c r="S447" s="44"/>
      <c r="T447" s="44"/>
      <c r="U447" s="44"/>
      <c r="V447" s="44"/>
      <c r="W447" s="44"/>
      <c r="X447" s="44"/>
      <c r="Y447" s="44"/>
      <c r="Z447" s="44"/>
    </row>
    <row r="448">
      <c r="A448" s="44"/>
      <c r="B448" s="45"/>
      <c r="C448" s="44"/>
      <c r="D448" s="44"/>
      <c r="E448" s="44"/>
      <c r="F448" s="44"/>
      <c r="G448" s="46"/>
      <c r="H448" s="44"/>
      <c r="I448" s="44"/>
      <c r="J448" s="44"/>
      <c r="K448" s="44"/>
      <c r="L448" s="46" t="str">
        <f>IFERROR(__xludf.DUMMYFUNCTION("IFERROR(IF(ISBLANK($C448), """", GOOGLEFINANCE($C448, ""price"")), """")"),"")</f>
        <v/>
      </c>
      <c r="M448" s="47" t="str">
        <f t="shared" si="3"/>
        <v/>
      </c>
      <c r="N448" s="47" t="str">
        <f>IFERROR(__xludf.DUMMYFUNCTION("IFERROR(IF(OR(ISBLANK($G448), IFERROR(INDEX(GOOGLEFINANCE($C448, ""price"", WORKDAY(INT($B448), 1)), 2, 2), """")=""""), """", IF($D448=""LONG"", (IFERROR(INDEX(GOOGLEFINANCE($C448, ""price"", WORKDAY(INT($B448), 1)), 2, 2), """")-$G448)/$G448, ($G448-IFE"&amp;"RROR(INDEX(GOOGLEFINANCE($C448, ""price"", WORKDAY(INT($B448), 1)), 2, 2), """"))/$G448)), """")"),"")</f>
        <v/>
      </c>
      <c r="O448" s="47" t="str">
        <f>IFERROR(__xludf.DUMMYFUNCTION("IFERROR(IF(OR(ISBLANK($G448), IFERROR(INDEX(GOOGLEFINANCE($C448, ""price"", WORKDAY(INT($B448), 5)), 2, 2), """")=""""), """", IF($D448=""LONG"", (IFERROR(INDEX(GOOGLEFINANCE($C448, ""price"", WORKDAY(INT($B448), 5)), 2, 2), """")-$G448)/$G448, ($G448-IFE"&amp;"RROR(INDEX(GOOGLEFINANCE($C448, ""price"", WORKDAY(INT($B448), 5)), 2, 2), """"))/$G448)), """")"),"")</f>
        <v/>
      </c>
      <c r="P448" s="47" t="str">
        <f>IFERROR(__xludf.DUMMYFUNCTION("IFERROR(IF(OR(ISBLANK($G448), IFERROR(INDEX(GOOGLEFINANCE($C448, ""price"", WORKDAY(INT($B448), 20)), 2, 2), """")=""""), """", IF($D448=""LONG"", (IFERROR(INDEX(GOOGLEFINANCE($C448, ""price"", WORKDAY(INT($B448), 20)), 2, 2), """")-$G448)/$G448, ($G448-I"&amp;"FERROR(INDEX(GOOGLEFINANCE($C448, ""price"", WORKDAY(INT($B448), 20)), 2, 2), """"))/$G448)), """")"),"")</f>
        <v/>
      </c>
      <c r="Q448" s="44"/>
      <c r="R448" s="44"/>
      <c r="S448" s="44"/>
      <c r="T448" s="44"/>
      <c r="U448" s="44"/>
      <c r="V448" s="44"/>
      <c r="W448" s="44"/>
      <c r="X448" s="44"/>
      <c r="Y448" s="44"/>
      <c r="Z448" s="44"/>
    </row>
    <row r="449">
      <c r="A449" s="44"/>
      <c r="B449" s="45"/>
      <c r="C449" s="44"/>
      <c r="D449" s="44"/>
      <c r="E449" s="44"/>
      <c r="F449" s="44"/>
      <c r="G449" s="46"/>
      <c r="H449" s="44"/>
      <c r="I449" s="44"/>
      <c r="J449" s="44"/>
      <c r="K449" s="44"/>
      <c r="L449" s="46" t="str">
        <f>IFERROR(__xludf.DUMMYFUNCTION("IFERROR(IF(ISBLANK($C449), """", GOOGLEFINANCE($C449, ""price"")), """")"),"")</f>
        <v/>
      </c>
      <c r="M449" s="47" t="str">
        <f t="shared" si="3"/>
        <v/>
      </c>
      <c r="N449" s="47" t="str">
        <f>IFERROR(__xludf.DUMMYFUNCTION("IFERROR(IF(OR(ISBLANK($G449), IFERROR(INDEX(GOOGLEFINANCE($C449, ""price"", WORKDAY(INT($B449), 1)), 2, 2), """")=""""), """", IF($D449=""LONG"", (IFERROR(INDEX(GOOGLEFINANCE($C449, ""price"", WORKDAY(INT($B449), 1)), 2, 2), """")-$G449)/$G449, ($G449-IFE"&amp;"RROR(INDEX(GOOGLEFINANCE($C449, ""price"", WORKDAY(INT($B449), 1)), 2, 2), """"))/$G449)), """")"),"")</f>
        <v/>
      </c>
      <c r="O449" s="47" t="str">
        <f>IFERROR(__xludf.DUMMYFUNCTION("IFERROR(IF(OR(ISBLANK($G449), IFERROR(INDEX(GOOGLEFINANCE($C449, ""price"", WORKDAY(INT($B449), 5)), 2, 2), """")=""""), """", IF($D449=""LONG"", (IFERROR(INDEX(GOOGLEFINANCE($C449, ""price"", WORKDAY(INT($B449), 5)), 2, 2), """")-$G449)/$G449, ($G449-IFE"&amp;"RROR(INDEX(GOOGLEFINANCE($C449, ""price"", WORKDAY(INT($B449), 5)), 2, 2), """"))/$G449)), """")"),"")</f>
        <v/>
      </c>
      <c r="P449" s="47" t="str">
        <f>IFERROR(__xludf.DUMMYFUNCTION("IFERROR(IF(OR(ISBLANK($G449), IFERROR(INDEX(GOOGLEFINANCE($C449, ""price"", WORKDAY(INT($B449), 20)), 2, 2), """")=""""), """", IF($D449=""LONG"", (IFERROR(INDEX(GOOGLEFINANCE($C449, ""price"", WORKDAY(INT($B449), 20)), 2, 2), """")-$G449)/$G449, ($G449-I"&amp;"FERROR(INDEX(GOOGLEFINANCE($C449, ""price"", WORKDAY(INT($B449), 20)), 2, 2), """"))/$G449)), """")"),"")</f>
        <v/>
      </c>
      <c r="Q449" s="44"/>
      <c r="R449" s="44"/>
      <c r="S449" s="44"/>
      <c r="T449" s="44"/>
      <c r="U449" s="44"/>
      <c r="V449" s="44"/>
      <c r="W449" s="44"/>
      <c r="X449" s="44"/>
      <c r="Y449" s="44"/>
      <c r="Z449" s="44"/>
    </row>
    <row r="450">
      <c r="A450" s="44"/>
      <c r="B450" s="45"/>
      <c r="C450" s="44"/>
      <c r="D450" s="44"/>
      <c r="E450" s="44"/>
      <c r="F450" s="44"/>
      <c r="G450" s="46"/>
      <c r="H450" s="44"/>
      <c r="I450" s="44"/>
      <c r="J450" s="44"/>
      <c r="K450" s="44"/>
      <c r="L450" s="46" t="str">
        <f>IFERROR(__xludf.DUMMYFUNCTION("IFERROR(IF(ISBLANK($C450), """", GOOGLEFINANCE($C450, ""price"")), """")"),"")</f>
        <v/>
      </c>
      <c r="M450" s="47" t="str">
        <f t="shared" si="3"/>
        <v/>
      </c>
      <c r="N450" s="47" t="str">
        <f>IFERROR(__xludf.DUMMYFUNCTION("IFERROR(IF(OR(ISBLANK($G450), IFERROR(INDEX(GOOGLEFINANCE($C450, ""price"", WORKDAY(INT($B450), 1)), 2, 2), """")=""""), """", IF($D450=""LONG"", (IFERROR(INDEX(GOOGLEFINANCE($C450, ""price"", WORKDAY(INT($B450), 1)), 2, 2), """")-$G450)/$G450, ($G450-IFE"&amp;"RROR(INDEX(GOOGLEFINANCE($C450, ""price"", WORKDAY(INT($B450), 1)), 2, 2), """"))/$G450)), """")"),"")</f>
        <v/>
      </c>
      <c r="O450" s="47" t="str">
        <f>IFERROR(__xludf.DUMMYFUNCTION("IFERROR(IF(OR(ISBLANK($G450), IFERROR(INDEX(GOOGLEFINANCE($C450, ""price"", WORKDAY(INT($B450), 5)), 2, 2), """")=""""), """", IF($D450=""LONG"", (IFERROR(INDEX(GOOGLEFINANCE($C450, ""price"", WORKDAY(INT($B450), 5)), 2, 2), """")-$G450)/$G450, ($G450-IFE"&amp;"RROR(INDEX(GOOGLEFINANCE($C450, ""price"", WORKDAY(INT($B450), 5)), 2, 2), """"))/$G450)), """")"),"")</f>
        <v/>
      </c>
      <c r="P450" s="47" t="str">
        <f>IFERROR(__xludf.DUMMYFUNCTION("IFERROR(IF(OR(ISBLANK($G450), IFERROR(INDEX(GOOGLEFINANCE($C450, ""price"", WORKDAY(INT($B450), 20)), 2, 2), """")=""""), """", IF($D450=""LONG"", (IFERROR(INDEX(GOOGLEFINANCE($C450, ""price"", WORKDAY(INT($B450), 20)), 2, 2), """")-$G450)/$G450, ($G450-I"&amp;"FERROR(INDEX(GOOGLEFINANCE($C450, ""price"", WORKDAY(INT($B450), 20)), 2, 2), """"))/$G450)), """")"),"")</f>
        <v/>
      </c>
      <c r="Q450" s="44"/>
      <c r="R450" s="44"/>
      <c r="S450" s="44"/>
      <c r="T450" s="44"/>
      <c r="U450" s="44"/>
      <c r="V450" s="44"/>
      <c r="W450" s="44"/>
      <c r="X450" s="44"/>
      <c r="Y450" s="44"/>
      <c r="Z450" s="44"/>
    </row>
    <row r="451">
      <c r="A451" s="44"/>
      <c r="B451" s="45"/>
      <c r="C451" s="44"/>
      <c r="D451" s="44"/>
      <c r="E451" s="44"/>
      <c r="F451" s="44"/>
      <c r="G451" s="46"/>
      <c r="H451" s="44"/>
      <c r="I451" s="44"/>
      <c r="J451" s="44"/>
      <c r="K451" s="44"/>
      <c r="L451" s="46" t="str">
        <f>IFERROR(__xludf.DUMMYFUNCTION("IFERROR(IF(ISBLANK($C451), """", GOOGLEFINANCE($C451, ""price"")), """")"),"")</f>
        <v/>
      </c>
      <c r="M451" s="47" t="str">
        <f t="shared" si="3"/>
        <v/>
      </c>
      <c r="N451" s="47" t="str">
        <f>IFERROR(__xludf.DUMMYFUNCTION("IFERROR(IF(OR(ISBLANK($G451), IFERROR(INDEX(GOOGLEFINANCE($C451, ""price"", WORKDAY(INT($B451), 1)), 2, 2), """")=""""), """", IF($D451=""LONG"", (IFERROR(INDEX(GOOGLEFINANCE($C451, ""price"", WORKDAY(INT($B451), 1)), 2, 2), """")-$G451)/$G451, ($G451-IFE"&amp;"RROR(INDEX(GOOGLEFINANCE($C451, ""price"", WORKDAY(INT($B451), 1)), 2, 2), """"))/$G451)), """")"),"")</f>
        <v/>
      </c>
      <c r="O451" s="47" t="str">
        <f>IFERROR(__xludf.DUMMYFUNCTION("IFERROR(IF(OR(ISBLANK($G451), IFERROR(INDEX(GOOGLEFINANCE($C451, ""price"", WORKDAY(INT($B451), 5)), 2, 2), """")=""""), """", IF($D451=""LONG"", (IFERROR(INDEX(GOOGLEFINANCE($C451, ""price"", WORKDAY(INT($B451), 5)), 2, 2), """")-$G451)/$G451, ($G451-IFE"&amp;"RROR(INDEX(GOOGLEFINANCE($C451, ""price"", WORKDAY(INT($B451), 5)), 2, 2), """"))/$G451)), """")"),"")</f>
        <v/>
      </c>
      <c r="P451" s="47" t="str">
        <f>IFERROR(__xludf.DUMMYFUNCTION("IFERROR(IF(OR(ISBLANK($G451), IFERROR(INDEX(GOOGLEFINANCE($C451, ""price"", WORKDAY(INT($B451), 20)), 2, 2), """")=""""), """", IF($D451=""LONG"", (IFERROR(INDEX(GOOGLEFINANCE($C451, ""price"", WORKDAY(INT($B451), 20)), 2, 2), """")-$G451)/$G451, ($G451-I"&amp;"FERROR(INDEX(GOOGLEFINANCE($C451, ""price"", WORKDAY(INT($B451), 20)), 2, 2), """"))/$G451)), """")"),"")</f>
        <v/>
      </c>
      <c r="Q451" s="44"/>
      <c r="R451" s="44"/>
      <c r="S451" s="44"/>
      <c r="T451" s="44"/>
      <c r="U451" s="44"/>
      <c r="V451" s="44"/>
      <c r="W451" s="44"/>
      <c r="X451" s="44"/>
      <c r="Y451" s="44"/>
      <c r="Z451" s="44"/>
    </row>
    <row r="452">
      <c r="A452" s="44"/>
      <c r="B452" s="45"/>
      <c r="C452" s="44"/>
      <c r="D452" s="44"/>
      <c r="E452" s="44"/>
      <c r="F452" s="44"/>
      <c r="G452" s="46"/>
      <c r="H452" s="44"/>
      <c r="I452" s="44"/>
      <c r="J452" s="44"/>
      <c r="K452" s="44"/>
      <c r="L452" s="46" t="str">
        <f>IFERROR(__xludf.DUMMYFUNCTION("IFERROR(IF(ISBLANK($C452), """", GOOGLEFINANCE($C452, ""price"")), """")"),"")</f>
        <v/>
      </c>
      <c r="M452" s="47" t="str">
        <f t="shared" si="3"/>
        <v/>
      </c>
      <c r="N452" s="47" t="str">
        <f>IFERROR(__xludf.DUMMYFUNCTION("IFERROR(IF(OR(ISBLANK($G452), IFERROR(INDEX(GOOGLEFINANCE($C452, ""price"", WORKDAY(INT($B452), 1)), 2, 2), """")=""""), """", IF($D452=""LONG"", (IFERROR(INDEX(GOOGLEFINANCE($C452, ""price"", WORKDAY(INT($B452), 1)), 2, 2), """")-$G452)/$G452, ($G452-IFE"&amp;"RROR(INDEX(GOOGLEFINANCE($C452, ""price"", WORKDAY(INT($B452), 1)), 2, 2), """"))/$G452)), """")"),"")</f>
        <v/>
      </c>
      <c r="O452" s="47" t="str">
        <f>IFERROR(__xludf.DUMMYFUNCTION("IFERROR(IF(OR(ISBLANK($G452), IFERROR(INDEX(GOOGLEFINANCE($C452, ""price"", WORKDAY(INT($B452), 5)), 2, 2), """")=""""), """", IF($D452=""LONG"", (IFERROR(INDEX(GOOGLEFINANCE($C452, ""price"", WORKDAY(INT($B452), 5)), 2, 2), """")-$G452)/$G452, ($G452-IFE"&amp;"RROR(INDEX(GOOGLEFINANCE($C452, ""price"", WORKDAY(INT($B452), 5)), 2, 2), """"))/$G452)), """")"),"")</f>
        <v/>
      </c>
      <c r="P452" s="47" t="str">
        <f>IFERROR(__xludf.DUMMYFUNCTION("IFERROR(IF(OR(ISBLANK($G452), IFERROR(INDEX(GOOGLEFINANCE($C452, ""price"", WORKDAY(INT($B452), 20)), 2, 2), """")=""""), """", IF($D452=""LONG"", (IFERROR(INDEX(GOOGLEFINANCE($C452, ""price"", WORKDAY(INT($B452), 20)), 2, 2), """")-$G452)/$G452, ($G452-I"&amp;"FERROR(INDEX(GOOGLEFINANCE($C452, ""price"", WORKDAY(INT($B452), 20)), 2, 2), """"))/$G452)), """")"),"")</f>
        <v/>
      </c>
      <c r="Q452" s="44"/>
      <c r="R452" s="44"/>
      <c r="S452" s="44"/>
      <c r="T452" s="44"/>
      <c r="U452" s="44"/>
      <c r="V452" s="44"/>
      <c r="W452" s="44"/>
      <c r="X452" s="44"/>
      <c r="Y452" s="44"/>
      <c r="Z452" s="44"/>
    </row>
    <row r="453">
      <c r="A453" s="44"/>
      <c r="B453" s="45"/>
      <c r="C453" s="44"/>
      <c r="D453" s="44"/>
      <c r="E453" s="44"/>
      <c r="F453" s="44"/>
      <c r="G453" s="46"/>
      <c r="H453" s="44"/>
      <c r="I453" s="44"/>
      <c r="J453" s="44"/>
      <c r="K453" s="44"/>
      <c r="L453" s="46" t="str">
        <f>IFERROR(__xludf.DUMMYFUNCTION("IFERROR(IF(ISBLANK($C453), """", GOOGLEFINANCE($C453, ""price"")), """")"),"")</f>
        <v/>
      </c>
      <c r="M453" s="47" t="str">
        <f t="shared" si="3"/>
        <v/>
      </c>
      <c r="N453" s="47" t="str">
        <f>IFERROR(__xludf.DUMMYFUNCTION("IFERROR(IF(OR(ISBLANK($G453), IFERROR(INDEX(GOOGLEFINANCE($C453, ""price"", WORKDAY(INT($B453), 1)), 2, 2), """")=""""), """", IF($D453=""LONG"", (IFERROR(INDEX(GOOGLEFINANCE($C453, ""price"", WORKDAY(INT($B453), 1)), 2, 2), """")-$G453)/$G453, ($G453-IFE"&amp;"RROR(INDEX(GOOGLEFINANCE($C453, ""price"", WORKDAY(INT($B453), 1)), 2, 2), """"))/$G453)), """")"),"")</f>
        <v/>
      </c>
      <c r="O453" s="47" t="str">
        <f>IFERROR(__xludf.DUMMYFUNCTION("IFERROR(IF(OR(ISBLANK($G453), IFERROR(INDEX(GOOGLEFINANCE($C453, ""price"", WORKDAY(INT($B453), 5)), 2, 2), """")=""""), """", IF($D453=""LONG"", (IFERROR(INDEX(GOOGLEFINANCE($C453, ""price"", WORKDAY(INT($B453), 5)), 2, 2), """")-$G453)/$G453, ($G453-IFE"&amp;"RROR(INDEX(GOOGLEFINANCE($C453, ""price"", WORKDAY(INT($B453), 5)), 2, 2), """"))/$G453)), """")"),"")</f>
        <v/>
      </c>
      <c r="P453" s="47" t="str">
        <f>IFERROR(__xludf.DUMMYFUNCTION("IFERROR(IF(OR(ISBLANK($G453), IFERROR(INDEX(GOOGLEFINANCE($C453, ""price"", WORKDAY(INT($B453), 20)), 2, 2), """")=""""), """", IF($D453=""LONG"", (IFERROR(INDEX(GOOGLEFINANCE($C453, ""price"", WORKDAY(INT($B453), 20)), 2, 2), """")-$G453)/$G453, ($G453-I"&amp;"FERROR(INDEX(GOOGLEFINANCE($C453, ""price"", WORKDAY(INT($B453), 20)), 2, 2), """"))/$G453)), """")"),"")</f>
        <v/>
      </c>
      <c r="Q453" s="44"/>
      <c r="R453" s="44"/>
      <c r="S453" s="44"/>
      <c r="T453" s="44"/>
      <c r="U453" s="44"/>
      <c r="V453" s="44"/>
      <c r="W453" s="44"/>
      <c r="X453" s="44"/>
      <c r="Y453" s="44"/>
      <c r="Z453" s="44"/>
    </row>
    <row r="454">
      <c r="A454" s="44"/>
      <c r="B454" s="45"/>
      <c r="C454" s="44"/>
      <c r="D454" s="44"/>
      <c r="E454" s="44"/>
      <c r="F454" s="44"/>
      <c r="G454" s="46"/>
      <c r="H454" s="44"/>
      <c r="I454" s="44"/>
      <c r="J454" s="44"/>
      <c r="K454" s="44"/>
      <c r="L454" s="46" t="str">
        <f>IFERROR(__xludf.DUMMYFUNCTION("IFERROR(IF(ISBLANK($C454), """", GOOGLEFINANCE($C454, ""price"")), """")"),"")</f>
        <v/>
      </c>
      <c r="M454" s="47" t="str">
        <f t="shared" si="3"/>
        <v/>
      </c>
      <c r="N454" s="47" t="str">
        <f>IFERROR(__xludf.DUMMYFUNCTION("IFERROR(IF(OR(ISBLANK($G454), IFERROR(INDEX(GOOGLEFINANCE($C454, ""price"", WORKDAY(INT($B454), 1)), 2, 2), """")=""""), """", IF($D454=""LONG"", (IFERROR(INDEX(GOOGLEFINANCE($C454, ""price"", WORKDAY(INT($B454), 1)), 2, 2), """")-$G454)/$G454, ($G454-IFE"&amp;"RROR(INDEX(GOOGLEFINANCE($C454, ""price"", WORKDAY(INT($B454), 1)), 2, 2), """"))/$G454)), """")"),"")</f>
        <v/>
      </c>
      <c r="O454" s="47" t="str">
        <f>IFERROR(__xludf.DUMMYFUNCTION("IFERROR(IF(OR(ISBLANK($G454), IFERROR(INDEX(GOOGLEFINANCE($C454, ""price"", WORKDAY(INT($B454), 5)), 2, 2), """")=""""), """", IF($D454=""LONG"", (IFERROR(INDEX(GOOGLEFINANCE($C454, ""price"", WORKDAY(INT($B454), 5)), 2, 2), """")-$G454)/$G454, ($G454-IFE"&amp;"RROR(INDEX(GOOGLEFINANCE($C454, ""price"", WORKDAY(INT($B454), 5)), 2, 2), """"))/$G454)), """")"),"")</f>
        <v/>
      </c>
      <c r="P454" s="47" t="str">
        <f>IFERROR(__xludf.DUMMYFUNCTION("IFERROR(IF(OR(ISBLANK($G454), IFERROR(INDEX(GOOGLEFINANCE($C454, ""price"", WORKDAY(INT($B454), 20)), 2, 2), """")=""""), """", IF($D454=""LONG"", (IFERROR(INDEX(GOOGLEFINANCE($C454, ""price"", WORKDAY(INT($B454), 20)), 2, 2), """")-$G454)/$G454, ($G454-I"&amp;"FERROR(INDEX(GOOGLEFINANCE($C454, ""price"", WORKDAY(INT($B454), 20)), 2, 2), """"))/$G454)), """")"),"")</f>
        <v/>
      </c>
      <c r="Q454" s="44"/>
      <c r="R454" s="44"/>
      <c r="S454" s="44"/>
      <c r="T454" s="44"/>
      <c r="U454" s="44"/>
      <c r="V454" s="44"/>
      <c r="W454" s="44"/>
      <c r="X454" s="44"/>
      <c r="Y454" s="44"/>
      <c r="Z454" s="44"/>
    </row>
    <row r="455">
      <c r="A455" s="44"/>
      <c r="B455" s="45"/>
      <c r="C455" s="44"/>
      <c r="D455" s="44"/>
      <c r="E455" s="44"/>
      <c r="F455" s="44"/>
      <c r="G455" s="46"/>
      <c r="H455" s="44"/>
      <c r="I455" s="44"/>
      <c r="J455" s="44"/>
      <c r="K455" s="44"/>
      <c r="L455" s="46" t="str">
        <f>IFERROR(__xludf.DUMMYFUNCTION("IFERROR(IF(ISBLANK($C455), """", GOOGLEFINANCE($C455, ""price"")), """")"),"")</f>
        <v/>
      </c>
      <c r="M455" s="47" t="str">
        <f t="shared" si="3"/>
        <v/>
      </c>
      <c r="N455" s="47" t="str">
        <f>IFERROR(__xludf.DUMMYFUNCTION("IFERROR(IF(OR(ISBLANK($G455), IFERROR(INDEX(GOOGLEFINANCE($C455, ""price"", WORKDAY(INT($B455), 1)), 2, 2), """")=""""), """", IF($D455=""LONG"", (IFERROR(INDEX(GOOGLEFINANCE($C455, ""price"", WORKDAY(INT($B455), 1)), 2, 2), """")-$G455)/$G455, ($G455-IFE"&amp;"RROR(INDEX(GOOGLEFINANCE($C455, ""price"", WORKDAY(INT($B455), 1)), 2, 2), """"))/$G455)), """")"),"")</f>
        <v/>
      </c>
      <c r="O455" s="47" t="str">
        <f>IFERROR(__xludf.DUMMYFUNCTION("IFERROR(IF(OR(ISBLANK($G455), IFERROR(INDEX(GOOGLEFINANCE($C455, ""price"", WORKDAY(INT($B455), 5)), 2, 2), """")=""""), """", IF($D455=""LONG"", (IFERROR(INDEX(GOOGLEFINANCE($C455, ""price"", WORKDAY(INT($B455), 5)), 2, 2), """")-$G455)/$G455, ($G455-IFE"&amp;"RROR(INDEX(GOOGLEFINANCE($C455, ""price"", WORKDAY(INT($B455), 5)), 2, 2), """"))/$G455)), """")"),"")</f>
        <v/>
      </c>
      <c r="P455" s="47" t="str">
        <f>IFERROR(__xludf.DUMMYFUNCTION("IFERROR(IF(OR(ISBLANK($G455), IFERROR(INDEX(GOOGLEFINANCE($C455, ""price"", WORKDAY(INT($B455), 20)), 2, 2), """")=""""), """", IF($D455=""LONG"", (IFERROR(INDEX(GOOGLEFINANCE($C455, ""price"", WORKDAY(INT($B455), 20)), 2, 2), """")-$G455)/$G455, ($G455-I"&amp;"FERROR(INDEX(GOOGLEFINANCE($C455, ""price"", WORKDAY(INT($B455), 20)), 2, 2), """"))/$G455)), """")"),"")</f>
        <v/>
      </c>
      <c r="Q455" s="44"/>
      <c r="R455" s="44"/>
      <c r="S455" s="44"/>
      <c r="T455" s="44"/>
      <c r="U455" s="44"/>
      <c r="V455" s="44"/>
      <c r="W455" s="44"/>
      <c r="X455" s="44"/>
      <c r="Y455" s="44"/>
      <c r="Z455" s="44"/>
    </row>
    <row r="456">
      <c r="A456" s="44"/>
      <c r="B456" s="45"/>
      <c r="C456" s="44"/>
      <c r="D456" s="44"/>
      <c r="E456" s="44"/>
      <c r="F456" s="44"/>
      <c r="G456" s="46"/>
      <c r="H456" s="44"/>
      <c r="I456" s="44"/>
      <c r="J456" s="44"/>
      <c r="K456" s="44"/>
      <c r="L456" s="46" t="str">
        <f>IFERROR(__xludf.DUMMYFUNCTION("IFERROR(IF(ISBLANK($C456), """", GOOGLEFINANCE($C456, ""price"")), """")"),"")</f>
        <v/>
      </c>
      <c r="M456" s="47" t="str">
        <f t="shared" si="3"/>
        <v/>
      </c>
      <c r="N456" s="47" t="str">
        <f>IFERROR(__xludf.DUMMYFUNCTION("IFERROR(IF(OR(ISBLANK($G456), IFERROR(INDEX(GOOGLEFINANCE($C456, ""price"", WORKDAY(INT($B456), 1)), 2, 2), """")=""""), """", IF($D456=""LONG"", (IFERROR(INDEX(GOOGLEFINANCE($C456, ""price"", WORKDAY(INT($B456), 1)), 2, 2), """")-$G456)/$G456, ($G456-IFE"&amp;"RROR(INDEX(GOOGLEFINANCE($C456, ""price"", WORKDAY(INT($B456), 1)), 2, 2), """"))/$G456)), """")"),"")</f>
        <v/>
      </c>
      <c r="O456" s="47" t="str">
        <f>IFERROR(__xludf.DUMMYFUNCTION("IFERROR(IF(OR(ISBLANK($G456), IFERROR(INDEX(GOOGLEFINANCE($C456, ""price"", WORKDAY(INT($B456), 5)), 2, 2), """")=""""), """", IF($D456=""LONG"", (IFERROR(INDEX(GOOGLEFINANCE($C456, ""price"", WORKDAY(INT($B456), 5)), 2, 2), """")-$G456)/$G456, ($G456-IFE"&amp;"RROR(INDEX(GOOGLEFINANCE($C456, ""price"", WORKDAY(INT($B456), 5)), 2, 2), """"))/$G456)), """")"),"")</f>
        <v/>
      </c>
      <c r="P456" s="47" t="str">
        <f>IFERROR(__xludf.DUMMYFUNCTION("IFERROR(IF(OR(ISBLANK($G456), IFERROR(INDEX(GOOGLEFINANCE($C456, ""price"", WORKDAY(INT($B456), 20)), 2, 2), """")=""""), """", IF($D456=""LONG"", (IFERROR(INDEX(GOOGLEFINANCE($C456, ""price"", WORKDAY(INT($B456), 20)), 2, 2), """")-$G456)/$G456, ($G456-I"&amp;"FERROR(INDEX(GOOGLEFINANCE($C456, ""price"", WORKDAY(INT($B456), 20)), 2, 2), """"))/$G456)), """")"),"")</f>
        <v/>
      </c>
      <c r="Q456" s="44"/>
      <c r="R456" s="44"/>
      <c r="S456" s="44"/>
      <c r="T456" s="44"/>
      <c r="U456" s="44"/>
      <c r="V456" s="44"/>
      <c r="W456" s="44"/>
      <c r="X456" s="44"/>
      <c r="Y456" s="44"/>
      <c r="Z456" s="44"/>
    </row>
    <row r="457">
      <c r="A457" s="44"/>
      <c r="B457" s="45"/>
      <c r="C457" s="44"/>
      <c r="D457" s="44"/>
      <c r="E457" s="44"/>
      <c r="F457" s="44"/>
      <c r="G457" s="46"/>
      <c r="H457" s="44"/>
      <c r="I457" s="44"/>
      <c r="J457" s="44"/>
      <c r="K457" s="44"/>
      <c r="L457" s="46" t="str">
        <f>IFERROR(__xludf.DUMMYFUNCTION("IFERROR(IF(ISBLANK($C457), """", GOOGLEFINANCE($C457, ""price"")), """")"),"")</f>
        <v/>
      </c>
      <c r="M457" s="47" t="str">
        <f t="shared" si="3"/>
        <v/>
      </c>
      <c r="N457" s="47" t="str">
        <f>IFERROR(__xludf.DUMMYFUNCTION("IFERROR(IF(OR(ISBLANK($G457), IFERROR(INDEX(GOOGLEFINANCE($C457, ""price"", WORKDAY(INT($B457), 1)), 2, 2), """")=""""), """", IF($D457=""LONG"", (IFERROR(INDEX(GOOGLEFINANCE($C457, ""price"", WORKDAY(INT($B457), 1)), 2, 2), """")-$G457)/$G457, ($G457-IFE"&amp;"RROR(INDEX(GOOGLEFINANCE($C457, ""price"", WORKDAY(INT($B457), 1)), 2, 2), """"))/$G457)), """")"),"")</f>
        <v/>
      </c>
      <c r="O457" s="47" t="str">
        <f>IFERROR(__xludf.DUMMYFUNCTION("IFERROR(IF(OR(ISBLANK($G457), IFERROR(INDEX(GOOGLEFINANCE($C457, ""price"", WORKDAY(INT($B457), 5)), 2, 2), """")=""""), """", IF($D457=""LONG"", (IFERROR(INDEX(GOOGLEFINANCE($C457, ""price"", WORKDAY(INT($B457), 5)), 2, 2), """")-$G457)/$G457, ($G457-IFE"&amp;"RROR(INDEX(GOOGLEFINANCE($C457, ""price"", WORKDAY(INT($B457), 5)), 2, 2), """"))/$G457)), """")"),"")</f>
        <v/>
      </c>
      <c r="P457" s="47" t="str">
        <f>IFERROR(__xludf.DUMMYFUNCTION("IFERROR(IF(OR(ISBLANK($G457), IFERROR(INDEX(GOOGLEFINANCE($C457, ""price"", WORKDAY(INT($B457), 20)), 2, 2), """")=""""), """", IF($D457=""LONG"", (IFERROR(INDEX(GOOGLEFINANCE($C457, ""price"", WORKDAY(INT($B457), 20)), 2, 2), """")-$G457)/$G457, ($G457-I"&amp;"FERROR(INDEX(GOOGLEFINANCE($C457, ""price"", WORKDAY(INT($B457), 20)), 2, 2), """"))/$G457)), """")"),"")</f>
        <v/>
      </c>
      <c r="Q457" s="44"/>
      <c r="R457" s="44"/>
      <c r="S457" s="44"/>
      <c r="T457" s="44"/>
      <c r="U457" s="44"/>
      <c r="V457" s="44"/>
      <c r="W457" s="44"/>
      <c r="X457" s="44"/>
      <c r="Y457" s="44"/>
      <c r="Z457" s="44"/>
    </row>
    <row r="458">
      <c r="A458" s="44"/>
      <c r="B458" s="45"/>
      <c r="C458" s="44"/>
      <c r="D458" s="44"/>
      <c r="E458" s="44"/>
      <c r="F458" s="44"/>
      <c r="G458" s="46"/>
      <c r="H458" s="44"/>
      <c r="I458" s="44"/>
      <c r="J458" s="44"/>
      <c r="K458" s="44"/>
      <c r="L458" s="46" t="str">
        <f>IFERROR(__xludf.DUMMYFUNCTION("IFERROR(IF(ISBLANK($C458), """", GOOGLEFINANCE($C458, ""price"")), """")"),"")</f>
        <v/>
      </c>
      <c r="M458" s="47" t="str">
        <f t="shared" si="3"/>
        <v/>
      </c>
      <c r="N458" s="47" t="str">
        <f>IFERROR(__xludf.DUMMYFUNCTION("IFERROR(IF(OR(ISBLANK($G458), IFERROR(INDEX(GOOGLEFINANCE($C458, ""price"", WORKDAY(INT($B458), 1)), 2, 2), """")=""""), """", IF($D458=""LONG"", (IFERROR(INDEX(GOOGLEFINANCE($C458, ""price"", WORKDAY(INT($B458), 1)), 2, 2), """")-$G458)/$G458, ($G458-IFE"&amp;"RROR(INDEX(GOOGLEFINANCE($C458, ""price"", WORKDAY(INT($B458), 1)), 2, 2), """"))/$G458)), """")"),"")</f>
        <v/>
      </c>
      <c r="O458" s="47" t="str">
        <f>IFERROR(__xludf.DUMMYFUNCTION("IFERROR(IF(OR(ISBLANK($G458), IFERROR(INDEX(GOOGLEFINANCE($C458, ""price"", WORKDAY(INT($B458), 5)), 2, 2), """")=""""), """", IF($D458=""LONG"", (IFERROR(INDEX(GOOGLEFINANCE($C458, ""price"", WORKDAY(INT($B458), 5)), 2, 2), """")-$G458)/$G458, ($G458-IFE"&amp;"RROR(INDEX(GOOGLEFINANCE($C458, ""price"", WORKDAY(INT($B458), 5)), 2, 2), """"))/$G458)), """")"),"")</f>
        <v/>
      </c>
      <c r="P458" s="47" t="str">
        <f>IFERROR(__xludf.DUMMYFUNCTION("IFERROR(IF(OR(ISBLANK($G458), IFERROR(INDEX(GOOGLEFINANCE($C458, ""price"", WORKDAY(INT($B458), 20)), 2, 2), """")=""""), """", IF($D458=""LONG"", (IFERROR(INDEX(GOOGLEFINANCE($C458, ""price"", WORKDAY(INT($B458), 20)), 2, 2), """")-$G458)/$G458, ($G458-I"&amp;"FERROR(INDEX(GOOGLEFINANCE($C458, ""price"", WORKDAY(INT($B458), 20)), 2, 2), """"))/$G458)), """")"),"")</f>
        <v/>
      </c>
      <c r="Q458" s="44"/>
      <c r="R458" s="44"/>
      <c r="S458" s="44"/>
      <c r="T458" s="44"/>
      <c r="U458" s="44"/>
      <c r="V458" s="44"/>
      <c r="W458" s="44"/>
      <c r="X458" s="44"/>
      <c r="Y458" s="44"/>
      <c r="Z458" s="44"/>
    </row>
    <row r="459">
      <c r="A459" s="44"/>
      <c r="B459" s="45"/>
      <c r="C459" s="44"/>
      <c r="D459" s="44"/>
      <c r="E459" s="44"/>
      <c r="F459" s="44"/>
      <c r="G459" s="46"/>
      <c r="H459" s="44"/>
      <c r="I459" s="44"/>
      <c r="J459" s="44"/>
      <c r="K459" s="44"/>
      <c r="L459" s="46" t="str">
        <f>IFERROR(__xludf.DUMMYFUNCTION("IFERROR(IF(ISBLANK($C459), """", GOOGLEFINANCE($C459, ""price"")), """")"),"")</f>
        <v/>
      </c>
      <c r="M459" s="47" t="str">
        <f t="shared" si="3"/>
        <v/>
      </c>
      <c r="N459" s="47" t="str">
        <f>IFERROR(__xludf.DUMMYFUNCTION("IFERROR(IF(OR(ISBLANK($G459), IFERROR(INDEX(GOOGLEFINANCE($C459, ""price"", WORKDAY(INT($B459), 1)), 2, 2), """")=""""), """", IF($D459=""LONG"", (IFERROR(INDEX(GOOGLEFINANCE($C459, ""price"", WORKDAY(INT($B459), 1)), 2, 2), """")-$G459)/$G459, ($G459-IFE"&amp;"RROR(INDEX(GOOGLEFINANCE($C459, ""price"", WORKDAY(INT($B459), 1)), 2, 2), """"))/$G459)), """")"),"")</f>
        <v/>
      </c>
      <c r="O459" s="47" t="str">
        <f>IFERROR(__xludf.DUMMYFUNCTION("IFERROR(IF(OR(ISBLANK($G459), IFERROR(INDEX(GOOGLEFINANCE($C459, ""price"", WORKDAY(INT($B459), 5)), 2, 2), """")=""""), """", IF($D459=""LONG"", (IFERROR(INDEX(GOOGLEFINANCE($C459, ""price"", WORKDAY(INT($B459), 5)), 2, 2), """")-$G459)/$G459, ($G459-IFE"&amp;"RROR(INDEX(GOOGLEFINANCE($C459, ""price"", WORKDAY(INT($B459), 5)), 2, 2), """"))/$G459)), """")"),"")</f>
        <v/>
      </c>
      <c r="P459" s="47" t="str">
        <f>IFERROR(__xludf.DUMMYFUNCTION("IFERROR(IF(OR(ISBLANK($G459), IFERROR(INDEX(GOOGLEFINANCE($C459, ""price"", WORKDAY(INT($B459), 20)), 2, 2), """")=""""), """", IF($D459=""LONG"", (IFERROR(INDEX(GOOGLEFINANCE($C459, ""price"", WORKDAY(INT($B459), 20)), 2, 2), """")-$G459)/$G459, ($G459-I"&amp;"FERROR(INDEX(GOOGLEFINANCE($C459, ""price"", WORKDAY(INT($B459), 20)), 2, 2), """"))/$G459)), """")"),"")</f>
        <v/>
      </c>
      <c r="Q459" s="44"/>
      <c r="R459" s="44"/>
      <c r="S459" s="44"/>
      <c r="T459" s="44"/>
      <c r="U459" s="44"/>
      <c r="V459" s="44"/>
      <c r="W459" s="44"/>
      <c r="X459" s="44"/>
      <c r="Y459" s="44"/>
      <c r="Z459" s="44"/>
    </row>
    <row r="460">
      <c r="A460" s="44"/>
      <c r="B460" s="45"/>
      <c r="C460" s="44"/>
      <c r="D460" s="44"/>
      <c r="E460" s="44"/>
      <c r="F460" s="44"/>
      <c r="G460" s="46"/>
      <c r="H460" s="44"/>
      <c r="I460" s="44"/>
      <c r="J460" s="44"/>
      <c r="K460" s="44"/>
      <c r="L460" s="46" t="str">
        <f>IFERROR(__xludf.DUMMYFUNCTION("IFERROR(IF(ISBLANK($C460), """", GOOGLEFINANCE($C460, ""price"")), """")"),"")</f>
        <v/>
      </c>
      <c r="M460" s="47" t="str">
        <f t="shared" si="3"/>
        <v/>
      </c>
      <c r="N460" s="47" t="str">
        <f>IFERROR(__xludf.DUMMYFUNCTION("IFERROR(IF(OR(ISBLANK($G460), IFERROR(INDEX(GOOGLEFINANCE($C460, ""price"", WORKDAY(INT($B460), 1)), 2, 2), """")=""""), """", IF($D460=""LONG"", (IFERROR(INDEX(GOOGLEFINANCE($C460, ""price"", WORKDAY(INT($B460), 1)), 2, 2), """")-$G460)/$G460, ($G460-IFE"&amp;"RROR(INDEX(GOOGLEFINANCE($C460, ""price"", WORKDAY(INT($B460), 1)), 2, 2), """"))/$G460)), """")"),"")</f>
        <v/>
      </c>
      <c r="O460" s="47" t="str">
        <f>IFERROR(__xludf.DUMMYFUNCTION("IFERROR(IF(OR(ISBLANK($G460), IFERROR(INDEX(GOOGLEFINANCE($C460, ""price"", WORKDAY(INT($B460), 5)), 2, 2), """")=""""), """", IF($D460=""LONG"", (IFERROR(INDEX(GOOGLEFINANCE($C460, ""price"", WORKDAY(INT($B460), 5)), 2, 2), """")-$G460)/$G460, ($G460-IFE"&amp;"RROR(INDEX(GOOGLEFINANCE($C460, ""price"", WORKDAY(INT($B460), 5)), 2, 2), """"))/$G460)), """")"),"")</f>
        <v/>
      </c>
      <c r="P460" s="47" t="str">
        <f>IFERROR(__xludf.DUMMYFUNCTION("IFERROR(IF(OR(ISBLANK($G460), IFERROR(INDEX(GOOGLEFINANCE($C460, ""price"", WORKDAY(INT($B460), 20)), 2, 2), """")=""""), """", IF($D460=""LONG"", (IFERROR(INDEX(GOOGLEFINANCE($C460, ""price"", WORKDAY(INT($B460), 20)), 2, 2), """")-$G460)/$G460, ($G460-I"&amp;"FERROR(INDEX(GOOGLEFINANCE($C460, ""price"", WORKDAY(INT($B460), 20)), 2, 2), """"))/$G460)), """")"),"")</f>
        <v/>
      </c>
      <c r="Q460" s="44"/>
      <c r="R460" s="44"/>
      <c r="S460" s="44"/>
      <c r="T460" s="44"/>
      <c r="U460" s="44"/>
      <c r="V460" s="44"/>
      <c r="W460" s="44"/>
      <c r="X460" s="44"/>
      <c r="Y460" s="44"/>
      <c r="Z460" s="44"/>
    </row>
    <row r="461">
      <c r="A461" s="44"/>
      <c r="B461" s="45"/>
      <c r="C461" s="44"/>
      <c r="D461" s="44"/>
      <c r="E461" s="44"/>
      <c r="F461" s="44"/>
      <c r="G461" s="46"/>
      <c r="H461" s="44"/>
      <c r="I461" s="44"/>
      <c r="J461" s="44"/>
      <c r="K461" s="44"/>
      <c r="L461" s="46" t="str">
        <f>IFERROR(__xludf.DUMMYFUNCTION("IFERROR(IF(ISBLANK($C461), """", GOOGLEFINANCE($C461, ""price"")), """")"),"")</f>
        <v/>
      </c>
      <c r="M461" s="47" t="str">
        <f t="shared" si="3"/>
        <v/>
      </c>
      <c r="N461" s="47" t="str">
        <f>IFERROR(__xludf.DUMMYFUNCTION("IFERROR(IF(OR(ISBLANK($G461), IFERROR(INDEX(GOOGLEFINANCE($C461, ""price"", WORKDAY(INT($B461), 1)), 2, 2), """")=""""), """", IF($D461=""LONG"", (IFERROR(INDEX(GOOGLEFINANCE($C461, ""price"", WORKDAY(INT($B461), 1)), 2, 2), """")-$G461)/$G461, ($G461-IFE"&amp;"RROR(INDEX(GOOGLEFINANCE($C461, ""price"", WORKDAY(INT($B461), 1)), 2, 2), """"))/$G461)), """")"),"")</f>
        <v/>
      </c>
      <c r="O461" s="47" t="str">
        <f>IFERROR(__xludf.DUMMYFUNCTION("IFERROR(IF(OR(ISBLANK($G461), IFERROR(INDEX(GOOGLEFINANCE($C461, ""price"", WORKDAY(INT($B461), 5)), 2, 2), """")=""""), """", IF($D461=""LONG"", (IFERROR(INDEX(GOOGLEFINANCE($C461, ""price"", WORKDAY(INT($B461), 5)), 2, 2), """")-$G461)/$G461, ($G461-IFE"&amp;"RROR(INDEX(GOOGLEFINANCE($C461, ""price"", WORKDAY(INT($B461), 5)), 2, 2), """"))/$G461)), """")"),"")</f>
        <v/>
      </c>
      <c r="P461" s="47" t="str">
        <f>IFERROR(__xludf.DUMMYFUNCTION("IFERROR(IF(OR(ISBLANK($G461), IFERROR(INDEX(GOOGLEFINANCE($C461, ""price"", WORKDAY(INT($B461), 20)), 2, 2), """")=""""), """", IF($D461=""LONG"", (IFERROR(INDEX(GOOGLEFINANCE($C461, ""price"", WORKDAY(INT($B461), 20)), 2, 2), """")-$G461)/$G461, ($G461-I"&amp;"FERROR(INDEX(GOOGLEFINANCE($C461, ""price"", WORKDAY(INT($B461), 20)), 2, 2), """"))/$G461)), """")"),"")</f>
        <v/>
      </c>
      <c r="Q461" s="44"/>
      <c r="R461" s="44"/>
      <c r="S461" s="44"/>
      <c r="T461" s="44"/>
      <c r="U461" s="44"/>
      <c r="V461" s="44"/>
      <c r="W461" s="44"/>
      <c r="X461" s="44"/>
      <c r="Y461" s="44"/>
      <c r="Z461" s="44"/>
    </row>
    <row r="462">
      <c r="A462" s="44"/>
      <c r="B462" s="45"/>
      <c r="C462" s="44"/>
      <c r="D462" s="44"/>
      <c r="E462" s="44"/>
      <c r="F462" s="44"/>
      <c r="G462" s="46"/>
      <c r="H462" s="44"/>
      <c r="I462" s="44"/>
      <c r="J462" s="44"/>
      <c r="K462" s="44"/>
      <c r="L462" s="46" t="str">
        <f>IFERROR(__xludf.DUMMYFUNCTION("IFERROR(IF(ISBLANK($C462), """", GOOGLEFINANCE($C462, ""price"")), """")"),"")</f>
        <v/>
      </c>
      <c r="M462" s="47" t="str">
        <f t="shared" si="3"/>
        <v/>
      </c>
      <c r="N462" s="47" t="str">
        <f>IFERROR(__xludf.DUMMYFUNCTION("IFERROR(IF(OR(ISBLANK($G462), IFERROR(INDEX(GOOGLEFINANCE($C462, ""price"", WORKDAY(INT($B462), 1)), 2, 2), """")=""""), """", IF($D462=""LONG"", (IFERROR(INDEX(GOOGLEFINANCE($C462, ""price"", WORKDAY(INT($B462), 1)), 2, 2), """")-$G462)/$G462, ($G462-IFE"&amp;"RROR(INDEX(GOOGLEFINANCE($C462, ""price"", WORKDAY(INT($B462), 1)), 2, 2), """"))/$G462)), """")"),"")</f>
        <v/>
      </c>
      <c r="O462" s="47" t="str">
        <f>IFERROR(__xludf.DUMMYFUNCTION("IFERROR(IF(OR(ISBLANK($G462), IFERROR(INDEX(GOOGLEFINANCE($C462, ""price"", WORKDAY(INT($B462), 5)), 2, 2), """")=""""), """", IF($D462=""LONG"", (IFERROR(INDEX(GOOGLEFINANCE($C462, ""price"", WORKDAY(INT($B462), 5)), 2, 2), """")-$G462)/$G462, ($G462-IFE"&amp;"RROR(INDEX(GOOGLEFINANCE($C462, ""price"", WORKDAY(INT($B462), 5)), 2, 2), """"))/$G462)), """")"),"")</f>
        <v/>
      </c>
      <c r="P462" s="47" t="str">
        <f>IFERROR(__xludf.DUMMYFUNCTION("IFERROR(IF(OR(ISBLANK($G462), IFERROR(INDEX(GOOGLEFINANCE($C462, ""price"", WORKDAY(INT($B462), 20)), 2, 2), """")=""""), """", IF($D462=""LONG"", (IFERROR(INDEX(GOOGLEFINANCE($C462, ""price"", WORKDAY(INT($B462), 20)), 2, 2), """")-$G462)/$G462, ($G462-I"&amp;"FERROR(INDEX(GOOGLEFINANCE($C462, ""price"", WORKDAY(INT($B462), 20)), 2, 2), """"))/$G462)), """")"),"")</f>
        <v/>
      </c>
      <c r="Q462" s="44"/>
      <c r="R462" s="44"/>
      <c r="S462" s="44"/>
      <c r="T462" s="44"/>
      <c r="U462" s="44"/>
      <c r="V462" s="44"/>
      <c r="W462" s="44"/>
      <c r="X462" s="44"/>
      <c r="Y462" s="44"/>
      <c r="Z462" s="44"/>
    </row>
    <row r="463">
      <c r="A463" s="44"/>
      <c r="B463" s="45"/>
      <c r="C463" s="44"/>
      <c r="D463" s="44"/>
      <c r="E463" s="44"/>
      <c r="F463" s="44"/>
      <c r="G463" s="46"/>
      <c r="H463" s="44"/>
      <c r="I463" s="44"/>
      <c r="J463" s="44"/>
      <c r="K463" s="44"/>
      <c r="L463" s="46" t="str">
        <f>IFERROR(__xludf.DUMMYFUNCTION("IFERROR(IF(ISBLANK($C463), """", GOOGLEFINANCE($C463, ""price"")), """")"),"")</f>
        <v/>
      </c>
      <c r="M463" s="47" t="str">
        <f t="shared" si="3"/>
        <v/>
      </c>
      <c r="N463" s="47" t="str">
        <f>IFERROR(__xludf.DUMMYFUNCTION("IFERROR(IF(OR(ISBLANK($G463), IFERROR(INDEX(GOOGLEFINANCE($C463, ""price"", WORKDAY(INT($B463), 1)), 2, 2), """")=""""), """", IF($D463=""LONG"", (IFERROR(INDEX(GOOGLEFINANCE($C463, ""price"", WORKDAY(INT($B463), 1)), 2, 2), """")-$G463)/$G463, ($G463-IFE"&amp;"RROR(INDEX(GOOGLEFINANCE($C463, ""price"", WORKDAY(INT($B463), 1)), 2, 2), """"))/$G463)), """")"),"")</f>
        <v/>
      </c>
      <c r="O463" s="47" t="str">
        <f>IFERROR(__xludf.DUMMYFUNCTION("IFERROR(IF(OR(ISBLANK($G463), IFERROR(INDEX(GOOGLEFINANCE($C463, ""price"", WORKDAY(INT($B463), 5)), 2, 2), """")=""""), """", IF($D463=""LONG"", (IFERROR(INDEX(GOOGLEFINANCE($C463, ""price"", WORKDAY(INT($B463), 5)), 2, 2), """")-$G463)/$G463, ($G463-IFE"&amp;"RROR(INDEX(GOOGLEFINANCE($C463, ""price"", WORKDAY(INT($B463), 5)), 2, 2), """"))/$G463)), """")"),"")</f>
        <v/>
      </c>
      <c r="P463" s="47" t="str">
        <f>IFERROR(__xludf.DUMMYFUNCTION("IFERROR(IF(OR(ISBLANK($G463), IFERROR(INDEX(GOOGLEFINANCE($C463, ""price"", WORKDAY(INT($B463), 20)), 2, 2), """")=""""), """", IF($D463=""LONG"", (IFERROR(INDEX(GOOGLEFINANCE($C463, ""price"", WORKDAY(INT($B463), 20)), 2, 2), """")-$G463)/$G463, ($G463-I"&amp;"FERROR(INDEX(GOOGLEFINANCE($C463, ""price"", WORKDAY(INT($B463), 20)), 2, 2), """"))/$G463)), """")"),"")</f>
        <v/>
      </c>
      <c r="Q463" s="44"/>
      <c r="R463" s="44"/>
      <c r="S463" s="44"/>
      <c r="T463" s="44"/>
      <c r="U463" s="44"/>
      <c r="V463" s="44"/>
      <c r="W463" s="44"/>
      <c r="X463" s="44"/>
      <c r="Y463" s="44"/>
      <c r="Z463" s="44"/>
    </row>
    <row r="464">
      <c r="A464" s="44"/>
      <c r="B464" s="45"/>
      <c r="C464" s="44"/>
      <c r="D464" s="44"/>
      <c r="E464" s="44"/>
      <c r="F464" s="44"/>
      <c r="G464" s="46"/>
      <c r="H464" s="44"/>
      <c r="I464" s="44"/>
      <c r="J464" s="44"/>
      <c r="K464" s="44"/>
      <c r="L464" s="46" t="str">
        <f>IFERROR(__xludf.DUMMYFUNCTION("IFERROR(IF(ISBLANK($C464), """", GOOGLEFINANCE($C464, ""price"")), """")"),"")</f>
        <v/>
      </c>
      <c r="M464" s="47" t="str">
        <f t="shared" si="3"/>
        <v/>
      </c>
      <c r="N464" s="47" t="str">
        <f>IFERROR(__xludf.DUMMYFUNCTION("IFERROR(IF(OR(ISBLANK($G464), IFERROR(INDEX(GOOGLEFINANCE($C464, ""price"", WORKDAY(INT($B464), 1)), 2, 2), """")=""""), """", IF($D464=""LONG"", (IFERROR(INDEX(GOOGLEFINANCE($C464, ""price"", WORKDAY(INT($B464), 1)), 2, 2), """")-$G464)/$G464, ($G464-IFE"&amp;"RROR(INDEX(GOOGLEFINANCE($C464, ""price"", WORKDAY(INT($B464), 1)), 2, 2), """"))/$G464)), """")"),"")</f>
        <v/>
      </c>
      <c r="O464" s="47" t="str">
        <f>IFERROR(__xludf.DUMMYFUNCTION("IFERROR(IF(OR(ISBLANK($G464), IFERROR(INDEX(GOOGLEFINANCE($C464, ""price"", WORKDAY(INT($B464), 5)), 2, 2), """")=""""), """", IF($D464=""LONG"", (IFERROR(INDEX(GOOGLEFINANCE($C464, ""price"", WORKDAY(INT($B464), 5)), 2, 2), """")-$G464)/$G464, ($G464-IFE"&amp;"RROR(INDEX(GOOGLEFINANCE($C464, ""price"", WORKDAY(INT($B464), 5)), 2, 2), """"))/$G464)), """")"),"")</f>
        <v/>
      </c>
      <c r="P464" s="47" t="str">
        <f>IFERROR(__xludf.DUMMYFUNCTION("IFERROR(IF(OR(ISBLANK($G464), IFERROR(INDEX(GOOGLEFINANCE($C464, ""price"", WORKDAY(INT($B464), 20)), 2, 2), """")=""""), """", IF($D464=""LONG"", (IFERROR(INDEX(GOOGLEFINANCE($C464, ""price"", WORKDAY(INT($B464), 20)), 2, 2), """")-$G464)/$G464, ($G464-I"&amp;"FERROR(INDEX(GOOGLEFINANCE($C464, ""price"", WORKDAY(INT($B464), 20)), 2, 2), """"))/$G464)), """")"),"")</f>
        <v/>
      </c>
      <c r="Q464" s="44"/>
      <c r="R464" s="44"/>
      <c r="S464" s="44"/>
      <c r="T464" s="44"/>
      <c r="U464" s="44"/>
      <c r="V464" s="44"/>
      <c r="W464" s="44"/>
      <c r="X464" s="44"/>
      <c r="Y464" s="44"/>
      <c r="Z464" s="44"/>
    </row>
    <row r="465">
      <c r="A465" s="44"/>
      <c r="B465" s="45"/>
      <c r="C465" s="44"/>
      <c r="D465" s="44"/>
      <c r="E465" s="44"/>
      <c r="F465" s="44"/>
      <c r="G465" s="46"/>
      <c r="H465" s="44"/>
      <c r="I465" s="44"/>
      <c r="J465" s="44"/>
      <c r="K465" s="44"/>
      <c r="L465" s="46" t="str">
        <f>IFERROR(__xludf.DUMMYFUNCTION("IFERROR(IF(ISBLANK($C465), """", GOOGLEFINANCE($C465, ""price"")), """")"),"")</f>
        <v/>
      </c>
      <c r="M465" s="47" t="str">
        <f t="shared" si="3"/>
        <v/>
      </c>
      <c r="N465" s="47" t="str">
        <f>IFERROR(__xludf.DUMMYFUNCTION("IFERROR(IF(OR(ISBLANK($G465), IFERROR(INDEX(GOOGLEFINANCE($C465, ""price"", WORKDAY(INT($B465), 1)), 2, 2), """")=""""), """", IF($D465=""LONG"", (IFERROR(INDEX(GOOGLEFINANCE($C465, ""price"", WORKDAY(INT($B465), 1)), 2, 2), """")-$G465)/$G465, ($G465-IFE"&amp;"RROR(INDEX(GOOGLEFINANCE($C465, ""price"", WORKDAY(INT($B465), 1)), 2, 2), """"))/$G465)), """")"),"")</f>
        <v/>
      </c>
      <c r="O465" s="47" t="str">
        <f>IFERROR(__xludf.DUMMYFUNCTION("IFERROR(IF(OR(ISBLANK($G465), IFERROR(INDEX(GOOGLEFINANCE($C465, ""price"", WORKDAY(INT($B465), 5)), 2, 2), """")=""""), """", IF($D465=""LONG"", (IFERROR(INDEX(GOOGLEFINANCE($C465, ""price"", WORKDAY(INT($B465), 5)), 2, 2), """")-$G465)/$G465, ($G465-IFE"&amp;"RROR(INDEX(GOOGLEFINANCE($C465, ""price"", WORKDAY(INT($B465), 5)), 2, 2), """"))/$G465)), """")"),"")</f>
        <v/>
      </c>
      <c r="P465" s="47" t="str">
        <f>IFERROR(__xludf.DUMMYFUNCTION("IFERROR(IF(OR(ISBLANK($G465), IFERROR(INDEX(GOOGLEFINANCE($C465, ""price"", WORKDAY(INT($B465), 20)), 2, 2), """")=""""), """", IF($D465=""LONG"", (IFERROR(INDEX(GOOGLEFINANCE($C465, ""price"", WORKDAY(INT($B465), 20)), 2, 2), """")-$G465)/$G465, ($G465-I"&amp;"FERROR(INDEX(GOOGLEFINANCE($C465, ""price"", WORKDAY(INT($B465), 20)), 2, 2), """"))/$G465)), """")"),"")</f>
        <v/>
      </c>
      <c r="Q465" s="44"/>
      <c r="R465" s="44"/>
      <c r="S465" s="44"/>
      <c r="T465" s="44"/>
      <c r="U465" s="44"/>
      <c r="V465" s="44"/>
      <c r="W465" s="44"/>
      <c r="X465" s="44"/>
      <c r="Y465" s="44"/>
      <c r="Z465" s="44"/>
    </row>
    <row r="466">
      <c r="A466" s="44"/>
      <c r="B466" s="45"/>
      <c r="C466" s="44"/>
      <c r="D466" s="44"/>
      <c r="E466" s="44"/>
      <c r="F466" s="44"/>
      <c r="G466" s="46"/>
      <c r="H466" s="44"/>
      <c r="I466" s="44"/>
      <c r="J466" s="44"/>
      <c r="K466" s="44"/>
      <c r="L466" s="46" t="str">
        <f>IFERROR(__xludf.DUMMYFUNCTION("IFERROR(IF(ISBLANK($C466), """", GOOGLEFINANCE($C466, ""price"")), """")"),"")</f>
        <v/>
      </c>
      <c r="M466" s="47" t="str">
        <f t="shared" si="3"/>
        <v/>
      </c>
      <c r="N466" s="47" t="str">
        <f>IFERROR(__xludf.DUMMYFUNCTION("IFERROR(IF(OR(ISBLANK($G466), IFERROR(INDEX(GOOGLEFINANCE($C466, ""price"", WORKDAY(INT($B466), 1)), 2, 2), """")=""""), """", IF($D466=""LONG"", (IFERROR(INDEX(GOOGLEFINANCE($C466, ""price"", WORKDAY(INT($B466), 1)), 2, 2), """")-$G466)/$G466, ($G466-IFE"&amp;"RROR(INDEX(GOOGLEFINANCE($C466, ""price"", WORKDAY(INT($B466), 1)), 2, 2), """"))/$G466)), """")"),"")</f>
        <v/>
      </c>
      <c r="O466" s="47" t="str">
        <f>IFERROR(__xludf.DUMMYFUNCTION("IFERROR(IF(OR(ISBLANK($G466), IFERROR(INDEX(GOOGLEFINANCE($C466, ""price"", WORKDAY(INT($B466), 5)), 2, 2), """")=""""), """", IF($D466=""LONG"", (IFERROR(INDEX(GOOGLEFINANCE($C466, ""price"", WORKDAY(INT($B466), 5)), 2, 2), """")-$G466)/$G466, ($G466-IFE"&amp;"RROR(INDEX(GOOGLEFINANCE($C466, ""price"", WORKDAY(INT($B466), 5)), 2, 2), """"))/$G466)), """")"),"")</f>
        <v/>
      </c>
      <c r="P466" s="47" t="str">
        <f>IFERROR(__xludf.DUMMYFUNCTION("IFERROR(IF(OR(ISBLANK($G466), IFERROR(INDEX(GOOGLEFINANCE($C466, ""price"", WORKDAY(INT($B466), 20)), 2, 2), """")=""""), """", IF($D466=""LONG"", (IFERROR(INDEX(GOOGLEFINANCE($C466, ""price"", WORKDAY(INT($B466), 20)), 2, 2), """")-$G466)/$G466, ($G466-I"&amp;"FERROR(INDEX(GOOGLEFINANCE($C466, ""price"", WORKDAY(INT($B466), 20)), 2, 2), """"))/$G466)), """")"),"")</f>
        <v/>
      </c>
      <c r="Q466" s="44"/>
      <c r="R466" s="44"/>
      <c r="S466" s="44"/>
      <c r="T466" s="44"/>
      <c r="U466" s="44"/>
      <c r="V466" s="44"/>
      <c r="W466" s="44"/>
      <c r="X466" s="44"/>
      <c r="Y466" s="44"/>
      <c r="Z466" s="44"/>
    </row>
    <row r="467">
      <c r="A467" s="44"/>
      <c r="B467" s="45"/>
      <c r="C467" s="44"/>
      <c r="D467" s="44"/>
      <c r="E467" s="44"/>
      <c r="F467" s="44"/>
      <c r="G467" s="46"/>
      <c r="H467" s="44"/>
      <c r="I467" s="44"/>
      <c r="J467" s="44"/>
      <c r="K467" s="44"/>
      <c r="L467" s="46" t="str">
        <f>IFERROR(__xludf.DUMMYFUNCTION("IFERROR(IF(ISBLANK($C467), """", GOOGLEFINANCE($C467, ""price"")), """")"),"")</f>
        <v/>
      </c>
      <c r="M467" s="47" t="str">
        <f t="shared" si="3"/>
        <v/>
      </c>
      <c r="N467" s="47" t="str">
        <f>IFERROR(__xludf.DUMMYFUNCTION("IFERROR(IF(OR(ISBLANK($G467), IFERROR(INDEX(GOOGLEFINANCE($C467, ""price"", WORKDAY(INT($B467), 1)), 2, 2), """")=""""), """", IF($D467=""LONG"", (IFERROR(INDEX(GOOGLEFINANCE($C467, ""price"", WORKDAY(INT($B467), 1)), 2, 2), """")-$G467)/$G467, ($G467-IFE"&amp;"RROR(INDEX(GOOGLEFINANCE($C467, ""price"", WORKDAY(INT($B467), 1)), 2, 2), """"))/$G467)), """")"),"")</f>
        <v/>
      </c>
      <c r="O467" s="47" t="str">
        <f>IFERROR(__xludf.DUMMYFUNCTION("IFERROR(IF(OR(ISBLANK($G467), IFERROR(INDEX(GOOGLEFINANCE($C467, ""price"", WORKDAY(INT($B467), 5)), 2, 2), """")=""""), """", IF($D467=""LONG"", (IFERROR(INDEX(GOOGLEFINANCE($C467, ""price"", WORKDAY(INT($B467), 5)), 2, 2), """")-$G467)/$G467, ($G467-IFE"&amp;"RROR(INDEX(GOOGLEFINANCE($C467, ""price"", WORKDAY(INT($B467), 5)), 2, 2), """"))/$G467)), """")"),"")</f>
        <v/>
      </c>
      <c r="P467" s="47" t="str">
        <f>IFERROR(__xludf.DUMMYFUNCTION("IFERROR(IF(OR(ISBLANK($G467), IFERROR(INDEX(GOOGLEFINANCE($C467, ""price"", WORKDAY(INT($B467), 20)), 2, 2), """")=""""), """", IF($D467=""LONG"", (IFERROR(INDEX(GOOGLEFINANCE($C467, ""price"", WORKDAY(INT($B467), 20)), 2, 2), """")-$G467)/$G467, ($G467-I"&amp;"FERROR(INDEX(GOOGLEFINANCE($C467, ""price"", WORKDAY(INT($B467), 20)), 2, 2), """"))/$G467)), """")"),"")</f>
        <v/>
      </c>
      <c r="Q467" s="44"/>
      <c r="R467" s="44"/>
      <c r="S467" s="44"/>
      <c r="T467" s="44"/>
      <c r="U467" s="44"/>
      <c r="V467" s="44"/>
      <c r="W467" s="44"/>
      <c r="X467" s="44"/>
      <c r="Y467" s="44"/>
      <c r="Z467" s="44"/>
    </row>
    <row r="468">
      <c r="A468" s="44"/>
      <c r="B468" s="45"/>
      <c r="C468" s="44"/>
      <c r="D468" s="44"/>
      <c r="E468" s="44"/>
      <c r="F468" s="44"/>
      <c r="G468" s="46"/>
      <c r="H468" s="44"/>
      <c r="I468" s="44"/>
      <c r="J468" s="44"/>
      <c r="K468" s="44"/>
      <c r="L468" s="46" t="str">
        <f>IFERROR(__xludf.DUMMYFUNCTION("IFERROR(IF(ISBLANK($C468), """", GOOGLEFINANCE($C468, ""price"")), """")"),"")</f>
        <v/>
      </c>
      <c r="M468" s="47" t="str">
        <f t="shared" si="3"/>
        <v/>
      </c>
      <c r="N468" s="47" t="str">
        <f>IFERROR(__xludf.DUMMYFUNCTION("IFERROR(IF(OR(ISBLANK($G468), IFERROR(INDEX(GOOGLEFINANCE($C468, ""price"", WORKDAY(INT($B468), 1)), 2, 2), """")=""""), """", IF($D468=""LONG"", (IFERROR(INDEX(GOOGLEFINANCE($C468, ""price"", WORKDAY(INT($B468), 1)), 2, 2), """")-$G468)/$G468, ($G468-IFE"&amp;"RROR(INDEX(GOOGLEFINANCE($C468, ""price"", WORKDAY(INT($B468), 1)), 2, 2), """"))/$G468)), """")"),"")</f>
        <v/>
      </c>
      <c r="O468" s="47" t="str">
        <f>IFERROR(__xludf.DUMMYFUNCTION("IFERROR(IF(OR(ISBLANK($G468), IFERROR(INDEX(GOOGLEFINANCE($C468, ""price"", WORKDAY(INT($B468), 5)), 2, 2), """")=""""), """", IF($D468=""LONG"", (IFERROR(INDEX(GOOGLEFINANCE($C468, ""price"", WORKDAY(INT($B468), 5)), 2, 2), """")-$G468)/$G468, ($G468-IFE"&amp;"RROR(INDEX(GOOGLEFINANCE($C468, ""price"", WORKDAY(INT($B468), 5)), 2, 2), """"))/$G468)), """")"),"")</f>
        <v/>
      </c>
      <c r="P468" s="47" t="str">
        <f>IFERROR(__xludf.DUMMYFUNCTION("IFERROR(IF(OR(ISBLANK($G468), IFERROR(INDEX(GOOGLEFINANCE($C468, ""price"", WORKDAY(INT($B468), 20)), 2, 2), """")=""""), """", IF($D468=""LONG"", (IFERROR(INDEX(GOOGLEFINANCE($C468, ""price"", WORKDAY(INT($B468), 20)), 2, 2), """")-$G468)/$G468, ($G468-I"&amp;"FERROR(INDEX(GOOGLEFINANCE($C468, ""price"", WORKDAY(INT($B468), 20)), 2, 2), """"))/$G468)), """")"),"")</f>
        <v/>
      </c>
      <c r="Q468" s="44"/>
      <c r="R468" s="44"/>
      <c r="S468" s="44"/>
      <c r="T468" s="44"/>
      <c r="U468" s="44"/>
      <c r="V468" s="44"/>
      <c r="W468" s="44"/>
      <c r="X468" s="44"/>
      <c r="Y468" s="44"/>
      <c r="Z468" s="44"/>
    </row>
    <row r="469">
      <c r="A469" s="44"/>
      <c r="B469" s="45"/>
      <c r="C469" s="44"/>
      <c r="D469" s="44"/>
      <c r="E469" s="44"/>
      <c r="F469" s="44"/>
      <c r="G469" s="46"/>
      <c r="H469" s="44"/>
      <c r="I469" s="44"/>
      <c r="J469" s="44"/>
      <c r="K469" s="44"/>
      <c r="L469" s="46" t="str">
        <f>IFERROR(__xludf.DUMMYFUNCTION("IFERROR(IF(ISBLANK($C469), """", GOOGLEFINANCE($C469, ""price"")), """")"),"")</f>
        <v/>
      </c>
      <c r="M469" s="47" t="str">
        <f t="shared" si="3"/>
        <v/>
      </c>
      <c r="N469" s="47" t="str">
        <f>IFERROR(__xludf.DUMMYFUNCTION("IFERROR(IF(OR(ISBLANK($G469), IFERROR(INDEX(GOOGLEFINANCE($C469, ""price"", WORKDAY(INT($B469), 1)), 2, 2), """")=""""), """", IF($D469=""LONG"", (IFERROR(INDEX(GOOGLEFINANCE($C469, ""price"", WORKDAY(INT($B469), 1)), 2, 2), """")-$G469)/$G469, ($G469-IFE"&amp;"RROR(INDEX(GOOGLEFINANCE($C469, ""price"", WORKDAY(INT($B469), 1)), 2, 2), """"))/$G469)), """")"),"")</f>
        <v/>
      </c>
      <c r="O469" s="47" t="str">
        <f>IFERROR(__xludf.DUMMYFUNCTION("IFERROR(IF(OR(ISBLANK($G469), IFERROR(INDEX(GOOGLEFINANCE($C469, ""price"", WORKDAY(INT($B469), 5)), 2, 2), """")=""""), """", IF($D469=""LONG"", (IFERROR(INDEX(GOOGLEFINANCE($C469, ""price"", WORKDAY(INT($B469), 5)), 2, 2), """")-$G469)/$G469, ($G469-IFE"&amp;"RROR(INDEX(GOOGLEFINANCE($C469, ""price"", WORKDAY(INT($B469), 5)), 2, 2), """"))/$G469)), """")"),"")</f>
        <v/>
      </c>
      <c r="P469" s="47" t="str">
        <f>IFERROR(__xludf.DUMMYFUNCTION("IFERROR(IF(OR(ISBLANK($G469), IFERROR(INDEX(GOOGLEFINANCE($C469, ""price"", WORKDAY(INT($B469), 20)), 2, 2), """")=""""), """", IF($D469=""LONG"", (IFERROR(INDEX(GOOGLEFINANCE($C469, ""price"", WORKDAY(INT($B469), 20)), 2, 2), """")-$G469)/$G469, ($G469-I"&amp;"FERROR(INDEX(GOOGLEFINANCE($C469, ""price"", WORKDAY(INT($B469), 20)), 2, 2), """"))/$G469)), """")"),"")</f>
        <v/>
      </c>
      <c r="Q469" s="44"/>
      <c r="R469" s="44"/>
      <c r="S469" s="44"/>
      <c r="T469" s="44"/>
      <c r="U469" s="44"/>
      <c r="V469" s="44"/>
      <c r="W469" s="44"/>
      <c r="X469" s="44"/>
      <c r="Y469" s="44"/>
      <c r="Z469" s="44"/>
    </row>
    <row r="470">
      <c r="A470" s="44"/>
      <c r="B470" s="45"/>
      <c r="C470" s="44"/>
      <c r="D470" s="44"/>
      <c r="E470" s="44"/>
      <c r="F470" s="44"/>
      <c r="G470" s="46"/>
      <c r="H470" s="44"/>
      <c r="I470" s="44"/>
      <c r="J470" s="44"/>
      <c r="K470" s="44"/>
      <c r="L470" s="46" t="str">
        <f>IFERROR(__xludf.DUMMYFUNCTION("IFERROR(IF(ISBLANK($C470), """", GOOGLEFINANCE($C470, ""price"")), """")"),"")</f>
        <v/>
      </c>
      <c r="M470" s="47" t="str">
        <f t="shared" si="3"/>
        <v/>
      </c>
      <c r="N470" s="47" t="str">
        <f>IFERROR(__xludf.DUMMYFUNCTION("IFERROR(IF(OR(ISBLANK($G470), IFERROR(INDEX(GOOGLEFINANCE($C470, ""price"", WORKDAY(INT($B470), 1)), 2, 2), """")=""""), """", IF($D470=""LONG"", (IFERROR(INDEX(GOOGLEFINANCE($C470, ""price"", WORKDAY(INT($B470), 1)), 2, 2), """")-$G470)/$G470, ($G470-IFE"&amp;"RROR(INDEX(GOOGLEFINANCE($C470, ""price"", WORKDAY(INT($B470), 1)), 2, 2), """"))/$G470)), """")"),"")</f>
        <v/>
      </c>
      <c r="O470" s="47" t="str">
        <f>IFERROR(__xludf.DUMMYFUNCTION("IFERROR(IF(OR(ISBLANK($G470), IFERROR(INDEX(GOOGLEFINANCE($C470, ""price"", WORKDAY(INT($B470), 5)), 2, 2), """")=""""), """", IF($D470=""LONG"", (IFERROR(INDEX(GOOGLEFINANCE($C470, ""price"", WORKDAY(INT($B470), 5)), 2, 2), """")-$G470)/$G470, ($G470-IFE"&amp;"RROR(INDEX(GOOGLEFINANCE($C470, ""price"", WORKDAY(INT($B470), 5)), 2, 2), """"))/$G470)), """")"),"")</f>
        <v/>
      </c>
      <c r="P470" s="47" t="str">
        <f>IFERROR(__xludf.DUMMYFUNCTION("IFERROR(IF(OR(ISBLANK($G470), IFERROR(INDEX(GOOGLEFINANCE($C470, ""price"", WORKDAY(INT($B470), 20)), 2, 2), """")=""""), """", IF($D470=""LONG"", (IFERROR(INDEX(GOOGLEFINANCE($C470, ""price"", WORKDAY(INT($B470), 20)), 2, 2), """")-$G470)/$G470, ($G470-I"&amp;"FERROR(INDEX(GOOGLEFINANCE($C470, ""price"", WORKDAY(INT($B470), 20)), 2, 2), """"))/$G470)), """")"),"")</f>
        <v/>
      </c>
      <c r="Q470" s="44"/>
      <c r="R470" s="44"/>
      <c r="S470" s="44"/>
      <c r="T470" s="44"/>
      <c r="U470" s="44"/>
      <c r="V470" s="44"/>
      <c r="W470" s="44"/>
      <c r="X470" s="44"/>
      <c r="Y470" s="44"/>
      <c r="Z470" s="44"/>
    </row>
    <row r="471">
      <c r="A471" s="44"/>
      <c r="B471" s="45"/>
      <c r="C471" s="44"/>
      <c r="D471" s="44"/>
      <c r="E471" s="44"/>
      <c r="F471" s="44"/>
      <c r="G471" s="46"/>
      <c r="H471" s="44"/>
      <c r="I471" s="44"/>
      <c r="J471" s="44"/>
      <c r="K471" s="44"/>
      <c r="L471" s="46" t="str">
        <f>IFERROR(__xludf.DUMMYFUNCTION("IFERROR(IF(ISBLANK($C471), """", GOOGLEFINANCE($C471, ""price"")), """")"),"")</f>
        <v/>
      </c>
      <c r="M471" s="47" t="str">
        <f t="shared" si="3"/>
        <v/>
      </c>
      <c r="N471" s="47" t="str">
        <f>IFERROR(__xludf.DUMMYFUNCTION("IFERROR(IF(OR(ISBLANK($G471), IFERROR(INDEX(GOOGLEFINANCE($C471, ""price"", WORKDAY(INT($B471), 1)), 2, 2), """")=""""), """", IF($D471=""LONG"", (IFERROR(INDEX(GOOGLEFINANCE($C471, ""price"", WORKDAY(INT($B471), 1)), 2, 2), """")-$G471)/$G471, ($G471-IFE"&amp;"RROR(INDEX(GOOGLEFINANCE($C471, ""price"", WORKDAY(INT($B471), 1)), 2, 2), """"))/$G471)), """")"),"")</f>
        <v/>
      </c>
      <c r="O471" s="47" t="str">
        <f>IFERROR(__xludf.DUMMYFUNCTION("IFERROR(IF(OR(ISBLANK($G471), IFERROR(INDEX(GOOGLEFINANCE($C471, ""price"", WORKDAY(INT($B471), 5)), 2, 2), """")=""""), """", IF($D471=""LONG"", (IFERROR(INDEX(GOOGLEFINANCE($C471, ""price"", WORKDAY(INT($B471), 5)), 2, 2), """")-$G471)/$G471, ($G471-IFE"&amp;"RROR(INDEX(GOOGLEFINANCE($C471, ""price"", WORKDAY(INT($B471), 5)), 2, 2), """"))/$G471)), """")"),"")</f>
        <v/>
      </c>
      <c r="P471" s="47" t="str">
        <f>IFERROR(__xludf.DUMMYFUNCTION("IFERROR(IF(OR(ISBLANK($G471), IFERROR(INDEX(GOOGLEFINANCE($C471, ""price"", WORKDAY(INT($B471), 20)), 2, 2), """")=""""), """", IF($D471=""LONG"", (IFERROR(INDEX(GOOGLEFINANCE($C471, ""price"", WORKDAY(INT($B471), 20)), 2, 2), """")-$G471)/$G471, ($G471-I"&amp;"FERROR(INDEX(GOOGLEFINANCE($C471, ""price"", WORKDAY(INT($B471), 20)), 2, 2), """"))/$G471)), """")"),"")</f>
        <v/>
      </c>
      <c r="Q471" s="44"/>
      <c r="R471" s="44"/>
      <c r="S471" s="44"/>
      <c r="T471" s="44"/>
      <c r="U471" s="44"/>
      <c r="V471" s="44"/>
      <c r="W471" s="44"/>
      <c r="X471" s="44"/>
      <c r="Y471" s="44"/>
      <c r="Z471" s="44"/>
    </row>
    <row r="472">
      <c r="A472" s="44"/>
      <c r="B472" s="45"/>
      <c r="C472" s="44"/>
      <c r="D472" s="44"/>
      <c r="E472" s="44"/>
      <c r="F472" s="44"/>
      <c r="G472" s="46"/>
      <c r="H472" s="44"/>
      <c r="I472" s="44"/>
      <c r="J472" s="44"/>
      <c r="K472" s="44"/>
      <c r="L472" s="46" t="str">
        <f>IFERROR(__xludf.DUMMYFUNCTION("IFERROR(IF(ISBLANK($C472), """", GOOGLEFINANCE($C472, ""price"")), """")"),"")</f>
        <v/>
      </c>
      <c r="M472" s="47" t="str">
        <f t="shared" si="3"/>
        <v/>
      </c>
      <c r="N472" s="47" t="str">
        <f>IFERROR(__xludf.DUMMYFUNCTION("IFERROR(IF(OR(ISBLANK($G472), IFERROR(INDEX(GOOGLEFINANCE($C472, ""price"", WORKDAY(INT($B472), 1)), 2, 2), """")=""""), """", IF($D472=""LONG"", (IFERROR(INDEX(GOOGLEFINANCE($C472, ""price"", WORKDAY(INT($B472), 1)), 2, 2), """")-$G472)/$G472, ($G472-IFE"&amp;"RROR(INDEX(GOOGLEFINANCE($C472, ""price"", WORKDAY(INT($B472), 1)), 2, 2), """"))/$G472)), """")"),"")</f>
        <v/>
      </c>
      <c r="O472" s="47" t="str">
        <f>IFERROR(__xludf.DUMMYFUNCTION("IFERROR(IF(OR(ISBLANK($G472), IFERROR(INDEX(GOOGLEFINANCE($C472, ""price"", WORKDAY(INT($B472), 5)), 2, 2), """")=""""), """", IF($D472=""LONG"", (IFERROR(INDEX(GOOGLEFINANCE($C472, ""price"", WORKDAY(INT($B472), 5)), 2, 2), """")-$G472)/$G472, ($G472-IFE"&amp;"RROR(INDEX(GOOGLEFINANCE($C472, ""price"", WORKDAY(INT($B472), 5)), 2, 2), """"))/$G472)), """")"),"")</f>
        <v/>
      </c>
      <c r="P472" s="47" t="str">
        <f>IFERROR(__xludf.DUMMYFUNCTION("IFERROR(IF(OR(ISBLANK($G472), IFERROR(INDEX(GOOGLEFINANCE($C472, ""price"", WORKDAY(INT($B472), 20)), 2, 2), """")=""""), """", IF($D472=""LONG"", (IFERROR(INDEX(GOOGLEFINANCE($C472, ""price"", WORKDAY(INT($B472), 20)), 2, 2), """")-$G472)/$G472, ($G472-I"&amp;"FERROR(INDEX(GOOGLEFINANCE($C472, ""price"", WORKDAY(INT($B472), 20)), 2, 2), """"))/$G472)), """")"),"")</f>
        <v/>
      </c>
      <c r="Q472" s="44"/>
      <c r="R472" s="44"/>
      <c r="S472" s="44"/>
      <c r="T472" s="44"/>
      <c r="U472" s="44"/>
      <c r="V472" s="44"/>
      <c r="W472" s="44"/>
      <c r="X472" s="44"/>
      <c r="Y472" s="44"/>
      <c r="Z472" s="44"/>
    </row>
    <row r="473">
      <c r="A473" s="44"/>
      <c r="B473" s="45"/>
      <c r="C473" s="44"/>
      <c r="D473" s="44"/>
      <c r="E473" s="44"/>
      <c r="F473" s="44"/>
      <c r="G473" s="46"/>
      <c r="H473" s="44"/>
      <c r="I473" s="44"/>
      <c r="J473" s="44"/>
      <c r="K473" s="44"/>
      <c r="L473" s="46" t="str">
        <f>IFERROR(__xludf.DUMMYFUNCTION("IFERROR(IF(ISBLANK($C473), """", GOOGLEFINANCE($C473, ""price"")), """")"),"")</f>
        <v/>
      </c>
      <c r="M473" s="47" t="str">
        <f t="shared" si="3"/>
        <v/>
      </c>
      <c r="N473" s="47" t="str">
        <f>IFERROR(__xludf.DUMMYFUNCTION("IFERROR(IF(OR(ISBLANK($G473), IFERROR(INDEX(GOOGLEFINANCE($C473, ""price"", WORKDAY(INT($B473), 1)), 2, 2), """")=""""), """", IF($D473=""LONG"", (IFERROR(INDEX(GOOGLEFINANCE($C473, ""price"", WORKDAY(INT($B473), 1)), 2, 2), """")-$G473)/$G473, ($G473-IFE"&amp;"RROR(INDEX(GOOGLEFINANCE($C473, ""price"", WORKDAY(INT($B473), 1)), 2, 2), """"))/$G473)), """")"),"")</f>
        <v/>
      </c>
      <c r="O473" s="47" t="str">
        <f>IFERROR(__xludf.DUMMYFUNCTION("IFERROR(IF(OR(ISBLANK($G473), IFERROR(INDEX(GOOGLEFINANCE($C473, ""price"", WORKDAY(INT($B473), 5)), 2, 2), """")=""""), """", IF($D473=""LONG"", (IFERROR(INDEX(GOOGLEFINANCE($C473, ""price"", WORKDAY(INT($B473), 5)), 2, 2), """")-$G473)/$G473, ($G473-IFE"&amp;"RROR(INDEX(GOOGLEFINANCE($C473, ""price"", WORKDAY(INT($B473), 5)), 2, 2), """"))/$G473)), """")"),"")</f>
        <v/>
      </c>
      <c r="P473" s="47" t="str">
        <f>IFERROR(__xludf.DUMMYFUNCTION("IFERROR(IF(OR(ISBLANK($G473), IFERROR(INDEX(GOOGLEFINANCE($C473, ""price"", WORKDAY(INT($B473), 20)), 2, 2), """")=""""), """", IF($D473=""LONG"", (IFERROR(INDEX(GOOGLEFINANCE($C473, ""price"", WORKDAY(INT($B473), 20)), 2, 2), """")-$G473)/$G473, ($G473-I"&amp;"FERROR(INDEX(GOOGLEFINANCE($C473, ""price"", WORKDAY(INT($B473), 20)), 2, 2), """"))/$G473)), """")"),"")</f>
        <v/>
      </c>
      <c r="Q473" s="44"/>
      <c r="R473" s="44"/>
      <c r="S473" s="44"/>
      <c r="T473" s="44"/>
      <c r="U473" s="44"/>
      <c r="V473" s="44"/>
      <c r="W473" s="44"/>
      <c r="X473" s="44"/>
      <c r="Y473" s="44"/>
      <c r="Z473" s="44"/>
    </row>
    <row r="474">
      <c r="A474" s="44"/>
      <c r="B474" s="45"/>
      <c r="C474" s="44"/>
      <c r="D474" s="44"/>
      <c r="E474" s="44"/>
      <c r="F474" s="44"/>
      <c r="G474" s="46"/>
      <c r="H474" s="44"/>
      <c r="I474" s="44"/>
      <c r="J474" s="44"/>
      <c r="K474" s="44"/>
      <c r="L474" s="46" t="str">
        <f>IFERROR(__xludf.DUMMYFUNCTION("IFERROR(IF(ISBLANK($C474), """", GOOGLEFINANCE($C474, ""price"")), """")"),"")</f>
        <v/>
      </c>
      <c r="M474" s="47" t="str">
        <f t="shared" si="3"/>
        <v/>
      </c>
      <c r="N474" s="47" t="str">
        <f>IFERROR(__xludf.DUMMYFUNCTION("IFERROR(IF(OR(ISBLANK($G474), IFERROR(INDEX(GOOGLEFINANCE($C474, ""price"", WORKDAY(INT($B474), 1)), 2, 2), """")=""""), """", IF($D474=""LONG"", (IFERROR(INDEX(GOOGLEFINANCE($C474, ""price"", WORKDAY(INT($B474), 1)), 2, 2), """")-$G474)/$G474, ($G474-IFE"&amp;"RROR(INDEX(GOOGLEFINANCE($C474, ""price"", WORKDAY(INT($B474), 1)), 2, 2), """"))/$G474)), """")"),"")</f>
        <v/>
      </c>
      <c r="O474" s="47" t="str">
        <f>IFERROR(__xludf.DUMMYFUNCTION("IFERROR(IF(OR(ISBLANK($G474), IFERROR(INDEX(GOOGLEFINANCE($C474, ""price"", WORKDAY(INT($B474), 5)), 2, 2), """")=""""), """", IF($D474=""LONG"", (IFERROR(INDEX(GOOGLEFINANCE($C474, ""price"", WORKDAY(INT($B474), 5)), 2, 2), """")-$G474)/$G474, ($G474-IFE"&amp;"RROR(INDEX(GOOGLEFINANCE($C474, ""price"", WORKDAY(INT($B474), 5)), 2, 2), """"))/$G474)), """")"),"")</f>
        <v/>
      </c>
      <c r="P474" s="47" t="str">
        <f>IFERROR(__xludf.DUMMYFUNCTION("IFERROR(IF(OR(ISBLANK($G474), IFERROR(INDEX(GOOGLEFINANCE($C474, ""price"", WORKDAY(INT($B474), 20)), 2, 2), """")=""""), """", IF($D474=""LONG"", (IFERROR(INDEX(GOOGLEFINANCE($C474, ""price"", WORKDAY(INT($B474), 20)), 2, 2), """")-$G474)/$G474, ($G474-I"&amp;"FERROR(INDEX(GOOGLEFINANCE($C474, ""price"", WORKDAY(INT($B474), 20)), 2, 2), """"))/$G474)), """")"),"")</f>
        <v/>
      </c>
      <c r="Q474" s="44"/>
      <c r="R474" s="44"/>
      <c r="S474" s="44"/>
      <c r="T474" s="44"/>
      <c r="U474" s="44"/>
      <c r="V474" s="44"/>
      <c r="W474" s="44"/>
      <c r="X474" s="44"/>
      <c r="Y474" s="44"/>
      <c r="Z474" s="44"/>
    </row>
    <row r="475">
      <c r="A475" s="44"/>
      <c r="B475" s="45"/>
      <c r="C475" s="44"/>
      <c r="D475" s="44"/>
      <c r="E475" s="44"/>
      <c r="F475" s="44"/>
      <c r="G475" s="46"/>
      <c r="H475" s="44"/>
      <c r="I475" s="44"/>
      <c r="J475" s="44"/>
      <c r="K475" s="44"/>
      <c r="L475" s="46" t="str">
        <f>IFERROR(__xludf.DUMMYFUNCTION("IFERROR(IF(ISBLANK($C475), """", GOOGLEFINANCE($C475, ""price"")), """")"),"")</f>
        <v/>
      </c>
      <c r="M475" s="47" t="str">
        <f t="shared" si="3"/>
        <v/>
      </c>
      <c r="N475" s="47" t="str">
        <f>IFERROR(__xludf.DUMMYFUNCTION("IFERROR(IF(OR(ISBLANK($G475), IFERROR(INDEX(GOOGLEFINANCE($C475, ""price"", WORKDAY(INT($B475), 1)), 2, 2), """")=""""), """", IF($D475=""LONG"", (IFERROR(INDEX(GOOGLEFINANCE($C475, ""price"", WORKDAY(INT($B475), 1)), 2, 2), """")-$G475)/$G475, ($G475-IFE"&amp;"RROR(INDEX(GOOGLEFINANCE($C475, ""price"", WORKDAY(INT($B475), 1)), 2, 2), """"))/$G475)), """")"),"")</f>
        <v/>
      </c>
      <c r="O475" s="47" t="str">
        <f>IFERROR(__xludf.DUMMYFUNCTION("IFERROR(IF(OR(ISBLANK($G475), IFERROR(INDEX(GOOGLEFINANCE($C475, ""price"", WORKDAY(INT($B475), 5)), 2, 2), """")=""""), """", IF($D475=""LONG"", (IFERROR(INDEX(GOOGLEFINANCE($C475, ""price"", WORKDAY(INT($B475), 5)), 2, 2), """")-$G475)/$G475, ($G475-IFE"&amp;"RROR(INDEX(GOOGLEFINANCE($C475, ""price"", WORKDAY(INT($B475), 5)), 2, 2), """"))/$G475)), """")"),"")</f>
        <v/>
      </c>
      <c r="P475" s="47" t="str">
        <f>IFERROR(__xludf.DUMMYFUNCTION("IFERROR(IF(OR(ISBLANK($G475), IFERROR(INDEX(GOOGLEFINANCE($C475, ""price"", WORKDAY(INT($B475), 20)), 2, 2), """")=""""), """", IF($D475=""LONG"", (IFERROR(INDEX(GOOGLEFINANCE($C475, ""price"", WORKDAY(INT($B475), 20)), 2, 2), """")-$G475)/$G475, ($G475-I"&amp;"FERROR(INDEX(GOOGLEFINANCE($C475, ""price"", WORKDAY(INT($B475), 20)), 2, 2), """"))/$G475)), """")"),"")</f>
        <v/>
      </c>
      <c r="Q475" s="44"/>
      <c r="R475" s="44"/>
      <c r="S475" s="44"/>
      <c r="T475" s="44"/>
      <c r="U475" s="44"/>
      <c r="V475" s="44"/>
      <c r="W475" s="44"/>
      <c r="X475" s="44"/>
      <c r="Y475" s="44"/>
      <c r="Z475" s="44"/>
    </row>
    <row r="476">
      <c r="A476" s="44"/>
      <c r="B476" s="45"/>
      <c r="C476" s="44"/>
      <c r="D476" s="44"/>
      <c r="E476" s="44"/>
      <c r="F476" s="44"/>
      <c r="G476" s="46"/>
      <c r="H476" s="44"/>
      <c r="I476" s="44"/>
      <c r="J476" s="44"/>
      <c r="K476" s="44"/>
      <c r="L476" s="46" t="str">
        <f>IFERROR(__xludf.DUMMYFUNCTION("IFERROR(IF(ISBLANK($C476), """", GOOGLEFINANCE($C476, ""price"")), """")"),"")</f>
        <v/>
      </c>
      <c r="M476" s="47" t="str">
        <f t="shared" si="3"/>
        <v/>
      </c>
      <c r="N476" s="47" t="str">
        <f>IFERROR(__xludf.DUMMYFUNCTION("IFERROR(IF(OR(ISBLANK($G476), IFERROR(INDEX(GOOGLEFINANCE($C476, ""price"", WORKDAY(INT($B476), 1)), 2, 2), """")=""""), """", IF($D476=""LONG"", (IFERROR(INDEX(GOOGLEFINANCE($C476, ""price"", WORKDAY(INT($B476), 1)), 2, 2), """")-$G476)/$G476, ($G476-IFE"&amp;"RROR(INDEX(GOOGLEFINANCE($C476, ""price"", WORKDAY(INT($B476), 1)), 2, 2), """"))/$G476)), """")"),"")</f>
        <v/>
      </c>
      <c r="O476" s="47" t="str">
        <f>IFERROR(__xludf.DUMMYFUNCTION("IFERROR(IF(OR(ISBLANK($G476), IFERROR(INDEX(GOOGLEFINANCE($C476, ""price"", WORKDAY(INT($B476), 5)), 2, 2), """")=""""), """", IF($D476=""LONG"", (IFERROR(INDEX(GOOGLEFINANCE($C476, ""price"", WORKDAY(INT($B476), 5)), 2, 2), """")-$G476)/$G476, ($G476-IFE"&amp;"RROR(INDEX(GOOGLEFINANCE($C476, ""price"", WORKDAY(INT($B476), 5)), 2, 2), """"))/$G476)), """")"),"")</f>
        <v/>
      </c>
      <c r="P476" s="47" t="str">
        <f>IFERROR(__xludf.DUMMYFUNCTION("IFERROR(IF(OR(ISBLANK($G476), IFERROR(INDEX(GOOGLEFINANCE($C476, ""price"", WORKDAY(INT($B476), 20)), 2, 2), """")=""""), """", IF($D476=""LONG"", (IFERROR(INDEX(GOOGLEFINANCE($C476, ""price"", WORKDAY(INT($B476), 20)), 2, 2), """")-$G476)/$G476, ($G476-I"&amp;"FERROR(INDEX(GOOGLEFINANCE($C476, ""price"", WORKDAY(INT($B476), 20)), 2, 2), """"))/$G476)), """")"),"")</f>
        <v/>
      </c>
      <c r="Q476" s="44"/>
      <c r="R476" s="44"/>
      <c r="S476" s="44"/>
      <c r="T476" s="44"/>
      <c r="U476" s="44"/>
      <c r="V476" s="44"/>
      <c r="W476" s="44"/>
      <c r="X476" s="44"/>
      <c r="Y476" s="44"/>
      <c r="Z476" s="44"/>
    </row>
    <row r="477">
      <c r="A477" s="44"/>
      <c r="B477" s="45"/>
      <c r="C477" s="44"/>
      <c r="D477" s="44"/>
      <c r="E477" s="44"/>
      <c r="F477" s="44"/>
      <c r="G477" s="46"/>
      <c r="H477" s="44"/>
      <c r="I477" s="44"/>
      <c r="J477" s="44"/>
      <c r="K477" s="44"/>
      <c r="L477" s="46" t="str">
        <f>IFERROR(__xludf.DUMMYFUNCTION("IFERROR(IF(ISBLANK($C477), """", GOOGLEFINANCE($C477, ""price"")), """")"),"")</f>
        <v/>
      </c>
      <c r="M477" s="47" t="str">
        <f t="shared" si="3"/>
        <v/>
      </c>
      <c r="N477" s="47" t="str">
        <f>IFERROR(__xludf.DUMMYFUNCTION("IFERROR(IF(OR(ISBLANK($G477), IFERROR(INDEX(GOOGLEFINANCE($C477, ""price"", WORKDAY(INT($B477), 1)), 2, 2), """")=""""), """", IF($D477=""LONG"", (IFERROR(INDEX(GOOGLEFINANCE($C477, ""price"", WORKDAY(INT($B477), 1)), 2, 2), """")-$G477)/$G477, ($G477-IFE"&amp;"RROR(INDEX(GOOGLEFINANCE($C477, ""price"", WORKDAY(INT($B477), 1)), 2, 2), """"))/$G477)), """")"),"")</f>
        <v/>
      </c>
      <c r="O477" s="47" t="str">
        <f>IFERROR(__xludf.DUMMYFUNCTION("IFERROR(IF(OR(ISBLANK($G477), IFERROR(INDEX(GOOGLEFINANCE($C477, ""price"", WORKDAY(INT($B477), 5)), 2, 2), """")=""""), """", IF($D477=""LONG"", (IFERROR(INDEX(GOOGLEFINANCE($C477, ""price"", WORKDAY(INT($B477), 5)), 2, 2), """")-$G477)/$G477, ($G477-IFE"&amp;"RROR(INDEX(GOOGLEFINANCE($C477, ""price"", WORKDAY(INT($B477), 5)), 2, 2), """"))/$G477)), """")"),"")</f>
        <v/>
      </c>
      <c r="P477" s="47" t="str">
        <f>IFERROR(__xludf.DUMMYFUNCTION("IFERROR(IF(OR(ISBLANK($G477), IFERROR(INDEX(GOOGLEFINANCE($C477, ""price"", WORKDAY(INT($B477), 20)), 2, 2), """")=""""), """", IF($D477=""LONG"", (IFERROR(INDEX(GOOGLEFINANCE($C477, ""price"", WORKDAY(INT($B477), 20)), 2, 2), """")-$G477)/$G477, ($G477-I"&amp;"FERROR(INDEX(GOOGLEFINANCE($C477, ""price"", WORKDAY(INT($B477), 20)), 2, 2), """"))/$G477)), """")"),"")</f>
        <v/>
      </c>
      <c r="Q477" s="44"/>
      <c r="R477" s="44"/>
      <c r="S477" s="44"/>
      <c r="T477" s="44"/>
      <c r="U477" s="44"/>
      <c r="V477" s="44"/>
      <c r="W477" s="44"/>
      <c r="X477" s="44"/>
      <c r="Y477" s="44"/>
      <c r="Z477" s="44"/>
    </row>
    <row r="478">
      <c r="A478" s="44"/>
      <c r="B478" s="45"/>
      <c r="C478" s="44"/>
      <c r="D478" s="44"/>
      <c r="E478" s="44"/>
      <c r="F478" s="44"/>
      <c r="G478" s="46"/>
      <c r="H478" s="44"/>
      <c r="I478" s="44"/>
      <c r="J478" s="44"/>
      <c r="K478" s="44"/>
      <c r="L478" s="46" t="str">
        <f>IFERROR(__xludf.DUMMYFUNCTION("IFERROR(IF(ISBLANK($C478), """", GOOGLEFINANCE($C478, ""price"")), """")"),"")</f>
        <v/>
      </c>
      <c r="M478" s="47" t="str">
        <f t="shared" si="3"/>
        <v/>
      </c>
      <c r="N478" s="47" t="str">
        <f>IFERROR(__xludf.DUMMYFUNCTION("IFERROR(IF(OR(ISBLANK($G478), IFERROR(INDEX(GOOGLEFINANCE($C478, ""price"", WORKDAY(INT($B478), 1)), 2, 2), """")=""""), """", IF($D478=""LONG"", (IFERROR(INDEX(GOOGLEFINANCE($C478, ""price"", WORKDAY(INT($B478), 1)), 2, 2), """")-$G478)/$G478, ($G478-IFE"&amp;"RROR(INDEX(GOOGLEFINANCE($C478, ""price"", WORKDAY(INT($B478), 1)), 2, 2), """"))/$G478)), """")"),"")</f>
        <v/>
      </c>
      <c r="O478" s="47" t="str">
        <f>IFERROR(__xludf.DUMMYFUNCTION("IFERROR(IF(OR(ISBLANK($G478), IFERROR(INDEX(GOOGLEFINANCE($C478, ""price"", WORKDAY(INT($B478), 5)), 2, 2), """")=""""), """", IF($D478=""LONG"", (IFERROR(INDEX(GOOGLEFINANCE($C478, ""price"", WORKDAY(INT($B478), 5)), 2, 2), """")-$G478)/$G478, ($G478-IFE"&amp;"RROR(INDEX(GOOGLEFINANCE($C478, ""price"", WORKDAY(INT($B478), 5)), 2, 2), """"))/$G478)), """")"),"")</f>
        <v/>
      </c>
      <c r="P478" s="47" t="str">
        <f>IFERROR(__xludf.DUMMYFUNCTION("IFERROR(IF(OR(ISBLANK($G478), IFERROR(INDEX(GOOGLEFINANCE($C478, ""price"", WORKDAY(INT($B478), 20)), 2, 2), """")=""""), """", IF($D478=""LONG"", (IFERROR(INDEX(GOOGLEFINANCE($C478, ""price"", WORKDAY(INT($B478), 20)), 2, 2), """")-$G478)/$G478, ($G478-I"&amp;"FERROR(INDEX(GOOGLEFINANCE($C478, ""price"", WORKDAY(INT($B478), 20)), 2, 2), """"))/$G478)), """")"),"")</f>
        <v/>
      </c>
      <c r="Q478" s="44"/>
      <c r="R478" s="44"/>
      <c r="S478" s="44"/>
      <c r="T478" s="44"/>
      <c r="U478" s="44"/>
      <c r="V478" s="44"/>
      <c r="W478" s="44"/>
      <c r="X478" s="44"/>
      <c r="Y478" s="44"/>
      <c r="Z478" s="44"/>
    </row>
    <row r="479">
      <c r="A479" s="44"/>
      <c r="B479" s="45"/>
      <c r="C479" s="44"/>
      <c r="D479" s="44"/>
      <c r="E479" s="44"/>
      <c r="F479" s="44"/>
      <c r="G479" s="46"/>
      <c r="H479" s="44"/>
      <c r="I479" s="44"/>
      <c r="J479" s="44"/>
      <c r="K479" s="44"/>
      <c r="L479" s="46" t="str">
        <f>IFERROR(__xludf.DUMMYFUNCTION("IFERROR(IF(ISBLANK($C479), """", GOOGLEFINANCE($C479, ""price"")), """")"),"")</f>
        <v/>
      </c>
      <c r="M479" s="47" t="str">
        <f t="shared" si="3"/>
        <v/>
      </c>
      <c r="N479" s="47" t="str">
        <f>IFERROR(__xludf.DUMMYFUNCTION("IFERROR(IF(OR(ISBLANK($G479), IFERROR(INDEX(GOOGLEFINANCE($C479, ""price"", WORKDAY(INT($B479), 1)), 2, 2), """")=""""), """", IF($D479=""LONG"", (IFERROR(INDEX(GOOGLEFINANCE($C479, ""price"", WORKDAY(INT($B479), 1)), 2, 2), """")-$G479)/$G479, ($G479-IFE"&amp;"RROR(INDEX(GOOGLEFINANCE($C479, ""price"", WORKDAY(INT($B479), 1)), 2, 2), """"))/$G479)), """")"),"")</f>
        <v/>
      </c>
      <c r="O479" s="47" t="str">
        <f>IFERROR(__xludf.DUMMYFUNCTION("IFERROR(IF(OR(ISBLANK($G479), IFERROR(INDEX(GOOGLEFINANCE($C479, ""price"", WORKDAY(INT($B479), 5)), 2, 2), """")=""""), """", IF($D479=""LONG"", (IFERROR(INDEX(GOOGLEFINANCE($C479, ""price"", WORKDAY(INT($B479), 5)), 2, 2), """")-$G479)/$G479, ($G479-IFE"&amp;"RROR(INDEX(GOOGLEFINANCE($C479, ""price"", WORKDAY(INT($B479), 5)), 2, 2), """"))/$G479)), """")"),"")</f>
        <v/>
      </c>
      <c r="P479" s="47" t="str">
        <f>IFERROR(__xludf.DUMMYFUNCTION("IFERROR(IF(OR(ISBLANK($G479), IFERROR(INDEX(GOOGLEFINANCE($C479, ""price"", WORKDAY(INT($B479), 20)), 2, 2), """")=""""), """", IF($D479=""LONG"", (IFERROR(INDEX(GOOGLEFINANCE($C479, ""price"", WORKDAY(INT($B479), 20)), 2, 2), """")-$G479)/$G479, ($G479-I"&amp;"FERROR(INDEX(GOOGLEFINANCE($C479, ""price"", WORKDAY(INT($B479), 20)), 2, 2), """"))/$G479)), """")"),"")</f>
        <v/>
      </c>
      <c r="Q479" s="44"/>
      <c r="R479" s="44"/>
      <c r="S479" s="44"/>
      <c r="T479" s="44"/>
      <c r="U479" s="44"/>
      <c r="V479" s="44"/>
      <c r="W479" s="44"/>
      <c r="X479" s="44"/>
      <c r="Y479" s="44"/>
      <c r="Z479" s="44"/>
    </row>
    <row r="480">
      <c r="A480" s="44"/>
      <c r="B480" s="45"/>
      <c r="C480" s="44"/>
      <c r="D480" s="44"/>
      <c r="E480" s="44"/>
      <c r="F480" s="44"/>
      <c r="G480" s="46"/>
      <c r="H480" s="44"/>
      <c r="I480" s="44"/>
      <c r="J480" s="44"/>
      <c r="K480" s="44"/>
      <c r="L480" s="46" t="str">
        <f>IFERROR(__xludf.DUMMYFUNCTION("IFERROR(IF(ISBLANK($C480), """", GOOGLEFINANCE($C480, ""price"")), """")"),"")</f>
        <v/>
      </c>
      <c r="M480" s="47" t="str">
        <f t="shared" si="3"/>
        <v/>
      </c>
      <c r="N480" s="47" t="str">
        <f>IFERROR(__xludf.DUMMYFUNCTION("IFERROR(IF(OR(ISBLANK($G480), IFERROR(INDEX(GOOGLEFINANCE($C480, ""price"", WORKDAY(INT($B480), 1)), 2, 2), """")=""""), """", IF($D480=""LONG"", (IFERROR(INDEX(GOOGLEFINANCE($C480, ""price"", WORKDAY(INT($B480), 1)), 2, 2), """")-$G480)/$G480, ($G480-IFE"&amp;"RROR(INDEX(GOOGLEFINANCE($C480, ""price"", WORKDAY(INT($B480), 1)), 2, 2), """"))/$G480)), """")"),"")</f>
        <v/>
      </c>
      <c r="O480" s="47" t="str">
        <f>IFERROR(__xludf.DUMMYFUNCTION("IFERROR(IF(OR(ISBLANK($G480), IFERROR(INDEX(GOOGLEFINANCE($C480, ""price"", WORKDAY(INT($B480), 5)), 2, 2), """")=""""), """", IF($D480=""LONG"", (IFERROR(INDEX(GOOGLEFINANCE($C480, ""price"", WORKDAY(INT($B480), 5)), 2, 2), """")-$G480)/$G480, ($G480-IFE"&amp;"RROR(INDEX(GOOGLEFINANCE($C480, ""price"", WORKDAY(INT($B480), 5)), 2, 2), """"))/$G480)), """")"),"")</f>
        <v/>
      </c>
      <c r="P480" s="47" t="str">
        <f>IFERROR(__xludf.DUMMYFUNCTION("IFERROR(IF(OR(ISBLANK($G480), IFERROR(INDEX(GOOGLEFINANCE($C480, ""price"", WORKDAY(INT($B480), 20)), 2, 2), """")=""""), """", IF($D480=""LONG"", (IFERROR(INDEX(GOOGLEFINANCE($C480, ""price"", WORKDAY(INT($B480), 20)), 2, 2), """")-$G480)/$G480, ($G480-I"&amp;"FERROR(INDEX(GOOGLEFINANCE($C480, ""price"", WORKDAY(INT($B480), 20)), 2, 2), """"))/$G480)), """")"),"")</f>
        <v/>
      </c>
      <c r="Q480" s="44"/>
      <c r="R480" s="44"/>
      <c r="S480" s="44"/>
      <c r="T480" s="44"/>
      <c r="U480" s="44"/>
      <c r="V480" s="44"/>
      <c r="W480" s="44"/>
      <c r="X480" s="44"/>
      <c r="Y480" s="44"/>
      <c r="Z480" s="44"/>
    </row>
    <row r="481">
      <c r="A481" s="44"/>
      <c r="B481" s="45"/>
      <c r="C481" s="44"/>
      <c r="D481" s="44"/>
      <c r="E481" s="44"/>
      <c r="F481" s="44"/>
      <c r="G481" s="46"/>
      <c r="H481" s="44"/>
      <c r="I481" s="44"/>
      <c r="J481" s="44"/>
      <c r="K481" s="44"/>
      <c r="L481" s="46" t="str">
        <f>IFERROR(__xludf.DUMMYFUNCTION("IFERROR(IF(ISBLANK($C481), """", GOOGLEFINANCE($C481, ""price"")), """")"),"")</f>
        <v/>
      </c>
      <c r="M481" s="47" t="str">
        <f t="shared" si="3"/>
        <v/>
      </c>
      <c r="N481" s="47" t="str">
        <f>IFERROR(__xludf.DUMMYFUNCTION("IFERROR(IF(OR(ISBLANK($G481), IFERROR(INDEX(GOOGLEFINANCE($C481, ""price"", WORKDAY(INT($B481), 1)), 2, 2), """")=""""), """", IF($D481=""LONG"", (IFERROR(INDEX(GOOGLEFINANCE($C481, ""price"", WORKDAY(INT($B481), 1)), 2, 2), """")-$G481)/$G481, ($G481-IFE"&amp;"RROR(INDEX(GOOGLEFINANCE($C481, ""price"", WORKDAY(INT($B481), 1)), 2, 2), """"))/$G481)), """")"),"")</f>
        <v/>
      </c>
      <c r="O481" s="47" t="str">
        <f>IFERROR(__xludf.DUMMYFUNCTION("IFERROR(IF(OR(ISBLANK($G481), IFERROR(INDEX(GOOGLEFINANCE($C481, ""price"", WORKDAY(INT($B481), 5)), 2, 2), """")=""""), """", IF($D481=""LONG"", (IFERROR(INDEX(GOOGLEFINANCE($C481, ""price"", WORKDAY(INT($B481), 5)), 2, 2), """")-$G481)/$G481, ($G481-IFE"&amp;"RROR(INDEX(GOOGLEFINANCE($C481, ""price"", WORKDAY(INT($B481), 5)), 2, 2), """"))/$G481)), """")"),"")</f>
        <v/>
      </c>
      <c r="P481" s="47" t="str">
        <f>IFERROR(__xludf.DUMMYFUNCTION("IFERROR(IF(OR(ISBLANK($G481), IFERROR(INDEX(GOOGLEFINANCE($C481, ""price"", WORKDAY(INT($B481), 20)), 2, 2), """")=""""), """", IF($D481=""LONG"", (IFERROR(INDEX(GOOGLEFINANCE($C481, ""price"", WORKDAY(INT($B481), 20)), 2, 2), """")-$G481)/$G481, ($G481-I"&amp;"FERROR(INDEX(GOOGLEFINANCE($C481, ""price"", WORKDAY(INT($B481), 20)), 2, 2), """"))/$G481)), """")"),"")</f>
        <v/>
      </c>
      <c r="Q481" s="44"/>
      <c r="R481" s="44"/>
      <c r="S481" s="44"/>
      <c r="T481" s="44"/>
      <c r="U481" s="44"/>
      <c r="V481" s="44"/>
      <c r="W481" s="44"/>
      <c r="X481" s="44"/>
      <c r="Y481" s="44"/>
      <c r="Z481" s="44"/>
    </row>
    <row r="482">
      <c r="A482" s="44"/>
      <c r="B482" s="45"/>
      <c r="C482" s="44"/>
      <c r="D482" s="44"/>
      <c r="E482" s="44"/>
      <c r="F482" s="44"/>
      <c r="G482" s="46"/>
      <c r="H482" s="44"/>
      <c r="I482" s="44"/>
      <c r="J482" s="44"/>
      <c r="K482" s="44"/>
      <c r="L482" s="46" t="str">
        <f>IFERROR(__xludf.DUMMYFUNCTION("IFERROR(IF(ISBLANK($C482), """", GOOGLEFINANCE($C482, ""price"")), """")"),"")</f>
        <v/>
      </c>
      <c r="M482" s="47" t="str">
        <f t="shared" si="3"/>
        <v/>
      </c>
      <c r="N482" s="47" t="str">
        <f>IFERROR(__xludf.DUMMYFUNCTION("IFERROR(IF(OR(ISBLANK($G482), IFERROR(INDEX(GOOGLEFINANCE($C482, ""price"", WORKDAY(INT($B482), 1)), 2, 2), """")=""""), """", IF($D482=""LONG"", (IFERROR(INDEX(GOOGLEFINANCE($C482, ""price"", WORKDAY(INT($B482), 1)), 2, 2), """")-$G482)/$G482, ($G482-IFE"&amp;"RROR(INDEX(GOOGLEFINANCE($C482, ""price"", WORKDAY(INT($B482), 1)), 2, 2), """"))/$G482)), """")"),"")</f>
        <v/>
      </c>
      <c r="O482" s="47" t="str">
        <f>IFERROR(__xludf.DUMMYFUNCTION("IFERROR(IF(OR(ISBLANK($G482), IFERROR(INDEX(GOOGLEFINANCE($C482, ""price"", WORKDAY(INT($B482), 5)), 2, 2), """")=""""), """", IF($D482=""LONG"", (IFERROR(INDEX(GOOGLEFINANCE($C482, ""price"", WORKDAY(INT($B482), 5)), 2, 2), """")-$G482)/$G482, ($G482-IFE"&amp;"RROR(INDEX(GOOGLEFINANCE($C482, ""price"", WORKDAY(INT($B482), 5)), 2, 2), """"))/$G482)), """")"),"")</f>
        <v/>
      </c>
      <c r="P482" s="47" t="str">
        <f>IFERROR(__xludf.DUMMYFUNCTION("IFERROR(IF(OR(ISBLANK($G482), IFERROR(INDEX(GOOGLEFINANCE($C482, ""price"", WORKDAY(INT($B482), 20)), 2, 2), """")=""""), """", IF($D482=""LONG"", (IFERROR(INDEX(GOOGLEFINANCE($C482, ""price"", WORKDAY(INT($B482), 20)), 2, 2), """")-$G482)/$G482, ($G482-I"&amp;"FERROR(INDEX(GOOGLEFINANCE($C482, ""price"", WORKDAY(INT($B482), 20)), 2, 2), """"))/$G482)), """")"),"")</f>
        <v/>
      </c>
      <c r="Q482" s="44"/>
      <c r="R482" s="44"/>
      <c r="S482" s="44"/>
      <c r="T482" s="44"/>
      <c r="U482" s="44"/>
      <c r="V482" s="44"/>
      <c r="W482" s="44"/>
      <c r="X482" s="44"/>
      <c r="Y482" s="44"/>
      <c r="Z482" s="44"/>
    </row>
    <row r="483">
      <c r="A483" s="44"/>
      <c r="B483" s="45"/>
      <c r="C483" s="44"/>
      <c r="D483" s="44"/>
      <c r="E483" s="44"/>
      <c r="F483" s="44"/>
      <c r="G483" s="46"/>
      <c r="H483" s="44"/>
      <c r="I483" s="44"/>
      <c r="J483" s="44"/>
      <c r="K483" s="44"/>
      <c r="L483" s="46" t="str">
        <f>IFERROR(__xludf.DUMMYFUNCTION("IFERROR(IF(ISBLANK($C483), """", GOOGLEFINANCE($C483, ""price"")), """")"),"")</f>
        <v/>
      </c>
      <c r="M483" s="47" t="str">
        <f t="shared" si="3"/>
        <v/>
      </c>
      <c r="N483" s="47" t="str">
        <f>IFERROR(__xludf.DUMMYFUNCTION("IFERROR(IF(OR(ISBLANK($G483), IFERROR(INDEX(GOOGLEFINANCE($C483, ""price"", WORKDAY(INT($B483), 1)), 2, 2), """")=""""), """", IF($D483=""LONG"", (IFERROR(INDEX(GOOGLEFINANCE($C483, ""price"", WORKDAY(INT($B483), 1)), 2, 2), """")-$G483)/$G483, ($G483-IFE"&amp;"RROR(INDEX(GOOGLEFINANCE($C483, ""price"", WORKDAY(INT($B483), 1)), 2, 2), """"))/$G483)), """")"),"")</f>
        <v/>
      </c>
      <c r="O483" s="47" t="str">
        <f>IFERROR(__xludf.DUMMYFUNCTION("IFERROR(IF(OR(ISBLANK($G483), IFERROR(INDEX(GOOGLEFINANCE($C483, ""price"", WORKDAY(INT($B483), 5)), 2, 2), """")=""""), """", IF($D483=""LONG"", (IFERROR(INDEX(GOOGLEFINANCE($C483, ""price"", WORKDAY(INT($B483), 5)), 2, 2), """")-$G483)/$G483, ($G483-IFE"&amp;"RROR(INDEX(GOOGLEFINANCE($C483, ""price"", WORKDAY(INT($B483), 5)), 2, 2), """"))/$G483)), """")"),"")</f>
        <v/>
      </c>
      <c r="P483" s="47" t="str">
        <f>IFERROR(__xludf.DUMMYFUNCTION("IFERROR(IF(OR(ISBLANK($G483), IFERROR(INDEX(GOOGLEFINANCE($C483, ""price"", WORKDAY(INT($B483), 20)), 2, 2), """")=""""), """", IF($D483=""LONG"", (IFERROR(INDEX(GOOGLEFINANCE($C483, ""price"", WORKDAY(INT($B483), 20)), 2, 2), """")-$G483)/$G483, ($G483-I"&amp;"FERROR(INDEX(GOOGLEFINANCE($C483, ""price"", WORKDAY(INT($B483), 20)), 2, 2), """"))/$G483)), """")"),"")</f>
        <v/>
      </c>
      <c r="Q483" s="44"/>
      <c r="R483" s="44"/>
      <c r="S483" s="44"/>
      <c r="T483" s="44"/>
      <c r="U483" s="44"/>
      <c r="V483" s="44"/>
      <c r="W483" s="44"/>
      <c r="X483" s="44"/>
      <c r="Y483" s="44"/>
      <c r="Z483" s="44"/>
    </row>
    <row r="484">
      <c r="A484" s="44"/>
      <c r="B484" s="45"/>
      <c r="C484" s="44"/>
      <c r="D484" s="44"/>
      <c r="E484" s="44"/>
      <c r="F484" s="44"/>
      <c r="G484" s="46"/>
      <c r="H484" s="44"/>
      <c r="I484" s="44"/>
      <c r="J484" s="44"/>
      <c r="K484" s="44"/>
      <c r="L484" s="46" t="str">
        <f>IFERROR(__xludf.DUMMYFUNCTION("IFERROR(IF(ISBLANK($C484), """", GOOGLEFINANCE($C484, ""price"")), """")"),"")</f>
        <v/>
      </c>
      <c r="M484" s="47" t="str">
        <f t="shared" si="3"/>
        <v/>
      </c>
      <c r="N484" s="47" t="str">
        <f>IFERROR(__xludf.DUMMYFUNCTION("IFERROR(IF(OR(ISBLANK($G484), IFERROR(INDEX(GOOGLEFINANCE($C484, ""price"", WORKDAY(INT($B484), 1)), 2, 2), """")=""""), """", IF($D484=""LONG"", (IFERROR(INDEX(GOOGLEFINANCE($C484, ""price"", WORKDAY(INT($B484), 1)), 2, 2), """")-$G484)/$G484, ($G484-IFE"&amp;"RROR(INDEX(GOOGLEFINANCE($C484, ""price"", WORKDAY(INT($B484), 1)), 2, 2), """"))/$G484)), """")"),"")</f>
        <v/>
      </c>
      <c r="O484" s="47" t="str">
        <f>IFERROR(__xludf.DUMMYFUNCTION("IFERROR(IF(OR(ISBLANK($G484), IFERROR(INDEX(GOOGLEFINANCE($C484, ""price"", WORKDAY(INT($B484), 5)), 2, 2), """")=""""), """", IF($D484=""LONG"", (IFERROR(INDEX(GOOGLEFINANCE($C484, ""price"", WORKDAY(INT($B484), 5)), 2, 2), """")-$G484)/$G484, ($G484-IFE"&amp;"RROR(INDEX(GOOGLEFINANCE($C484, ""price"", WORKDAY(INT($B484), 5)), 2, 2), """"))/$G484)), """")"),"")</f>
        <v/>
      </c>
      <c r="P484" s="47" t="str">
        <f>IFERROR(__xludf.DUMMYFUNCTION("IFERROR(IF(OR(ISBLANK($G484), IFERROR(INDEX(GOOGLEFINANCE($C484, ""price"", WORKDAY(INT($B484), 20)), 2, 2), """")=""""), """", IF($D484=""LONG"", (IFERROR(INDEX(GOOGLEFINANCE($C484, ""price"", WORKDAY(INT($B484), 20)), 2, 2), """")-$G484)/$G484, ($G484-I"&amp;"FERROR(INDEX(GOOGLEFINANCE($C484, ""price"", WORKDAY(INT($B484), 20)), 2, 2), """"))/$G484)), """")"),"")</f>
        <v/>
      </c>
      <c r="Q484" s="44"/>
      <c r="R484" s="44"/>
      <c r="S484" s="44"/>
      <c r="T484" s="44"/>
      <c r="U484" s="44"/>
      <c r="V484" s="44"/>
      <c r="W484" s="44"/>
      <c r="X484" s="44"/>
      <c r="Y484" s="44"/>
      <c r="Z484" s="44"/>
    </row>
    <row r="485">
      <c r="A485" s="44"/>
      <c r="B485" s="45"/>
      <c r="C485" s="44"/>
      <c r="D485" s="44"/>
      <c r="E485" s="44"/>
      <c r="F485" s="44"/>
      <c r="G485" s="46"/>
      <c r="H485" s="44"/>
      <c r="I485" s="44"/>
      <c r="J485" s="44"/>
      <c r="K485" s="44"/>
      <c r="L485" s="46" t="str">
        <f>IFERROR(__xludf.DUMMYFUNCTION("IFERROR(IF(ISBLANK($C485), """", GOOGLEFINANCE($C485, ""price"")), """")"),"")</f>
        <v/>
      </c>
      <c r="M485" s="47" t="str">
        <f t="shared" si="3"/>
        <v/>
      </c>
      <c r="N485" s="47" t="str">
        <f>IFERROR(__xludf.DUMMYFUNCTION("IFERROR(IF(OR(ISBLANK($G485), IFERROR(INDEX(GOOGLEFINANCE($C485, ""price"", WORKDAY(INT($B485), 1)), 2, 2), """")=""""), """", IF($D485=""LONG"", (IFERROR(INDEX(GOOGLEFINANCE($C485, ""price"", WORKDAY(INT($B485), 1)), 2, 2), """")-$G485)/$G485, ($G485-IFE"&amp;"RROR(INDEX(GOOGLEFINANCE($C485, ""price"", WORKDAY(INT($B485), 1)), 2, 2), """"))/$G485)), """")"),"")</f>
        <v/>
      </c>
      <c r="O485" s="47" t="str">
        <f>IFERROR(__xludf.DUMMYFUNCTION("IFERROR(IF(OR(ISBLANK($G485), IFERROR(INDEX(GOOGLEFINANCE($C485, ""price"", WORKDAY(INT($B485), 5)), 2, 2), """")=""""), """", IF($D485=""LONG"", (IFERROR(INDEX(GOOGLEFINANCE($C485, ""price"", WORKDAY(INT($B485), 5)), 2, 2), """")-$G485)/$G485, ($G485-IFE"&amp;"RROR(INDEX(GOOGLEFINANCE($C485, ""price"", WORKDAY(INT($B485), 5)), 2, 2), """"))/$G485)), """")"),"")</f>
        <v/>
      </c>
      <c r="P485" s="47" t="str">
        <f>IFERROR(__xludf.DUMMYFUNCTION("IFERROR(IF(OR(ISBLANK($G485), IFERROR(INDEX(GOOGLEFINANCE($C485, ""price"", WORKDAY(INT($B485), 20)), 2, 2), """")=""""), """", IF($D485=""LONG"", (IFERROR(INDEX(GOOGLEFINANCE($C485, ""price"", WORKDAY(INT($B485), 20)), 2, 2), """")-$G485)/$G485, ($G485-I"&amp;"FERROR(INDEX(GOOGLEFINANCE($C485, ""price"", WORKDAY(INT($B485), 20)), 2, 2), """"))/$G485)), """")"),"")</f>
        <v/>
      </c>
      <c r="Q485" s="44"/>
      <c r="R485" s="44"/>
      <c r="S485" s="44"/>
      <c r="T485" s="44"/>
      <c r="U485" s="44"/>
      <c r="V485" s="44"/>
      <c r="W485" s="44"/>
      <c r="X485" s="44"/>
      <c r="Y485" s="44"/>
      <c r="Z485" s="44"/>
    </row>
    <row r="486">
      <c r="A486" s="44"/>
      <c r="B486" s="45"/>
      <c r="C486" s="44"/>
      <c r="D486" s="44"/>
      <c r="E486" s="44"/>
      <c r="F486" s="44"/>
      <c r="G486" s="46"/>
      <c r="H486" s="44"/>
      <c r="I486" s="44"/>
      <c r="J486" s="44"/>
      <c r="K486" s="44"/>
      <c r="L486" s="46" t="str">
        <f>IFERROR(__xludf.DUMMYFUNCTION("IFERROR(IF(ISBLANK($C486), """", GOOGLEFINANCE($C486, ""price"")), """")"),"")</f>
        <v/>
      </c>
      <c r="M486" s="47" t="str">
        <f t="shared" si="3"/>
        <v/>
      </c>
      <c r="N486" s="47" t="str">
        <f>IFERROR(__xludf.DUMMYFUNCTION("IFERROR(IF(OR(ISBLANK($G486), IFERROR(INDEX(GOOGLEFINANCE($C486, ""price"", WORKDAY(INT($B486), 1)), 2, 2), """")=""""), """", IF($D486=""LONG"", (IFERROR(INDEX(GOOGLEFINANCE($C486, ""price"", WORKDAY(INT($B486), 1)), 2, 2), """")-$G486)/$G486, ($G486-IFE"&amp;"RROR(INDEX(GOOGLEFINANCE($C486, ""price"", WORKDAY(INT($B486), 1)), 2, 2), """"))/$G486)), """")"),"")</f>
        <v/>
      </c>
      <c r="O486" s="47" t="str">
        <f>IFERROR(__xludf.DUMMYFUNCTION("IFERROR(IF(OR(ISBLANK($G486), IFERROR(INDEX(GOOGLEFINANCE($C486, ""price"", WORKDAY(INT($B486), 5)), 2, 2), """")=""""), """", IF($D486=""LONG"", (IFERROR(INDEX(GOOGLEFINANCE($C486, ""price"", WORKDAY(INT($B486), 5)), 2, 2), """")-$G486)/$G486, ($G486-IFE"&amp;"RROR(INDEX(GOOGLEFINANCE($C486, ""price"", WORKDAY(INT($B486), 5)), 2, 2), """"))/$G486)), """")"),"")</f>
        <v/>
      </c>
      <c r="P486" s="47" t="str">
        <f>IFERROR(__xludf.DUMMYFUNCTION("IFERROR(IF(OR(ISBLANK($G486), IFERROR(INDEX(GOOGLEFINANCE($C486, ""price"", WORKDAY(INT($B486), 20)), 2, 2), """")=""""), """", IF($D486=""LONG"", (IFERROR(INDEX(GOOGLEFINANCE($C486, ""price"", WORKDAY(INT($B486), 20)), 2, 2), """")-$G486)/$G486, ($G486-I"&amp;"FERROR(INDEX(GOOGLEFINANCE($C486, ""price"", WORKDAY(INT($B486), 20)), 2, 2), """"))/$G486)), """")"),"")</f>
        <v/>
      </c>
      <c r="Q486" s="44"/>
      <c r="R486" s="44"/>
      <c r="S486" s="44"/>
      <c r="T486" s="44"/>
      <c r="U486" s="44"/>
      <c r="V486" s="44"/>
      <c r="W486" s="44"/>
      <c r="X486" s="44"/>
      <c r="Y486" s="44"/>
      <c r="Z486" s="44"/>
    </row>
    <row r="487">
      <c r="A487" s="44"/>
      <c r="B487" s="45"/>
      <c r="C487" s="44"/>
      <c r="D487" s="44"/>
      <c r="E487" s="44"/>
      <c r="F487" s="44"/>
      <c r="G487" s="46"/>
      <c r="H487" s="44"/>
      <c r="I487" s="44"/>
      <c r="J487" s="44"/>
      <c r="K487" s="44"/>
      <c r="L487" s="46" t="str">
        <f>IFERROR(__xludf.DUMMYFUNCTION("IFERROR(IF(ISBLANK($C487), """", GOOGLEFINANCE($C487, ""price"")), """")"),"")</f>
        <v/>
      </c>
      <c r="M487" s="47" t="str">
        <f t="shared" si="3"/>
        <v/>
      </c>
      <c r="N487" s="47" t="str">
        <f>IFERROR(__xludf.DUMMYFUNCTION("IFERROR(IF(OR(ISBLANK($G487), IFERROR(INDEX(GOOGLEFINANCE($C487, ""price"", WORKDAY(INT($B487), 1)), 2, 2), """")=""""), """", IF($D487=""LONG"", (IFERROR(INDEX(GOOGLEFINANCE($C487, ""price"", WORKDAY(INT($B487), 1)), 2, 2), """")-$G487)/$G487, ($G487-IFE"&amp;"RROR(INDEX(GOOGLEFINANCE($C487, ""price"", WORKDAY(INT($B487), 1)), 2, 2), """"))/$G487)), """")"),"")</f>
        <v/>
      </c>
      <c r="O487" s="47" t="str">
        <f>IFERROR(__xludf.DUMMYFUNCTION("IFERROR(IF(OR(ISBLANK($G487), IFERROR(INDEX(GOOGLEFINANCE($C487, ""price"", WORKDAY(INT($B487), 5)), 2, 2), """")=""""), """", IF($D487=""LONG"", (IFERROR(INDEX(GOOGLEFINANCE($C487, ""price"", WORKDAY(INT($B487), 5)), 2, 2), """")-$G487)/$G487, ($G487-IFE"&amp;"RROR(INDEX(GOOGLEFINANCE($C487, ""price"", WORKDAY(INT($B487), 5)), 2, 2), """"))/$G487)), """")"),"")</f>
        <v/>
      </c>
      <c r="P487" s="47" t="str">
        <f>IFERROR(__xludf.DUMMYFUNCTION("IFERROR(IF(OR(ISBLANK($G487), IFERROR(INDEX(GOOGLEFINANCE($C487, ""price"", WORKDAY(INT($B487), 20)), 2, 2), """")=""""), """", IF($D487=""LONG"", (IFERROR(INDEX(GOOGLEFINANCE($C487, ""price"", WORKDAY(INT($B487), 20)), 2, 2), """")-$G487)/$G487, ($G487-I"&amp;"FERROR(INDEX(GOOGLEFINANCE($C487, ""price"", WORKDAY(INT($B487), 20)), 2, 2), """"))/$G487)), """")"),"")</f>
        <v/>
      </c>
      <c r="Q487" s="44"/>
      <c r="R487" s="44"/>
      <c r="S487" s="44"/>
      <c r="T487" s="44"/>
      <c r="U487" s="44"/>
      <c r="V487" s="44"/>
      <c r="W487" s="44"/>
      <c r="X487" s="44"/>
      <c r="Y487" s="44"/>
      <c r="Z487" s="44"/>
    </row>
    <row r="488">
      <c r="A488" s="44"/>
      <c r="B488" s="45"/>
      <c r="C488" s="44"/>
      <c r="D488" s="44"/>
      <c r="E488" s="44"/>
      <c r="F488" s="44"/>
      <c r="G488" s="46"/>
      <c r="H488" s="44"/>
      <c r="I488" s="44"/>
      <c r="J488" s="44"/>
      <c r="K488" s="44"/>
      <c r="L488" s="46" t="str">
        <f>IFERROR(__xludf.DUMMYFUNCTION("IFERROR(IF(ISBLANK($C488), """", GOOGLEFINANCE($C488, ""price"")), """")"),"")</f>
        <v/>
      </c>
      <c r="M488" s="47" t="str">
        <f t="shared" si="3"/>
        <v/>
      </c>
      <c r="N488" s="47" t="str">
        <f>IFERROR(__xludf.DUMMYFUNCTION("IFERROR(IF(OR(ISBLANK($G488), IFERROR(INDEX(GOOGLEFINANCE($C488, ""price"", WORKDAY(INT($B488), 1)), 2, 2), """")=""""), """", IF($D488=""LONG"", (IFERROR(INDEX(GOOGLEFINANCE($C488, ""price"", WORKDAY(INT($B488), 1)), 2, 2), """")-$G488)/$G488, ($G488-IFE"&amp;"RROR(INDEX(GOOGLEFINANCE($C488, ""price"", WORKDAY(INT($B488), 1)), 2, 2), """"))/$G488)), """")"),"")</f>
        <v/>
      </c>
      <c r="O488" s="47" t="str">
        <f>IFERROR(__xludf.DUMMYFUNCTION("IFERROR(IF(OR(ISBLANK($G488), IFERROR(INDEX(GOOGLEFINANCE($C488, ""price"", WORKDAY(INT($B488), 5)), 2, 2), """")=""""), """", IF($D488=""LONG"", (IFERROR(INDEX(GOOGLEFINANCE($C488, ""price"", WORKDAY(INT($B488), 5)), 2, 2), """")-$G488)/$G488, ($G488-IFE"&amp;"RROR(INDEX(GOOGLEFINANCE($C488, ""price"", WORKDAY(INT($B488), 5)), 2, 2), """"))/$G488)), """")"),"")</f>
        <v/>
      </c>
      <c r="P488" s="47" t="str">
        <f>IFERROR(__xludf.DUMMYFUNCTION("IFERROR(IF(OR(ISBLANK($G488), IFERROR(INDEX(GOOGLEFINANCE($C488, ""price"", WORKDAY(INT($B488), 20)), 2, 2), """")=""""), """", IF($D488=""LONG"", (IFERROR(INDEX(GOOGLEFINANCE($C488, ""price"", WORKDAY(INT($B488), 20)), 2, 2), """")-$G488)/$G488, ($G488-I"&amp;"FERROR(INDEX(GOOGLEFINANCE($C488, ""price"", WORKDAY(INT($B488), 20)), 2, 2), """"))/$G488)), """")"),"")</f>
        <v/>
      </c>
      <c r="Q488" s="44"/>
      <c r="R488" s="44"/>
      <c r="S488" s="44"/>
      <c r="T488" s="44"/>
      <c r="U488" s="44"/>
      <c r="V488" s="44"/>
      <c r="W488" s="44"/>
      <c r="X488" s="44"/>
      <c r="Y488" s="44"/>
      <c r="Z488" s="44"/>
    </row>
    <row r="489">
      <c r="A489" s="44"/>
      <c r="B489" s="45"/>
      <c r="C489" s="44"/>
      <c r="D489" s="44"/>
      <c r="E489" s="44"/>
      <c r="F489" s="44"/>
      <c r="G489" s="46"/>
      <c r="H489" s="44"/>
      <c r="I489" s="44"/>
      <c r="J489" s="44"/>
      <c r="K489" s="44"/>
      <c r="L489" s="46" t="str">
        <f>IFERROR(__xludf.DUMMYFUNCTION("IFERROR(IF(ISBLANK($C489), """", GOOGLEFINANCE($C489, ""price"")), """")"),"")</f>
        <v/>
      </c>
      <c r="M489" s="47" t="str">
        <f t="shared" si="3"/>
        <v/>
      </c>
      <c r="N489" s="47" t="str">
        <f>IFERROR(__xludf.DUMMYFUNCTION("IFERROR(IF(OR(ISBLANK($G489), IFERROR(INDEX(GOOGLEFINANCE($C489, ""price"", WORKDAY(INT($B489), 1)), 2, 2), """")=""""), """", IF($D489=""LONG"", (IFERROR(INDEX(GOOGLEFINANCE($C489, ""price"", WORKDAY(INT($B489), 1)), 2, 2), """")-$G489)/$G489, ($G489-IFE"&amp;"RROR(INDEX(GOOGLEFINANCE($C489, ""price"", WORKDAY(INT($B489), 1)), 2, 2), """"))/$G489)), """")"),"")</f>
        <v/>
      </c>
      <c r="O489" s="47" t="str">
        <f>IFERROR(__xludf.DUMMYFUNCTION("IFERROR(IF(OR(ISBLANK($G489), IFERROR(INDEX(GOOGLEFINANCE($C489, ""price"", WORKDAY(INT($B489), 5)), 2, 2), """")=""""), """", IF($D489=""LONG"", (IFERROR(INDEX(GOOGLEFINANCE($C489, ""price"", WORKDAY(INT($B489), 5)), 2, 2), """")-$G489)/$G489, ($G489-IFE"&amp;"RROR(INDEX(GOOGLEFINANCE($C489, ""price"", WORKDAY(INT($B489), 5)), 2, 2), """"))/$G489)), """")"),"")</f>
        <v/>
      </c>
      <c r="P489" s="47" t="str">
        <f>IFERROR(__xludf.DUMMYFUNCTION("IFERROR(IF(OR(ISBLANK($G489), IFERROR(INDEX(GOOGLEFINANCE($C489, ""price"", WORKDAY(INT($B489), 20)), 2, 2), """")=""""), """", IF($D489=""LONG"", (IFERROR(INDEX(GOOGLEFINANCE($C489, ""price"", WORKDAY(INT($B489), 20)), 2, 2), """")-$G489)/$G489, ($G489-I"&amp;"FERROR(INDEX(GOOGLEFINANCE($C489, ""price"", WORKDAY(INT($B489), 20)), 2, 2), """"))/$G489)), """")"),"")</f>
        <v/>
      </c>
      <c r="Q489" s="44"/>
      <c r="R489" s="44"/>
      <c r="S489" s="44"/>
      <c r="T489" s="44"/>
      <c r="U489" s="44"/>
      <c r="V489" s="44"/>
      <c r="W489" s="44"/>
      <c r="X489" s="44"/>
      <c r="Y489" s="44"/>
      <c r="Z489" s="44"/>
    </row>
    <row r="490">
      <c r="A490" s="44"/>
      <c r="B490" s="45"/>
      <c r="C490" s="44"/>
      <c r="D490" s="44"/>
      <c r="E490" s="44"/>
      <c r="F490" s="44"/>
      <c r="G490" s="46"/>
      <c r="H490" s="44"/>
      <c r="I490" s="44"/>
      <c r="J490" s="44"/>
      <c r="K490" s="44"/>
      <c r="L490" s="46" t="str">
        <f>IFERROR(__xludf.DUMMYFUNCTION("IFERROR(IF(ISBLANK($C490), """", GOOGLEFINANCE($C490, ""price"")), """")"),"")</f>
        <v/>
      </c>
      <c r="M490" s="47" t="str">
        <f t="shared" si="3"/>
        <v/>
      </c>
      <c r="N490" s="47" t="str">
        <f>IFERROR(__xludf.DUMMYFUNCTION("IFERROR(IF(OR(ISBLANK($G490), IFERROR(INDEX(GOOGLEFINANCE($C490, ""price"", WORKDAY(INT($B490), 1)), 2, 2), """")=""""), """", IF($D490=""LONG"", (IFERROR(INDEX(GOOGLEFINANCE($C490, ""price"", WORKDAY(INT($B490), 1)), 2, 2), """")-$G490)/$G490, ($G490-IFE"&amp;"RROR(INDEX(GOOGLEFINANCE($C490, ""price"", WORKDAY(INT($B490), 1)), 2, 2), """"))/$G490)), """")"),"")</f>
        <v/>
      </c>
      <c r="O490" s="47" t="str">
        <f>IFERROR(__xludf.DUMMYFUNCTION("IFERROR(IF(OR(ISBLANK($G490), IFERROR(INDEX(GOOGLEFINANCE($C490, ""price"", WORKDAY(INT($B490), 5)), 2, 2), """")=""""), """", IF($D490=""LONG"", (IFERROR(INDEX(GOOGLEFINANCE($C490, ""price"", WORKDAY(INT($B490), 5)), 2, 2), """")-$G490)/$G490, ($G490-IFE"&amp;"RROR(INDEX(GOOGLEFINANCE($C490, ""price"", WORKDAY(INT($B490), 5)), 2, 2), """"))/$G490)), """")"),"")</f>
        <v/>
      </c>
      <c r="P490" s="47" t="str">
        <f>IFERROR(__xludf.DUMMYFUNCTION("IFERROR(IF(OR(ISBLANK($G490), IFERROR(INDEX(GOOGLEFINANCE($C490, ""price"", WORKDAY(INT($B490), 20)), 2, 2), """")=""""), """", IF($D490=""LONG"", (IFERROR(INDEX(GOOGLEFINANCE($C490, ""price"", WORKDAY(INT($B490), 20)), 2, 2), """")-$G490)/$G490, ($G490-I"&amp;"FERROR(INDEX(GOOGLEFINANCE($C490, ""price"", WORKDAY(INT($B490), 20)), 2, 2), """"))/$G490)), """")"),"")</f>
        <v/>
      </c>
      <c r="Q490" s="44"/>
      <c r="R490" s="44"/>
      <c r="S490" s="44"/>
      <c r="T490" s="44"/>
      <c r="U490" s="44"/>
      <c r="V490" s="44"/>
      <c r="W490" s="44"/>
      <c r="X490" s="44"/>
      <c r="Y490" s="44"/>
      <c r="Z490" s="44"/>
    </row>
    <row r="491">
      <c r="A491" s="44"/>
      <c r="B491" s="45"/>
      <c r="C491" s="44"/>
      <c r="D491" s="44"/>
      <c r="E491" s="44"/>
      <c r="F491" s="44"/>
      <c r="G491" s="46"/>
      <c r="H491" s="44"/>
      <c r="I491" s="44"/>
      <c r="J491" s="44"/>
      <c r="K491" s="44"/>
      <c r="L491" s="46" t="str">
        <f>IFERROR(__xludf.DUMMYFUNCTION("IFERROR(IF(ISBLANK($C491), """", GOOGLEFINANCE($C491, ""price"")), """")"),"")</f>
        <v/>
      </c>
      <c r="M491" s="47" t="str">
        <f t="shared" si="3"/>
        <v/>
      </c>
      <c r="N491" s="47" t="str">
        <f>IFERROR(__xludf.DUMMYFUNCTION("IFERROR(IF(OR(ISBLANK($G491), IFERROR(INDEX(GOOGLEFINANCE($C491, ""price"", WORKDAY(INT($B491), 1)), 2, 2), """")=""""), """", IF($D491=""LONG"", (IFERROR(INDEX(GOOGLEFINANCE($C491, ""price"", WORKDAY(INT($B491), 1)), 2, 2), """")-$G491)/$G491, ($G491-IFE"&amp;"RROR(INDEX(GOOGLEFINANCE($C491, ""price"", WORKDAY(INT($B491), 1)), 2, 2), """"))/$G491)), """")"),"")</f>
        <v/>
      </c>
      <c r="O491" s="47" t="str">
        <f>IFERROR(__xludf.DUMMYFUNCTION("IFERROR(IF(OR(ISBLANK($G491), IFERROR(INDEX(GOOGLEFINANCE($C491, ""price"", WORKDAY(INT($B491), 5)), 2, 2), """")=""""), """", IF($D491=""LONG"", (IFERROR(INDEX(GOOGLEFINANCE($C491, ""price"", WORKDAY(INT($B491), 5)), 2, 2), """")-$G491)/$G491, ($G491-IFE"&amp;"RROR(INDEX(GOOGLEFINANCE($C491, ""price"", WORKDAY(INT($B491), 5)), 2, 2), """"))/$G491)), """")"),"")</f>
        <v/>
      </c>
      <c r="P491" s="47" t="str">
        <f>IFERROR(__xludf.DUMMYFUNCTION("IFERROR(IF(OR(ISBLANK($G491), IFERROR(INDEX(GOOGLEFINANCE($C491, ""price"", WORKDAY(INT($B491), 20)), 2, 2), """")=""""), """", IF($D491=""LONG"", (IFERROR(INDEX(GOOGLEFINANCE($C491, ""price"", WORKDAY(INT($B491), 20)), 2, 2), """")-$G491)/$G491, ($G491-I"&amp;"FERROR(INDEX(GOOGLEFINANCE($C491, ""price"", WORKDAY(INT($B491), 20)), 2, 2), """"))/$G491)), """")"),"")</f>
        <v/>
      </c>
      <c r="Q491" s="44"/>
      <c r="R491" s="44"/>
      <c r="S491" s="44"/>
      <c r="T491" s="44"/>
      <c r="U491" s="44"/>
      <c r="V491" s="44"/>
      <c r="W491" s="44"/>
      <c r="X491" s="44"/>
      <c r="Y491" s="44"/>
      <c r="Z491" s="44"/>
    </row>
    <row r="492">
      <c r="A492" s="44"/>
      <c r="B492" s="45"/>
      <c r="C492" s="44"/>
      <c r="D492" s="44"/>
      <c r="E492" s="44"/>
      <c r="F492" s="44"/>
      <c r="G492" s="46"/>
      <c r="H492" s="44"/>
      <c r="I492" s="44"/>
      <c r="J492" s="44"/>
      <c r="K492" s="44"/>
      <c r="L492" s="46" t="str">
        <f>IFERROR(__xludf.DUMMYFUNCTION("IFERROR(IF(ISBLANK($C492), """", GOOGLEFINANCE($C492, ""price"")), """")"),"")</f>
        <v/>
      </c>
      <c r="M492" s="47" t="str">
        <f t="shared" si="3"/>
        <v/>
      </c>
      <c r="N492" s="47" t="str">
        <f>IFERROR(__xludf.DUMMYFUNCTION("IFERROR(IF(OR(ISBLANK($G492), IFERROR(INDEX(GOOGLEFINANCE($C492, ""price"", WORKDAY(INT($B492), 1)), 2, 2), """")=""""), """", IF($D492=""LONG"", (IFERROR(INDEX(GOOGLEFINANCE($C492, ""price"", WORKDAY(INT($B492), 1)), 2, 2), """")-$G492)/$G492, ($G492-IFE"&amp;"RROR(INDEX(GOOGLEFINANCE($C492, ""price"", WORKDAY(INT($B492), 1)), 2, 2), """"))/$G492)), """")"),"")</f>
        <v/>
      </c>
      <c r="O492" s="47" t="str">
        <f>IFERROR(__xludf.DUMMYFUNCTION("IFERROR(IF(OR(ISBLANK($G492), IFERROR(INDEX(GOOGLEFINANCE($C492, ""price"", WORKDAY(INT($B492), 5)), 2, 2), """")=""""), """", IF($D492=""LONG"", (IFERROR(INDEX(GOOGLEFINANCE($C492, ""price"", WORKDAY(INT($B492), 5)), 2, 2), """")-$G492)/$G492, ($G492-IFE"&amp;"RROR(INDEX(GOOGLEFINANCE($C492, ""price"", WORKDAY(INT($B492), 5)), 2, 2), """"))/$G492)), """")"),"")</f>
        <v/>
      </c>
      <c r="P492" s="47" t="str">
        <f>IFERROR(__xludf.DUMMYFUNCTION("IFERROR(IF(OR(ISBLANK($G492), IFERROR(INDEX(GOOGLEFINANCE($C492, ""price"", WORKDAY(INT($B492), 20)), 2, 2), """")=""""), """", IF($D492=""LONG"", (IFERROR(INDEX(GOOGLEFINANCE($C492, ""price"", WORKDAY(INT($B492), 20)), 2, 2), """")-$G492)/$G492, ($G492-I"&amp;"FERROR(INDEX(GOOGLEFINANCE($C492, ""price"", WORKDAY(INT($B492), 20)), 2, 2), """"))/$G492)), """")"),"")</f>
        <v/>
      </c>
      <c r="Q492" s="44"/>
      <c r="R492" s="44"/>
      <c r="S492" s="44"/>
      <c r="T492" s="44"/>
      <c r="U492" s="44"/>
      <c r="V492" s="44"/>
      <c r="W492" s="44"/>
      <c r="X492" s="44"/>
      <c r="Y492" s="44"/>
      <c r="Z492" s="44"/>
    </row>
    <row r="493">
      <c r="A493" s="44"/>
      <c r="B493" s="45"/>
      <c r="C493" s="44"/>
      <c r="D493" s="44"/>
      <c r="E493" s="44"/>
      <c r="F493" s="44"/>
      <c r="G493" s="46"/>
      <c r="H493" s="44"/>
      <c r="I493" s="44"/>
      <c r="J493" s="44"/>
      <c r="K493" s="44"/>
      <c r="L493" s="46" t="str">
        <f>IFERROR(__xludf.DUMMYFUNCTION("IFERROR(IF(ISBLANK($C493), """", GOOGLEFINANCE($C493, ""price"")), """")"),"")</f>
        <v/>
      </c>
      <c r="M493" s="47" t="str">
        <f t="shared" si="3"/>
        <v/>
      </c>
      <c r="N493" s="47" t="str">
        <f>IFERROR(__xludf.DUMMYFUNCTION("IFERROR(IF(OR(ISBLANK($G493), IFERROR(INDEX(GOOGLEFINANCE($C493, ""price"", WORKDAY(INT($B493), 1)), 2, 2), """")=""""), """", IF($D493=""LONG"", (IFERROR(INDEX(GOOGLEFINANCE($C493, ""price"", WORKDAY(INT($B493), 1)), 2, 2), """")-$G493)/$G493, ($G493-IFE"&amp;"RROR(INDEX(GOOGLEFINANCE($C493, ""price"", WORKDAY(INT($B493), 1)), 2, 2), """"))/$G493)), """")"),"")</f>
        <v/>
      </c>
      <c r="O493" s="47" t="str">
        <f>IFERROR(__xludf.DUMMYFUNCTION("IFERROR(IF(OR(ISBLANK($G493), IFERROR(INDEX(GOOGLEFINANCE($C493, ""price"", WORKDAY(INT($B493), 5)), 2, 2), """")=""""), """", IF($D493=""LONG"", (IFERROR(INDEX(GOOGLEFINANCE($C493, ""price"", WORKDAY(INT($B493), 5)), 2, 2), """")-$G493)/$G493, ($G493-IFE"&amp;"RROR(INDEX(GOOGLEFINANCE($C493, ""price"", WORKDAY(INT($B493), 5)), 2, 2), """"))/$G493)), """")"),"")</f>
        <v/>
      </c>
      <c r="P493" s="47" t="str">
        <f>IFERROR(__xludf.DUMMYFUNCTION("IFERROR(IF(OR(ISBLANK($G493), IFERROR(INDEX(GOOGLEFINANCE($C493, ""price"", WORKDAY(INT($B493), 20)), 2, 2), """")=""""), """", IF($D493=""LONG"", (IFERROR(INDEX(GOOGLEFINANCE($C493, ""price"", WORKDAY(INT($B493), 20)), 2, 2), """")-$G493)/$G493, ($G493-I"&amp;"FERROR(INDEX(GOOGLEFINANCE($C493, ""price"", WORKDAY(INT($B493), 20)), 2, 2), """"))/$G493)), """")"),"")</f>
        <v/>
      </c>
      <c r="Q493" s="44"/>
      <c r="R493" s="44"/>
      <c r="S493" s="44"/>
      <c r="T493" s="44"/>
      <c r="U493" s="44"/>
      <c r="V493" s="44"/>
      <c r="W493" s="44"/>
      <c r="X493" s="44"/>
      <c r="Y493" s="44"/>
      <c r="Z493" s="44"/>
    </row>
    <row r="494">
      <c r="A494" s="44"/>
      <c r="B494" s="45"/>
      <c r="C494" s="44"/>
      <c r="D494" s="44"/>
      <c r="E494" s="44"/>
      <c r="F494" s="44"/>
      <c r="G494" s="46"/>
      <c r="H494" s="44"/>
      <c r="I494" s="44"/>
      <c r="J494" s="44"/>
      <c r="K494" s="44"/>
      <c r="L494" s="46" t="str">
        <f>IFERROR(__xludf.DUMMYFUNCTION("IFERROR(IF(ISBLANK($C494), """", GOOGLEFINANCE($C494, ""price"")), """")"),"")</f>
        <v/>
      </c>
      <c r="M494" s="47" t="str">
        <f t="shared" si="3"/>
        <v/>
      </c>
      <c r="N494" s="47" t="str">
        <f>IFERROR(__xludf.DUMMYFUNCTION("IFERROR(IF(OR(ISBLANK($G494), IFERROR(INDEX(GOOGLEFINANCE($C494, ""price"", WORKDAY(INT($B494), 1)), 2, 2), """")=""""), """", IF($D494=""LONG"", (IFERROR(INDEX(GOOGLEFINANCE($C494, ""price"", WORKDAY(INT($B494), 1)), 2, 2), """")-$G494)/$G494, ($G494-IFE"&amp;"RROR(INDEX(GOOGLEFINANCE($C494, ""price"", WORKDAY(INT($B494), 1)), 2, 2), """"))/$G494)), """")"),"")</f>
        <v/>
      </c>
      <c r="O494" s="47" t="str">
        <f>IFERROR(__xludf.DUMMYFUNCTION("IFERROR(IF(OR(ISBLANK($G494), IFERROR(INDEX(GOOGLEFINANCE($C494, ""price"", WORKDAY(INT($B494), 5)), 2, 2), """")=""""), """", IF($D494=""LONG"", (IFERROR(INDEX(GOOGLEFINANCE($C494, ""price"", WORKDAY(INT($B494), 5)), 2, 2), """")-$G494)/$G494, ($G494-IFE"&amp;"RROR(INDEX(GOOGLEFINANCE($C494, ""price"", WORKDAY(INT($B494), 5)), 2, 2), """"))/$G494)), """")"),"")</f>
        <v/>
      </c>
      <c r="P494" s="47" t="str">
        <f>IFERROR(__xludf.DUMMYFUNCTION("IFERROR(IF(OR(ISBLANK($G494), IFERROR(INDEX(GOOGLEFINANCE($C494, ""price"", WORKDAY(INT($B494), 20)), 2, 2), """")=""""), """", IF($D494=""LONG"", (IFERROR(INDEX(GOOGLEFINANCE($C494, ""price"", WORKDAY(INT($B494), 20)), 2, 2), """")-$G494)/$G494, ($G494-I"&amp;"FERROR(INDEX(GOOGLEFINANCE($C494, ""price"", WORKDAY(INT($B494), 20)), 2, 2), """"))/$G494)), """")"),"")</f>
        <v/>
      </c>
      <c r="Q494" s="44"/>
      <c r="R494" s="44"/>
      <c r="S494" s="44"/>
      <c r="T494" s="44"/>
      <c r="U494" s="44"/>
      <c r="V494" s="44"/>
      <c r="W494" s="44"/>
      <c r="X494" s="44"/>
      <c r="Y494" s="44"/>
      <c r="Z494" s="44"/>
    </row>
    <row r="495">
      <c r="A495" s="44"/>
      <c r="B495" s="45"/>
      <c r="C495" s="44"/>
      <c r="D495" s="44"/>
      <c r="E495" s="44"/>
      <c r="F495" s="44"/>
      <c r="G495" s="46"/>
      <c r="H495" s="44"/>
      <c r="I495" s="44"/>
      <c r="J495" s="44"/>
      <c r="K495" s="44"/>
      <c r="L495" s="46" t="str">
        <f>IFERROR(__xludf.DUMMYFUNCTION("IFERROR(IF(ISBLANK($C495), """", GOOGLEFINANCE($C495, ""price"")), """")"),"")</f>
        <v/>
      </c>
      <c r="M495" s="47" t="str">
        <f t="shared" si="3"/>
        <v/>
      </c>
      <c r="N495" s="47" t="str">
        <f>IFERROR(__xludf.DUMMYFUNCTION("IFERROR(IF(OR(ISBLANK($G495), IFERROR(INDEX(GOOGLEFINANCE($C495, ""price"", WORKDAY(INT($B495), 1)), 2, 2), """")=""""), """", IF($D495=""LONG"", (IFERROR(INDEX(GOOGLEFINANCE($C495, ""price"", WORKDAY(INT($B495), 1)), 2, 2), """")-$G495)/$G495, ($G495-IFE"&amp;"RROR(INDEX(GOOGLEFINANCE($C495, ""price"", WORKDAY(INT($B495), 1)), 2, 2), """"))/$G495)), """")"),"")</f>
        <v/>
      </c>
      <c r="O495" s="47" t="str">
        <f>IFERROR(__xludf.DUMMYFUNCTION("IFERROR(IF(OR(ISBLANK($G495), IFERROR(INDEX(GOOGLEFINANCE($C495, ""price"", WORKDAY(INT($B495), 5)), 2, 2), """")=""""), """", IF($D495=""LONG"", (IFERROR(INDEX(GOOGLEFINANCE($C495, ""price"", WORKDAY(INT($B495), 5)), 2, 2), """")-$G495)/$G495, ($G495-IFE"&amp;"RROR(INDEX(GOOGLEFINANCE($C495, ""price"", WORKDAY(INT($B495), 5)), 2, 2), """"))/$G495)), """")"),"")</f>
        <v/>
      </c>
      <c r="P495" s="47" t="str">
        <f>IFERROR(__xludf.DUMMYFUNCTION("IFERROR(IF(OR(ISBLANK($G495), IFERROR(INDEX(GOOGLEFINANCE($C495, ""price"", WORKDAY(INT($B495), 20)), 2, 2), """")=""""), """", IF($D495=""LONG"", (IFERROR(INDEX(GOOGLEFINANCE($C495, ""price"", WORKDAY(INT($B495), 20)), 2, 2), """")-$G495)/$G495, ($G495-I"&amp;"FERROR(INDEX(GOOGLEFINANCE($C495, ""price"", WORKDAY(INT($B495), 20)), 2, 2), """"))/$G495)), """")"),"")</f>
        <v/>
      </c>
      <c r="Q495" s="44"/>
      <c r="R495" s="44"/>
      <c r="S495" s="44"/>
      <c r="T495" s="44"/>
      <c r="U495" s="44"/>
      <c r="V495" s="44"/>
      <c r="W495" s="44"/>
      <c r="X495" s="44"/>
      <c r="Y495" s="44"/>
      <c r="Z495" s="44"/>
    </row>
    <row r="496">
      <c r="A496" s="44"/>
      <c r="B496" s="45"/>
      <c r="C496" s="44"/>
      <c r="D496" s="44"/>
      <c r="E496" s="44"/>
      <c r="F496" s="44"/>
      <c r="G496" s="46"/>
      <c r="H496" s="44"/>
      <c r="I496" s="44"/>
      <c r="J496" s="44"/>
      <c r="K496" s="44"/>
      <c r="L496" s="46" t="str">
        <f>IFERROR(__xludf.DUMMYFUNCTION("IFERROR(IF(ISBLANK($C496), """", GOOGLEFINANCE($C496, ""price"")), """")"),"")</f>
        <v/>
      </c>
      <c r="M496" s="47" t="str">
        <f t="shared" si="3"/>
        <v/>
      </c>
      <c r="N496" s="47" t="str">
        <f>IFERROR(__xludf.DUMMYFUNCTION("IFERROR(IF(OR(ISBLANK($G496), IFERROR(INDEX(GOOGLEFINANCE($C496, ""price"", WORKDAY(INT($B496), 1)), 2, 2), """")=""""), """", IF($D496=""LONG"", (IFERROR(INDEX(GOOGLEFINANCE($C496, ""price"", WORKDAY(INT($B496), 1)), 2, 2), """")-$G496)/$G496, ($G496-IFE"&amp;"RROR(INDEX(GOOGLEFINANCE($C496, ""price"", WORKDAY(INT($B496), 1)), 2, 2), """"))/$G496)), """")"),"")</f>
        <v/>
      </c>
      <c r="O496" s="47" t="str">
        <f>IFERROR(__xludf.DUMMYFUNCTION("IFERROR(IF(OR(ISBLANK($G496), IFERROR(INDEX(GOOGLEFINANCE($C496, ""price"", WORKDAY(INT($B496), 5)), 2, 2), """")=""""), """", IF($D496=""LONG"", (IFERROR(INDEX(GOOGLEFINANCE($C496, ""price"", WORKDAY(INT($B496), 5)), 2, 2), """")-$G496)/$G496, ($G496-IFE"&amp;"RROR(INDEX(GOOGLEFINANCE($C496, ""price"", WORKDAY(INT($B496), 5)), 2, 2), """"))/$G496)), """")"),"")</f>
        <v/>
      </c>
      <c r="P496" s="47" t="str">
        <f>IFERROR(__xludf.DUMMYFUNCTION("IFERROR(IF(OR(ISBLANK($G496), IFERROR(INDEX(GOOGLEFINANCE($C496, ""price"", WORKDAY(INT($B496), 20)), 2, 2), """")=""""), """", IF($D496=""LONG"", (IFERROR(INDEX(GOOGLEFINANCE($C496, ""price"", WORKDAY(INT($B496), 20)), 2, 2), """")-$G496)/$G496, ($G496-I"&amp;"FERROR(INDEX(GOOGLEFINANCE($C496, ""price"", WORKDAY(INT($B496), 20)), 2, 2), """"))/$G496)), """")"),"")</f>
        <v/>
      </c>
      <c r="Q496" s="44"/>
      <c r="R496" s="44"/>
      <c r="S496" s="44"/>
      <c r="T496" s="44"/>
      <c r="U496" s="44"/>
      <c r="V496" s="44"/>
      <c r="W496" s="44"/>
      <c r="X496" s="44"/>
      <c r="Y496" s="44"/>
      <c r="Z496" s="44"/>
    </row>
    <row r="497">
      <c r="A497" s="44"/>
      <c r="B497" s="45"/>
      <c r="C497" s="44"/>
      <c r="D497" s="44"/>
      <c r="E497" s="44"/>
      <c r="F497" s="44"/>
      <c r="G497" s="46"/>
      <c r="H497" s="44"/>
      <c r="I497" s="44"/>
      <c r="J497" s="44"/>
      <c r="K497" s="44"/>
      <c r="L497" s="46" t="str">
        <f>IFERROR(__xludf.DUMMYFUNCTION("IFERROR(IF(ISBLANK($C497), """", GOOGLEFINANCE($C497, ""price"")), """")"),"")</f>
        <v/>
      </c>
      <c r="M497" s="47" t="str">
        <f t="shared" si="3"/>
        <v/>
      </c>
      <c r="N497" s="47" t="str">
        <f>IFERROR(__xludf.DUMMYFUNCTION("IFERROR(IF(OR(ISBLANK($G497), IFERROR(INDEX(GOOGLEFINANCE($C497, ""price"", WORKDAY(INT($B497), 1)), 2, 2), """")=""""), """", IF($D497=""LONG"", (IFERROR(INDEX(GOOGLEFINANCE($C497, ""price"", WORKDAY(INT($B497), 1)), 2, 2), """")-$G497)/$G497, ($G497-IFE"&amp;"RROR(INDEX(GOOGLEFINANCE($C497, ""price"", WORKDAY(INT($B497), 1)), 2, 2), """"))/$G497)), """")"),"")</f>
        <v/>
      </c>
      <c r="O497" s="47" t="str">
        <f>IFERROR(__xludf.DUMMYFUNCTION("IFERROR(IF(OR(ISBLANK($G497), IFERROR(INDEX(GOOGLEFINANCE($C497, ""price"", WORKDAY(INT($B497), 5)), 2, 2), """")=""""), """", IF($D497=""LONG"", (IFERROR(INDEX(GOOGLEFINANCE($C497, ""price"", WORKDAY(INT($B497), 5)), 2, 2), """")-$G497)/$G497, ($G497-IFE"&amp;"RROR(INDEX(GOOGLEFINANCE($C497, ""price"", WORKDAY(INT($B497), 5)), 2, 2), """"))/$G497)), """")"),"")</f>
        <v/>
      </c>
      <c r="P497" s="47" t="str">
        <f>IFERROR(__xludf.DUMMYFUNCTION("IFERROR(IF(OR(ISBLANK($G497), IFERROR(INDEX(GOOGLEFINANCE($C497, ""price"", WORKDAY(INT($B497), 20)), 2, 2), """")=""""), """", IF($D497=""LONG"", (IFERROR(INDEX(GOOGLEFINANCE($C497, ""price"", WORKDAY(INT($B497), 20)), 2, 2), """")-$G497)/$G497, ($G497-I"&amp;"FERROR(INDEX(GOOGLEFINANCE($C497, ""price"", WORKDAY(INT($B497), 20)), 2, 2), """"))/$G497)), """")"),"")</f>
        <v/>
      </c>
      <c r="Q497" s="44"/>
      <c r="R497" s="44"/>
      <c r="S497" s="44"/>
      <c r="T497" s="44"/>
      <c r="U497" s="44"/>
      <c r="V497" s="44"/>
      <c r="W497" s="44"/>
      <c r="X497" s="44"/>
      <c r="Y497" s="44"/>
      <c r="Z497" s="44"/>
    </row>
    <row r="498">
      <c r="A498" s="44"/>
      <c r="B498" s="45"/>
      <c r="C498" s="44"/>
      <c r="D498" s="44"/>
      <c r="E498" s="44"/>
      <c r="F498" s="44"/>
      <c r="G498" s="46"/>
      <c r="H498" s="44"/>
      <c r="I498" s="44"/>
      <c r="J498" s="44"/>
      <c r="K498" s="44"/>
      <c r="L498" s="46" t="str">
        <f>IFERROR(__xludf.DUMMYFUNCTION("IFERROR(IF(ISBLANK($C498), """", GOOGLEFINANCE($C498, ""price"")), """")"),"")</f>
        <v/>
      </c>
      <c r="M498" s="47" t="str">
        <f t="shared" si="3"/>
        <v/>
      </c>
      <c r="N498" s="47" t="str">
        <f>IFERROR(__xludf.DUMMYFUNCTION("IFERROR(IF(OR(ISBLANK($G498), IFERROR(INDEX(GOOGLEFINANCE($C498, ""price"", WORKDAY(INT($B498), 1)), 2, 2), """")=""""), """", IF($D498=""LONG"", (IFERROR(INDEX(GOOGLEFINANCE($C498, ""price"", WORKDAY(INT($B498), 1)), 2, 2), """")-$G498)/$G498, ($G498-IFE"&amp;"RROR(INDEX(GOOGLEFINANCE($C498, ""price"", WORKDAY(INT($B498), 1)), 2, 2), """"))/$G498)), """")"),"")</f>
        <v/>
      </c>
      <c r="O498" s="47" t="str">
        <f>IFERROR(__xludf.DUMMYFUNCTION("IFERROR(IF(OR(ISBLANK($G498), IFERROR(INDEX(GOOGLEFINANCE($C498, ""price"", WORKDAY(INT($B498), 5)), 2, 2), """")=""""), """", IF($D498=""LONG"", (IFERROR(INDEX(GOOGLEFINANCE($C498, ""price"", WORKDAY(INT($B498), 5)), 2, 2), """")-$G498)/$G498, ($G498-IFE"&amp;"RROR(INDEX(GOOGLEFINANCE($C498, ""price"", WORKDAY(INT($B498), 5)), 2, 2), """"))/$G498)), """")"),"")</f>
        <v/>
      </c>
      <c r="P498" s="47" t="str">
        <f>IFERROR(__xludf.DUMMYFUNCTION("IFERROR(IF(OR(ISBLANK($G498), IFERROR(INDEX(GOOGLEFINANCE($C498, ""price"", WORKDAY(INT($B498), 20)), 2, 2), """")=""""), """", IF($D498=""LONG"", (IFERROR(INDEX(GOOGLEFINANCE($C498, ""price"", WORKDAY(INT($B498), 20)), 2, 2), """")-$G498)/$G498, ($G498-I"&amp;"FERROR(INDEX(GOOGLEFINANCE($C498, ""price"", WORKDAY(INT($B498), 20)), 2, 2), """"))/$G498)), """")"),"")</f>
        <v/>
      </c>
      <c r="Q498" s="44"/>
      <c r="R498" s="44"/>
      <c r="S498" s="44"/>
      <c r="T498" s="44"/>
      <c r="U498" s="44"/>
      <c r="V498" s="44"/>
      <c r="W498" s="44"/>
      <c r="X498" s="44"/>
      <c r="Y498" s="44"/>
      <c r="Z498" s="44"/>
    </row>
    <row r="499">
      <c r="A499" s="44"/>
      <c r="B499" s="45"/>
      <c r="C499" s="44"/>
      <c r="D499" s="44"/>
      <c r="E499" s="44"/>
      <c r="F499" s="44"/>
      <c r="G499" s="46"/>
      <c r="H499" s="44"/>
      <c r="I499" s="44"/>
      <c r="J499" s="44"/>
      <c r="K499" s="44"/>
      <c r="L499" s="46" t="str">
        <f>IFERROR(__xludf.DUMMYFUNCTION("IFERROR(IF(ISBLANK($C499), """", GOOGLEFINANCE($C499, ""price"")), """")"),"")</f>
        <v/>
      </c>
      <c r="M499" s="47" t="str">
        <f t="shared" si="3"/>
        <v/>
      </c>
      <c r="N499" s="47" t="str">
        <f>IFERROR(__xludf.DUMMYFUNCTION("IFERROR(IF(OR(ISBLANK($G499), IFERROR(INDEX(GOOGLEFINANCE($C499, ""price"", WORKDAY(INT($B499), 1)), 2, 2), """")=""""), """", IF($D499=""LONG"", (IFERROR(INDEX(GOOGLEFINANCE($C499, ""price"", WORKDAY(INT($B499), 1)), 2, 2), """")-$G499)/$G499, ($G499-IFE"&amp;"RROR(INDEX(GOOGLEFINANCE($C499, ""price"", WORKDAY(INT($B499), 1)), 2, 2), """"))/$G499)), """")"),"")</f>
        <v/>
      </c>
      <c r="O499" s="47" t="str">
        <f>IFERROR(__xludf.DUMMYFUNCTION("IFERROR(IF(OR(ISBLANK($G499), IFERROR(INDEX(GOOGLEFINANCE($C499, ""price"", WORKDAY(INT($B499), 5)), 2, 2), """")=""""), """", IF($D499=""LONG"", (IFERROR(INDEX(GOOGLEFINANCE($C499, ""price"", WORKDAY(INT($B499), 5)), 2, 2), """")-$G499)/$G499, ($G499-IFE"&amp;"RROR(INDEX(GOOGLEFINANCE($C499, ""price"", WORKDAY(INT($B499), 5)), 2, 2), """"))/$G499)), """")"),"")</f>
        <v/>
      </c>
      <c r="P499" s="47" t="str">
        <f>IFERROR(__xludf.DUMMYFUNCTION("IFERROR(IF(OR(ISBLANK($G499), IFERROR(INDEX(GOOGLEFINANCE($C499, ""price"", WORKDAY(INT($B499), 20)), 2, 2), """")=""""), """", IF($D499=""LONG"", (IFERROR(INDEX(GOOGLEFINANCE($C499, ""price"", WORKDAY(INT($B499), 20)), 2, 2), """")-$G499)/$G499, ($G499-I"&amp;"FERROR(INDEX(GOOGLEFINANCE($C499, ""price"", WORKDAY(INT($B499), 20)), 2, 2), """"))/$G499)), """")"),"")</f>
        <v/>
      </c>
      <c r="Q499" s="44"/>
      <c r="R499" s="44"/>
      <c r="S499" s="44"/>
      <c r="T499" s="44"/>
      <c r="U499" s="44"/>
      <c r="V499" s="44"/>
      <c r="W499" s="44"/>
      <c r="X499" s="44"/>
      <c r="Y499" s="44"/>
      <c r="Z499" s="44"/>
    </row>
    <row r="500">
      <c r="A500" s="44"/>
      <c r="B500" s="45"/>
      <c r="C500" s="44"/>
      <c r="D500" s="44"/>
      <c r="E500" s="44"/>
      <c r="F500" s="44"/>
      <c r="G500" s="46"/>
      <c r="H500" s="44"/>
      <c r="I500" s="44"/>
      <c r="J500" s="44"/>
      <c r="K500" s="44"/>
      <c r="L500" s="46" t="str">
        <f>IFERROR(__xludf.DUMMYFUNCTION("IFERROR(IF(ISBLANK($C500), """", GOOGLEFINANCE($C500, ""price"")), """")"),"")</f>
        <v/>
      </c>
      <c r="M500" s="47" t="str">
        <f t="shared" si="3"/>
        <v/>
      </c>
      <c r="N500" s="47" t="str">
        <f>IFERROR(__xludf.DUMMYFUNCTION("IFERROR(IF(OR(ISBLANK($G500), IFERROR(INDEX(GOOGLEFINANCE($C500, ""price"", WORKDAY(INT($B500), 1)), 2, 2), """")=""""), """", IF($D500=""LONG"", (IFERROR(INDEX(GOOGLEFINANCE($C500, ""price"", WORKDAY(INT($B500), 1)), 2, 2), """")-$G500)/$G500, ($G500-IFE"&amp;"RROR(INDEX(GOOGLEFINANCE($C500, ""price"", WORKDAY(INT($B500), 1)), 2, 2), """"))/$G500)), """")"),"")</f>
        <v/>
      </c>
      <c r="O500" s="47" t="str">
        <f>IFERROR(__xludf.DUMMYFUNCTION("IFERROR(IF(OR(ISBLANK($G500), IFERROR(INDEX(GOOGLEFINANCE($C500, ""price"", WORKDAY(INT($B500), 5)), 2, 2), """")=""""), """", IF($D500=""LONG"", (IFERROR(INDEX(GOOGLEFINANCE($C500, ""price"", WORKDAY(INT($B500), 5)), 2, 2), """")-$G500)/$G500, ($G500-IFE"&amp;"RROR(INDEX(GOOGLEFINANCE($C500, ""price"", WORKDAY(INT($B500), 5)), 2, 2), """"))/$G500)), """")"),"")</f>
        <v/>
      </c>
      <c r="P500" s="47" t="str">
        <f>IFERROR(__xludf.DUMMYFUNCTION("IFERROR(IF(OR(ISBLANK($G500), IFERROR(INDEX(GOOGLEFINANCE($C500, ""price"", WORKDAY(INT($B500), 20)), 2, 2), """")=""""), """", IF($D500=""LONG"", (IFERROR(INDEX(GOOGLEFINANCE($C500, ""price"", WORKDAY(INT($B500), 20)), 2, 2), """")-$G500)/$G500, ($G500-I"&amp;"FERROR(INDEX(GOOGLEFINANCE($C500, ""price"", WORKDAY(INT($B500), 20)), 2, 2), """"))/$G500)), """")"),"")</f>
        <v/>
      </c>
      <c r="Q500" s="44"/>
      <c r="R500" s="44"/>
      <c r="S500" s="44"/>
      <c r="T500" s="44"/>
      <c r="U500" s="44"/>
      <c r="V500" s="44"/>
      <c r="W500" s="44"/>
      <c r="X500" s="44"/>
      <c r="Y500" s="44"/>
      <c r="Z500" s="44"/>
    </row>
    <row r="501">
      <c r="A501" s="44"/>
      <c r="B501" s="45"/>
      <c r="C501" s="44"/>
      <c r="D501" s="44"/>
      <c r="E501" s="44"/>
      <c r="F501" s="44"/>
      <c r="G501" s="46"/>
      <c r="H501" s="44"/>
      <c r="I501" s="44"/>
      <c r="J501" s="44"/>
      <c r="K501" s="44"/>
      <c r="L501" s="46" t="str">
        <f>IFERROR(__xludf.DUMMYFUNCTION("IFERROR(IF(ISBLANK($C501), """", GOOGLEFINANCE($C501, ""price"")), """")"),"")</f>
        <v/>
      </c>
      <c r="M501" s="47" t="str">
        <f t="shared" si="3"/>
        <v/>
      </c>
      <c r="N501" s="47" t="str">
        <f>IFERROR(__xludf.DUMMYFUNCTION("IFERROR(IF(OR(ISBLANK($G501), IFERROR(INDEX(GOOGLEFINANCE($C501, ""price"", WORKDAY(INT($B501), 1)), 2, 2), """")=""""), """", IF($D501=""LONG"", (IFERROR(INDEX(GOOGLEFINANCE($C501, ""price"", WORKDAY(INT($B501), 1)), 2, 2), """")-$G501)/$G501, ($G501-IFE"&amp;"RROR(INDEX(GOOGLEFINANCE($C501, ""price"", WORKDAY(INT($B501), 1)), 2, 2), """"))/$G501)), """")"),"")</f>
        <v/>
      </c>
      <c r="O501" s="47" t="str">
        <f>IFERROR(__xludf.DUMMYFUNCTION("IFERROR(IF(OR(ISBLANK($G501), IFERROR(INDEX(GOOGLEFINANCE($C501, ""price"", WORKDAY(INT($B501), 5)), 2, 2), """")=""""), """", IF($D501=""LONG"", (IFERROR(INDEX(GOOGLEFINANCE($C501, ""price"", WORKDAY(INT($B501), 5)), 2, 2), """")-$G501)/$G501, ($G501-IFE"&amp;"RROR(INDEX(GOOGLEFINANCE($C501, ""price"", WORKDAY(INT($B501), 5)), 2, 2), """"))/$G501)), """")"),"")</f>
        <v/>
      </c>
      <c r="P501" s="47" t="str">
        <f>IFERROR(__xludf.DUMMYFUNCTION("IFERROR(IF(OR(ISBLANK($G501), IFERROR(INDEX(GOOGLEFINANCE($C501, ""price"", WORKDAY(INT($B501), 20)), 2, 2), """")=""""), """", IF($D501=""LONG"", (IFERROR(INDEX(GOOGLEFINANCE($C501, ""price"", WORKDAY(INT($B501), 20)), 2, 2), """")-$G501)/$G501, ($G501-I"&amp;"FERROR(INDEX(GOOGLEFINANCE($C501, ""price"", WORKDAY(INT($B501), 20)), 2, 2), """"))/$G501)), """")"),"")</f>
        <v/>
      </c>
      <c r="Q501" s="44"/>
      <c r="R501" s="44"/>
      <c r="S501" s="44"/>
      <c r="T501" s="44"/>
      <c r="U501" s="44"/>
      <c r="V501" s="44"/>
      <c r="W501" s="44"/>
      <c r="X501" s="44"/>
      <c r="Y501" s="44"/>
      <c r="Z501" s="44"/>
    </row>
    <row r="502">
      <c r="A502" s="44"/>
      <c r="B502" s="45"/>
      <c r="C502" s="44"/>
      <c r="D502" s="44"/>
      <c r="E502" s="44"/>
      <c r="F502" s="44"/>
      <c r="G502" s="46"/>
      <c r="H502" s="44"/>
      <c r="I502" s="44"/>
      <c r="J502" s="44"/>
      <c r="K502" s="44"/>
      <c r="L502" s="46" t="str">
        <f>IFERROR(__xludf.DUMMYFUNCTION("IFERROR(IF(ISBLANK($C502), """", GOOGLEFINANCE($C502, ""price"")), """")"),"")</f>
        <v/>
      </c>
      <c r="M502" s="47" t="str">
        <f t="shared" si="3"/>
        <v/>
      </c>
      <c r="N502" s="47" t="str">
        <f>IFERROR(__xludf.DUMMYFUNCTION("IFERROR(IF(OR(ISBLANK($G502), IFERROR(INDEX(GOOGLEFINANCE($C502, ""price"", WORKDAY(INT($B502), 1)), 2, 2), """")=""""), """", IF($D502=""LONG"", (IFERROR(INDEX(GOOGLEFINANCE($C502, ""price"", WORKDAY(INT($B502), 1)), 2, 2), """")-$G502)/$G502, ($G502-IFE"&amp;"RROR(INDEX(GOOGLEFINANCE($C502, ""price"", WORKDAY(INT($B502), 1)), 2, 2), """"))/$G502)), """")"),"")</f>
        <v/>
      </c>
      <c r="O502" s="47" t="str">
        <f>IFERROR(__xludf.DUMMYFUNCTION("IFERROR(IF(OR(ISBLANK($G502), IFERROR(INDEX(GOOGLEFINANCE($C502, ""price"", WORKDAY(INT($B502), 5)), 2, 2), """")=""""), """", IF($D502=""LONG"", (IFERROR(INDEX(GOOGLEFINANCE($C502, ""price"", WORKDAY(INT($B502), 5)), 2, 2), """")-$G502)/$G502, ($G502-IFE"&amp;"RROR(INDEX(GOOGLEFINANCE($C502, ""price"", WORKDAY(INT($B502), 5)), 2, 2), """"))/$G502)), """")"),"")</f>
        <v/>
      </c>
      <c r="P502" s="47" t="str">
        <f>IFERROR(__xludf.DUMMYFUNCTION("IFERROR(IF(OR(ISBLANK($G502), IFERROR(INDEX(GOOGLEFINANCE($C502, ""price"", WORKDAY(INT($B502), 20)), 2, 2), """")=""""), """", IF($D502=""LONG"", (IFERROR(INDEX(GOOGLEFINANCE($C502, ""price"", WORKDAY(INT($B502), 20)), 2, 2), """")-$G502)/$G502, ($G502-I"&amp;"FERROR(INDEX(GOOGLEFINANCE($C502, ""price"", WORKDAY(INT($B502), 20)), 2, 2), """"))/$G502)), """")"),"")</f>
        <v/>
      </c>
      <c r="Q502" s="44"/>
      <c r="R502" s="44"/>
      <c r="S502" s="44"/>
      <c r="T502" s="44"/>
      <c r="U502" s="44"/>
      <c r="V502" s="44"/>
      <c r="W502" s="44"/>
      <c r="X502" s="44"/>
      <c r="Y502" s="44"/>
      <c r="Z502" s="44"/>
    </row>
    <row r="503">
      <c r="A503" s="44"/>
      <c r="B503" s="45"/>
      <c r="C503" s="44"/>
      <c r="D503" s="44"/>
      <c r="E503" s="44"/>
      <c r="F503" s="44"/>
      <c r="G503" s="46"/>
      <c r="H503" s="44"/>
      <c r="I503" s="44"/>
      <c r="J503" s="44"/>
      <c r="K503" s="44"/>
      <c r="L503" s="46" t="str">
        <f>IFERROR(__xludf.DUMMYFUNCTION("IFERROR(IF(ISBLANK($C503), """", GOOGLEFINANCE($C503, ""price"")), """")"),"")</f>
        <v/>
      </c>
      <c r="M503" s="47" t="str">
        <f t="shared" si="3"/>
        <v/>
      </c>
      <c r="N503" s="47" t="str">
        <f>IFERROR(__xludf.DUMMYFUNCTION("IFERROR(IF(OR(ISBLANK($G503), IFERROR(INDEX(GOOGLEFINANCE($C503, ""price"", WORKDAY(INT($B503), 1)), 2, 2), """")=""""), """", IF($D503=""LONG"", (IFERROR(INDEX(GOOGLEFINANCE($C503, ""price"", WORKDAY(INT($B503), 1)), 2, 2), """")-$G503)/$G503, ($G503-IFE"&amp;"RROR(INDEX(GOOGLEFINANCE($C503, ""price"", WORKDAY(INT($B503), 1)), 2, 2), """"))/$G503)), """")"),"")</f>
        <v/>
      </c>
      <c r="O503" s="47" t="str">
        <f>IFERROR(__xludf.DUMMYFUNCTION("IFERROR(IF(OR(ISBLANK($G503), IFERROR(INDEX(GOOGLEFINANCE($C503, ""price"", WORKDAY(INT($B503), 5)), 2, 2), """")=""""), """", IF($D503=""LONG"", (IFERROR(INDEX(GOOGLEFINANCE($C503, ""price"", WORKDAY(INT($B503), 5)), 2, 2), """")-$G503)/$G503, ($G503-IFE"&amp;"RROR(INDEX(GOOGLEFINANCE($C503, ""price"", WORKDAY(INT($B503), 5)), 2, 2), """"))/$G503)), """")"),"")</f>
        <v/>
      </c>
      <c r="P503" s="47" t="str">
        <f>IFERROR(__xludf.DUMMYFUNCTION("IFERROR(IF(OR(ISBLANK($G503), IFERROR(INDEX(GOOGLEFINANCE($C503, ""price"", WORKDAY(INT($B503), 20)), 2, 2), """")=""""), """", IF($D503=""LONG"", (IFERROR(INDEX(GOOGLEFINANCE($C503, ""price"", WORKDAY(INT($B503), 20)), 2, 2), """")-$G503)/$G503, ($G503-I"&amp;"FERROR(INDEX(GOOGLEFINANCE($C503, ""price"", WORKDAY(INT($B503), 20)), 2, 2), """"))/$G503)), """")"),"")</f>
        <v/>
      </c>
      <c r="Q503" s="44"/>
      <c r="R503" s="44"/>
      <c r="S503" s="44"/>
      <c r="T503" s="44"/>
      <c r="U503" s="44"/>
      <c r="V503" s="44"/>
      <c r="W503" s="44"/>
      <c r="X503" s="44"/>
      <c r="Y503" s="44"/>
      <c r="Z503" s="44"/>
    </row>
    <row r="504">
      <c r="A504" s="44"/>
      <c r="B504" s="45"/>
      <c r="C504" s="44"/>
      <c r="D504" s="44"/>
      <c r="E504" s="44"/>
      <c r="F504" s="44"/>
      <c r="G504" s="46"/>
      <c r="H504" s="44"/>
      <c r="I504" s="44"/>
      <c r="J504" s="44"/>
      <c r="K504" s="44"/>
      <c r="L504" s="46" t="str">
        <f>IFERROR(__xludf.DUMMYFUNCTION("IFERROR(IF(ISBLANK($C504), """", GOOGLEFINANCE($C504, ""price"")), """")"),"")</f>
        <v/>
      </c>
      <c r="M504" s="47" t="str">
        <f t="shared" si="3"/>
        <v/>
      </c>
      <c r="N504" s="47" t="str">
        <f>IFERROR(__xludf.DUMMYFUNCTION("IFERROR(IF(OR(ISBLANK($G504), IFERROR(INDEX(GOOGLEFINANCE($C504, ""price"", WORKDAY(INT($B504), 1)), 2, 2), """")=""""), """", IF($D504=""LONG"", (IFERROR(INDEX(GOOGLEFINANCE($C504, ""price"", WORKDAY(INT($B504), 1)), 2, 2), """")-$G504)/$G504, ($G504-IFE"&amp;"RROR(INDEX(GOOGLEFINANCE($C504, ""price"", WORKDAY(INT($B504), 1)), 2, 2), """"))/$G504)), """")"),"")</f>
        <v/>
      </c>
      <c r="O504" s="47" t="str">
        <f>IFERROR(__xludf.DUMMYFUNCTION("IFERROR(IF(OR(ISBLANK($G504), IFERROR(INDEX(GOOGLEFINANCE($C504, ""price"", WORKDAY(INT($B504), 5)), 2, 2), """")=""""), """", IF($D504=""LONG"", (IFERROR(INDEX(GOOGLEFINANCE($C504, ""price"", WORKDAY(INT($B504), 5)), 2, 2), """")-$G504)/$G504, ($G504-IFE"&amp;"RROR(INDEX(GOOGLEFINANCE($C504, ""price"", WORKDAY(INT($B504), 5)), 2, 2), """"))/$G504)), """")"),"")</f>
        <v/>
      </c>
      <c r="P504" s="47" t="str">
        <f>IFERROR(__xludf.DUMMYFUNCTION("IFERROR(IF(OR(ISBLANK($G504), IFERROR(INDEX(GOOGLEFINANCE($C504, ""price"", WORKDAY(INT($B504), 20)), 2, 2), """")=""""), """", IF($D504=""LONG"", (IFERROR(INDEX(GOOGLEFINANCE($C504, ""price"", WORKDAY(INT($B504), 20)), 2, 2), """")-$G504)/$G504, ($G504-I"&amp;"FERROR(INDEX(GOOGLEFINANCE($C504, ""price"", WORKDAY(INT($B504), 20)), 2, 2), """"))/$G504)), """")"),"")</f>
        <v/>
      </c>
      <c r="Q504" s="44"/>
      <c r="R504" s="44"/>
      <c r="S504" s="44"/>
      <c r="T504" s="44"/>
      <c r="U504" s="44"/>
      <c r="V504" s="44"/>
      <c r="W504" s="44"/>
      <c r="X504" s="44"/>
      <c r="Y504" s="44"/>
      <c r="Z504" s="44"/>
    </row>
    <row r="505">
      <c r="A505" s="44"/>
      <c r="B505" s="45"/>
      <c r="C505" s="44"/>
      <c r="D505" s="44"/>
      <c r="E505" s="44"/>
      <c r="F505" s="44"/>
      <c r="G505" s="46"/>
      <c r="H505" s="44"/>
      <c r="I505" s="44"/>
      <c r="J505" s="44"/>
      <c r="K505" s="44"/>
      <c r="L505" s="46" t="str">
        <f>IFERROR(__xludf.DUMMYFUNCTION("IFERROR(IF(ISBLANK($C505), """", GOOGLEFINANCE($C505, ""price"")), """")"),"")</f>
        <v/>
      </c>
      <c r="M505" s="47" t="str">
        <f t="shared" si="3"/>
        <v/>
      </c>
      <c r="N505" s="47" t="str">
        <f>IFERROR(__xludf.DUMMYFUNCTION("IFERROR(IF(OR(ISBLANK($G505), IFERROR(INDEX(GOOGLEFINANCE($C505, ""price"", WORKDAY(INT($B505), 1)), 2, 2), """")=""""), """", IF($D505=""LONG"", (IFERROR(INDEX(GOOGLEFINANCE($C505, ""price"", WORKDAY(INT($B505), 1)), 2, 2), """")-$G505)/$G505, ($G505-IFE"&amp;"RROR(INDEX(GOOGLEFINANCE($C505, ""price"", WORKDAY(INT($B505), 1)), 2, 2), """"))/$G505)), """")"),"")</f>
        <v/>
      </c>
      <c r="O505" s="47" t="str">
        <f>IFERROR(__xludf.DUMMYFUNCTION("IFERROR(IF(OR(ISBLANK($G505), IFERROR(INDEX(GOOGLEFINANCE($C505, ""price"", WORKDAY(INT($B505), 5)), 2, 2), """")=""""), """", IF($D505=""LONG"", (IFERROR(INDEX(GOOGLEFINANCE($C505, ""price"", WORKDAY(INT($B505), 5)), 2, 2), """")-$G505)/$G505, ($G505-IFE"&amp;"RROR(INDEX(GOOGLEFINANCE($C505, ""price"", WORKDAY(INT($B505), 5)), 2, 2), """"))/$G505)), """")"),"")</f>
        <v/>
      </c>
      <c r="P505" s="47" t="str">
        <f>IFERROR(__xludf.DUMMYFUNCTION("IFERROR(IF(OR(ISBLANK($G505), IFERROR(INDEX(GOOGLEFINANCE($C505, ""price"", WORKDAY(INT($B505), 20)), 2, 2), """")=""""), """", IF($D505=""LONG"", (IFERROR(INDEX(GOOGLEFINANCE($C505, ""price"", WORKDAY(INT($B505), 20)), 2, 2), """")-$G505)/$G505, ($G505-I"&amp;"FERROR(INDEX(GOOGLEFINANCE($C505, ""price"", WORKDAY(INT($B505), 20)), 2, 2), """"))/$G505)), """")"),"")</f>
        <v/>
      </c>
      <c r="Q505" s="44"/>
      <c r="R505" s="44"/>
      <c r="S505" s="44"/>
      <c r="T505" s="44"/>
      <c r="U505" s="44"/>
      <c r="V505" s="44"/>
      <c r="W505" s="44"/>
      <c r="X505" s="44"/>
      <c r="Y505" s="44"/>
      <c r="Z505" s="44"/>
    </row>
    <row r="506">
      <c r="A506" s="44"/>
      <c r="B506" s="45"/>
      <c r="C506" s="44"/>
      <c r="D506" s="44"/>
      <c r="E506" s="44"/>
      <c r="F506" s="44"/>
      <c r="G506" s="46"/>
      <c r="H506" s="44"/>
      <c r="I506" s="44"/>
      <c r="J506" s="44"/>
      <c r="K506" s="44"/>
      <c r="L506" s="46" t="str">
        <f>IFERROR(__xludf.DUMMYFUNCTION("IFERROR(IF(ISBLANK($C506), """", GOOGLEFINANCE($C506, ""price"")), """")"),"")</f>
        <v/>
      </c>
      <c r="M506" s="47" t="str">
        <f t="shared" si="3"/>
        <v/>
      </c>
      <c r="N506" s="47" t="str">
        <f>IFERROR(__xludf.DUMMYFUNCTION("IFERROR(IF(OR(ISBLANK($G506), IFERROR(INDEX(GOOGLEFINANCE($C506, ""price"", WORKDAY(INT($B506), 1)), 2, 2), """")=""""), """", IF($D506=""LONG"", (IFERROR(INDEX(GOOGLEFINANCE($C506, ""price"", WORKDAY(INT($B506), 1)), 2, 2), """")-$G506)/$G506, ($G506-IFE"&amp;"RROR(INDEX(GOOGLEFINANCE($C506, ""price"", WORKDAY(INT($B506), 1)), 2, 2), """"))/$G506)), """")"),"")</f>
        <v/>
      </c>
      <c r="O506" s="47" t="str">
        <f>IFERROR(__xludf.DUMMYFUNCTION("IFERROR(IF(OR(ISBLANK($G506), IFERROR(INDEX(GOOGLEFINANCE($C506, ""price"", WORKDAY(INT($B506), 5)), 2, 2), """")=""""), """", IF($D506=""LONG"", (IFERROR(INDEX(GOOGLEFINANCE($C506, ""price"", WORKDAY(INT($B506), 5)), 2, 2), """")-$G506)/$G506, ($G506-IFE"&amp;"RROR(INDEX(GOOGLEFINANCE($C506, ""price"", WORKDAY(INT($B506), 5)), 2, 2), """"))/$G506)), """")"),"")</f>
        <v/>
      </c>
      <c r="P506" s="47" t="str">
        <f>IFERROR(__xludf.DUMMYFUNCTION("IFERROR(IF(OR(ISBLANK($G506), IFERROR(INDEX(GOOGLEFINANCE($C506, ""price"", WORKDAY(INT($B506), 20)), 2, 2), """")=""""), """", IF($D506=""LONG"", (IFERROR(INDEX(GOOGLEFINANCE($C506, ""price"", WORKDAY(INT($B506), 20)), 2, 2), """")-$G506)/$G506, ($G506-I"&amp;"FERROR(INDEX(GOOGLEFINANCE($C506, ""price"", WORKDAY(INT($B506), 20)), 2, 2), """"))/$G506)), """")"),"")</f>
        <v/>
      </c>
      <c r="Q506" s="44"/>
      <c r="R506" s="44"/>
      <c r="S506" s="44"/>
      <c r="T506" s="44"/>
      <c r="U506" s="44"/>
      <c r="V506" s="44"/>
      <c r="W506" s="44"/>
      <c r="X506" s="44"/>
      <c r="Y506" s="44"/>
      <c r="Z506" s="44"/>
    </row>
    <row r="507">
      <c r="A507" s="44"/>
      <c r="B507" s="45"/>
      <c r="C507" s="44"/>
      <c r="D507" s="44"/>
      <c r="E507" s="44"/>
      <c r="F507" s="44"/>
      <c r="G507" s="46"/>
      <c r="H507" s="44"/>
      <c r="I507" s="44"/>
      <c r="J507" s="44"/>
      <c r="K507" s="44"/>
      <c r="L507" s="46" t="str">
        <f>IFERROR(__xludf.DUMMYFUNCTION("IFERROR(IF(ISBLANK($C507), """", GOOGLEFINANCE($C507, ""price"")), """")"),"")</f>
        <v/>
      </c>
      <c r="M507" s="47" t="str">
        <f t="shared" si="3"/>
        <v/>
      </c>
      <c r="N507" s="47" t="str">
        <f>IFERROR(__xludf.DUMMYFUNCTION("IFERROR(IF(OR(ISBLANK($G507), IFERROR(INDEX(GOOGLEFINANCE($C507, ""price"", WORKDAY(INT($B507), 1)), 2, 2), """")=""""), """", IF($D507=""LONG"", (IFERROR(INDEX(GOOGLEFINANCE($C507, ""price"", WORKDAY(INT($B507), 1)), 2, 2), """")-$G507)/$G507, ($G507-IFE"&amp;"RROR(INDEX(GOOGLEFINANCE($C507, ""price"", WORKDAY(INT($B507), 1)), 2, 2), """"))/$G507)), """")"),"")</f>
        <v/>
      </c>
      <c r="O507" s="47" t="str">
        <f>IFERROR(__xludf.DUMMYFUNCTION("IFERROR(IF(OR(ISBLANK($G507), IFERROR(INDEX(GOOGLEFINANCE($C507, ""price"", WORKDAY(INT($B507), 5)), 2, 2), """")=""""), """", IF($D507=""LONG"", (IFERROR(INDEX(GOOGLEFINANCE($C507, ""price"", WORKDAY(INT($B507), 5)), 2, 2), """")-$G507)/$G507, ($G507-IFE"&amp;"RROR(INDEX(GOOGLEFINANCE($C507, ""price"", WORKDAY(INT($B507), 5)), 2, 2), """"))/$G507)), """")"),"")</f>
        <v/>
      </c>
      <c r="P507" s="47" t="str">
        <f>IFERROR(__xludf.DUMMYFUNCTION("IFERROR(IF(OR(ISBLANK($G507), IFERROR(INDEX(GOOGLEFINANCE($C507, ""price"", WORKDAY(INT($B507), 20)), 2, 2), """")=""""), """", IF($D507=""LONG"", (IFERROR(INDEX(GOOGLEFINANCE($C507, ""price"", WORKDAY(INT($B507), 20)), 2, 2), """")-$G507)/$G507, ($G507-I"&amp;"FERROR(INDEX(GOOGLEFINANCE($C507, ""price"", WORKDAY(INT($B507), 20)), 2, 2), """"))/$G507)), """")"),"")</f>
        <v/>
      </c>
      <c r="Q507" s="44"/>
      <c r="R507" s="44"/>
      <c r="S507" s="44"/>
      <c r="T507" s="44"/>
      <c r="U507" s="44"/>
      <c r="V507" s="44"/>
      <c r="W507" s="44"/>
      <c r="X507" s="44"/>
      <c r="Y507" s="44"/>
      <c r="Z507" s="44"/>
    </row>
    <row r="508">
      <c r="A508" s="44"/>
      <c r="B508" s="45"/>
      <c r="C508" s="44"/>
      <c r="D508" s="44"/>
      <c r="E508" s="44"/>
      <c r="F508" s="44"/>
      <c r="G508" s="46"/>
      <c r="H508" s="44"/>
      <c r="I508" s="44"/>
      <c r="J508" s="44"/>
      <c r="K508" s="44"/>
      <c r="L508" s="46" t="str">
        <f>IFERROR(__xludf.DUMMYFUNCTION("IFERROR(IF(ISBLANK($C508), """", GOOGLEFINANCE($C508, ""price"")), """")"),"")</f>
        <v/>
      </c>
      <c r="M508" s="47" t="str">
        <f t="shared" si="3"/>
        <v/>
      </c>
      <c r="N508" s="47" t="str">
        <f>IFERROR(__xludf.DUMMYFUNCTION("IFERROR(IF(OR(ISBLANK($G508), IFERROR(INDEX(GOOGLEFINANCE($C508, ""price"", WORKDAY(INT($B508), 1)), 2, 2), """")=""""), """", IF($D508=""LONG"", (IFERROR(INDEX(GOOGLEFINANCE($C508, ""price"", WORKDAY(INT($B508), 1)), 2, 2), """")-$G508)/$G508, ($G508-IFE"&amp;"RROR(INDEX(GOOGLEFINANCE($C508, ""price"", WORKDAY(INT($B508), 1)), 2, 2), """"))/$G508)), """")"),"")</f>
        <v/>
      </c>
      <c r="O508" s="47" t="str">
        <f>IFERROR(__xludf.DUMMYFUNCTION("IFERROR(IF(OR(ISBLANK($G508), IFERROR(INDEX(GOOGLEFINANCE($C508, ""price"", WORKDAY(INT($B508), 5)), 2, 2), """")=""""), """", IF($D508=""LONG"", (IFERROR(INDEX(GOOGLEFINANCE($C508, ""price"", WORKDAY(INT($B508), 5)), 2, 2), """")-$G508)/$G508, ($G508-IFE"&amp;"RROR(INDEX(GOOGLEFINANCE($C508, ""price"", WORKDAY(INT($B508), 5)), 2, 2), """"))/$G508)), """")"),"")</f>
        <v/>
      </c>
      <c r="P508" s="47" t="str">
        <f>IFERROR(__xludf.DUMMYFUNCTION("IFERROR(IF(OR(ISBLANK($G508), IFERROR(INDEX(GOOGLEFINANCE($C508, ""price"", WORKDAY(INT($B508), 20)), 2, 2), """")=""""), """", IF($D508=""LONG"", (IFERROR(INDEX(GOOGLEFINANCE($C508, ""price"", WORKDAY(INT($B508), 20)), 2, 2), """")-$G508)/$G508, ($G508-I"&amp;"FERROR(INDEX(GOOGLEFINANCE($C508, ""price"", WORKDAY(INT($B508), 20)), 2, 2), """"))/$G508)), """")"),"")</f>
        <v/>
      </c>
      <c r="Q508" s="44"/>
      <c r="R508" s="44"/>
      <c r="S508" s="44"/>
      <c r="T508" s="44"/>
      <c r="U508" s="44"/>
      <c r="V508" s="44"/>
      <c r="W508" s="44"/>
      <c r="X508" s="44"/>
      <c r="Y508" s="44"/>
      <c r="Z508" s="44"/>
    </row>
    <row r="509">
      <c r="A509" s="44"/>
      <c r="B509" s="45"/>
      <c r="C509" s="44"/>
      <c r="D509" s="44"/>
      <c r="E509" s="44"/>
      <c r="F509" s="44"/>
      <c r="G509" s="46"/>
      <c r="H509" s="44"/>
      <c r="I509" s="44"/>
      <c r="J509" s="44"/>
      <c r="K509" s="44"/>
      <c r="L509" s="46" t="str">
        <f>IFERROR(__xludf.DUMMYFUNCTION("IFERROR(IF(ISBLANK($C509), """", GOOGLEFINANCE($C509, ""price"")), """")"),"")</f>
        <v/>
      </c>
      <c r="M509" s="47" t="str">
        <f t="shared" si="3"/>
        <v/>
      </c>
      <c r="N509" s="47" t="str">
        <f>IFERROR(__xludf.DUMMYFUNCTION("IFERROR(IF(OR(ISBLANK($G509), IFERROR(INDEX(GOOGLEFINANCE($C509, ""price"", WORKDAY(INT($B509), 1)), 2, 2), """")=""""), """", IF($D509=""LONG"", (IFERROR(INDEX(GOOGLEFINANCE($C509, ""price"", WORKDAY(INT($B509), 1)), 2, 2), """")-$G509)/$G509, ($G509-IFE"&amp;"RROR(INDEX(GOOGLEFINANCE($C509, ""price"", WORKDAY(INT($B509), 1)), 2, 2), """"))/$G509)), """")"),"")</f>
        <v/>
      </c>
      <c r="O509" s="47" t="str">
        <f>IFERROR(__xludf.DUMMYFUNCTION("IFERROR(IF(OR(ISBLANK($G509), IFERROR(INDEX(GOOGLEFINANCE($C509, ""price"", WORKDAY(INT($B509), 5)), 2, 2), """")=""""), """", IF($D509=""LONG"", (IFERROR(INDEX(GOOGLEFINANCE($C509, ""price"", WORKDAY(INT($B509), 5)), 2, 2), """")-$G509)/$G509, ($G509-IFE"&amp;"RROR(INDEX(GOOGLEFINANCE($C509, ""price"", WORKDAY(INT($B509), 5)), 2, 2), """"))/$G509)), """")"),"")</f>
        <v/>
      </c>
      <c r="P509" s="47" t="str">
        <f>IFERROR(__xludf.DUMMYFUNCTION("IFERROR(IF(OR(ISBLANK($G509), IFERROR(INDEX(GOOGLEFINANCE($C509, ""price"", WORKDAY(INT($B509), 20)), 2, 2), """")=""""), """", IF($D509=""LONG"", (IFERROR(INDEX(GOOGLEFINANCE($C509, ""price"", WORKDAY(INT($B509), 20)), 2, 2), """")-$G509)/$G509, ($G509-I"&amp;"FERROR(INDEX(GOOGLEFINANCE($C509, ""price"", WORKDAY(INT($B509), 20)), 2, 2), """"))/$G509)), """")"),"")</f>
        <v/>
      </c>
      <c r="Q509" s="44"/>
      <c r="R509" s="44"/>
      <c r="S509" s="44"/>
      <c r="T509" s="44"/>
      <c r="U509" s="44"/>
      <c r="V509" s="44"/>
      <c r="W509" s="44"/>
      <c r="X509" s="44"/>
      <c r="Y509" s="44"/>
      <c r="Z509" s="44"/>
    </row>
    <row r="510">
      <c r="A510" s="44"/>
      <c r="B510" s="45"/>
      <c r="C510" s="44"/>
      <c r="D510" s="44"/>
      <c r="E510" s="44"/>
      <c r="F510" s="44"/>
      <c r="G510" s="46"/>
      <c r="H510" s="44"/>
      <c r="I510" s="44"/>
      <c r="J510" s="44"/>
      <c r="K510" s="44"/>
      <c r="L510" s="46" t="str">
        <f>IFERROR(__xludf.DUMMYFUNCTION("IFERROR(IF(ISBLANK($C510), """", GOOGLEFINANCE($C510, ""price"")), """")"),"")</f>
        <v/>
      </c>
      <c r="M510" s="47" t="str">
        <f t="shared" si="3"/>
        <v/>
      </c>
      <c r="N510" s="47" t="str">
        <f>IFERROR(__xludf.DUMMYFUNCTION("IFERROR(IF(OR(ISBLANK($G510), IFERROR(INDEX(GOOGLEFINANCE($C510, ""price"", WORKDAY(INT($B510), 1)), 2, 2), """")=""""), """", IF($D510=""LONG"", (IFERROR(INDEX(GOOGLEFINANCE($C510, ""price"", WORKDAY(INT($B510), 1)), 2, 2), """")-$G510)/$G510, ($G510-IFE"&amp;"RROR(INDEX(GOOGLEFINANCE($C510, ""price"", WORKDAY(INT($B510), 1)), 2, 2), """"))/$G510)), """")"),"")</f>
        <v/>
      </c>
      <c r="O510" s="47" t="str">
        <f>IFERROR(__xludf.DUMMYFUNCTION("IFERROR(IF(OR(ISBLANK($G510), IFERROR(INDEX(GOOGLEFINANCE($C510, ""price"", WORKDAY(INT($B510), 5)), 2, 2), """")=""""), """", IF($D510=""LONG"", (IFERROR(INDEX(GOOGLEFINANCE($C510, ""price"", WORKDAY(INT($B510), 5)), 2, 2), """")-$G510)/$G510, ($G510-IFE"&amp;"RROR(INDEX(GOOGLEFINANCE($C510, ""price"", WORKDAY(INT($B510), 5)), 2, 2), """"))/$G510)), """")"),"")</f>
        <v/>
      </c>
      <c r="P510" s="47" t="str">
        <f>IFERROR(__xludf.DUMMYFUNCTION("IFERROR(IF(OR(ISBLANK($G510), IFERROR(INDEX(GOOGLEFINANCE($C510, ""price"", WORKDAY(INT($B510), 20)), 2, 2), """")=""""), """", IF($D510=""LONG"", (IFERROR(INDEX(GOOGLEFINANCE($C510, ""price"", WORKDAY(INT($B510), 20)), 2, 2), """")-$G510)/$G510, ($G510-I"&amp;"FERROR(INDEX(GOOGLEFINANCE($C510, ""price"", WORKDAY(INT($B510), 20)), 2, 2), """"))/$G510)), """")"),"")</f>
        <v/>
      </c>
      <c r="Q510" s="44"/>
      <c r="R510" s="44"/>
      <c r="S510" s="44"/>
      <c r="T510" s="44"/>
      <c r="U510" s="44"/>
      <c r="V510" s="44"/>
      <c r="W510" s="44"/>
      <c r="X510" s="44"/>
      <c r="Y510" s="44"/>
      <c r="Z510" s="44"/>
    </row>
    <row r="511">
      <c r="A511" s="44"/>
      <c r="B511" s="45"/>
      <c r="C511" s="44"/>
      <c r="D511" s="44"/>
      <c r="E511" s="44"/>
      <c r="F511" s="44"/>
      <c r="G511" s="46"/>
      <c r="H511" s="44"/>
      <c r="I511" s="44"/>
      <c r="J511" s="44"/>
      <c r="K511" s="44"/>
      <c r="L511" s="46" t="str">
        <f>IFERROR(__xludf.DUMMYFUNCTION("IFERROR(IF(ISBLANK($C511), """", GOOGLEFINANCE($C511, ""price"")), """")"),"")</f>
        <v/>
      </c>
      <c r="M511" s="47" t="str">
        <f t="shared" si="3"/>
        <v/>
      </c>
      <c r="N511" s="47" t="str">
        <f>IFERROR(__xludf.DUMMYFUNCTION("IFERROR(IF(OR(ISBLANK($G511), IFERROR(INDEX(GOOGLEFINANCE($C511, ""price"", WORKDAY(INT($B511), 1)), 2, 2), """")=""""), """", IF($D511=""LONG"", (IFERROR(INDEX(GOOGLEFINANCE($C511, ""price"", WORKDAY(INT($B511), 1)), 2, 2), """")-$G511)/$G511, ($G511-IFE"&amp;"RROR(INDEX(GOOGLEFINANCE($C511, ""price"", WORKDAY(INT($B511), 1)), 2, 2), """"))/$G511)), """")"),"")</f>
        <v/>
      </c>
      <c r="O511" s="47" t="str">
        <f>IFERROR(__xludf.DUMMYFUNCTION("IFERROR(IF(OR(ISBLANK($G511), IFERROR(INDEX(GOOGLEFINANCE($C511, ""price"", WORKDAY(INT($B511), 5)), 2, 2), """")=""""), """", IF($D511=""LONG"", (IFERROR(INDEX(GOOGLEFINANCE($C511, ""price"", WORKDAY(INT($B511), 5)), 2, 2), """")-$G511)/$G511, ($G511-IFE"&amp;"RROR(INDEX(GOOGLEFINANCE($C511, ""price"", WORKDAY(INT($B511), 5)), 2, 2), """"))/$G511)), """")"),"")</f>
        <v/>
      </c>
      <c r="P511" s="47" t="str">
        <f>IFERROR(__xludf.DUMMYFUNCTION("IFERROR(IF(OR(ISBLANK($G511), IFERROR(INDEX(GOOGLEFINANCE($C511, ""price"", WORKDAY(INT($B511), 20)), 2, 2), """")=""""), """", IF($D511=""LONG"", (IFERROR(INDEX(GOOGLEFINANCE($C511, ""price"", WORKDAY(INT($B511), 20)), 2, 2), """")-$G511)/$G511, ($G511-I"&amp;"FERROR(INDEX(GOOGLEFINANCE($C511, ""price"", WORKDAY(INT($B511), 20)), 2, 2), """"))/$G511)), """")"),"")</f>
        <v/>
      </c>
      <c r="Q511" s="44"/>
      <c r="R511" s="44"/>
      <c r="S511" s="44"/>
      <c r="T511" s="44"/>
      <c r="U511" s="44"/>
      <c r="V511" s="44"/>
      <c r="W511" s="44"/>
      <c r="X511" s="44"/>
      <c r="Y511" s="44"/>
      <c r="Z511" s="44"/>
    </row>
    <row r="512">
      <c r="A512" s="44"/>
      <c r="B512" s="45"/>
      <c r="C512" s="44"/>
      <c r="D512" s="44"/>
      <c r="E512" s="44"/>
      <c r="F512" s="44"/>
      <c r="G512" s="46"/>
      <c r="H512" s="44"/>
      <c r="I512" s="44"/>
      <c r="J512" s="44"/>
      <c r="K512" s="44"/>
      <c r="L512" s="46" t="str">
        <f>IFERROR(__xludf.DUMMYFUNCTION("IFERROR(IF(ISBLANK($C512), """", GOOGLEFINANCE($C512, ""price"")), """")"),"")</f>
        <v/>
      </c>
      <c r="M512" s="47" t="str">
        <f t="shared" si="3"/>
        <v/>
      </c>
      <c r="N512" s="47" t="str">
        <f>IFERROR(__xludf.DUMMYFUNCTION("IFERROR(IF(OR(ISBLANK($G512), IFERROR(INDEX(GOOGLEFINANCE($C512, ""price"", WORKDAY(INT($B512), 1)), 2, 2), """")=""""), """", IF($D512=""LONG"", (IFERROR(INDEX(GOOGLEFINANCE($C512, ""price"", WORKDAY(INT($B512), 1)), 2, 2), """")-$G512)/$G512, ($G512-IFE"&amp;"RROR(INDEX(GOOGLEFINANCE($C512, ""price"", WORKDAY(INT($B512), 1)), 2, 2), """"))/$G512)), """")"),"")</f>
        <v/>
      </c>
      <c r="O512" s="47" t="str">
        <f>IFERROR(__xludf.DUMMYFUNCTION("IFERROR(IF(OR(ISBLANK($G512), IFERROR(INDEX(GOOGLEFINANCE($C512, ""price"", WORKDAY(INT($B512), 5)), 2, 2), """")=""""), """", IF($D512=""LONG"", (IFERROR(INDEX(GOOGLEFINANCE($C512, ""price"", WORKDAY(INT($B512), 5)), 2, 2), """")-$G512)/$G512, ($G512-IFE"&amp;"RROR(INDEX(GOOGLEFINANCE($C512, ""price"", WORKDAY(INT($B512), 5)), 2, 2), """"))/$G512)), """")"),"")</f>
        <v/>
      </c>
      <c r="P512" s="47" t="str">
        <f>IFERROR(__xludf.DUMMYFUNCTION("IFERROR(IF(OR(ISBLANK($G512), IFERROR(INDEX(GOOGLEFINANCE($C512, ""price"", WORKDAY(INT($B512), 20)), 2, 2), """")=""""), """", IF($D512=""LONG"", (IFERROR(INDEX(GOOGLEFINANCE($C512, ""price"", WORKDAY(INT($B512), 20)), 2, 2), """")-$G512)/$G512, ($G512-I"&amp;"FERROR(INDEX(GOOGLEFINANCE($C512, ""price"", WORKDAY(INT($B512), 20)), 2, 2), """"))/$G512)), """")"),"")</f>
        <v/>
      </c>
      <c r="Q512" s="44"/>
      <c r="R512" s="44"/>
      <c r="S512" s="44"/>
      <c r="T512" s="44"/>
      <c r="U512" s="44"/>
      <c r="V512" s="44"/>
      <c r="W512" s="44"/>
      <c r="X512" s="44"/>
      <c r="Y512" s="44"/>
      <c r="Z512" s="44"/>
    </row>
    <row r="513">
      <c r="A513" s="44"/>
      <c r="B513" s="45"/>
      <c r="C513" s="44"/>
      <c r="D513" s="44"/>
      <c r="E513" s="44"/>
      <c r="F513" s="44"/>
      <c r="G513" s="46"/>
      <c r="H513" s="44"/>
      <c r="I513" s="44"/>
      <c r="J513" s="44"/>
      <c r="K513" s="44"/>
      <c r="L513" s="46" t="str">
        <f>IFERROR(__xludf.DUMMYFUNCTION("IFERROR(IF(ISBLANK($C513), """", GOOGLEFINANCE($C513, ""price"")), """")"),"")</f>
        <v/>
      </c>
      <c r="M513" s="47" t="str">
        <f t="shared" si="3"/>
        <v/>
      </c>
      <c r="N513" s="47" t="str">
        <f>IFERROR(__xludf.DUMMYFUNCTION("IFERROR(IF(OR(ISBLANK($G513), IFERROR(INDEX(GOOGLEFINANCE($C513, ""price"", WORKDAY(INT($B513), 1)), 2, 2), """")=""""), """", IF($D513=""LONG"", (IFERROR(INDEX(GOOGLEFINANCE($C513, ""price"", WORKDAY(INT($B513), 1)), 2, 2), """")-$G513)/$G513, ($G513-IFE"&amp;"RROR(INDEX(GOOGLEFINANCE($C513, ""price"", WORKDAY(INT($B513), 1)), 2, 2), """"))/$G513)), """")"),"")</f>
        <v/>
      </c>
      <c r="O513" s="47" t="str">
        <f>IFERROR(__xludf.DUMMYFUNCTION("IFERROR(IF(OR(ISBLANK($G513), IFERROR(INDEX(GOOGLEFINANCE($C513, ""price"", WORKDAY(INT($B513), 5)), 2, 2), """")=""""), """", IF($D513=""LONG"", (IFERROR(INDEX(GOOGLEFINANCE($C513, ""price"", WORKDAY(INT($B513), 5)), 2, 2), """")-$G513)/$G513, ($G513-IFE"&amp;"RROR(INDEX(GOOGLEFINANCE($C513, ""price"", WORKDAY(INT($B513), 5)), 2, 2), """"))/$G513)), """")"),"")</f>
        <v/>
      </c>
      <c r="P513" s="47" t="str">
        <f>IFERROR(__xludf.DUMMYFUNCTION("IFERROR(IF(OR(ISBLANK($G513), IFERROR(INDEX(GOOGLEFINANCE($C513, ""price"", WORKDAY(INT($B513), 20)), 2, 2), """")=""""), """", IF($D513=""LONG"", (IFERROR(INDEX(GOOGLEFINANCE($C513, ""price"", WORKDAY(INT($B513), 20)), 2, 2), """")-$G513)/$G513, ($G513-I"&amp;"FERROR(INDEX(GOOGLEFINANCE($C513, ""price"", WORKDAY(INT($B513), 20)), 2, 2), """"))/$G513)), """")"),"")</f>
        <v/>
      </c>
      <c r="Q513" s="44"/>
      <c r="R513" s="44"/>
      <c r="S513" s="44"/>
      <c r="T513" s="44"/>
      <c r="U513" s="44"/>
      <c r="V513" s="44"/>
      <c r="W513" s="44"/>
      <c r="X513" s="44"/>
      <c r="Y513" s="44"/>
      <c r="Z513" s="44"/>
    </row>
    <row r="514">
      <c r="A514" s="44"/>
      <c r="B514" s="45"/>
      <c r="C514" s="44"/>
      <c r="D514" s="44"/>
      <c r="E514" s="44"/>
      <c r="F514" s="44"/>
      <c r="G514" s="46"/>
      <c r="H514" s="44"/>
      <c r="I514" s="44"/>
      <c r="J514" s="44"/>
      <c r="K514" s="44"/>
      <c r="L514" s="46" t="str">
        <f>IFERROR(__xludf.DUMMYFUNCTION("IFERROR(IF(ISBLANK($C514), """", GOOGLEFINANCE($C514, ""price"")), """")"),"")</f>
        <v/>
      </c>
      <c r="M514" s="47" t="str">
        <f t="shared" si="3"/>
        <v/>
      </c>
      <c r="N514" s="47" t="str">
        <f>IFERROR(__xludf.DUMMYFUNCTION("IFERROR(IF(OR(ISBLANK($G514), IFERROR(INDEX(GOOGLEFINANCE($C514, ""price"", WORKDAY(INT($B514), 1)), 2, 2), """")=""""), """", IF($D514=""LONG"", (IFERROR(INDEX(GOOGLEFINANCE($C514, ""price"", WORKDAY(INT($B514), 1)), 2, 2), """")-$G514)/$G514, ($G514-IFE"&amp;"RROR(INDEX(GOOGLEFINANCE($C514, ""price"", WORKDAY(INT($B514), 1)), 2, 2), """"))/$G514)), """")"),"")</f>
        <v/>
      </c>
      <c r="O514" s="47" t="str">
        <f>IFERROR(__xludf.DUMMYFUNCTION("IFERROR(IF(OR(ISBLANK($G514), IFERROR(INDEX(GOOGLEFINANCE($C514, ""price"", WORKDAY(INT($B514), 5)), 2, 2), """")=""""), """", IF($D514=""LONG"", (IFERROR(INDEX(GOOGLEFINANCE($C514, ""price"", WORKDAY(INT($B514), 5)), 2, 2), """")-$G514)/$G514, ($G514-IFE"&amp;"RROR(INDEX(GOOGLEFINANCE($C514, ""price"", WORKDAY(INT($B514), 5)), 2, 2), """"))/$G514)), """")"),"")</f>
        <v/>
      </c>
      <c r="P514" s="47" t="str">
        <f>IFERROR(__xludf.DUMMYFUNCTION("IFERROR(IF(OR(ISBLANK($G514), IFERROR(INDEX(GOOGLEFINANCE($C514, ""price"", WORKDAY(INT($B514), 20)), 2, 2), """")=""""), """", IF($D514=""LONG"", (IFERROR(INDEX(GOOGLEFINANCE($C514, ""price"", WORKDAY(INT($B514), 20)), 2, 2), """")-$G514)/$G514, ($G514-I"&amp;"FERROR(INDEX(GOOGLEFINANCE($C514, ""price"", WORKDAY(INT($B514), 20)), 2, 2), """"))/$G514)), """")"),"")</f>
        <v/>
      </c>
      <c r="Q514" s="44"/>
      <c r="R514" s="44"/>
      <c r="S514" s="44"/>
      <c r="T514" s="44"/>
      <c r="U514" s="44"/>
      <c r="V514" s="44"/>
      <c r="W514" s="44"/>
      <c r="X514" s="44"/>
      <c r="Y514" s="44"/>
      <c r="Z514" s="44"/>
    </row>
    <row r="515">
      <c r="A515" s="44"/>
      <c r="B515" s="45"/>
      <c r="C515" s="44"/>
      <c r="D515" s="44"/>
      <c r="E515" s="44"/>
      <c r="F515" s="44"/>
      <c r="G515" s="46"/>
      <c r="H515" s="44"/>
      <c r="I515" s="44"/>
      <c r="J515" s="44"/>
      <c r="K515" s="44"/>
      <c r="L515" s="46" t="str">
        <f>IFERROR(__xludf.DUMMYFUNCTION("IFERROR(IF(ISBLANK($C515), """", GOOGLEFINANCE($C515, ""price"")), """")"),"")</f>
        <v/>
      </c>
      <c r="M515" s="47" t="str">
        <f t="shared" si="3"/>
        <v/>
      </c>
      <c r="N515" s="47" t="str">
        <f>IFERROR(__xludf.DUMMYFUNCTION("IFERROR(IF(OR(ISBLANK($G515), IFERROR(INDEX(GOOGLEFINANCE($C515, ""price"", WORKDAY(INT($B515), 1)), 2, 2), """")=""""), """", IF($D515=""LONG"", (IFERROR(INDEX(GOOGLEFINANCE($C515, ""price"", WORKDAY(INT($B515), 1)), 2, 2), """")-$G515)/$G515, ($G515-IFE"&amp;"RROR(INDEX(GOOGLEFINANCE($C515, ""price"", WORKDAY(INT($B515), 1)), 2, 2), """"))/$G515)), """")"),"")</f>
        <v/>
      </c>
      <c r="O515" s="47" t="str">
        <f>IFERROR(__xludf.DUMMYFUNCTION("IFERROR(IF(OR(ISBLANK($G515), IFERROR(INDEX(GOOGLEFINANCE($C515, ""price"", WORKDAY(INT($B515), 5)), 2, 2), """")=""""), """", IF($D515=""LONG"", (IFERROR(INDEX(GOOGLEFINANCE($C515, ""price"", WORKDAY(INT($B515), 5)), 2, 2), """")-$G515)/$G515, ($G515-IFE"&amp;"RROR(INDEX(GOOGLEFINANCE($C515, ""price"", WORKDAY(INT($B515), 5)), 2, 2), """"))/$G515)), """")"),"")</f>
        <v/>
      </c>
      <c r="P515" s="47" t="str">
        <f>IFERROR(__xludf.DUMMYFUNCTION("IFERROR(IF(OR(ISBLANK($G515), IFERROR(INDEX(GOOGLEFINANCE($C515, ""price"", WORKDAY(INT($B515), 20)), 2, 2), """")=""""), """", IF($D515=""LONG"", (IFERROR(INDEX(GOOGLEFINANCE($C515, ""price"", WORKDAY(INT($B515), 20)), 2, 2), """")-$G515)/$G515, ($G515-I"&amp;"FERROR(INDEX(GOOGLEFINANCE($C515, ""price"", WORKDAY(INT($B515), 20)), 2, 2), """"))/$G515)), """")"),"")</f>
        <v/>
      </c>
      <c r="Q515" s="44"/>
      <c r="R515" s="44"/>
      <c r="S515" s="44"/>
      <c r="T515" s="44"/>
      <c r="U515" s="44"/>
      <c r="V515" s="44"/>
      <c r="W515" s="44"/>
      <c r="X515" s="44"/>
      <c r="Y515" s="44"/>
      <c r="Z515" s="44"/>
    </row>
    <row r="516">
      <c r="A516" s="44"/>
      <c r="B516" s="45"/>
      <c r="C516" s="44"/>
      <c r="D516" s="44"/>
      <c r="E516" s="44"/>
      <c r="F516" s="44"/>
      <c r="G516" s="46"/>
      <c r="H516" s="44"/>
      <c r="I516" s="44"/>
      <c r="J516" s="44"/>
      <c r="K516" s="44"/>
      <c r="L516" s="46" t="str">
        <f>IFERROR(__xludf.DUMMYFUNCTION("IFERROR(IF(ISBLANK($C516), """", GOOGLEFINANCE($C516, ""price"")), """")"),"")</f>
        <v/>
      </c>
      <c r="M516" s="47" t="str">
        <f t="shared" si="3"/>
        <v/>
      </c>
      <c r="N516" s="47" t="str">
        <f>IFERROR(__xludf.DUMMYFUNCTION("IFERROR(IF(OR(ISBLANK($G516), IFERROR(INDEX(GOOGLEFINANCE($C516, ""price"", WORKDAY(INT($B516), 1)), 2, 2), """")=""""), """", IF($D516=""LONG"", (IFERROR(INDEX(GOOGLEFINANCE($C516, ""price"", WORKDAY(INT($B516), 1)), 2, 2), """")-$G516)/$G516, ($G516-IFE"&amp;"RROR(INDEX(GOOGLEFINANCE($C516, ""price"", WORKDAY(INT($B516), 1)), 2, 2), """"))/$G516)), """")"),"")</f>
        <v/>
      </c>
      <c r="O516" s="47" t="str">
        <f>IFERROR(__xludf.DUMMYFUNCTION("IFERROR(IF(OR(ISBLANK($G516), IFERROR(INDEX(GOOGLEFINANCE($C516, ""price"", WORKDAY(INT($B516), 5)), 2, 2), """")=""""), """", IF($D516=""LONG"", (IFERROR(INDEX(GOOGLEFINANCE($C516, ""price"", WORKDAY(INT($B516), 5)), 2, 2), """")-$G516)/$G516, ($G516-IFE"&amp;"RROR(INDEX(GOOGLEFINANCE($C516, ""price"", WORKDAY(INT($B516), 5)), 2, 2), """"))/$G516)), """")"),"")</f>
        <v/>
      </c>
      <c r="P516" s="47" t="str">
        <f>IFERROR(__xludf.DUMMYFUNCTION("IFERROR(IF(OR(ISBLANK($G516), IFERROR(INDEX(GOOGLEFINANCE($C516, ""price"", WORKDAY(INT($B516), 20)), 2, 2), """")=""""), """", IF($D516=""LONG"", (IFERROR(INDEX(GOOGLEFINANCE($C516, ""price"", WORKDAY(INT($B516), 20)), 2, 2), """")-$G516)/$G516, ($G516-I"&amp;"FERROR(INDEX(GOOGLEFINANCE($C516, ""price"", WORKDAY(INT($B516), 20)), 2, 2), """"))/$G516)), """")"),"")</f>
        <v/>
      </c>
      <c r="Q516" s="44"/>
      <c r="R516" s="44"/>
      <c r="S516" s="44"/>
      <c r="T516" s="44"/>
      <c r="U516" s="44"/>
      <c r="V516" s="44"/>
      <c r="W516" s="44"/>
      <c r="X516" s="44"/>
      <c r="Y516" s="44"/>
      <c r="Z516" s="44"/>
    </row>
    <row r="517">
      <c r="A517" s="44"/>
      <c r="B517" s="45"/>
      <c r="C517" s="44"/>
      <c r="D517" s="44"/>
      <c r="E517" s="44"/>
      <c r="F517" s="44"/>
      <c r="G517" s="46"/>
      <c r="H517" s="44"/>
      <c r="I517" s="44"/>
      <c r="J517" s="44"/>
      <c r="K517" s="44"/>
      <c r="L517" s="46" t="str">
        <f>IFERROR(__xludf.DUMMYFUNCTION("IFERROR(IF(ISBLANK($C517), """", GOOGLEFINANCE($C517, ""price"")), """")"),"")</f>
        <v/>
      </c>
      <c r="M517" s="47" t="str">
        <f t="shared" si="3"/>
        <v/>
      </c>
      <c r="N517" s="47" t="str">
        <f>IFERROR(__xludf.DUMMYFUNCTION("IFERROR(IF(OR(ISBLANK($G517), IFERROR(INDEX(GOOGLEFINANCE($C517, ""price"", WORKDAY(INT($B517), 1)), 2, 2), """")=""""), """", IF($D517=""LONG"", (IFERROR(INDEX(GOOGLEFINANCE($C517, ""price"", WORKDAY(INT($B517), 1)), 2, 2), """")-$G517)/$G517, ($G517-IFE"&amp;"RROR(INDEX(GOOGLEFINANCE($C517, ""price"", WORKDAY(INT($B517), 1)), 2, 2), """"))/$G517)), """")"),"")</f>
        <v/>
      </c>
      <c r="O517" s="47" t="str">
        <f>IFERROR(__xludf.DUMMYFUNCTION("IFERROR(IF(OR(ISBLANK($G517), IFERROR(INDEX(GOOGLEFINANCE($C517, ""price"", WORKDAY(INT($B517), 5)), 2, 2), """")=""""), """", IF($D517=""LONG"", (IFERROR(INDEX(GOOGLEFINANCE($C517, ""price"", WORKDAY(INT($B517), 5)), 2, 2), """")-$G517)/$G517, ($G517-IFE"&amp;"RROR(INDEX(GOOGLEFINANCE($C517, ""price"", WORKDAY(INT($B517), 5)), 2, 2), """"))/$G517)), """")"),"")</f>
        <v/>
      </c>
      <c r="P517" s="47" t="str">
        <f>IFERROR(__xludf.DUMMYFUNCTION("IFERROR(IF(OR(ISBLANK($G517), IFERROR(INDEX(GOOGLEFINANCE($C517, ""price"", WORKDAY(INT($B517), 20)), 2, 2), """")=""""), """", IF($D517=""LONG"", (IFERROR(INDEX(GOOGLEFINANCE($C517, ""price"", WORKDAY(INT($B517), 20)), 2, 2), """")-$G517)/$G517, ($G517-I"&amp;"FERROR(INDEX(GOOGLEFINANCE($C517, ""price"", WORKDAY(INT($B517), 20)), 2, 2), """"))/$G517)), """")"),"")</f>
        <v/>
      </c>
      <c r="Q517" s="44"/>
      <c r="R517" s="44"/>
      <c r="S517" s="44"/>
      <c r="T517" s="44"/>
      <c r="U517" s="44"/>
      <c r="V517" s="44"/>
      <c r="W517" s="44"/>
      <c r="X517" s="44"/>
      <c r="Y517" s="44"/>
      <c r="Z517" s="44"/>
    </row>
    <row r="518">
      <c r="A518" s="44"/>
      <c r="B518" s="45"/>
      <c r="C518" s="44"/>
      <c r="D518" s="44"/>
      <c r="E518" s="44"/>
      <c r="F518" s="44"/>
      <c r="G518" s="46"/>
      <c r="H518" s="44"/>
      <c r="I518" s="44"/>
      <c r="J518" s="44"/>
      <c r="K518" s="44"/>
      <c r="L518" s="46" t="str">
        <f>IFERROR(__xludf.DUMMYFUNCTION("IFERROR(IF(ISBLANK($C518), """", GOOGLEFINANCE($C518, ""price"")), """")"),"")</f>
        <v/>
      </c>
      <c r="M518" s="47" t="str">
        <f t="shared" si="3"/>
        <v/>
      </c>
      <c r="N518" s="47" t="str">
        <f>IFERROR(__xludf.DUMMYFUNCTION("IFERROR(IF(OR(ISBLANK($G518), IFERROR(INDEX(GOOGLEFINANCE($C518, ""price"", WORKDAY(INT($B518), 1)), 2, 2), """")=""""), """", IF($D518=""LONG"", (IFERROR(INDEX(GOOGLEFINANCE($C518, ""price"", WORKDAY(INT($B518), 1)), 2, 2), """")-$G518)/$G518, ($G518-IFE"&amp;"RROR(INDEX(GOOGLEFINANCE($C518, ""price"", WORKDAY(INT($B518), 1)), 2, 2), """"))/$G518)), """")"),"")</f>
        <v/>
      </c>
      <c r="O518" s="47" t="str">
        <f>IFERROR(__xludf.DUMMYFUNCTION("IFERROR(IF(OR(ISBLANK($G518), IFERROR(INDEX(GOOGLEFINANCE($C518, ""price"", WORKDAY(INT($B518), 5)), 2, 2), """")=""""), """", IF($D518=""LONG"", (IFERROR(INDEX(GOOGLEFINANCE($C518, ""price"", WORKDAY(INT($B518), 5)), 2, 2), """")-$G518)/$G518, ($G518-IFE"&amp;"RROR(INDEX(GOOGLEFINANCE($C518, ""price"", WORKDAY(INT($B518), 5)), 2, 2), """"))/$G518)), """")"),"")</f>
        <v/>
      </c>
      <c r="P518" s="47" t="str">
        <f>IFERROR(__xludf.DUMMYFUNCTION("IFERROR(IF(OR(ISBLANK($G518), IFERROR(INDEX(GOOGLEFINANCE($C518, ""price"", WORKDAY(INT($B518), 20)), 2, 2), """")=""""), """", IF($D518=""LONG"", (IFERROR(INDEX(GOOGLEFINANCE($C518, ""price"", WORKDAY(INT($B518), 20)), 2, 2), """")-$G518)/$G518, ($G518-I"&amp;"FERROR(INDEX(GOOGLEFINANCE($C518, ""price"", WORKDAY(INT($B518), 20)), 2, 2), """"))/$G518)), """")"),"")</f>
        <v/>
      </c>
      <c r="Q518" s="44"/>
      <c r="R518" s="44"/>
      <c r="S518" s="44"/>
      <c r="T518" s="44"/>
      <c r="U518" s="44"/>
      <c r="V518" s="44"/>
      <c r="W518" s="44"/>
      <c r="X518" s="44"/>
      <c r="Y518" s="44"/>
      <c r="Z518" s="44"/>
    </row>
    <row r="519">
      <c r="A519" s="44"/>
      <c r="B519" s="45"/>
      <c r="C519" s="44"/>
      <c r="D519" s="44"/>
      <c r="E519" s="44"/>
      <c r="F519" s="44"/>
      <c r="G519" s="46"/>
      <c r="H519" s="44"/>
      <c r="I519" s="44"/>
      <c r="J519" s="44"/>
      <c r="K519" s="44"/>
      <c r="L519" s="46" t="str">
        <f>IFERROR(__xludf.DUMMYFUNCTION("IFERROR(IF(ISBLANK($C519), """", GOOGLEFINANCE($C519, ""price"")), """")"),"")</f>
        <v/>
      </c>
      <c r="M519" s="47" t="str">
        <f t="shared" si="3"/>
        <v/>
      </c>
      <c r="N519" s="47" t="str">
        <f>IFERROR(__xludf.DUMMYFUNCTION("IFERROR(IF(OR(ISBLANK($G519), IFERROR(INDEX(GOOGLEFINANCE($C519, ""price"", WORKDAY(INT($B519), 1)), 2, 2), """")=""""), """", IF($D519=""LONG"", (IFERROR(INDEX(GOOGLEFINANCE($C519, ""price"", WORKDAY(INT($B519), 1)), 2, 2), """")-$G519)/$G519, ($G519-IFE"&amp;"RROR(INDEX(GOOGLEFINANCE($C519, ""price"", WORKDAY(INT($B519), 1)), 2, 2), """"))/$G519)), """")"),"")</f>
        <v/>
      </c>
      <c r="O519" s="47" t="str">
        <f>IFERROR(__xludf.DUMMYFUNCTION("IFERROR(IF(OR(ISBLANK($G519), IFERROR(INDEX(GOOGLEFINANCE($C519, ""price"", WORKDAY(INT($B519), 5)), 2, 2), """")=""""), """", IF($D519=""LONG"", (IFERROR(INDEX(GOOGLEFINANCE($C519, ""price"", WORKDAY(INT($B519), 5)), 2, 2), """")-$G519)/$G519, ($G519-IFE"&amp;"RROR(INDEX(GOOGLEFINANCE($C519, ""price"", WORKDAY(INT($B519), 5)), 2, 2), """"))/$G519)), """")"),"")</f>
        <v/>
      </c>
      <c r="P519" s="47" t="str">
        <f>IFERROR(__xludf.DUMMYFUNCTION("IFERROR(IF(OR(ISBLANK($G519), IFERROR(INDEX(GOOGLEFINANCE($C519, ""price"", WORKDAY(INT($B519), 20)), 2, 2), """")=""""), """", IF($D519=""LONG"", (IFERROR(INDEX(GOOGLEFINANCE($C519, ""price"", WORKDAY(INT($B519), 20)), 2, 2), """")-$G519)/$G519, ($G519-I"&amp;"FERROR(INDEX(GOOGLEFINANCE($C519, ""price"", WORKDAY(INT($B519), 20)), 2, 2), """"))/$G519)), """")"),"")</f>
        <v/>
      </c>
      <c r="Q519" s="44"/>
      <c r="R519" s="44"/>
      <c r="S519" s="44"/>
      <c r="T519" s="44"/>
      <c r="U519" s="44"/>
      <c r="V519" s="44"/>
      <c r="W519" s="44"/>
      <c r="X519" s="44"/>
      <c r="Y519" s="44"/>
      <c r="Z519" s="44"/>
    </row>
    <row r="520">
      <c r="A520" s="44"/>
      <c r="B520" s="45"/>
      <c r="C520" s="44"/>
      <c r="D520" s="44"/>
      <c r="E520" s="44"/>
      <c r="F520" s="44"/>
      <c r="G520" s="46"/>
      <c r="H520" s="44"/>
      <c r="I520" s="44"/>
      <c r="J520" s="44"/>
      <c r="K520" s="44"/>
      <c r="L520" s="46" t="str">
        <f>IFERROR(__xludf.DUMMYFUNCTION("IFERROR(IF(ISBLANK($C520), """", GOOGLEFINANCE($C520, ""price"")), """")"),"")</f>
        <v/>
      </c>
      <c r="M520" s="47" t="str">
        <f t="shared" si="3"/>
        <v/>
      </c>
      <c r="N520" s="47" t="str">
        <f>IFERROR(__xludf.DUMMYFUNCTION("IFERROR(IF(OR(ISBLANK($G520), IFERROR(INDEX(GOOGLEFINANCE($C520, ""price"", WORKDAY(INT($B520), 1)), 2, 2), """")=""""), """", IF($D520=""LONG"", (IFERROR(INDEX(GOOGLEFINANCE($C520, ""price"", WORKDAY(INT($B520), 1)), 2, 2), """")-$G520)/$G520, ($G520-IFE"&amp;"RROR(INDEX(GOOGLEFINANCE($C520, ""price"", WORKDAY(INT($B520), 1)), 2, 2), """"))/$G520)), """")"),"")</f>
        <v/>
      </c>
      <c r="O520" s="47" t="str">
        <f>IFERROR(__xludf.DUMMYFUNCTION("IFERROR(IF(OR(ISBLANK($G520), IFERROR(INDEX(GOOGLEFINANCE($C520, ""price"", WORKDAY(INT($B520), 5)), 2, 2), """")=""""), """", IF($D520=""LONG"", (IFERROR(INDEX(GOOGLEFINANCE($C520, ""price"", WORKDAY(INT($B520), 5)), 2, 2), """")-$G520)/$G520, ($G520-IFE"&amp;"RROR(INDEX(GOOGLEFINANCE($C520, ""price"", WORKDAY(INT($B520), 5)), 2, 2), """"))/$G520)), """")"),"")</f>
        <v/>
      </c>
      <c r="P520" s="47" t="str">
        <f>IFERROR(__xludf.DUMMYFUNCTION("IFERROR(IF(OR(ISBLANK($G520), IFERROR(INDEX(GOOGLEFINANCE($C520, ""price"", WORKDAY(INT($B520), 20)), 2, 2), """")=""""), """", IF($D520=""LONG"", (IFERROR(INDEX(GOOGLEFINANCE($C520, ""price"", WORKDAY(INT($B520), 20)), 2, 2), """")-$G520)/$G520, ($G520-I"&amp;"FERROR(INDEX(GOOGLEFINANCE($C520, ""price"", WORKDAY(INT($B520), 20)), 2, 2), """"))/$G520)), """")"),"")</f>
        <v/>
      </c>
      <c r="Q520" s="44"/>
      <c r="R520" s="44"/>
      <c r="S520" s="44"/>
      <c r="T520" s="44"/>
      <c r="U520" s="44"/>
      <c r="V520" s="44"/>
      <c r="W520" s="44"/>
      <c r="X520" s="44"/>
      <c r="Y520" s="44"/>
      <c r="Z520" s="44"/>
    </row>
    <row r="521">
      <c r="A521" s="44"/>
      <c r="B521" s="45"/>
      <c r="C521" s="44"/>
      <c r="D521" s="44"/>
      <c r="E521" s="44"/>
      <c r="F521" s="44"/>
      <c r="G521" s="46"/>
      <c r="H521" s="44"/>
      <c r="I521" s="44"/>
      <c r="J521" s="44"/>
      <c r="K521" s="44"/>
      <c r="L521" s="46" t="str">
        <f>IFERROR(__xludf.DUMMYFUNCTION("IFERROR(IF(ISBLANK($C521), """", GOOGLEFINANCE($C521, ""price"")), """")"),"")</f>
        <v/>
      </c>
      <c r="M521" s="47" t="str">
        <f t="shared" si="3"/>
        <v/>
      </c>
      <c r="N521" s="47" t="str">
        <f>IFERROR(__xludf.DUMMYFUNCTION("IFERROR(IF(OR(ISBLANK($G521), IFERROR(INDEX(GOOGLEFINANCE($C521, ""price"", WORKDAY(INT($B521), 1)), 2, 2), """")=""""), """", IF($D521=""LONG"", (IFERROR(INDEX(GOOGLEFINANCE($C521, ""price"", WORKDAY(INT($B521), 1)), 2, 2), """")-$G521)/$G521, ($G521-IFE"&amp;"RROR(INDEX(GOOGLEFINANCE($C521, ""price"", WORKDAY(INT($B521), 1)), 2, 2), """"))/$G521)), """")"),"")</f>
        <v/>
      </c>
      <c r="O521" s="47" t="str">
        <f>IFERROR(__xludf.DUMMYFUNCTION("IFERROR(IF(OR(ISBLANK($G521), IFERROR(INDEX(GOOGLEFINANCE($C521, ""price"", WORKDAY(INT($B521), 5)), 2, 2), """")=""""), """", IF($D521=""LONG"", (IFERROR(INDEX(GOOGLEFINANCE($C521, ""price"", WORKDAY(INT($B521), 5)), 2, 2), """")-$G521)/$G521, ($G521-IFE"&amp;"RROR(INDEX(GOOGLEFINANCE($C521, ""price"", WORKDAY(INT($B521), 5)), 2, 2), """"))/$G521)), """")"),"")</f>
        <v/>
      </c>
      <c r="P521" s="47" t="str">
        <f>IFERROR(__xludf.DUMMYFUNCTION("IFERROR(IF(OR(ISBLANK($G521), IFERROR(INDEX(GOOGLEFINANCE($C521, ""price"", WORKDAY(INT($B521), 20)), 2, 2), """")=""""), """", IF($D521=""LONG"", (IFERROR(INDEX(GOOGLEFINANCE($C521, ""price"", WORKDAY(INT($B521), 20)), 2, 2), """")-$G521)/$G521, ($G521-I"&amp;"FERROR(INDEX(GOOGLEFINANCE($C521, ""price"", WORKDAY(INT($B521), 20)), 2, 2), """"))/$G521)), """")"),"")</f>
        <v/>
      </c>
      <c r="Q521" s="44"/>
      <c r="R521" s="44"/>
      <c r="S521" s="44"/>
      <c r="T521" s="44"/>
      <c r="U521" s="44"/>
      <c r="V521" s="44"/>
      <c r="W521" s="44"/>
      <c r="X521" s="44"/>
      <c r="Y521" s="44"/>
      <c r="Z521" s="44"/>
    </row>
    <row r="522">
      <c r="A522" s="44"/>
      <c r="B522" s="45"/>
      <c r="C522" s="44"/>
      <c r="D522" s="44"/>
      <c r="E522" s="44"/>
      <c r="F522" s="44"/>
      <c r="G522" s="46"/>
      <c r="H522" s="44"/>
      <c r="I522" s="44"/>
      <c r="J522" s="44"/>
      <c r="K522" s="44"/>
      <c r="L522" s="46" t="str">
        <f>IFERROR(__xludf.DUMMYFUNCTION("IFERROR(IF(ISBLANK($C522), """", GOOGLEFINANCE($C522, ""price"")), """")"),"")</f>
        <v/>
      </c>
      <c r="M522" s="47" t="str">
        <f t="shared" si="3"/>
        <v/>
      </c>
      <c r="N522" s="47" t="str">
        <f>IFERROR(__xludf.DUMMYFUNCTION("IFERROR(IF(OR(ISBLANK($G522), IFERROR(INDEX(GOOGLEFINANCE($C522, ""price"", WORKDAY(INT($B522), 1)), 2, 2), """")=""""), """", IF($D522=""LONG"", (IFERROR(INDEX(GOOGLEFINANCE($C522, ""price"", WORKDAY(INT($B522), 1)), 2, 2), """")-$G522)/$G522, ($G522-IFE"&amp;"RROR(INDEX(GOOGLEFINANCE($C522, ""price"", WORKDAY(INT($B522), 1)), 2, 2), """"))/$G522)), """")"),"")</f>
        <v/>
      </c>
      <c r="O522" s="47" t="str">
        <f>IFERROR(__xludf.DUMMYFUNCTION("IFERROR(IF(OR(ISBLANK($G522), IFERROR(INDEX(GOOGLEFINANCE($C522, ""price"", WORKDAY(INT($B522), 5)), 2, 2), """")=""""), """", IF($D522=""LONG"", (IFERROR(INDEX(GOOGLEFINANCE($C522, ""price"", WORKDAY(INT($B522), 5)), 2, 2), """")-$G522)/$G522, ($G522-IFE"&amp;"RROR(INDEX(GOOGLEFINANCE($C522, ""price"", WORKDAY(INT($B522), 5)), 2, 2), """"))/$G522)), """")"),"")</f>
        <v/>
      </c>
      <c r="P522" s="47" t="str">
        <f>IFERROR(__xludf.DUMMYFUNCTION("IFERROR(IF(OR(ISBLANK($G522), IFERROR(INDEX(GOOGLEFINANCE($C522, ""price"", WORKDAY(INT($B522), 20)), 2, 2), """")=""""), """", IF($D522=""LONG"", (IFERROR(INDEX(GOOGLEFINANCE($C522, ""price"", WORKDAY(INT($B522), 20)), 2, 2), """")-$G522)/$G522, ($G522-I"&amp;"FERROR(INDEX(GOOGLEFINANCE($C522, ""price"", WORKDAY(INT($B522), 20)), 2, 2), """"))/$G522)), """")"),"")</f>
        <v/>
      </c>
      <c r="Q522" s="44"/>
      <c r="R522" s="44"/>
      <c r="S522" s="44"/>
      <c r="T522" s="44"/>
      <c r="U522" s="44"/>
      <c r="V522" s="44"/>
      <c r="W522" s="44"/>
      <c r="X522" s="44"/>
      <c r="Y522" s="44"/>
      <c r="Z522" s="44"/>
    </row>
    <row r="523">
      <c r="A523" s="44"/>
      <c r="B523" s="45"/>
      <c r="C523" s="44"/>
      <c r="D523" s="44"/>
      <c r="E523" s="44"/>
      <c r="F523" s="44"/>
      <c r="G523" s="46"/>
      <c r="H523" s="44"/>
      <c r="I523" s="44"/>
      <c r="J523" s="44"/>
      <c r="K523" s="44"/>
      <c r="L523" s="46" t="str">
        <f>IFERROR(__xludf.DUMMYFUNCTION("IFERROR(IF(ISBLANK($C523), """", GOOGLEFINANCE($C523, ""price"")), """")"),"")</f>
        <v/>
      </c>
      <c r="M523" s="47" t="str">
        <f t="shared" si="3"/>
        <v/>
      </c>
      <c r="N523" s="47" t="str">
        <f>IFERROR(__xludf.DUMMYFUNCTION("IFERROR(IF(OR(ISBLANK($G523), IFERROR(INDEX(GOOGLEFINANCE($C523, ""price"", WORKDAY(INT($B523), 1)), 2, 2), """")=""""), """", IF($D523=""LONG"", (IFERROR(INDEX(GOOGLEFINANCE($C523, ""price"", WORKDAY(INT($B523), 1)), 2, 2), """")-$G523)/$G523, ($G523-IFE"&amp;"RROR(INDEX(GOOGLEFINANCE($C523, ""price"", WORKDAY(INT($B523), 1)), 2, 2), """"))/$G523)), """")"),"")</f>
        <v/>
      </c>
      <c r="O523" s="47" t="str">
        <f>IFERROR(__xludf.DUMMYFUNCTION("IFERROR(IF(OR(ISBLANK($G523), IFERROR(INDEX(GOOGLEFINANCE($C523, ""price"", WORKDAY(INT($B523), 5)), 2, 2), """")=""""), """", IF($D523=""LONG"", (IFERROR(INDEX(GOOGLEFINANCE($C523, ""price"", WORKDAY(INT($B523), 5)), 2, 2), """")-$G523)/$G523, ($G523-IFE"&amp;"RROR(INDEX(GOOGLEFINANCE($C523, ""price"", WORKDAY(INT($B523), 5)), 2, 2), """"))/$G523)), """")"),"")</f>
        <v/>
      </c>
      <c r="P523" s="47" t="str">
        <f>IFERROR(__xludf.DUMMYFUNCTION("IFERROR(IF(OR(ISBLANK($G523), IFERROR(INDEX(GOOGLEFINANCE($C523, ""price"", WORKDAY(INT($B523), 20)), 2, 2), """")=""""), """", IF($D523=""LONG"", (IFERROR(INDEX(GOOGLEFINANCE($C523, ""price"", WORKDAY(INT($B523), 20)), 2, 2), """")-$G523)/$G523, ($G523-I"&amp;"FERROR(INDEX(GOOGLEFINANCE($C523, ""price"", WORKDAY(INT($B523), 20)), 2, 2), """"))/$G523)), """")"),"")</f>
        <v/>
      </c>
      <c r="Q523" s="44"/>
      <c r="R523" s="44"/>
      <c r="S523" s="44"/>
      <c r="T523" s="44"/>
      <c r="U523" s="44"/>
      <c r="V523" s="44"/>
      <c r="W523" s="44"/>
      <c r="X523" s="44"/>
      <c r="Y523" s="44"/>
      <c r="Z523" s="44"/>
    </row>
    <row r="524">
      <c r="A524" s="44"/>
      <c r="B524" s="45"/>
      <c r="C524" s="44"/>
      <c r="D524" s="44"/>
      <c r="E524" s="44"/>
      <c r="F524" s="44"/>
      <c r="G524" s="46"/>
      <c r="H524" s="44"/>
      <c r="I524" s="44"/>
      <c r="J524" s="44"/>
      <c r="K524" s="44"/>
      <c r="L524" s="46" t="str">
        <f>IFERROR(__xludf.DUMMYFUNCTION("IFERROR(IF(ISBLANK($C524), """", GOOGLEFINANCE($C524, ""price"")), """")"),"")</f>
        <v/>
      </c>
      <c r="M524" s="47" t="str">
        <f t="shared" si="3"/>
        <v/>
      </c>
      <c r="N524" s="47" t="str">
        <f>IFERROR(__xludf.DUMMYFUNCTION("IFERROR(IF(OR(ISBLANK($G524), IFERROR(INDEX(GOOGLEFINANCE($C524, ""price"", WORKDAY(INT($B524), 1)), 2, 2), """")=""""), """", IF($D524=""LONG"", (IFERROR(INDEX(GOOGLEFINANCE($C524, ""price"", WORKDAY(INT($B524), 1)), 2, 2), """")-$G524)/$G524, ($G524-IFE"&amp;"RROR(INDEX(GOOGLEFINANCE($C524, ""price"", WORKDAY(INT($B524), 1)), 2, 2), """"))/$G524)), """")"),"")</f>
        <v/>
      </c>
      <c r="O524" s="47" t="str">
        <f>IFERROR(__xludf.DUMMYFUNCTION("IFERROR(IF(OR(ISBLANK($G524), IFERROR(INDEX(GOOGLEFINANCE($C524, ""price"", WORKDAY(INT($B524), 5)), 2, 2), """")=""""), """", IF($D524=""LONG"", (IFERROR(INDEX(GOOGLEFINANCE($C524, ""price"", WORKDAY(INT($B524), 5)), 2, 2), """")-$G524)/$G524, ($G524-IFE"&amp;"RROR(INDEX(GOOGLEFINANCE($C524, ""price"", WORKDAY(INT($B524), 5)), 2, 2), """"))/$G524)), """")"),"")</f>
        <v/>
      </c>
      <c r="P524" s="47" t="str">
        <f>IFERROR(__xludf.DUMMYFUNCTION("IFERROR(IF(OR(ISBLANK($G524), IFERROR(INDEX(GOOGLEFINANCE($C524, ""price"", WORKDAY(INT($B524), 20)), 2, 2), """")=""""), """", IF($D524=""LONG"", (IFERROR(INDEX(GOOGLEFINANCE($C524, ""price"", WORKDAY(INT($B524), 20)), 2, 2), """")-$G524)/$G524, ($G524-I"&amp;"FERROR(INDEX(GOOGLEFINANCE($C524, ""price"", WORKDAY(INT($B524), 20)), 2, 2), """"))/$G524)), """")"),"")</f>
        <v/>
      </c>
      <c r="Q524" s="44"/>
      <c r="R524" s="44"/>
      <c r="S524" s="44"/>
      <c r="T524" s="44"/>
      <c r="U524" s="44"/>
      <c r="V524" s="44"/>
      <c r="W524" s="44"/>
      <c r="X524" s="44"/>
      <c r="Y524" s="44"/>
      <c r="Z524" s="44"/>
    </row>
    <row r="525">
      <c r="A525" s="44"/>
      <c r="B525" s="45"/>
      <c r="C525" s="44"/>
      <c r="D525" s="44"/>
      <c r="E525" s="44"/>
      <c r="F525" s="44"/>
      <c r="G525" s="46"/>
      <c r="H525" s="44"/>
      <c r="I525" s="44"/>
      <c r="J525" s="44"/>
      <c r="K525" s="44"/>
      <c r="L525" s="46" t="str">
        <f>IFERROR(__xludf.DUMMYFUNCTION("IFERROR(IF(ISBLANK($C525), """", GOOGLEFINANCE($C525, ""price"")), """")"),"")</f>
        <v/>
      </c>
      <c r="M525" s="47" t="str">
        <f t="shared" si="3"/>
        <v/>
      </c>
      <c r="N525" s="47" t="str">
        <f>IFERROR(__xludf.DUMMYFUNCTION("IFERROR(IF(OR(ISBLANK($G525), IFERROR(INDEX(GOOGLEFINANCE($C525, ""price"", WORKDAY(INT($B525), 1)), 2, 2), """")=""""), """", IF($D525=""LONG"", (IFERROR(INDEX(GOOGLEFINANCE($C525, ""price"", WORKDAY(INT($B525), 1)), 2, 2), """")-$G525)/$G525, ($G525-IFE"&amp;"RROR(INDEX(GOOGLEFINANCE($C525, ""price"", WORKDAY(INT($B525), 1)), 2, 2), """"))/$G525)), """")"),"")</f>
        <v/>
      </c>
      <c r="O525" s="47" t="str">
        <f>IFERROR(__xludf.DUMMYFUNCTION("IFERROR(IF(OR(ISBLANK($G525), IFERROR(INDEX(GOOGLEFINANCE($C525, ""price"", WORKDAY(INT($B525), 5)), 2, 2), """")=""""), """", IF($D525=""LONG"", (IFERROR(INDEX(GOOGLEFINANCE($C525, ""price"", WORKDAY(INT($B525), 5)), 2, 2), """")-$G525)/$G525, ($G525-IFE"&amp;"RROR(INDEX(GOOGLEFINANCE($C525, ""price"", WORKDAY(INT($B525), 5)), 2, 2), """"))/$G525)), """")"),"")</f>
        <v/>
      </c>
      <c r="P525" s="47" t="str">
        <f>IFERROR(__xludf.DUMMYFUNCTION("IFERROR(IF(OR(ISBLANK($G525), IFERROR(INDEX(GOOGLEFINANCE($C525, ""price"", WORKDAY(INT($B525), 20)), 2, 2), """")=""""), """", IF($D525=""LONG"", (IFERROR(INDEX(GOOGLEFINANCE($C525, ""price"", WORKDAY(INT($B525), 20)), 2, 2), """")-$G525)/$G525, ($G525-I"&amp;"FERROR(INDEX(GOOGLEFINANCE($C525, ""price"", WORKDAY(INT($B525), 20)), 2, 2), """"))/$G525)), """")"),"")</f>
        <v/>
      </c>
      <c r="Q525" s="44"/>
      <c r="R525" s="44"/>
      <c r="S525" s="44"/>
      <c r="T525" s="44"/>
      <c r="U525" s="44"/>
      <c r="V525" s="44"/>
      <c r="W525" s="44"/>
      <c r="X525" s="44"/>
      <c r="Y525" s="44"/>
      <c r="Z525" s="44"/>
    </row>
    <row r="526">
      <c r="A526" s="44"/>
      <c r="B526" s="45"/>
      <c r="C526" s="44"/>
      <c r="D526" s="44"/>
      <c r="E526" s="44"/>
      <c r="F526" s="44"/>
      <c r="G526" s="46"/>
      <c r="H526" s="44"/>
      <c r="I526" s="44"/>
      <c r="J526" s="44"/>
      <c r="K526" s="44"/>
      <c r="L526" s="46" t="str">
        <f>IFERROR(__xludf.DUMMYFUNCTION("IFERROR(IF(ISBLANK($C526), """", GOOGLEFINANCE($C526, ""price"")), """")"),"")</f>
        <v/>
      </c>
      <c r="M526" s="47" t="str">
        <f t="shared" si="3"/>
        <v/>
      </c>
      <c r="N526" s="47" t="str">
        <f>IFERROR(__xludf.DUMMYFUNCTION("IFERROR(IF(OR(ISBLANK($G526), IFERROR(INDEX(GOOGLEFINANCE($C526, ""price"", WORKDAY(INT($B526), 1)), 2, 2), """")=""""), """", IF($D526=""LONG"", (IFERROR(INDEX(GOOGLEFINANCE($C526, ""price"", WORKDAY(INT($B526), 1)), 2, 2), """")-$G526)/$G526, ($G526-IFE"&amp;"RROR(INDEX(GOOGLEFINANCE($C526, ""price"", WORKDAY(INT($B526), 1)), 2, 2), """"))/$G526)), """")"),"")</f>
        <v/>
      </c>
      <c r="O526" s="47" t="str">
        <f>IFERROR(__xludf.DUMMYFUNCTION("IFERROR(IF(OR(ISBLANK($G526), IFERROR(INDEX(GOOGLEFINANCE($C526, ""price"", WORKDAY(INT($B526), 5)), 2, 2), """")=""""), """", IF($D526=""LONG"", (IFERROR(INDEX(GOOGLEFINANCE($C526, ""price"", WORKDAY(INT($B526), 5)), 2, 2), """")-$G526)/$G526, ($G526-IFE"&amp;"RROR(INDEX(GOOGLEFINANCE($C526, ""price"", WORKDAY(INT($B526), 5)), 2, 2), """"))/$G526)), """")"),"")</f>
        <v/>
      </c>
      <c r="P526" s="47" t="str">
        <f>IFERROR(__xludf.DUMMYFUNCTION("IFERROR(IF(OR(ISBLANK($G526), IFERROR(INDEX(GOOGLEFINANCE($C526, ""price"", WORKDAY(INT($B526), 20)), 2, 2), """")=""""), """", IF($D526=""LONG"", (IFERROR(INDEX(GOOGLEFINANCE($C526, ""price"", WORKDAY(INT($B526), 20)), 2, 2), """")-$G526)/$G526, ($G526-I"&amp;"FERROR(INDEX(GOOGLEFINANCE($C526, ""price"", WORKDAY(INT($B526), 20)), 2, 2), """"))/$G526)), """")"),"")</f>
        <v/>
      </c>
      <c r="Q526" s="44"/>
      <c r="R526" s="44"/>
      <c r="S526" s="44"/>
      <c r="T526" s="44"/>
      <c r="U526" s="44"/>
      <c r="V526" s="44"/>
      <c r="W526" s="44"/>
      <c r="X526" s="44"/>
      <c r="Y526" s="44"/>
      <c r="Z526" s="44"/>
    </row>
    <row r="527">
      <c r="A527" s="44"/>
      <c r="B527" s="45"/>
      <c r="C527" s="44"/>
      <c r="D527" s="44"/>
      <c r="E527" s="44"/>
      <c r="F527" s="44"/>
      <c r="G527" s="46"/>
      <c r="H527" s="44"/>
      <c r="I527" s="44"/>
      <c r="J527" s="44"/>
      <c r="K527" s="44"/>
      <c r="L527" s="46" t="str">
        <f>IFERROR(__xludf.DUMMYFUNCTION("IFERROR(IF(ISBLANK($C527), """", GOOGLEFINANCE($C527, ""price"")), """")"),"")</f>
        <v/>
      </c>
      <c r="M527" s="47" t="str">
        <f t="shared" si="3"/>
        <v/>
      </c>
      <c r="N527" s="47" t="str">
        <f>IFERROR(__xludf.DUMMYFUNCTION("IFERROR(IF(OR(ISBLANK($G527), IFERROR(INDEX(GOOGLEFINANCE($C527, ""price"", WORKDAY(INT($B527), 1)), 2, 2), """")=""""), """", IF($D527=""LONG"", (IFERROR(INDEX(GOOGLEFINANCE($C527, ""price"", WORKDAY(INT($B527), 1)), 2, 2), """")-$G527)/$G527, ($G527-IFE"&amp;"RROR(INDEX(GOOGLEFINANCE($C527, ""price"", WORKDAY(INT($B527), 1)), 2, 2), """"))/$G527)), """")"),"")</f>
        <v/>
      </c>
      <c r="O527" s="47" t="str">
        <f>IFERROR(__xludf.DUMMYFUNCTION("IFERROR(IF(OR(ISBLANK($G527), IFERROR(INDEX(GOOGLEFINANCE($C527, ""price"", WORKDAY(INT($B527), 5)), 2, 2), """")=""""), """", IF($D527=""LONG"", (IFERROR(INDEX(GOOGLEFINANCE($C527, ""price"", WORKDAY(INT($B527), 5)), 2, 2), """")-$G527)/$G527, ($G527-IFE"&amp;"RROR(INDEX(GOOGLEFINANCE($C527, ""price"", WORKDAY(INT($B527), 5)), 2, 2), """"))/$G527)), """")"),"")</f>
        <v/>
      </c>
      <c r="P527" s="47" t="str">
        <f>IFERROR(__xludf.DUMMYFUNCTION("IFERROR(IF(OR(ISBLANK($G527), IFERROR(INDEX(GOOGLEFINANCE($C527, ""price"", WORKDAY(INT($B527), 20)), 2, 2), """")=""""), """", IF($D527=""LONG"", (IFERROR(INDEX(GOOGLEFINANCE($C527, ""price"", WORKDAY(INT($B527), 20)), 2, 2), """")-$G527)/$G527, ($G527-I"&amp;"FERROR(INDEX(GOOGLEFINANCE($C527, ""price"", WORKDAY(INT($B527), 20)), 2, 2), """"))/$G527)), """")"),"")</f>
        <v/>
      </c>
      <c r="Q527" s="44"/>
      <c r="R527" s="44"/>
      <c r="S527" s="44"/>
      <c r="T527" s="44"/>
      <c r="U527" s="44"/>
      <c r="V527" s="44"/>
      <c r="W527" s="44"/>
      <c r="X527" s="44"/>
      <c r="Y527" s="44"/>
      <c r="Z527" s="44"/>
    </row>
    <row r="528">
      <c r="A528" s="44"/>
      <c r="B528" s="45"/>
      <c r="C528" s="44"/>
      <c r="D528" s="44"/>
      <c r="E528" s="44"/>
      <c r="F528" s="44"/>
      <c r="G528" s="46"/>
      <c r="H528" s="44"/>
      <c r="I528" s="44"/>
      <c r="J528" s="44"/>
      <c r="K528" s="44"/>
      <c r="L528" s="46" t="str">
        <f>IFERROR(__xludf.DUMMYFUNCTION("IFERROR(IF(ISBLANK($C528), """", GOOGLEFINANCE($C528, ""price"")), """")"),"")</f>
        <v/>
      </c>
      <c r="M528" s="47" t="str">
        <f t="shared" si="3"/>
        <v/>
      </c>
      <c r="N528" s="47" t="str">
        <f>IFERROR(__xludf.DUMMYFUNCTION("IFERROR(IF(OR(ISBLANK($G528), IFERROR(INDEX(GOOGLEFINANCE($C528, ""price"", WORKDAY(INT($B528), 1)), 2, 2), """")=""""), """", IF($D528=""LONG"", (IFERROR(INDEX(GOOGLEFINANCE($C528, ""price"", WORKDAY(INT($B528), 1)), 2, 2), """")-$G528)/$G528, ($G528-IFE"&amp;"RROR(INDEX(GOOGLEFINANCE($C528, ""price"", WORKDAY(INT($B528), 1)), 2, 2), """"))/$G528)), """")"),"")</f>
        <v/>
      </c>
      <c r="O528" s="47" t="str">
        <f>IFERROR(__xludf.DUMMYFUNCTION("IFERROR(IF(OR(ISBLANK($G528), IFERROR(INDEX(GOOGLEFINANCE($C528, ""price"", WORKDAY(INT($B528), 5)), 2, 2), """")=""""), """", IF($D528=""LONG"", (IFERROR(INDEX(GOOGLEFINANCE($C528, ""price"", WORKDAY(INT($B528), 5)), 2, 2), """")-$G528)/$G528, ($G528-IFE"&amp;"RROR(INDEX(GOOGLEFINANCE($C528, ""price"", WORKDAY(INT($B528), 5)), 2, 2), """"))/$G528)), """")"),"")</f>
        <v/>
      </c>
      <c r="P528" s="47" t="str">
        <f>IFERROR(__xludf.DUMMYFUNCTION("IFERROR(IF(OR(ISBLANK($G528), IFERROR(INDEX(GOOGLEFINANCE($C528, ""price"", WORKDAY(INT($B528), 20)), 2, 2), """")=""""), """", IF($D528=""LONG"", (IFERROR(INDEX(GOOGLEFINANCE($C528, ""price"", WORKDAY(INT($B528), 20)), 2, 2), """")-$G528)/$G528, ($G528-I"&amp;"FERROR(INDEX(GOOGLEFINANCE($C528, ""price"", WORKDAY(INT($B528), 20)), 2, 2), """"))/$G528)), """")"),"")</f>
        <v/>
      </c>
      <c r="Q528" s="44"/>
      <c r="R528" s="44"/>
      <c r="S528" s="44"/>
      <c r="T528" s="44"/>
      <c r="U528" s="44"/>
      <c r="V528" s="44"/>
      <c r="W528" s="44"/>
      <c r="X528" s="44"/>
      <c r="Y528" s="44"/>
      <c r="Z528" s="44"/>
    </row>
    <row r="529">
      <c r="A529" s="44"/>
      <c r="B529" s="45"/>
      <c r="C529" s="44"/>
      <c r="D529" s="44"/>
      <c r="E529" s="44"/>
      <c r="F529" s="44"/>
      <c r="G529" s="46"/>
      <c r="H529" s="44"/>
      <c r="I529" s="44"/>
      <c r="J529" s="44"/>
      <c r="K529" s="44"/>
      <c r="L529" s="46" t="str">
        <f>IFERROR(__xludf.DUMMYFUNCTION("IFERROR(IF(ISBLANK($C529), """", GOOGLEFINANCE($C529, ""price"")), """")"),"")</f>
        <v/>
      </c>
      <c r="M529" s="47" t="str">
        <f t="shared" si="3"/>
        <v/>
      </c>
      <c r="N529" s="47" t="str">
        <f>IFERROR(__xludf.DUMMYFUNCTION("IFERROR(IF(OR(ISBLANK($G529), IFERROR(INDEX(GOOGLEFINANCE($C529, ""price"", WORKDAY(INT($B529), 1)), 2, 2), """")=""""), """", IF($D529=""LONG"", (IFERROR(INDEX(GOOGLEFINANCE($C529, ""price"", WORKDAY(INT($B529), 1)), 2, 2), """")-$G529)/$G529, ($G529-IFE"&amp;"RROR(INDEX(GOOGLEFINANCE($C529, ""price"", WORKDAY(INT($B529), 1)), 2, 2), """"))/$G529)), """")"),"")</f>
        <v/>
      </c>
      <c r="O529" s="47" t="str">
        <f>IFERROR(__xludf.DUMMYFUNCTION("IFERROR(IF(OR(ISBLANK($G529), IFERROR(INDEX(GOOGLEFINANCE($C529, ""price"", WORKDAY(INT($B529), 5)), 2, 2), """")=""""), """", IF($D529=""LONG"", (IFERROR(INDEX(GOOGLEFINANCE($C529, ""price"", WORKDAY(INT($B529), 5)), 2, 2), """")-$G529)/$G529, ($G529-IFE"&amp;"RROR(INDEX(GOOGLEFINANCE($C529, ""price"", WORKDAY(INT($B529), 5)), 2, 2), """"))/$G529)), """")"),"")</f>
        <v/>
      </c>
      <c r="P529" s="47" t="str">
        <f>IFERROR(__xludf.DUMMYFUNCTION("IFERROR(IF(OR(ISBLANK($G529), IFERROR(INDEX(GOOGLEFINANCE($C529, ""price"", WORKDAY(INT($B529), 20)), 2, 2), """")=""""), """", IF($D529=""LONG"", (IFERROR(INDEX(GOOGLEFINANCE($C529, ""price"", WORKDAY(INT($B529), 20)), 2, 2), """")-$G529)/$G529, ($G529-I"&amp;"FERROR(INDEX(GOOGLEFINANCE($C529, ""price"", WORKDAY(INT($B529), 20)), 2, 2), """"))/$G529)), """")"),"")</f>
        <v/>
      </c>
      <c r="Q529" s="44"/>
      <c r="R529" s="44"/>
      <c r="S529" s="44"/>
      <c r="T529" s="44"/>
      <c r="U529" s="44"/>
      <c r="V529" s="44"/>
      <c r="W529" s="44"/>
      <c r="X529" s="44"/>
      <c r="Y529" s="44"/>
      <c r="Z529" s="44"/>
    </row>
    <row r="530">
      <c r="A530" s="44"/>
      <c r="B530" s="45"/>
      <c r="C530" s="44"/>
      <c r="D530" s="44"/>
      <c r="E530" s="44"/>
      <c r="F530" s="44"/>
      <c r="G530" s="46"/>
      <c r="H530" s="44"/>
      <c r="I530" s="44"/>
      <c r="J530" s="44"/>
      <c r="K530" s="44"/>
      <c r="L530" s="46" t="str">
        <f>IFERROR(__xludf.DUMMYFUNCTION("IFERROR(IF(ISBLANK($C530), """", GOOGLEFINANCE($C530, ""price"")), """")"),"")</f>
        <v/>
      </c>
      <c r="M530" s="47" t="str">
        <f t="shared" si="3"/>
        <v/>
      </c>
      <c r="N530" s="47" t="str">
        <f>IFERROR(__xludf.DUMMYFUNCTION("IFERROR(IF(OR(ISBLANK($G530), IFERROR(INDEX(GOOGLEFINANCE($C530, ""price"", WORKDAY(INT($B530), 1)), 2, 2), """")=""""), """", IF($D530=""LONG"", (IFERROR(INDEX(GOOGLEFINANCE($C530, ""price"", WORKDAY(INT($B530), 1)), 2, 2), """")-$G530)/$G530, ($G530-IFE"&amp;"RROR(INDEX(GOOGLEFINANCE($C530, ""price"", WORKDAY(INT($B530), 1)), 2, 2), """"))/$G530)), """")"),"")</f>
        <v/>
      </c>
      <c r="O530" s="47" t="str">
        <f>IFERROR(__xludf.DUMMYFUNCTION("IFERROR(IF(OR(ISBLANK($G530), IFERROR(INDEX(GOOGLEFINANCE($C530, ""price"", WORKDAY(INT($B530), 5)), 2, 2), """")=""""), """", IF($D530=""LONG"", (IFERROR(INDEX(GOOGLEFINANCE($C530, ""price"", WORKDAY(INT($B530), 5)), 2, 2), """")-$G530)/$G530, ($G530-IFE"&amp;"RROR(INDEX(GOOGLEFINANCE($C530, ""price"", WORKDAY(INT($B530), 5)), 2, 2), """"))/$G530)), """")"),"")</f>
        <v/>
      </c>
      <c r="P530" s="47" t="str">
        <f>IFERROR(__xludf.DUMMYFUNCTION("IFERROR(IF(OR(ISBLANK($G530), IFERROR(INDEX(GOOGLEFINANCE($C530, ""price"", WORKDAY(INT($B530), 20)), 2, 2), """")=""""), """", IF($D530=""LONG"", (IFERROR(INDEX(GOOGLEFINANCE($C530, ""price"", WORKDAY(INT($B530), 20)), 2, 2), """")-$G530)/$G530, ($G530-I"&amp;"FERROR(INDEX(GOOGLEFINANCE($C530, ""price"", WORKDAY(INT($B530), 20)), 2, 2), """"))/$G530)), """")"),"")</f>
        <v/>
      </c>
      <c r="Q530" s="44"/>
      <c r="R530" s="44"/>
      <c r="S530" s="44"/>
      <c r="T530" s="44"/>
      <c r="U530" s="44"/>
      <c r="V530" s="44"/>
      <c r="W530" s="44"/>
      <c r="X530" s="44"/>
      <c r="Y530" s="44"/>
      <c r="Z530" s="44"/>
    </row>
    <row r="531">
      <c r="A531" s="44"/>
      <c r="B531" s="45"/>
      <c r="C531" s="44"/>
      <c r="D531" s="44"/>
      <c r="E531" s="44"/>
      <c r="F531" s="44"/>
      <c r="G531" s="46"/>
      <c r="H531" s="44"/>
      <c r="I531" s="44"/>
      <c r="J531" s="44"/>
      <c r="K531" s="44"/>
      <c r="L531" s="46" t="str">
        <f>IFERROR(__xludf.DUMMYFUNCTION("IFERROR(IF(ISBLANK($C531), """", GOOGLEFINANCE($C531, ""price"")), """")"),"")</f>
        <v/>
      </c>
      <c r="M531" s="47" t="str">
        <f t="shared" si="3"/>
        <v/>
      </c>
      <c r="N531" s="47" t="str">
        <f>IFERROR(__xludf.DUMMYFUNCTION("IFERROR(IF(OR(ISBLANK($G531), IFERROR(INDEX(GOOGLEFINANCE($C531, ""price"", WORKDAY(INT($B531), 1)), 2, 2), """")=""""), """", IF($D531=""LONG"", (IFERROR(INDEX(GOOGLEFINANCE($C531, ""price"", WORKDAY(INT($B531), 1)), 2, 2), """")-$G531)/$G531, ($G531-IFE"&amp;"RROR(INDEX(GOOGLEFINANCE($C531, ""price"", WORKDAY(INT($B531), 1)), 2, 2), """"))/$G531)), """")"),"")</f>
        <v/>
      </c>
      <c r="O531" s="47" t="str">
        <f>IFERROR(__xludf.DUMMYFUNCTION("IFERROR(IF(OR(ISBLANK($G531), IFERROR(INDEX(GOOGLEFINANCE($C531, ""price"", WORKDAY(INT($B531), 5)), 2, 2), """")=""""), """", IF($D531=""LONG"", (IFERROR(INDEX(GOOGLEFINANCE($C531, ""price"", WORKDAY(INT($B531), 5)), 2, 2), """")-$G531)/$G531, ($G531-IFE"&amp;"RROR(INDEX(GOOGLEFINANCE($C531, ""price"", WORKDAY(INT($B531), 5)), 2, 2), """"))/$G531)), """")"),"")</f>
        <v/>
      </c>
      <c r="P531" s="47" t="str">
        <f>IFERROR(__xludf.DUMMYFUNCTION("IFERROR(IF(OR(ISBLANK($G531), IFERROR(INDEX(GOOGLEFINANCE($C531, ""price"", WORKDAY(INT($B531), 20)), 2, 2), """")=""""), """", IF($D531=""LONG"", (IFERROR(INDEX(GOOGLEFINANCE($C531, ""price"", WORKDAY(INT($B531), 20)), 2, 2), """")-$G531)/$G531, ($G531-I"&amp;"FERROR(INDEX(GOOGLEFINANCE($C531, ""price"", WORKDAY(INT($B531), 20)), 2, 2), """"))/$G531)), """")"),"")</f>
        <v/>
      </c>
      <c r="Q531" s="44"/>
      <c r="R531" s="44"/>
      <c r="S531" s="44"/>
      <c r="T531" s="44"/>
      <c r="U531" s="44"/>
      <c r="V531" s="44"/>
      <c r="W531" s="44"/>
      <c r="X531" s="44"/>
      <c r="Y531" s="44"/>
      <c r="Z531" s="44"/>
    </row>
    <row r="532">
      <c r="A532" s="44"/>
      <c r="B532" s="45"/>
      <c r="C532" s="44"/>
      <c r="D532" s="44"/>
      <c r="E532" s="44"/>
      <c r="F532" s="44"/>
      <c r="G532" s="46"/>
      <c r="H532" s="44"/>
      <c r="I532" s="44"/>
      <c r="J532" s="44"/>
      <c r="K532" s="44"/>
      <c r="L532" s="46" t="str">
        <f>IFERROR(__xludf.DUMMYFUNCTION("IFERROR(IF(ISBLANK($C532), """", GOOGLEFINANCE($C532, ""price"")), """")"),"")</f>
        <v/>
      </c>
      <c r="M532" s="47" t="str">
        <f t="shared" si="3"/>
        <v/>
      </c>
      <c r="N532" s="47" t="str">
        <f>IFERROR(__xludf.DUMMYFUNCTION("IFERROR(IF(OR(ISBLANK($G532), IFERROR(INDEX(GOOGLEFINANCE($C532, ""price"", WORKDAY(INT($B532), 1)), 2, 2), """")=""""), """", IF($D532=""LONG"", (IFERROR(INDEX(GOOGLEFINANCE($C532, ""price"", WORKDAY(INT($B532), 1)), 2, 2), """")-$G532)/$G532, ($G532-IFE"&amp;"RROR(INDEX(GOOGLEFINANCE($C532, ""price"", WORKDAY(INT($B532), 1)), 2, 2), """"))/$G532)), """")"),"")</f>
        <v/>
      </c>
      <c r="O532" s="47" t="str">
        <f>IFERROR(__xludf.DUMMYFUNCTION("IFERROR(IF(OR(ISBLANK($G532), IFERROR(INDEX(GOOGLEFINANCE($C532, ""price"", WORKDAY(INT($B532), 5)), 2, 2), """")=""""), """", IF($D532=""LONG"", (IFERROR(INDEX(GOOGLEFINANCE($C532, ""price"", WORKDAY(INT($B532), 5)), 2, 2), """")-$G532)/$G532, ($G532-IFE"&amp;"RROR(INDEX(GOOGLEFINANCE($C532, ""price"", WORKDAY(INT($B532), 5)), 2, 2), """"))/$G532)), """")"),"")</f>
        <v/>
      </c>
      <c r="P532" s="47" t="str">
        <f>IFERROR(__xludf.DUMMYFUNCTION("IFERROR(IF(OR(ISBLANK($G532), IFERROR(INDEX(GOOGLEFINANCE($C532, ""price"", WORKDAY(INT($B532), 20)), 2, 2), """")=""""), """", IF($D532=""LONG"", (IFERROR(INDEX(GOOGLEFINANCE($C532, ""price"", WORKDAY(INT($B532), 20)), 2, 2), """")-$G532)/$G532, ($G532-I"&amp;"FERROR(INDEX(GOOGLEFINANCE($C532, ""price"", WORKDAY(INT($B532), 20)), 2, 2), """"))/$G532)), """")"),"")</f>
        <v/>
      </c>
      <c r="Q532" s="44"/>
      <c r="R532" s="44"/>
      <c r="S532" s="44"/>
      <c r="T532" s="44"/>
      <c r="U532" s="44"/>
      <c r="V532" s="44"/>
      <c r="W532" s="44"/>
      <c r="X532" s="44"/>
      <c r="Y532" s="44"/>
      <c r="Z532" s="44"/>
    </row>
    <row r="533">
      <c r="A533" s="44"/>
      <c r="B533" s="45"/>
      <c r="C533" s="44"/>
      <c r="D533" s="44"/>
      <c r="E533" s="44"/>
      <c r="F533" s="44"/>
      <c r="G533" s="46"/>
      <c r="H533" s="44"/>
      <c r="I533" s="44"/>
      <c r="J533" s="44"/>
      <c r="K533" s="44"/>
      <c r="L533" s="46" t="str">
        <f>IFERROR(__xludf.DUMMYFUNCTION("IFERROR(IF(ISBLANK($C533), """", GOOGLEFINANCE($C533, ""price"")), """")"),"")</f>
        <v/>
      </c>
      <c r="M533" s="47" t="str">
        <f t="shared" si="3"/>
        <v/>
      </c>
      <c r="N533" s="47" t="str">
        <f>IFERROR(__xludf.DUMMYFUNCTION("IFERROR(IF(OR(ISBLANK($G533), IFERROR(INDEX(GOOGLEFINANCE($C533, ""price"", WORKDAY(INT($B533), 1)), 2, 2), """")=""""), """", IF($D533=""LONG"", (IFERROR(INDEX(GOOGLEFINANCE($C533, ""price"", WORKDAY(INT($B533), 1)), 2, 2), """")-$G533)/$G533, ($G533-IFE"&amp;"RROR(INDEX(GOOGLEFINANCE($C533, ""price"", WORKDAY(INT($B533), 1)), 2, 2), """"))/$G533)), """")"),"")</f>
        <v/>
      </c>
      <c r="O533" s="47" t="str">
        <f>IFERROR(__xludf.DUMMYFUNCTION("IFERROR(IF(OR(ISBLANK($G533), IFERROR(INDEX(GOOGLEFINANCE($C533, ""price"", WORKDAY(INT($B533), 5)), 2, 2), """")=""""), """", IF($D533=""LONG"", (IFERROR(INDEX(GOOGLEFINANCE($C533, ""price"", WORKDAY(INT($B533), 5)), 2, 2), """")-$G533)/$G533, ($G533-IFE"&amp;"RROR(INDEX(GOOGLEFINANCE($C533, ""price"", WORKDAY(INT($B533), 5)), 2, 2), """"))/$G533)), """")"),"")</f>
        <v/>
      </c>
      <c r="P533" s="47" t="str">
        <f>IFERROR(__xludf.DUMMYFUNCTION("IFERROR(IF(OR(ISBLANK($G533), IFERROR(INDEX(GOOGLEFINANCE($C533, ""price"", WORKDAY(INT($B533), 20)), 2, 2), """")=""""), """", IF($D533=""LONG"", (IFERROR(INDEX(GOOGLEFINANCE($C533, ""price"", WORKDAY(INT($B533), 20)), 2, 2), """")-$G533)/$G533, ($G533-I"&amp;"FERROR(INDEX(GOOGLEFINANCE($C533, ""price"", WORKDAY(INT($B533), 20)), 2, 2), """"))/$G533)), """")"),"")</f>
        <v/>
      </c>
      <c r="Q533" s="44"/>
      <c r="R533" s="44"/>
      <c r="S533" s="44"/>
      <c r="T533" s="44"/>
      <c r="U533" s="44"/>
      <c r="V533" s="44"/>
      <c r="W533" s="44"/>
      <c r="X533" s="44"/>
      <c r="Y533" s="44"/>
      <c r="Z533" s="44"/>
    </row>
    <row r="534">
      <c r="A534" s="44"/>
      <c r="B534" s="45"/>
      <c r="C534" s="44"/>
      <c r="D534" s="44"/>
      <c r="E534" s="44"/>
      <c r="F534" s="44"/>
      <c r="G534" s="46"/>
      <c r="H534" s="44"/>
      <c r="I534" s="44"/>
      <c r="J534" s="44"/>
      <c r="K534" s="44"/>
      <c r="L534" s="46" t="str">
        <f>IFERROR(__xludf.DUMMYFUNCTION("IFERROR(IF(ISBLANK($C534), """", GOOGLEFINANCE($C534, ""price"")), """")"),"")</f>
        <v/>
      </c>
      <c r="M534" s="47" t="str">
        <f t="shared" si="3"/>
        <v/>
      </c>
      <c r="N534" s="47" t="str">
        <f>IFERROR(__xludf.DUMMYFUNCTION("IFERROR(IF(OR(ISBLANK($G534), IFERROR(INDEX(GOOGLEFINANCE($C534, ""price"", WORKDAY(INT($B534), 1)), 2, 2), """")=""""), """", IF($D534=""LONG"", (IFERROR(INDEX(GOOGLEFINANCE($C534, ""price"", WORKDAY(INT($B534), 1)), 2, 2), """")-$G534)/$G534, ($G534-IFE"&amp;"RROR(INDEX(GOOGLEFINANCE($C534, ""price"", WORKDAY(INT($B534), 1)), 2, 2), """"))/$G534)), """")"),"")</f>
        <v/>
      </c>
      <c r="O534" s="47" t="str">
        <f>IFERROR(__xludf.DUMMYFUNCTION("IFERROR(IF(OR(ISBLANK($G534), IFERROR(INDEX(GOOGLEFINANCE($C534, ""price"", WORKDAY(INT($B534), 5)), 2, 2), """")=""""), """", IF($D534=""LONG"", (IFERROR(INDEX(GOOGLEFINANCE($C534, ""price"", WORKDAY(INT($B534), 5)), 2, 2), """")-$G534)/$G534, ($G534-IFE"&amp;"RROR(INDEX(GOOGLEFINANCE($C534, ""price"", WORKDAY(INT($B534), 5)), 2, 2), """"))/$G534)), """")"),"")</f>
        <v/>
      </c>
      <c r="P534" s="47" t="str">
        <f>IFERROR(__xludf.DUMMYFUNCTION("IFERROR(IF(OR(ISBLANK($G534), IFERROR(INDEX(GOOGLEFINANCE($C534, ""price"", WORKDAY(INT($B534), 20)), 2, 2), """")=""""), """", IF($D534=""LONG"", (IFERROR(INDEX(GOOGLEFINANCE($C534, ""price"", WORKDAY(INT($B534), 20)), 2, 2), """")-$G534)/$G534, ($G534-I"&amp;"FERROR(INDEX(GOOGLEFINANCE($C534, ""price"", WORKDAY(INT($B534), 20)), 2, 2), """"))/$G534)), """")"),"")</f>
        <v/>
      </c>
      <c r="Q534" s="44"/>
      <c r="R534" s="44"/>
      <c r="S534" s="44"/>
      <c r="T534" s="44"/>
      <c r="U534" s="44"/>
      <c r="V534" s="44"/>
      <c r="W534" s="44"/>
      <c r="X534" s="44"/>
      <c r="Y534" s="44"/>
      <c r="Z534" s="44"/>
    </row>
    <row r="535">
      <c r="A535" s="44"/>
      <c r="B535" s="45"/>
      <c r="C535" s="44"/>
      <c r="D535" s="44"/>
      <c r="E535" s="44"/>
      <c r="F535" s="44"/>
      <c r="G535" s="46"/>
      <c r="H535" s="44"/>
      <c r="I535" s="44"/>
      <c r="J535" s="44"/>
      <c r="K535" s="44"/>
      <c r="L535" s="46" t="str">
        <f>IFERROR(__xludf.DUMMYFUNCTION("IFERROR(IF(ISBLANK($C535), """", GOOGLEFINANCE($C535, ""price"")), """")"),"")</f>
        <v/>
      </c>
      <c r="M535" s="47" t="str">
        <f t="shared" si="3"/>
        <v/>
      </c>
      <c r="N535" s="47" t="str">
        <f>IFERROR(__xludf.DUMMYFUNCTION("IFERROR(IF(OR(ISBLANK($G535), IFERROR(INDEX(GOOGLEFINANCE($C535, ""price"", WORKDAY(INT($B535), 1)), 2, 2), """")=""""), """", IF($D535=""LONG"", (IFERROR(INDEX(GOOGLEFINANCE($C535, ""price"", WORKDAY(INT($B535), 1)), 2, 2), """")-$G535)/$G535, ($G535-IFE"&amp;"RROR(INDEX(GOOGLEFINANCE($C535, ""price"", WORKDAY(INT($B535), 1)), 2, 2), """"))/$G535)), """")"),"")</f>
        <v/>
      </c>
      <c r="O535" s="47" t="str">
        <f>IFERROR(__xludf.DUMMYFUNCTION("IFERROR(IF(OR(ISBLANK($G535), IFERROR(INDEX(GOOGLEFINANCE($C535, ""price"", WORKDAY(INT($B535), 5)), 2, 2), """")=""""), """", IF($D535=""LONG"", (IFERROR(INDEX(GOOGLEFINANCE($C535, ""price"", WORKDAY(INT($B535), 5)), 2, 2), """")-$G535)/$G535, ($G535-IFE"&amp;"RROR(INDEX(GOOGLEFINANCE($C535, ""price"", WORKDAY(INT($B535), 5)), 2, 2), """"))/$G535)), """")"),"")</f>
        <v/>
      </c>
      <c r="P535" s="47" t="str">
        <f>IFERROR(__xludf.DUMMYFUNCTION("IFERROR(IF(OR(ISBLANK($G535), IFERROR(INDEX(GOOGLEFINANCE($C535, ""price"", WORKDAY(INT($B535), 20)), 2, 2), """")=""""), """", IF($D535=""LONG"", (IFERROR(INDEX(GOOGLEFINANCE($C535, ""price"", WORKDAY(INT($B535), 20)), 2, 2), """")-$G535)/$G535, ($G535-I"&amp;"FERROR(INDEX(GOOGLEFINANCE($C535, ""price"", WORKDAY(INT($B535), 20)), 2, 2), """"))/$G535)), """")"),"")</f>
        <v/>
      </c>
      <c r="Q535" s="44"/>
      <c r="R535" s="44"/>
      <c r="S535" s="44"/>
      <c r="T535" s="44"/>
      <c r="U535" s="44"/>
      <c r="V535" s="44"/>
      <c r="W535" s="44"/>
      <c r="X535" s="44"/>
      <c r="Y535" s="44"/>
      <c r="Z535" s="44"/>
    </row>
    <row r="536">
      <c r="A536" s="44"/>
      <c r="B536" s="45"/>
      <c r="C536" s="44"/>
      <c r="D536" s="44"/>
      <c r="E536" s="44"/>
      <c r="F536" s="44"/>
      <c r="G536" s="46"/>
      <c r="H536" s="44"/>
      <c r="I536" s="44"/>
      <c r="J536" s="44"/>
      <c r="K536" s="44"/>
      <c r="L536" s="46" t="str">
        <f>IFERROR(__xludf.DUMMYFUNCTION("IFERROR(IF(ISBLANK($C536), """", GOOGLEFINANCE($C536, ""price"")), """")"),"")</f>
        <v/>
      </c>
      <c r="M536" s="47" t="str">
        <f t="shared" si="3"/>
        <v/>
      </c>
      <c r="N536" s="47" t="str">
        <f>IFERROR(__xludf.DUMMYFUNCTION("IFERROR(IF(OR(ISBLANK($G536), IFERROR(INDEX(GOOGLEFINANCE($C536, ""price"", WORKDAY(INT($B536), 1)), 2, 2), """")=""""), """", IF($D536=""LONG"", (IFERROR(INDEX(GOOGLEFINANCE($C536, ""price"", WORKDAY(INT($B536), 1)), 2, 2), """")-$G536)/$G536, ($G536-IFE"&amp;"RROR(INDEX(GOOGLEFINANCE($C536, ""price"", WORKDAY(INT($B536), 1)), 2, 2), """"))/$G536)), """")"),"")</f>
        <v/>
      </c>
      <c r="O536" s="47" t="str">
        <f>IFERROR(__xludf.DUMMYFUNCTION("IFERROR(IF(OR(ISBLANK($G536), IFERROR(INDEX(GOOGLEFINANCE($C536, ""price"", WORKDAY(INT($B536), 5)), 2, 2), """")=""""), """", IF($D536=""LONG"", (IFERROR(INDEX(GOOGLEFINANCE($C536, ""price"", WORKDAY(INT($B536), 5)), 2, 2), """")-$G536)/$G536, ($G536-IFE"&amp;"RROR(INDEX(GOOGLEFINANCE($C536, ""price"", WORKDAY(INT($B536), 5)), 2, 2), """"))/$G536)), """")"),"")</f>
        <v/>
      </c>
      <c r="P536" s="47" t="str">
        <f>IFERROR(__xludf.DUMMYFUNCTION("IFERROR(IF(OR(ISBLANK($G536), IFERROR(INDEX(GOOGLEFINANCE($C536, ""price"", WORKDAY(INT($B536), 20)), 2, 2), """")=""""), """", IF($D536=""LONG"", (IFERROR(INDEX(GOOGLEFINANCE($C536, ""price"", WORKDAY(INT($B536), 20)), 2, 2), """")-$G536)/$G536, ($G536-I"&amp;"FERROR(INDEX(GOOGLEFINANCE($C536, ""price"", WORKDAY(INT($B536), 20)), 2, 2), """"))/$G536)), """")"),"")</f>
        <v/>
      </c>
      <c r="Q536" s="44"/>
      <c r="R536" s="44"/>
      <c r="S536" s="44"/>
      <c r="T536" s="44"/>
      <c r="U536" s="44"/>
      <c r="V536" s="44"/>
      <c r="W536" s="44"/>
      <c r="X536" s="44"/>
      <c r="Y536" s="44"/>
      <c r="Z536" s="44"/>
    </row>
    <row r="537">
      <c r="A537" s="44"/>
      <c r="B537" s="45"/>
      <c r="C537" s="44"/>
      <c r="D537" s="44"/>
      <c r="E537" s="44"/>
      <c r="F537" s="44"/>
      <c r="G537" s="46"/>
      <c r="H537" s="44"/>
      <c r="I537" s="44"/>
      <c r="J537" s="44"/>
      <c r="K537" s="44"/>
      <c r="L537" s="46" t="str">
        <f>IFERROR(__xludf.DUMMYFUNCTION("IFERROR(IF(ISBLANK($C537), """", GOOGLEFINANCE($C537, ""price"")), """")"),"")</f>
        <v/>
      </c>
      <c r="M537" s="47" t="str">
        <f t="shared" si="3"/>
        <v/>
      </c>
      <c r="N537" s="47" t="str">
        <f>IFERROR(__xludf.DUMMYFUNCTION("IFERROR(IF(OR(ISBLANK($G537), IFERROR(INDEX(GOOGLEFINANCE($C537, ""price"", WORKDAY(INT($B537), 1)), 2, 2), """")=""""), """", IF($D537=""LONG"", (IFERROR(INDEX(GOOGLEFINANCE($C537, ""price"", WORKDAY(INT($B537), 1)), 2, 2), """")-$G537)/$G537, ($G537-IFE"&amp;"RROR(INDEX(GOOGLEFINANCE($C537, ""price"", WORKDAY(INT($B537), 1)), 2, 2), """"))/$G537)), """")"),"")</f>
        <v/>
      </c>
      <c r="O537" s="47" t="str">
        <f>IFERROR(__xludf.DUMMYFUNCTION("IFERROR(IF(OR(ISBLANK($G537), IFERROR(INDEX(GOOGLEFINANCE($C537, ""price"", WORKDAY(INT($B537), 5)), 2, 2), """")=""""), """", IF($D537=""LONG"", (IFERROR(INDEX(GOOGLEFINANCE($C537, ""price"", WORKDAY(INT($B537), 5)), 2, 2), """")-$G537)/$G537, ($G537-IFE"&amp;"RROR(INDEX(GOOGLEFINANCE($C537, ""price"", WORKDAY(INT($B537), 5)), 2, 2), """"))/$G537)), """")"),"")</f>
        <v/>
      </c>
      <c r="P537" s="47" t="str">
        <f>IFERROR(__xludf.DUMMYFUNCTION("IFERROR(IF(OR(ISBLANK($G537), IFERROR(INDEX(GOOGLEFINANCE($C537, ""price"", WORKDAY(INT($B537), 20)), 2, 2), """")=""""), """", IF($D537=""LONG"", (IFERROR(INDEX(GOOGLEFINANCE($C537, ""price"", WORKDAY(INT($B537), 20)), 2, 2), """")-$G537)/$G537, ($G537-I"&amp;"FERROR(INDEX(GOOGLEFINANCE($C537, ""price"", WORKDAY(INT($B537), 20)), 2, 2), """"))/$G537)), """")"),"")</f>
        <v/>
      </c>
      <c r="Q537" s="44"/>
      <c r="R537" s="44"/>
      <c r="S537" s="44"/>
      <c r="T537" s="44"/>
      <c r="U537" s="44"/>
      <c r="V537" s="44"/>
      <c r="W537" s="44"/>
      <c r="X537" s="44"/>
      <c r="Y537" s="44"/>
      <c r="Z537" s="44"/>
    </row>
    <row r="538">
      <c r="A538" s="44"/>
      <c r="B538" s="45"/>
      <c r="C538" s="44"/>
      <c r="D538" s="44"/>
      <c r="E538" s="44"/>
      <c r="F538" s="44"/>
      <c r="G538" s="46"/>
      <c r="H538" s="44"/>
      <c r="I538" s="44"/>
      <c r="J538" s="44"/>
      <c r="K538" s="44"/>
      <c r="L538" s="46" t="str">
        <f>IFERROR(__xludf.DUMMYFUNCTION("IFERROR(IF(ISBLANK($C538), """", GOOGLEFINANCE($C538, ""price"")), """")"),"")</f>
        <v/>
      </c>
      <c r="M538" s="47" t="str">
        <f t="shared" si="3"/>
        <v/>
      </c>
      <c r="N538" s="47" t="str">
        <f>IFERROR(__xludf.DUMMYFUNCTION("IFERROR(IF(OR(ISBLANK($G538), IFERROR(INDEX(GOOGLEFINANCE($C538, ""price"", WORKDAY(INT($B538), 1)), 2, 2), """")=""""), """", IF($D538=""LONG"", (IFERROR(INDEX(GOOGLEFINANCE($C538, ""price"", WORKDAY(INT($B538), 1)), 2, 2), """")-$G538)/$G538, ($G538-IFE"&amp;"RROR(INDEX(GOOGLEFINANCE($C538, ""price"", WORKDAY(INT($B538), 1)), 2, 2), """"))/$G538)), """")"),"")</f>
        <v/>
      </c>
      <c r="O538" s="47" t="str">
        <f>IFERROR(__xludf.DUMMYFUNCTION("IFERROR(IF(OR(ISBLANK($G538), IFERROR(INDEX(GOOGLEFINANCE($C538, ""price"", WORKDAY(INT($B538), 5)), 2, 2), """")=""""), """", IF($D538=""LONG"", (IFERROR(INDEX(GOOGLEFINANCE($C538, ""price"", WORKDAY(INT($B538), 5)), 2, 2), """")-$G538)/$G538, ($G538-IFE"&amp;"RROR(INDEX(GOOGLEFINANCE($C538, ""price"", WORKDAY(INT($B538), 5)), 2, 2), """"))/$G538)), """")"),"")</f>
        <v/>
      </c>
      <c r="P538" s="47" t="str">
        <f>IFERROR(__xludf.DUMMYFUNCTION("IFERROR(IF(OR(ISBLANK($G538), IFERROR(INDEX(GOOGLEFINANCE($C538, ""price"", WORKDAY(INT($B538), 20)), 2, 2), """")=""""), """", IF($D538=""LONG"", (IFERROR(INDEX(GOOGLEFINANCE($C538, ""price"", WORKDAY(INT($B538), 20)), 2, 2), """")-$G538)/$G538, ($G538-I"&amp;"FERROR(INDEX(GOOGLEFINANCE($C538, ""price"", WORKDAY(INT($B538), 20)), 2, 2), """"))/$G538)), """")"),"")</f>
        <v/>
      </c>
      <c r="Q538" s="44"/>
      <c r="R538" s="44"/>
      <c r="S538" s="44"/>
      <c r="T538" s="44"/>
      <c r="U538" s="44"/>
      <c r="V538" s="44"/>
      <c r="W538" s="44"/>
      <c r="X538" s="44"/>
      <c r="Y538" s="44"/>
      <c r="Z538" s="44"/>
    </row>
    <row r="539">
      <c r="A539" s="44"/>
      <c r="B539" s="45"/>
      <c r="C539" s="44"/>
      <c r="D539" s="44"/>
      <c r="E539" s="44"/>
      <c r="F539" s="44"/>
      <c r="G539" s="46"/>
      <c r="H539" s="44"/>
      <c r="I539" s="44"/>
      <c r="J539" s="44"/>
      <c r="K539" s="44"/>
      <c r="L539" s="46" t="str">
        <f>IFERROR(__xludf.DUMMYFUNCTION("IFERROR(IF(ISBLANK($C539), """", GOOGLEFINANCE($C539, ""price"")), """")"),"")</f>
        <v/>
      </c>
      <c r="M539" s="47" t="str">
        <f t="shared" si="3"/>
        <v/>
      </c>
      <c r="N539" s="47" t="str">
        <f>IFERROR(__xludf.DUMMYFUNCTION("IFERROR(IF(OR(ISBLANK($G539), IFERROR(INDEX(GOOGLEFINANCE($C539, ""price"", WORKDAY(INT($B539), 1)), 2, 2), """")=""""), """", IF($D539=""LONG"", (IFERROR(INDEX(GOOGLEFINANCE($C539, ""price"", WORKDAY(INT($B539), 1)), 2, 2), """")-$G539)/$G539, ($G539-IFE"&amp;"RROR(INDEX(GOOGLEFINANCE($C539, ""price"", WORKDAY(INT($B539), 1)), 2, 2), """"))/$G539)), """")"),"")</f>
        <v/>
      </c>
      <c r="O539" s="47" t="str">
        <f>IFERROR(__xludf.DUMMYFUNCTION("IFERROR(IF(OR(ISBLANK($G539), IFERROR(INDEX(GOOGLEFINANCE($C539, ""price"", WORKDAY(INT($B539), 5)), 2, 2), """")=""""), """", IF($D539=""LONG"", (IFERROR(INDEX(GOOGLEFINANCE($C539, ""price"", WORKDAY(INT($B539), 5)), 2, 2), """")-$G539)/$G539, ($G539-IFE"&amp;"RROR(INDEX(GOOGLEFINANCE($C539, ""price"", WORKDAY(INT($B539), 5)), 2, 2), """"))/$G539)), """")"),"")</f>
        <v/>
      </c>
      <c r="P539" s="47" t="str">
        <f>IFERROR(__xludf.DUMMYFUNCTION("IFERROR(IF(OR(ISBLANK($G539), IFERROR(INDEX(GOOGLEFINANCE($C539, ""price"", WORKDAY(INT($B539), 20)), 2, 2), """")=""""), """", IF($D539=""LONG"", (IFERROR(INDEX(GOOGLEFINANCE($C539, ""price"", WORKDAY(INT($B539), 20)), 2, 2), """")-$G539)/$G539, ($G539-I"&amp;"FERROR(INDEX(GOOGLEFINANCE($C539, ""price"", WORKDAY(INT($B539), 20)), 2, 2), """"))/$G539)), """")"),"")</f>
        <v/>
      </c>
      <c r="Q539" s="44"/>
      <c r="R539" s="44"/>
      <c r="S539" s="44"/>
      <c r="T539" s="44"/>
      <c r="U539" s="44"/>
      <c r="V539" s="44"/>
      <c r="W539" s="44"/>
      <c r="X539" s="44"/>
      <c r="Y539" s="44"/>
      <c r="Z539" s="44"/>
    </row>
    <row r="540">
      <c r="A540" s="44"/>
      <c r="B540" s="45"/>
      <c r="C540" s="44"/>
      <c r="D540" s="44"/>
      <c r="E540" s="44"/>
      <c r="F540" s="44"/>
      <c r="G540" s="46"/>
      <c r="H540" s="44"/>
      <c r="I540" s="44"/>
      <c r="J540" s="44"/>
      <c r="K540" s="44"/>
      <c r="L540" s="46" t="str">
        <f>IFERROR(__xludf.DUMMYFUNCTION("IFERROR(IF(ISBLANK($C540), """", GOOGLEFINANCE($C540, ""price"")), """")"),"")</f>
        <v/>
      </c>
      <c r="M540" s="47" t="str">
        <f t="shared" si="3"/>
        <v/>
      </c>
      <c r="N540" s="47" t="str">
        <f>IFERROR(__xludf.DUMMYFUNCTION("IFERROR(IF(OR(ISBLANK($G540), IFERROR(INDEX(GOOGLEFINANCE($C540, ""price"", WORKDAY(INT($B540), 1)), 2, 2), """")=""""), """", IF($D540=""LONG"", (IFERROR(INDEX(GOOGLEFINANCE($C540, ""price"", WORKDAY(INT($B540), 1)), 2, 2), """")-$G540)/$G540, ($G540-IFE"&amp;"RROR(INDEX(GOOGLEFINANCE($C540, ""price"", WORKDAY(INT($B540), 1)), 2, 2), """"))/$G540)), """")"),"")</f>
        <v/>
      </c>
      <c r="O540" s="47" t="str">
        <f>IFERROR(__xludf.DUMMYFUNCTION("IFERROR(IF(OR(ISBLANK($G540), IFERROR(INDEX(GOOGLEFINANCE($C540, ""price"", WORKDAY(INT($B540), 5)), 2, 2), """")=""""), """", IF($D540=""LONG"", (IFERROR(INDEX(GOOGLEFINANCE($C540, ""price"", WORKDAY(INT($B540), 5)), 2, 2), """")-$G540)/$G540, ($G540-IFE"&amp;"RROR(INDEX(GOOGLEFINANCE($C540, ""price"", WORKDAY(INT($B540), 5)), 2, 2), """"))/$G540)), """")"),"")</f>
        <v/>
      </c>
      <c r="P540" s="47" t="str">
        <f>IFERROR(__xludf.DUMMYFUNCTION("IFERROR(IF(OR(ISBLANK($G540), IFERROR(INDEX(GOOGLEFINANCE($C540, ""price"", WORKDAY(INT($B540), 20)), 2, 2), """")=""""), """", IF($D540=""LONG"", (IFERROR(INDEX(GOOGLEFINANCE($C540, ""price"", WORKDAY(INT($B540), 20)), 2, 2), """")-$G540)/$G540, ($G540-I"&amp;"FERROR(INDEX(GOOGLEFINANCE($C540, ""price"", WORKDAY(INT($B540), 20)), 2, 2), """"))/$G540)), """")"),"")</f>
        <v/>
      </c>
      <c r="Q540" s="44"/>
      <c r="R540" s="44"/>
      <c r="S540" s="44"/>
      <c r="T540" s="44"/>
      <c r="U540" s="44"/>
      <c r="V540" s="44"/>
      <c r="W540" s="44"/>
      <c r="X540" s="44"/>
      <c r="Y540" s="44"/>
      <c r="Z540" s="44"/>
    </row>
    <row r="541">
      <c r="A541" s="44"/>
      <c r="B541" s="45"/>
      <c r="C541" s="44"/>
      <c r="D541" s="44"/>
      <c r="E541" s="44"/>
      <c r="F541" s="44"/>
      <c r="G541" s="46"/>
      <c r="H541" s="44"/>
      <c r="I541" s="44"/>
      <c r="J541" s="44"/>
      <c r="K541" s="44"/>
      <c r="L541" s="46" t="str">
        <f>IFERROR(__xludf.DUMMYFUNCTION("IFERROR(IF(ISBLANK($C541), """", GOOGLEFINANCE($C541, ""price"")), """")"),"")</f>
        <v/>
      </c>
      <c r="M541" s="47" t="str">
        <f t="shared" si="3"/>
        <v/>
      </c>
      <c r="N541" s="47" t="str">
        <f>IFERROR(__xludf.DUMMYFUNCTION("IFERROR(IF(OR(ISBLANK($G541), IFERROR(INDEX(GOOGLEFINANCE($C541, ""price"", WORKDAY(INT($B541), 1)), 2, 2), """")=""""), """", IF($D541=""LONG"", (IFERROR(INDEX(GOOGLEFINANCE($C541, ""price"", WORKDAY(INT($B541), 1)), 2, 2), """")-$G541)/$G541, ($G541-IFE"&amp;"RROR(INDEX(GOOGLEFINANCE($C541, ""price"", WORKDAY(INT($B541), 1)), 2, 2), """"))/$G541)), """")"),"")</f>
        <v/>
      </c>
      <c r="O541" s="47" t="str">
        <f>IFERROR(__xludf.DUMMYFUNCTION("IFERROR(IF(OR(ISBLANK($G541), IFERROR(INDEX(GOOGLEFINANCE($C541, ""price"", WORKDAY(INT($B541), 5)), 2, 2), """")=""""), """", IF($D541=""LONG"", (IFERROR(INDEX(GOOGLEFINANCE($C541, ""price"", WORKDAY(INT($B541), 5)), 2, 2), """")-$G541)/$G541, ($G541-IFE"&amp;"RROR(INDEX(GOOGLEFINANCE($C541, ""price"", WORKDAY(INT($B541), 5)), 2, 2), """"))/$G541)), """")"),"")</f>
        <v/>
      </c>
      <c r="P541" s="47" t="str">
        <f>IFERROR(__xludf.DUMMYFUNCTION("IFERROR(IF(OR(ISBLANK($G541), IFERROR(INDEX(GOOGLEFINANCE($C541, ""price"", WORKDAY(INT($B541), 20)), 2, 2), """")=""""), """", IF($D541=""LONG"", (IFERROR(INDEX(GOOGLEFINANCE($C541, ""price"", WORKDAY(INT($B541), 20)), 2, 2), """")-$G541)/$G541, ($G541-I"&amp;"FERROR(INDEX(GOOGLEFINANCE($C541, ""price"", WORKDAY(INT($B541), 20)), 2, 2), """"))/$G541)), """")"),"")</f>
        <v/>
      </c>
      <c r="Q541" s="44"/>
      <c r="R541" s="44"/>
      <c r="S541" s="44"/>
      <c r="T541" s="44"/>
      <c r="U541" s="44"/>
      <c r="V541" s="44"/>
      <c r="W541" s="44"/>
      <c r="X541" s="44"/>
      <c r="Y541" s="44"/>
      <c r="Z541" s="44"/>
    </row>
    <row r="542">
      <c r="A542" s="44"/>
      <c r="B542" s="45"/>
      <c r="C542" s="44"/>
      <c r="D542" s="44"/>
      <c r="E542" s="44"/>
      <c r="F542" s="44"/>
      <c r="G542" s="46"/>
      <c r="H542" s="44"/>
      <c r="I542" s="44"/>
      <c r="J542" s="44"/>
      <c r="K542" s="44"/>
      <c r="L542" s="46" t="str">
        <f>IFERROR(__xludf.DUMMYFUNCTION("IFERROR(IF(ISBLANK($C542), """", GOOGLEFINANCE($C542, ""price"")), """")"),"")</f>
        <v/>
      </c>
      <c r="M542" s="47" t="str">
        <f t="shared" si="3"/>
        <v/>
      </c>
      <c r="N542" s="47" t="str">
        <f>IFERROR(__xludf.DUMMYFUNCTION("IFERROR(IF(OR(ISBLANK($G542), IFERROR(INDEX(GOOGLEFINANCE($C542, ""price"", WORKDAY(INT($B542), 1)), 2, 2), """")=""""), """", IF($D542=""LONG"", (IFERROR(INDEX(GOOGLEFINANCE($C542, ""price"", WORKDAY(INT($B542), 1)), 2, 2), """")-$G542)/$G542, ($G542-IFE"&amp;"RROR(INDEX(GOOGLEFINANCE($C542, ""price"", WORKDAY(INT($B542), 1)), 2, 2), """"))/$G542)), """")"),"")</f>
        <v/>
      </c>
      <c r="O542" s="47" t="str">
        <f>IFERROR(__xludf.DUMMYFUNCTION("IFERROR(IF(OR(ISBLANK($G542), IFERROR(INDEX(GOOGLEFINANCE($C542, ""price"", WORKDAY(INT($B542), 5)), 2, 2), """")=""""), """", IF($D542=""LONG"", (IFERROR(INDEX(GOOGLEFINANCE($C542, ""price"", WORKDAY(INT($B542), 5)), 2, 2), """")-$G542)/$G542, ($G542-IFE"&amp;"RROR(INDEX(GOOGLEFINANCE($C542, ""price"", WORKDAY(INT($B542), 5)), 2, 2), """"))/$G542)), """")"),"")</f>
        <v/>
      </c>
      <c r="P542" s="47" t="str">
        <f>IFERROR(__xludf.DUMMYFUNCTION("IFERROR(IF(OR(ISBLANK($G542), IFERROR(INDEX(GOOGLEFINANCE($C542, ""price"", WORKDAY(INT($B542), 20)), 2, 2), """")=""""), """", IF($D542=""LONG"", (IFERROR(INDEX(GOOGLEFINANCE($C542, ""price"", WORKDAY(INT($B542), 20)), 2, 2), """")-$G542)/$G542, ($G542-I"&amp;"FERROR(INDEX(GOOGLEFINANCE($C542, ""price"", WORKDAY(INT($B542), 20)), 2, 2), """"))/$G542)), """")"),"")</f>
        <v/>
      </c>
      <c r="Q542" s="44"/>
      <c r="R542" s="44"/>
      <c r="S542" s="44"/>
      <c r="T542" s="44"/>
      <c r="U542" s="44"/>
      <c r="V542" s="44"/>
      <c r="W542" s="44"/>
      <c r="X542" s="44"/>
      <c r="Y542" s="44"/>
      <c r="Z542" s="44"/>
    </row>
    <row r="543">
      <c r="A543" s="44"/>
      <c r="B543" s="45"/>
      <c r="C543" s="44"/>
      <c r="D543" s="44"/>
      <c r="E543" s="44"/>
      <c r="F543" s="44"/>
      <c r="G543" s="46"/>
      <c r="H543" s="44"/>
      <c r="I543" s="44"/>
      <c r="J543" s="44"/>
      <c r="K543" s="44"/>
      <c r="L543" s="46" t="str">
        <f>IFERROR(__xludf.DUMMYFUNCTION("IFERROR(IF(ISBLANK($C543), """", GOOGLEFINANCE($C543, ""price"")), """")"),"")</f>
        <v/>
      </c>
      <c r="M543" s="47" t="str">
        <f t="shared" si="3"/>
        <v/>
      </c>
      <c r="N543" s="47" t="str">
        <f>IFERROR(__xludf.DUMMYFUNCTION("IFERROR(IF(OR(ISBLANK($G543), IFERROR(INDEX(GOOGLEFINANCE($C543, ""price"", WORKDAY(INT($B543), 1)), 2, 2), """")=""""), """", IF($D543=""LONG"", (IFERROR(INDEX(GOOGLEFINANCE($C543, ""price"", WORKDAY(INT($B543), 1)), 2, 2), """")-$G543)/$G543, ($G543-IFE"&amp;"RROR(INDEX(GOOGLEFINANCE($C543, ""price"", WORKDAY(INT($B543), 1)), 2, 2), """"))/$G543)), """")"),"")</f>
        <v/>
      </c>
      <c r="O543" s="47" t="str">
        <f>IFERROR(__xludf.DUMMYFUNCTION("IFERROR(IF(OR(ISBLANK($G543), IFERROR(INDEX(GOOGLEFINANCE($C543, ""price"", WORKDAY(INT($B543), 5)), 2, 2), """")=""""), """", IF($D543=""LONG"", (IFERROR(INDEX(GOOGLEFINANCE($C543, ""price"", WORKDAY(INT($B543), 5)), 2, 2), """")-$G543)/$G543, ($G543-IFE"&amp;"RROR(INDEX(GOOGLEFINANCE($C543, ""price"", WORKDAY(INT($B543), 5)), 2, 2), """"))/$G543)), """")"),"")</f>
        <v/>
      </c>
      <c r="P543" s="47" t="str">
        <f>IFERROR(__xludf.DUMMYFUNCTION("IFERROR(IF(OR(ISBLANK($G543), IFERROR(INDEX(GOOGLEFINANCE($C543, ""price"", WORKDAY(INT($B543), 20)), 2, 2), """")=""""), """", IF($D543=""LONG"", (IFERROR(INDEX(GOOGLEFINANCE($C543, ""price"", WORKDAY(INT($B543), 20)), 2, 2), """")-$G543)/$G543, ($G543-I"&amp;"FERROR(INDEX(GOOGLEFINANCE($C543, ""price"", WORKDAY(INT($B543), 20)), 2, 2), """"))/$G543)), """")"),"")</f>
        <v/>
      </c>
      <c r="Q543" s="44"/>
      <c r="R543" s="44"/>
      <c r="S543" s="44"/>
      <c r="T543" s="44"/>
      <c r="U543" s="44"/>
      <c r="V543" s="44"/>
      <c r="W543" s="44"/>
      <c r="X543" s="44"/>
      <c r="Y543" s="44"/>
      <c r="Z543" s="44"/>
    </row>
    <row r="544">
      <c r="A544" s="44"/>
      <c r="B544" s="45"/>
      <c r="C544" s="44"/>
      <c r="D544" s="44"/>
      <c r="E544" s="44"/>
      <c r="F544" s="44"/>
      <c r="G544" s="46"/>
      <c r="H544" s="44"/>
      <c r="I544" s="44"/>
      <c r="J544" s="44"/>
      <c r="K544" s="44"/>
      <c r="L544" s="46" t="str">
        <f>IFERROR(__xludf.DUMMYFUNCTION("IFERROR(IF(ISBLANK($C544), """", GOOGLEFINANCE($C544, ""price"")), """")"),"")</f>
        <v/>
      </c>
      <c r="M544" s="47" t="str">
        <f t="shared" si="3"/>
        <v/>
      </c>
      <c r="N544" s="47" t="str">
        <f>IFERROR(__xludf.DUMMYFUNCTION("IFERROR(IF(OR(ISBLANK($G544), IFERROR(INDEX(GOOGLEFINANCE($C544, ""price"", WORKDAY(INT($B544), 1)), 2, 2), """")=""""), """", IF($D544=""LONG"", (IFERROR(INDEX(GOOGLEFINANCE($C544, ""price"", WORKDAY(INT($B544), 1)), 2, 2), """")-$G544)/$G544, ($G544-IFE"&amp;"RROR(INDEX(GOOGLEFINANCE($C544, ""price"", WORKDAY(INT($B544), 1)), 2, 2), """"))/$G544)), """")"),"")</f>
        <v/>
      </c>
      <c r="O544" s="47" t="str">
        <f>IFERROR(__xludf.DUMMYFUNCTION("IFERROR(IF(OR(ISBLANK($G544), IFERROR(INDEX(GOOGLEFINANCE($C544, ""price"", WORKDAY(INT($B544), 5)), 2, 2), """")=""""), """", IF($D544=""LONG"", (IFERROR(INDEX(GOOGLEFINANCE($C544, ""price"", WORKDAY(INT($B544), 5)), 2, 2), """")-$G544)/$G544, ($G544-IFE"&amp;"RROR(INDEX(GOOGLEFINANCE($C544, ""price"", WORKDAY(INT($B544), 5)), 2, 2), """"))/$G544)), """")"),"")</f>
        <v/>
      </c>
      <c r="P544" s="47" t="str">
        <f>IFERROR(__xludf.DUMMYFUNCTION("IFERROR(IF(OR(ISBLANK($G544), IFERROR(INDEX(GOOGLEFINANCE($C544, ""price"", WORKDAY(INT($B544), 20)), 2, 2), """")=""""), """", IF($D544=""LONG"", (IFERROR(INDEX(GOOGLEFINANCE($C544, ""price"", WORKDAY(INT($B544), 20)), 2, 2), """")-$G544)/$G544, ($G544-I"&amp;"FERROR(INDEX(GOOGLEFINANCE($C544, ""price"", WORKDAY(INT($B544), 20)), 2, 2), """"))/$G544)), """")"),"")</f>
        <v/>
      </c>
      <c r="Q544" s="44"/>
      <c r="R544" s="44"/>
      <c r="S544" s="44"/>
      <c r="T544" s="44"/>
      <c r="U544" s="44"/>
      <c r="V544" s="44"/>
      <c r="W544" s="44"/>
      <c r="X544" s="44"/>
      <c r="Y544" s="44"/>
      <c r="Z544" s="44"/>
    </row>
    <row r="545">
      <c r="A545" s="44"/>
      <c r="B545" s="45"/>
      <c r="C545" s="44"/>
      <c r="D545" s="44"/>
      <c r="E545" s="44"/>
      <c r="F545" s="44"/>
      <c r="G545" s="46"/>
      <c r="H545" s="44"/>
      <c r="I545" s="44"/>
      <c r="J545" s="44"/>
      <c r="K545" s="44"/>
      <c r="L545" s="46" t="str">
        <f>IFERROR(__xludf.DUMMYFUNCTION("IFERROR(IF(ISBLANK($C545), """", GOOGLEFINANCE($C545, ""price"")), """")"),"")</f>
        <v/>
      </c>
      <c r="M545" s="47" t="str">
        <f t="shared" si="3"/>
        <v/>
      </c>
      <c r="N545" s="47" t="str">
        <f>IFERROR(__xludf.DUMMYFUNCTION("IFERROR(IF(OR(ISBLANK($G545), IFERROR(INDEX(GOOGLEFINANCE($C545, ""price"", WORKDAY(INT($B545), 1)), 2, 2), """")=""""), """", IF($D545=""LONG"", (IFERROR(INDEX(GOOGLEFINANCE($C545, ""price"", WORKDAY(INT($B545), 1)), 2, 2), """")-$G545)/$G545, ($G545-IFE"&amp;"RROR(INDEX(GOOGLEFINANCE($C545, ""price"", WORKDAY(INT($B545), 1)), 2, 2), """"))/$G545)), """")"),"")</f>
        <v/>
      </c>
      <c r="O545" s="47" t="str">
        <f>IFERROR(__xludf.DUMMYFUNCTION("IFERROR(IF(OR(ISBLANK($G545), IFERROR(INDEX(GOOGLEFINANCE($C545, ""price"", WORKDAY(INT($B545), 5)), 2, 2), """")=""""), """", IF($D545=""LONG"", (IFERROR(INDEX(GOOGLEFINANCE($C545, ""price"", WORKDAY(INT($B545), 5)), 2, 2), """")-$G545)/$G545, ($G545-IFE"&amp;"RROR(INDEX(GOOGLEFINANCE($C545, ""price"", WORKDAY(INT($B545), 5)), 2, 2), """"))/$G545)), """")"),"")</f>
        <v/>
      </c>
      <c r="P545" s="47" t="str">
        <f>IFERROR(__xludf.DUMMYFUNCTION("IFERROR(IF(OR(ISBLANK($G545), IFERROR(INDEX(GOOGLEFINANCE($C545, ""price"", WORKDAY(INT($B545), 20)), 2, 2), """")=""""), """", IF($D545=""LONG"", (IFERROR(INDEX(GOOGLEFINANCE($C545, ""price"", WORKDAY(INT($B545), 20)), 2, 2), """")-$G545)/$G545, ($G545-I"&amp;"FERROR(INDEX(GOOGLEFINANCE($C545, ""price"", WORKDAY(INT($B545), 20)), 2, 2), """"))/$G545)), """")"),"")</f>
        <v/>
      </c>
      <c r="Q545" s="44"/>
      <c r="R545" s="44"/>
      <c r="S545" s="44"/>
      <c r="T545" s="44"/>
      <c r="U545" s="44"/>
      <c r="V545" s="44"/>
      <c r="W545" s="44"/>
      <c r="X545" s="44"/>
      <c r="Y545" s="44"/>
      <c r="Z545" s="44"/>
    </row>
    <row r="546">
      <c r="A546" s="44"/>
      <c r="B546" s="45"/>
      <c r="C546" s="44"/>
      <c r="D546" s="44"/>
      <c r="E546" s="44"/>
      <c r="F546" s="44"/>
      <c r="G546" s="46"/>
      <c r="H546" s="44"/>
      <c r="I546" s="44"/>
      <c r="J546" s="44"/>
      <c r="K546" s="44"/>
      <c r="L546" s="46" t="str">
        <f>IFERROR(__xludf.DUMMYFUNCTION("IFERROR(IF(ISBLANK($C546), """", GOOGLEFINANCE($C546, ""price"")), """")"),"")</f>
        <v/>
      </c>
      <c r="M546" s="47" t="str">
        <f t="shared" si="3"/>
        <v/>
      </c>
      <c r="N546" s="47" t="str">
        <f>IFERROR(__xludf.DUMMYFUNCTION("IFERROR(IF(OR(ISBLANK($G546), IFERROR(INDEX(GOOGLEFINANCE($C546, ""price"", WORKDAY(INT($B546), 1)), 2, 2), """")=""""), """", IF($D546=""LONG"", (IFERROR(INDEX(GOOGLEFINANCE($C546, ""price"", WORKDAY(INT($B546), 1)), 2, 2), """")-$G546)/$G546, ($G546-IFE"&amp;"RROR(INDEX(GOOGLEFINANCE($C546, ""price"", WORKDAY(INT($B546), 1)), 2, 2), """"))/$G546)), """")"),"")</f>
        <v/>
      </c>
      <c r="O546" s="47" t="str">
        <f>IFERROR(__xludf.DUMMYFUNCTION("IFERROR(IF(OR(ISBLANK($G546), IFERROR(INDEX(GOOGLEFINANCE($C546, ""price"", WORKDAY(INT($B546), 5)), 2, 2), """")=""""), """", IF($D546=""LONG"", (IFERROR(INDEX(GOOGLEFINANCE($C546, ""price"", WORKDAY(INT($B546), 5)), 2, 2), """")-$G546)/$G546, ($G546-IFE"&amp;"RROR(INDEX(GOOGLEFINANCE($C546, ""price"", WORKDAY(INT($B546), 5)), 2, 2), """"))/$G546)), """")"),"")</f>
        <v/>
      </c>
      <c r="P546" s="47" t="str">
        <f>IFERROR(__xludf.DUMMYFUNCTION("IFERROR(IF(OR(ISBLANK($G546), IFERROR(INDEX(GOOGLEFINANCE($C546, ""price"", WORKDAY(INT($B546), 20)), 2, 2), """")=""""), """", IF($D546=""LONG"", (IFERROR(INDEX(GOOGLEFINANCE($C546, ""price"", WORKDAY(INT($B546), 20)), 2, 2), """")-$G546)/$G546, ($G546-I"&amp;"FERROR(INDEX(GOOGLEFINANCE($C546, ""price"", WORKDAY(INT($B546), 20)), 2, 2), """"))/$G546)), """")"),"")</f>
        <v/>
      </c>
      <c r="Q546" s="44"/>
      <c r="R546" s="44"/>
      <c r="S546" s="44"/>
      <c r="T546" s="44"/>
      <c r="U546" s="44"/>
      <c r="V546" s="44"/>
      <c r="W546" s="44"/>
      <c r="X546" s="44"/>
      <c r="Y546" s="44"/>
      <c r="Z546" s="44"/>
    </row>
    <row r="547">
      <c r="A547" s="44"/>
      <c r="B547" s="45"/>
      <c r="C547" s="44"/>
      <c r="D547" s="44"/>
      <c r="E547" s="44"/>
      <c r="F547" s="44"/>
      <c r="G547" s="46"/>
      <c r="H547" s="44"/>
      <c r="I547" s="44"/>
      <c r="J547" s="44"/>
      <c r="K547" s="44"/>
      <c r="L547" s="46" t="str">
        <f>IFERROR(__xludf.DUMMYFUNCTION("IFERROR(IF(ISBLANK($C547), """", GOOGLEFINANCE($C547, ""price"")), """")"),"")</f>
        <v/>
      </c>
      <c r="M547" s="47" t="str">
        <f t="shared" si="3"/>
        <v/>
      </c>
      <c r="N547" s="47" t="str">
        <f>IFERROR(__xludf.DUMMYFUNCTION("IFERROR(IF(OR(ISBLANK($G547), IFERROR(INDEX(GOOGLEFINANCE($C547, ""price"", WORKDAY(INT($B547), 1)), 2, 2), """")=""""), """", IF($D547=""LONG"", (IFERROR(INDEX(GOOGLEFINANCE($C547, ""price"", WORKDAY(INT($B547), 1)), 2, 2), """")-$G547)/$G547, ($G547-IFE"&amp;"RROR(INDEX(GOOGLEFINANCE($C547, ""price"", WORKDAY(INT($B547), 1)), 2, 2), """"))/$G547)), """")"),"")</f>
        <v/>
      </c>
      <c r="O547" s="47" t="str">
        <f>IFERROR(__xludf.DUMMYFUNCTION("IFERROR(IF(OR(ISBLANK($G547), IFERROR(INDEX(GOOGLEFINANCE($C547, ""price"", WORKDAY(INT($B547), 5)), 2, 2), """")=""""), """", IF($D547=""LONG"", (IFERROR(INDEX(GOOGLEFINANCE($C547, ""price"", WORKDAY(INT($B547), 5)), 2, 2), """")-$G547)/$G547, ($G547-IFE"&amp;"RROR(INDEX(GOOGLEFINANCE($C547, ""price"", WORKDAY(INT($B547), 5)), 2, 2), """"))/$G547)), """")"),"")</f>
        <v/>
      </c>
      <c r="P547" s="47" t="str">
        <f>IFERROR(__xludf.DUMMYFUNCTION("IFERROR(IF(OR(ISBLANK($G547), IFERROR(INDEX(GOOGLEFINANCE($C547, ""price"", WORKDAY(INT($B547), 20)), 2, 2), """")=""""), """", IF($D547=""LONG"", (IFERROR(INDEX(GOOGLEFINANCE($C547, ""price"", WORKDAY(INT($B547), 20)), 2, 2), """")-$G547)/$G547, ($G547-I"&amp;"FERROR(INDEX(GOOGLEFINANCE($C547, ""price"", WORKDAY(INT($B547), 20)), 2, 2), """"))/$G547)), """")"),"")</f>
        <v/>
      </c>
      <c r="Q547" s="44"/>
      <c r="R547" s="44"/>
      <c r="S547" s="44"/>
      <c r="T547" s="44"/>
      <c r="U547" s="44"/>
      <c r="V547" s="44"/>
      <c r="W547" s="44"/>
      <c r="X547" s="44"/>
      <c r="Y547" s="44"/>
      <c r="Z547" s="44"/>
    </row>
    <row r="548">
      <c r="A548" s="44"/>
      <c r="B548" s="45"/>
      <c r="C548" s="44"/>
      <c r="D548" s="44"/>
      <c r="E548" s="44"/>
      <c r="F548" s="44"/>
      <c r="G548" s="46"/>
      <c r="H548" s="44"/>
      <c r="I548" s="44"/>
      <c r="J548" s="44"/>
      <c r="K548" s="44"/>
      <c r="L548" s="46" t="str">
        <f>IFERROR(__xludf.DUMMYFUNCTION("IFERROR(IF(ISBLANK($C548), """", GOOGLEFINANCE($C548, ""price"")), """")"),"")</f>
        <v/>
      </c>
      <c r="M548" s="47" t="str">
        <f t="shared" si="3"/>
        <v/>
      </c>
      <c r="N548" s="47" t="str">
        <f>IFERROR(__xludf.DUMMYFUNCTION("IFERROR(IF(OR(ISBLANK($G548), IFERROR(INDEX(GOOGLEFINANCE($C548, ""price"", WORKDAY(INT($B548), 1)), 2, 2), """")=""""), """", IF($D548=""LONG"", (IFERROR(INDEX(GOOGLEFINANCE($C548, ""price"", WORKDAY(INT($B548), 1)), 2, 2), """")-$G548)/$G548, ($G548-IFE"&amp;"RROR(INDEX(GOOGLEFINANCE($C548, ""price"", WORKDAY(INT($B548), 1)), 2, 2), """"))/$G548)), """")"),"")</f>
        <v/>
      </c>
      <c r="O548" s="47" t="str">
        <f>IFERROR(__xludf.DUMMYFUNCTION("IFERROR(IF(OR(ISBLANK($G548), IFERROR(INDEX(GOOGLEFINANCE($C548, ""price"", WORKDAY(INT($B548), 5)), 2, 2), """")=""""), """", IF($D548=""LONG"", (IFERROR(INDEX(GOOGLEFINANCE($C548, ""price"", WORKDAY(INT($B548), 5)), 2, 2), """")-$G548)/$G548, ($G548-IFE"&amp;"RROR(INDEX(GOOGLEFINANCE($C548, ""price"", WORKDAY(INT($B548), 5)), 2, 2), """"))/$G548)), """")"),"")</f>
        <v/>
      </c>
      <c r="P548" s="47" t="str">
        <f>IFERROR(__xludf.DUMMYFUNCTION("IFERROR(IF(OR(ISBLANK($G548), IFERROR(INDEX(GOOGLEFINANCE($C548, ""price"", WORKDAY(INT($B548), 20)), 2, 2), """")=""""), """", IF($D548=""LONG"", (IFERROR(INDEX(GOOGLEFINANCE($C548, ""price"", WORKDAY(INT($B548), 20)), 2, 2), """")-$G548)/$G548, ($G548-I"&amp;"FERROR(INDEX(GOOGLEFINANCE($C548, ""price"", WORKDAY(INT($B548), 20)), 2, 2), """"))/$G548)), """")"),"")</f>
        <v/>
      </c>
      <c r="Q548" s="44"/>
      <c r="R548" s="44"/>
      <c r="S548" s="44"/>
      <c r="T548" s="44"/>
      <c r="U548" s="44"/>
      <c r="V548" s="44"/>
      <c r="W548" s="44"/>
      <c r="X548" s="44"/>
      <c r="Y548" s="44"/>
      <c r="Z548" s="44"/>
    </row>
    <row r="549">
      <c r="A549" s="44"/>
      <c r="B549" s="45"/>
      <c r="C549" s="44"/>
      <c r="D549" s="44"/>
      <c r="E549" s="44"/>
      <c r="F549" s="44"/>
      <c r="G549" s="46"/>
      <c r="H549" s="44"/>
      <c r="I549" s="44"/>
      <c r="J549" s="44"/>
      <c r="K549" s="44"/>
      <c r="L549" s="46" t="str">
        <f>IFERROR(__xludf.DUMMYFUNCTION("IFERROR(IF(ISBLANK($C549), """", GOOGLEFINANCE($C549, ""price"")), """")"),"")</f>
        <v/>
      </c>
      <c r="M549" s="47" t="str">
        <f t="shared" si="3"/>
        <v/>
      </c>
      <c r="N549" s="47" t="str">
        <f>IFERROR(__xludf.DUMMYFUNCTION("IFERROR(IF(OR(ISBLANK($G549), IFERROR(INDEX(GOOGLEFINANCE($C549, ""price"", WORKDAY(INT($B549), 1)), 2, 2), """")=""""), """", IF($D549=""LONG"", (IFERROR(INDEX(GOOGLEFINANCE($C549, ""price"", WORKDAY(INT($B549), 1)), 2, 2), """")-$G549)/$G549, ($G549-IFE"&amp;"RROR(INDEX(GOOGLEFINANCE($C549, ""price"", WORKDAY(INT($B549), 1)), 2, 2), """"))/$G549)), """")"),"")</f>
        <v/>
      </c>
      <c r="O549" s="47" t="str">
        <f>IFERROR(__xludf.DUMMYFUNCTION("IFERROR(IF(OR(ISBLANK($G549), IFERROR(INDEX(GOOGLEFINANCE($C549, ""price"", WORKDAY(INT($B549), 5)), 2, 2), """")=""""), """", IF($D549=""LONG"", (IFERROR(INDEX(GOOGLEFINANCE($C549, ""price"", WORKDAY(INT($B549), 5)), 2, 2), """")-$G549)/$G549, ($G549-IFE"&amp;"RROR(INDEX(GOOGLEFINANCE($C549, ""price"", WORKDAY(INT($B549), 5)), 2, 2), """"))/$G549)), """")"),"")</f>
        <v/>
      </c>
      <c r="P549" s="47" t="str">
        <f>IFERROR(__xludf.DUMMYFUNCTION("IFERROR(IF(OR(ISBLANK($G549), IFERROR(INDEX(GOOGLEFINANCE($C549, ""price"", WORKDAY(INT($B549), 20)), 2, 2), """")=""""), """", IF($D549=""LONG"", (IFERROR(INDEX(GOOGLEFINANCE($C549, ""price"", WORKDAY(INT($B549), 20)), 2, 2), """")-$G549)/$G549, ($G549-I"&amp;"FERROR(INDEX(GOOGLEFINANCE($C549, ""price"", WORKDAY(INT($B549), 20)), 2, 2), """"))/$G549)), """")"),"")</f>
        <v/>
      </c>
      <c r="Q549" s="44"/>
      <c r="R549" s="44"/>
      <c r="S549" s="44"/>
      <c r="T549" s="44"/>
      <c r="U549" s="44"/>
      <c r="V549" s="44"/>
      <c r="W549" s="44"/>
      <c r="X549" s="44"/>
      <c r="Y549" s="44"/>
      <c r="Z549" s="44"/>
    </row>
    <row r="550">
      <c r="A550" s="44"/>
      <c r="B550" s="45"/>
      <c r="C550" s="44"/>
      <c r="D550" s="44"/>
      <c r="E550" s="44"/>
      <c r="F550" s="44"/>
      <c r="G550" s="46"/>
      <c r="H550" s="44"/>
      <c r="I550" s="44"/>
      <c r="J550" s="44"/>
      <c r="K550" s="44"/>
      <c r="L550" s="46" t="str">
        <f>IFERROR(__xludf.DUMMYFUNCTION("IFERROR(IF(ISBLANK($C550), """", GOOGLEFINANCE($C550, ""price"")), """")"),"")</f>
        <v/>
      </c>
      <c r="M550" s="47" t="str">
        <f t="shared" si="3"/>
        <v/>
      </c>
      <c r="N550" s="47" t="str">
        <f>IFERROR(__xludf.DUMMYFUNCTION("IFERROR(IF(OR(ISBLANK($G550), IFERROR(INDEX(GOOGLEFINANCE($C550, ""price"", WORKDAY(INT($B550), 1)), 2, 2), """")=""""), """", IF($D550=""LONG"", (IFERROR(INDEX(GOOGLEFINANCE($C550, ""price"", WORKDAY(INT($B550), 1)), 2, 2), """")-$G550)/$G550, ($G550-IFE"&amp;"RROR(INDEX(GOOGLEFINANCE($C550, ""price"", WORKDAY(INT($B550), 1)), 2, 2), """"))/$G550)), """")"),"")</f>
        <v/>
      </c>
      <c r="O550" s="47" t="str">
        <f>IFERROR(__xludf.DUMMYFUNCTION("IFERROR(IF(OR(ISBLANK($G550), IFERROR(INDEX(GOOGLEFINANCE($C550, ""price"", WORKDAY(INT($B550), 5)), 2, 2), """")=""""), """", IF($D550=""LONG"", (IFERROR(INDEX(GOOGLEFINANCE($C550, ""price"", WORKDAY(INT($B550), 5)), 2, 2), """")-$G550)/$G550, ($G550-IFE"&amp;"RROR(INDEX(GOOGLEFINANCE($C550, ""price"", WORKDAY(INT($B550), 5)), 2, 2), """"))/$G550)), """")"),"")</f>
        <v/>
      </c>
      <c r="P550" s="47" t="str">
        <f>IFERROR(__xludf.DUMMYFUNCTION("IFERROR(IF(OR(ISBLANK($G550), IFERROR(INDEX(GOOGLEFINANCE($C550, ""price"", WORKDAY(INT($B550), 20)), 2, 2), """")=""""), """", IF($D550=""LONG"", (IFERROR(INDEX(GOOGLEFINANCE($C550, ""price"", WORKDAY(INT($B550), 20)), 2, 2), """")-$G550)/$G550, ($G550-I"&amp;"FERROR(INDEX(GOOGLEFINANCE($C550, ""price"", WORKDAY(INT($B550), 20)), 2, 2), """"))/$G550)), """")"),"")</f>
        <v/>
      </c>
      <c r="Q550" s="44"/>
      <c r="R550" s="44"/>
      <c r="S550" s="44"/>
      <c r="T550" s="44"/>
      <c r="U550" s="44"/>
      <c r="V550" s="44"/>
      <c r="W550" s="44"/>
      <c r="X550" s="44"/>
      <c r="Y550" s="44"/>
      <c r="Z550" s="44"/>
    </row>
    <row r="551">
      <c r="A551" s="44"/>
      <c r="B551" s="45"/>
      <c r="C551" s="44"/>
      <c r="D551" s="44"/>
      <c r="E551" s="44"/>
      <c r="F551" s="44"/>
      <c r="G551" s="46"/>
      <c r="H551" s="44"/>
      <c r="I551" s="44"/>
      <c r="J551" s="44"/>
      <c r="K551" s="44"/>
      <c r="L551" s="46" t="str">
        <f>IFERROR(__xludf.DUMMYFUNCTION("IFERROR(IF(ISBLANK($C551), """", GOOGLEFINANCE($C551, ""price"")), """")"),"")</f>
        <v/>
      </c>
      <c r="M551" s="47" t="str">
        <f t="shared" si="3"/>
        <v/>
      </c>
      <c r="N551" s="47" t="str">
        <f>IFERROR(__xludf.DUMMYFUNCTION("IFERROR(IF(OR(ISBLANK($G551), IFERROR(INDEX(GOOGLEFINANCE($C551, ""price"", WORKDAY(INT($B551), 1)), 2, 2), """")=""""), """", IF($D551=""LONG"", (IFERROR(INDEX(GOOGLEFINANCE($C551, ""price"", WORKDAY(INT($B551), 1)), 2, 2), """")-$G551)/$G551, ($G551-IFE"&amp;"RROR(INDEX(GOOGLEFINANCE($C551, ""price"", WORKDAY(INT($B551), 1)), 2, 2), """"))/$G551)), """")"),"")</f>
        <v/>
      </c>
      <c r="O551" s="47" t="str">
        <f>IFERROR(__xludf.DUMMYFUNCTION("IFERROR(IF(OR(ISBLANK($G551), IFERROR(INDEX(GOOGLEFINANCE($C551, ""price"", WORKDAY(INT($B551), 5)), 2, 2), """")=""""), """", IF($D551=""LONG"", (IFERROR(INDEX(GOOGLEFINANCE($C551, ""price"", WORKDAY(INT($B551), 5)), 2, 2), """")-$G551)/$G551, ($G551-IFE"&amp;"RROR(INDEX(GOOGLEFINANCE($C551, ""price"", WORKDAY(INT($B551), 5)), 2, 2), """"))/$G551)), """")"),"")</f>
        <v/>
      </c>
      <c r="P551" s="47" t="str">
        <f>IFERROR(__xludf.DUMMYFUNCTION("IFERROR(IF(OR(ISBLANK($G551), IFERROR(INDEX(GOOGLEFINANCE($C551, ""price"", WORKDAY(INT($B551), 20)), 2, 2), """")=""""), """", IF($D551=""LONG"", (IFERROR(INDEX(GOOGLEFINANCE($C551, ""price"", WORKDAY(INT($B551), 20)), 2, 2), """")-$G551)/$G551, ($G551-I"&amp;"FERROR(INDEX(GOOGLEFINANCE($C551, ""price"", WORKDAY(INT($B551), 20)), 2, 2), """"))/$G551)), """")"),"")</f>
        <v/>
      </c>
      <c r="Q551" s="44"/>
      <c r="R551" s="44"/>
      <c r="S551" s="44"/>
      <c r="T551" s="44"/>
      <c r="U551" s="44"/>
      <c r="V551" s="44"/>
      <c r="W551" s="44"/>
      <c r="X551" s="44"/>
      <c r="Y551" s="44"/>
      <c r="Z551" s="44"/>
    </row>
    <row r="552">
      <c r="A552" s="44"/>
      <c r="B552" s="45"/>
      <c r="C552" s="44"/>
      <c r="D552" s="44"/>
      <c r="E552" s="44"/>
      <c r="F552" s="44"/>
      <c r="G552" s="46"/>
      <c r="H552" s="44"/>
      <c r="I552" s="44"/>
      <c r="J552" s="44"/>
      <c r="K552" s="44"/>
      <c r="L552" s="46" t="str">
        <f>IFERROR(__xludf.DUMMYFUNCTION("IFERROR(IF(ISBLANK($C552), """", GOOGLEFINANCE($C552, ""price"")), """")"),"")</f>
        <v/>
      </c>
      <c r="M552" s="47" t="str">
        <f t="shared" si="3"/>
        <v/>
      </c>
      <c r="N552" s="47" t="str">
        <f>IFERROR(__xludf.DUMMYFUNCTION("IFERROR(IF(OR(ISBLANK($G552), IFERROR(INDEX(GOOGLEFINANCE($C552, ""price"", WORKDAY(INT($B552), 1)), 2, 2), """")=""""), """", IF($D552=""LONG"", (IFERROR(INDEX(GOOGLEFINANCE($C552, ""price"", WORKDAY(INT($B552), 1)), 2, 2), """")-$G552)/$G552, ($G552-IFE"&amp;"RROR(INDEX(GOOGLEFINANCE($C552, ""price"", WORKDAY(INT($B552), 1)), 2, 2), """"))/$G552)), """")"),"")</f>
        <v/>
      </c>
      <c r="O552" s="47" t="str">
        <f>IFERROR(__xludf.DUMMYFUNCTION("IFERROR(IF(OR(ISBLANK($G552), IFERROR(INDEX(GOOGLEFINANCE($C552, ""price"", WORKDAY(INT($B552), 5)), 2, 2), """")=""""), """", IF($D552=""LONG"", (IFERROR(INDEX(GOOGLEFINANCE($C552, ""price"", WORKDAY(INT($B552), 5)), 2, 2), """")-$G552)/$G552, ($G552-IFE"&amp;"RROR(INDEX(GOOGLEFINANCE($C552, ""price"", WORKDAY(INT($B552), 5)), 2, 2), """"))/$G552)), """")"),"")</f>
        <v/>
      </c>
      <c r="P552" s="47" t="str">
        <f>IFERROR(__xludf.DUMMYFUNCTION("IFERROR(IF(OR(ISBLANK($G552), IFERROR(INDEX(GOOGLEFINANCE($C552, ""price"", WORKDAY(INT($B552), 20)), 2, 2), """")=""""), """", IF($D552=""LONG"", (IFERROR(INDEX(GOOGLEFINANCE($C552, ""price"", WORKDAY(INT($B552), 20)), 2, 2), """")-$G552)/$G552, ($G552-I"&amp;"FERROR(INDEX(GOOGLEFINANCE($C552, ""price"", WORKDAY(INT($B552), 20)), 2, 2), """"))/$G552)), """")"),"")</f>
        <v/>
      </c>
      <c r="Q552" s="44"/>
      <c r="R552" s="44"/>
      <c r="S552" s="44"/>
      <c r="T552" s="44"/>
      <c r="U552" s="44"/>
      <c r="V552" s="44"/>
      <c r="W552" s="44"/>
      <c r="X552" s="44"/>
      <c r="Y552" s="44"/>
      <c r="Z552" s="44"/>
    </row>
    <row r="553">
      <c r="A553" s="44"/>
      <c r="B553" s="45"/>
      <c r="C553" s="44"/>
      <c r="D553" s="44"/>
      <c r="E553" s="44"/>
      <c r="F553" s="44"/>
      <c r="G553" s="46"/>
      <c r="H553" s="44"/>
      <c r="I553" s="44"/>
      <c r="J553" s="44"/>
      <c r="K553" s="44"/>
      <c r="L553" s="46" t="str">
        <f>IFERROR(__xludf.DUMMYFUNCTION("IFERROR(IF(ISBLANK($C553), """", GOOGLEFINANCE($C553, ""price"")), """")"),"")</f>
        <v/>
      </c>
      <c r="M553" s="47" t="str">
        <f t="shared" si="3"/>
        <v/>
      </c>
      <c r="N553" s="47" t="str">
        <f>IFERROR(__xludf.DUMMYFUNCTION("IFERROR(IF(OR(ISBLANK($G553), IFERROR(INDEX(GOOGLEFINANCE($C553, ""price"", WORKDAY(INT($B553), 1)), 2, 2), """")=""""), """", IF($D553=""LONG"", (IFERROR(INDEX(GOOGLEFINANCE($C553, ""price"", WORKDAY(INT($B553), 1)), 2, 2), """")-$G553)/$G553, ($G553-IFE"&amp;"RROR(INDEX(GOOGLEFINANCE($C553, ""price"", WORKDAY(INT($B553), 1)), 2, 2), """"))/$G553)), """")"),"")</f>
        <v/>
      </c>
      <c r="O553" s="47" t="str">
        <f>IFERROR(__xludf.DUMMYFUNCTION("IFERROR(IF(OR(ISBLANK($G553), IFERROR(INDEX(GOOGLEFINANCE($C553, ""price"", WORKDAY(INT($B553), 5)), 2, 2), """")=""""), """", IF($D553=""LONG"", (IFERROR(INDEX(GOOGLEFINANCE($C553, ""price"", WORKDAY(INT($B553), 5)), 2, 2), """")-$G553)/$G553, ($G553-IFE"&amp;"RROR(INDEX(GOOGLEFINANCE($C553, ""price"", WORKDAY(INT($B553), 5)), 2, 2), """"))/$G553)), """")"),"")</f>
        <v/>
      </c>
      <c r="P553" s="47" t="str">
        <f>IFERROR(__xludf.DUMMYFUNCTION("IFERROR(IF(OR(ISBLANK($G553), IFERROR(INDEX(GOOGLEFINANCE($C553, ""price"", WORKDAY(INT($B553), 20)), 2, 2), """")=""""), """", IF($D553=""LONG"", (IFERROR(INDEX(GOOGLEFINANCE($C553, ""price"", WORKDAY(INT($B553), 20)), 2, 2), """")-$G553)/$G553, ($G553-I"&amp;"FERROR(INDEX(GOOGLEFINANCE($C553, ""price"", WORKDAY(INT($B553), 20)), 2, 2), """"))/$G553)), """")"),"")</f>
        <v/>
      </c>
      <c r="Q553" s="44"/>
      <c r="R553" s="44"/>
      <c r="S553" s="44"/>
      <c r="T553" s="44"/>
      <c r="U553" s="44"/>
      <c r="V553" s="44"/>
      <c r="W553" s="44"/>
      <c r="X553" s="44"/>
      <c r="Y553" s="44"/>
      <c r="Z553" s="44"/>
    </row>
    <row r="554">
      <c r="A554" s="44"/>
      <c r="B554" s="45"/>
      <c r="C554" s="44"/>
      <c r="D554" s="44"/>
      <c r="E554" s="44"/>
      <c r="F554" s="44"/>
      <c r="G554" s="46"/>
      <c r="H554" s="44"/>
      <c r="I554" s="44"/>
      <c r="J554" s="44"/>
      <c r="K554" s="44"/>
      <c r="L554" s="46" t="str">
        <f>IFERROR(__xludf.DUMMYFUNCTION("IFERROR(IF(ISBLANK($C554), """", GOOGLEFINANCE($C554, ""price"")), """")"),"")</f>
        <v/>
      </c>
      <c r="M554" s="47" t="str">
        <f t="shared" si="3"/>
        <v/>
      </c>
      <c r="N554" s="47" t="str">
        <f>IFERROR(__xludf.DUMMYFUNCTION("IFERROR(IF(OR(ISBLANK($G554), IFERROR(INDEX(GOOGLEFINANCE($C554, ""price"", WORKDAY(INT($B554), 1)), 2, 2), """")=""""), """", IF($D554=""LONG"", (IFERROR(INDEX(GOOGLEFINANCE($C554, ""price"", WORKDAY(INT($B554), 1)), 2, 2), """")-$G554)/$G554, ($G554-IFE"&amp;"RROR(INDEX(GOOGLEFINANCE($C554, ""price"", WORKDAY(INT($B554), 1)), 2, 2), """"))/$G554)), """")"),"")</f>
        <v/>
      </c>
      <c r="O554" s="47" t="str">
        <f>IFERROR(__xludf.DUMMYFUNCTION("IFERROR(IF(OR(ISBLANK($G554), IFERROR(INDEX(GOOGLEFINANCE($C554, ""price"", WORKDAY(INT($B554), 5)), 2, 2), """")=""""), """", IF($D554=""LONG"", (IFERROR(INDEX(GOOGLEFINANCE($C554, ""price"", WORKDAY(INT($B554), 5)), 2, 2), """")-$G554)/$G554, ($G554-IFE"&amp;"RROR(INDEX(GOOGLEFINANCE($C554, ""price"", WORKDAY(INT($B554), 5)), 2, 2), """"))/$G554)), """")"),"")</f>
        <v/>
      </c>
      <c r="P554" s="47" t="str">
        <f>IFERROR(__xludf.DUMMYFUNCTION("IFERROR(IF(OR(ISBLANK($G554), IFERROR(INDEX(GOOGLEFINANCE($C554, ""price"", WORKDAY(INT($B554), 20)), 2, 2), """")=""""), """", IF($D554=""LONG"", (IFERROR(INDEX(GOOGLEFINANCE($C554, ""price"", WORKDAY(INT($B554), 20)), 2, 2), """")-$G554)/$G554, ($G554-I"&amp;"FERROR(INDEX(GOOGLEFINANCE($C554, ""price"", WORKDAY(INT($B554), 20)), 2, 2), """"))/$G554)), """")"),"")</f>
        <v/>
      </c>
      <c r="Q554" s="44"/>
      <c r="R554" s="44"/>
      <c r="S554" s="44"/>
      <c r="T554" s="44"/>
      <c r="U554" s="44"/>
      <c r="V554" s="44"/>
      <c r="W554" s="44"/>
      <c r="X554" s="44"/>
      <c r="Y554" s="44"/>
      <c r="Z554" s="44"/>
    </row>
    <row r="555">
      <c r="A555" s="44"/>
      <c r="B555" s="45"/>
      <c r="C555" s="44"/>
      <c r="D555" s="44"/>
      <c r="E555" s="44"/>
      <c r="F555" s="44"/>
      <c r="G555" s="46"/>
      <c r="H555" s="44"/>
      <c r="I555" s="44"/>
      <c r="J555" s="44"/>
      <c r="K555" s="44"/>
      <c r="L555" s="46" t="str">
        <f>IFERROR(__xludf.DUMMYFUNCTION("IFERROR(IF(ISBLANK($C555), """", GOOGLEFINANCE($C555, ""price"")), """")"),"")</f>
        <v/>
      </c>
      <c r="M555" s="47" t="str">
        <f t="shared" si="3"/>
        <v/>
      </c>
      <c r="N555" s="47" t="str">
        <f>IFERROR(__xludf.DUMMYFUNCTION("IFERROR(IF(OR(ISBLANK($G555), IFERROR(INDEX(GOOGLEFINANCE($C555, ""price"", WORKDAY(INT($B555), 1)), 2, 2), """")=""""), """", IF($D555=""LONG"", (IFERROR(INDEX(GOOGLEFINANCE($C555, ""price"", WORKDAY(INT($B555), 1)), 2, 2), """")-$G555)/$G555, ($G555-IFE"&amp;"RROR(INDEX(GOOGLEFINANCE($C555, ""price"", WORKDAY(INT($B555), 1)), 2, 2), """"))/$G555)), """")"),"")</f>
        <v/>
      </c>
      <c r="O555" s="47" t="str">
        <f>IFERROR(__xludf.DUMMYFUNCTION("IFERROR(IF(OR(ISBLANK($G555), IFERROR(INDEX(GOOGLEFINANCE($C555, ""price"", WORKDAY(INT($B555), 5)), 2, 2), """")=""""), """", IF($D555=""LONG"", (IFERROR(INDEX(GOOGLEFINANCE($C555, ""price"", WORKDAY(INT($B555), 5)), 2, 2), """")-$G555)/$G555, ($G555-IFE"&amp;"RROR(INDEX(GOOGLEFINANCE($C555, ""price"", WORKDAY(INT($B555), 5)), 2, 2), """"))/$G555)), """")"),"")</f>
        <v/>
      </c>
      <c r="P555" s="47" t="str">
        <f>IFERROR(__xludf.DUMMYFUNCTION("IFERROR(IF(OR(ISBLANK($G555), IFERROR(INDEX(GOOGLEFINANCE($C555, ""price"", WORKDAY(INT($B555), 20)), 2, 2), """")=""""), """", IF($D555=""LONG"", (IFERROR(INDEX(GOOGLEFINANCE($C555, ""price"", WORKDAY(INT($B555), 20)), 2, 2), """")-$G555)/$G555, ($G555-I"&amp;"FERROR(INDEX(GOOGLEFINANCE($C555, ""price"", WORKDAY(INT($B555), 20)), 2, 2), """"))/$G555)), """")"),"")</f>
        <v/>
      </c>
      <c r="Q555" s="44"/>
      <c r="R555" s="44"/>
      <c r="S555" s="44"/>
      <c r="T555" s="44"/>
      <c r="U555" s="44"/>
      <c r="V555" s="44"/>
      <c r="W555" s="44"/>
      <c r="X555" s="44"/>
      <c r="Y555" s="44"/>
      <c r="Z555" s="44"/>
    </row>
    <row r="556">
      <c r="A556" s="44"/>
      <c r="B556" s="45"/>
      <c r="C556" s="44"/>
      <c r="D556" s="44"/>
      <c r="E556" s="44"/>
      <c r="F556" s="44"/>
      <c r="G556" s="46"/>
      <c r="H556" s="44"/>
      <c r="I556" s="44"/>
      <c r="J556" s="44"/>
      <c r="K556" s="44"/>
      <c r="L556" s="46" t="str">
        <f>IFERROR(__xludf.DUMMYFUNCTION("IFERROR(IF(ISBLANK($C556), """", GOOGLEFINANCE($C556, ""price"")), """")"),"")</f>
        <v/>
      </c>
      <c r="M556" s="47" t="str">
        <f t="shared" si="3"/>
        <v/>
      </c>
      <c r="N556" s="47" t="str">
        <f>IFERROR(__xludf.DUMMYFUNCTION("IFERROR(IF(OR(ISBLANK($G556), IFERROR(INDEX(GOOGLEFINANCE($C556, ""price"", WORKDAY(INT($B556), 1)), 2, 2), """")=""""), """", IF($D556=""LONG"", (IFERROR(INDEX(GOOGLEFINANCE($C556, ""price"", WORKDAY(INT($B556), 1)), 2, 2), """")-$G556)/$G556, ($G556-IFE"&amp;"RROR(INDEX(GOOGLEFINANCE($C556, ""price"", WORKDAY(INT($B556), 1)), 2, 2), """"))/$G556)), """")"),"")</f>
        <v/>
      </c>
      <c r="O556" s="47" t="str">
        <f>IFERROR(__xludf.DUMMYFUNCTION("IFERROR(IF(OR(ISBLANK($G556), IFERROR(INDEX(GOOGLEFINANCE($C556, ""price"", WORKDAY(INT($B556), 5)), 2, 2), """")=""""), """", IF($D556=""LONG"", (IFERROR(INDEX(GOOGLEFINANCE($C556, ""price"", WORKDAY(INT($B556), 5)), 2, 2), """")-$G556)/$G556, ($G556-IFE"&amp;"RROR(INDEX(GOOGLEFINANCE($C556, ""price"", WORKDAY(INT($B556), 5)), 2, 2), """"))/$G556)), """")"),"")</f>
        <v/>
      </c>
      <c r="P556" s="47" t="str">
        <f>IFERROR(__xludf.DUMMYFUNCTION("IFERROR(IF(OR(ISBLANK($G556), IFERROR(INDEX(GOOGLEFINANCE($C556, ""price"", WORKDAY(INT($B556), 20)), 2, 2), """")=""""), """", IF($D556=""LONG"", (IFERROR(INDEX(GOOGLEFINANCE($C556, ""price"", WORKDAY(INT($B556), 20)), 2, 2), """")-$G556)/$G556, ($G556-I"&amp;"FERROR(INDEX(GOOGLEFINANCE($C556, ""price"", WORKDAY(INT($B556), 20)), 2, 2), """"))/$G556)), """")"),"")</f>
        <v/>
      </c>
      <c r="Q556" s="44"/>
      <c r="R556" s="44"/>
      <c r="S556" s="44"/>
      <c r="T556" s="44"/>
      <c r="U556" s="44"/>
      <c r="V556" s="44"/>
      <c r="W556" s="44"/>
      <c r="X556" s="44"/>
      <c r="Y556" s="44"/>
      <c r="Z556" s="44"/>
    </row>
    <row r="557">
      <c r="A557" s="44"/>
      <c r="B557" s="45"/>
      <c r="C557" s="44"/>
      <c r="D557" s="44"/>
      <c r="E557" s="44"/>
      <c r="F557" s="44"/>
      <c r="G557" s="46"/>
      <c r="H557" s="44"/>
      <c r="I557" s="44"/>
      <c r="J557" s="44"/>
      <c r="K557" s="44"/>
      <c r="L557" s="46" t="str">
        <f>IFERROR(__xludf.DUMMYFUNCTION("IFERROR(IF(ISBLANK($C557), """", GOOGLEFINANCE($C557, ""price"")), """")"),"")</f>
        <v/>
      </c>
      <c r="M557" s="47" t="str">
        <f t="shared" si="3"/>
        <v/>
      </c>
      <c r="N557" s="47" t="str">
        <f>IFERROR(__xludf.DUMMYFUNCTION("IFERROR(IF(OR(ISBLANK($G557), IFERROR(INDEX(GOOGLEFINANCE($C557, ""price"", WORKDAY(INT($B557), 1)), 2, 2), """")=""""), """", IF($D557=""LONG"", (IFERROR(INDEX(GOOGLEFINANCE($C557, ""price"", WORKDAY(INT($B557), 1)), 2, 2), """")-$G557)/$G557, ($G557-IFE"&amp;"RROR(INDEX(GOOGLEFINANCE($C557, ""price"", WORKDAY(INT($B557), 1)), 2, 2), """"))/$G557)), """")"),"")</f>
        <v/>
      </c>
      <c r="O557" s="47" t="str">
        <f>IFERROR(__xludf.DUMMYFUNCTION("IFERROR(IF(OR(ISBLANK($G557), IFERROR(INDEX(GOOGLEFINANCE($C557, ""price"", WORKDAY(INT($B557), 5)), 2, 2), """")=""""), """", IF($D557=""LONG"", (IFERROR(INDEX(GOOGLEFINANCE($C557, ""price"", WORKDAY(INT($B557), 5)), 2, 2), """")-$G557)/$G557, ($G557-IFE"&amp;"RROR(INDEX(GOOGLEFINANCE($C557, ""price"", WORKDAY(INT($B557), 5)), 2, 2), """"))/$G557)), """")"),"")</f>
        <v/>
      </c>
      <c r="P557" s="47" t="str">
        <f>IFERROR(__xludf.DUMMYFUNCTION("IFERROR(IF(OR(ISBLANK($G557), IFERROR(INDEX(GOOGLEFINANCE($C557, ""price"", WORKDAY(INT($B557), 20)), 2, 2), """")=""""), """", IF($D557=""LONG"", (IFERROR(INDEX(GOOGLEFINANCE($C557, ""price"", WORKDAY(INT($B557), 20)), 2, 2), """")-$G557)/$G557, ($G557-I"&amp;"FERROR(INDEX(GOOGLEFINANCE($C557, ""price"", WORKDAY(INT($B557), 20)), 2, 2), """"))/$G557)), """")"),"")</f>
        <v/>
      </c>
      <c r="Q557" s="44"/>
      <c r="R557" s="44"/>
      <c r="S557" s="44"/>
      <c r="T557" s="44"/>
      <c r="U557" s="44"/>
      <c r="V557" s="44"/>
      <c r="W557" s="44"/>
      <c r="X557" s="44"/>
      <c r="Y557" s="44"/>
      <c r="Z557" s="44"/>
    </row>
    <row r="558">
      <c r="A558" s="44"/>
      <c r="B558" s="45"/>
      <c r="C558" s="44"/>
      <c r="D558" s="44"/>
      <c r="E558" s="44"/>
      <c r="F558" s="44"/>
      <c r="G558" s="46"/>
      <c r="H558" s="44"/>
      <c r="I558" s="44"/>
      <c r="J558" s="44"/>
      <c r="K558" s="44"/>
      <c r="L558" s="46" t="str">
        <f>IFERROR(__xludf.DUMMYFUNCTION("IFERROR(IF(ISBLANK($C558), """", GOOGLEFINANCE($C558, ""price"")), """")"),"")</f>
        <v/>
      </c>
      <c r="M558" s="47" t="str">
        <f t="shared" si="3"/>
        <v/>
      </c>
      <c r="N558" s="47" t="str">
        <f>IFERROR(__xludf.DUMMYFUNCTION("IFERROR(IF(OR(ISBLANK($G558), IFERROR(INDEX(GOOGLEFINANCE($C558, ""price"", WORKDAY(INT($B558), 1)), 2, 2), """")=""""), """", IF($D558=""LONG"", (IFERROR(INDEX(GOOGLEFINANCE($C558, ""price"", WORKDAY(INT($B558), 1)), 2, 2), """")-$G558)/$G558, ($G558-IFE"&amp;"RROR(INDEX(GOOGLEFINANCE($C558, ""price"", WORKDAY(INT($B558), 1)), 2, 2), """"))/$G558)), """")"),"")</f>
        <v/>
      </c>
      <c r="O558" s="47" t="str">
        <f>IFERROR(__xludf.DUMMYFUNCTION("IFERROR(IF(OR(ISBLANK($G558), IFERROR(INDEX(GOOGLEFINANCE($C558, ""price"", WORKDAY(INT($B558), 5)), 2, 2), """")=""""), """", IF($D558=""LONG"", (IFERROR(INDEX(GOOGLEFINANCE($C558, ""price"", WORKDAY(INT($B558), 5)), 2, 2), """")-$G558)/$G558, ($G558-IFE"&amp;"RROR(INDEX(GOOGLEFINANCE($C558, ""price"", WORKDAY(INT($B558), 5)), 2, 2), """"))/$G558)), """")"),"")</f>
        <v/>
      </c>
      <c r="P558" s="47" t="str">
        <f>IFERROR(__xludf.DUMMYFUNCTION("IFERROR(IF(OR(ISBLANK($G558), IFERROR(INDEX(GOOGLEFINANCE($C558, ""price"", WORKDAY(INT($B558), 20)), 2, 2), """")=""""), """", IF($D558=""LONG"", (IFERROR(INDEX(GOOGLEFINANCE($C558, ""price"", WORKDAY(INT($B558), 20)), 2, 2), """")-$G558)/$G558, ($G558-I"&amp;"FERROR(INDEX(GOOGLEFINANCE($C558, ""price"", WORKDAY(INT($B558), 20)), 2, 2), """"))/$G558)), """")"),"")</f>
        <v/>
      </c>
      <c r="Q558" s="44"/>
      <c r="R558" s="44"/>
      <c r="S558" s="44"/>
      <c r="T558" s="44"/>
      <c r="U558" s="44"/>
      <c r="V558" s="44"/>
      <c r="W558" s="44"/>
      <c r="X558" s="44"/>
      <c r="Y558" s="44"/>
      <c r="Z558" s="44"/>
    </row>
    <row r="559">
      <c r="A559" s="44"/>
      <c r="B559" s="45"/>
      <c r="C559" s="44"/>
      <c r="D559" s="44"/>
      <c r="E559" s="44"/>
      <c r="F559" s="44"/>
      <c r="G559" s="46"/>
      <c r="H559" s="44"/>
      <c r="I559" s="44"/>
      <c r="J559" s="44"/>
      <c r="K559" s="44"/>
      <c r="L559" s="46" t="str">
        <f>IFERROR(__xludf.DUMMYFUNCTION("IFERROR(IF(ISBLANK($C559), """", GOOGLEFINANCE($C559, ""price"")), """")"),"")</f>
        <v/>
      </c>
      <c r="M559" s="47" t="str">
        <f t="shared" si="3"/>
        <v/>
      </c>
      <c r="N559" s="47" t="str">
        <f>IFERROR(__xludf.DUMMYFUNCTION("IFERROR(IF(OR(ISBLANK($G559), IFERROR(INDEX(GOOGLEFINANCE($C559, ""price"", WORKDAY(INT($B559), 1)), 2, 2), """")=""""), """", IF($D559=""LONG"", (IFERROR(INDEX(GOOGLEFINANCE($C559, ""price"", WORKDAY(INT($B559), 1)), 2, 2), """")-$G559)/$G559, ($G559-IFE"&amp;"RROR(INDEX(GOOGLEFINANCE($C559, ""price"", WORKDAY(INT($B559), 1)), 2, 2), """"))/$G559)), """")"),"")</f>
        <v/>
      </c>
      <c r="O559" s="47" t="str">
        <f>IFERROR(__xludf.DUMMYFUNCTION("IFERROR(IF(OR(ISBLANK($G559), IFERROR(INDEX(GOOGLEFINANCE($C559, ""price"", WORKDAY(INT($B559), 5)), 2, 2), """")=""""), """", IF($D559=""LONG"", (IFERROR(INDEX(GOOGLEFINANCE($C559, ""price"", WORKDAY(INT($B559), 5)), 2, 2), """")-$G559)/$G559, ($G559-IFE"&amp;"RROR(INDEX(GOOGLEFINANCE($C559, ""price"", WORKDAY(INT($B559), 5)), 2, 2), """"))/$G559)), """")"),"")</f>
        <v/>
      </c>
      <c r="P559" s="47" t="str">
        <f>IFERROR(__xludf.DUMMYFUNCTION("IFERROR(IF(OR(ISBLANK($G559), IFERROR(INDEX(GOOGLEFINANCE($C559, ""price"", WORKDAY(INT($B559), 20)), 2, 2), """")=""""), """", IF($D559=""LONG"", (IFERROR(INDEX(GOOGLEFINANCE($C559, ""price"", WORKDAY(INT($B559), 20)), 2, 2), """")-$G559)/$G559, ($G559-I"&amp;"FERROR(INDEX(GOOGLEFINANCE($C559, ""price"", WORKDAY(INT($B559), 20)), 2, 2), """"))/$G559)), """")"),"")</f>
        <v/>
      </c>
      <c r="Q559" s="44"/>
      <c r="R559" s="44"/>
      <c r="S559" s="44"/>
      <c r="T559" s="44"/>
      <c r="U559" s="44"/>
      <c r="V559" s="44"/>
      <c r="W559" s="44"/>
      <c r="X559" s="44"/>
      <c r="Y559" s="44"/>
      <c r="Z559" s="44"/>
    </row>
    <row r="560">
      <c r="A560" s="44"/>
      <c r="B560" s="45"/>
      <c r="C560" s="44"/>
      <c r="D560" s="44"/>
      <c r="E560" s="44"/>
      <c r="F560" s="44"/>
      <c r="G560" s="46"/>
      <c r="H560" s="44"/>
      <c r="I560" s="44"/>
      <c r="J560" s="44"/>
      <c r="K560" s="44"/>
      <c r="L560" s="46" t="str">
        <f>IFERROR(__xludf.DUMMYFUNCTION("IFERROR(IF(ISBLANK($C560), """", GOOGLEFINANCE($C560, ""price"")), """")"),"")</f>
        <v/>
      </c>
      <c r="M560" s="47" t="str">
        <f t="shared" si="3"/>
        <v/>
      </c>
      <c r="N560" s="47" t="str">
        <f>IFERROR(__xludf.DUMMYFUNCTION("IFERROR(IF(OR(ISBLANK($G560), IFERROR(INDEX(GOOGLEFINANCE($C560, ""price"", WORKDAY(INT($B560), 1)), 2, 2), """")=""""), """", IF($D560=""LONG"", (IFERROR(INDEX(GOOGLEFINANCE($C560, ""price"", WORKDAY(INT($B560), 1)), 2, 2), """")-$G560)/$G560, ($G560-IFE"&amp;"RROR(INDEX(GOOGLEFINANCE($C560, ""price"", WORKDAY(INT($B560), 1)), 2, 2), """"))/$G560)), """")"),"")</f>
        <v/>
      </c>
      <c r="O560" s="47" t="str">
        <f>IFERROR(__xludf.DUMMYFUNCTION("IFERROR(IF(OR(ISBLANK($G560), IFERROR(INDEX(GOOGLEFINANCE($C560, ""price"", WORKDAY(INT($B560), 5)), 2, 2), """")=""""), """", IF($D560=""LONG"", (IFERROR(INDEX(GOOGLEFINANCE($C560, ""price"", WORKDAY(INT($B560), 5)), 2, 2), """")-$G560)/$G560, ($G560-IFE"&amp;"RROR(INDEX(GOOGLEFINANCE($C560, ""price"", WORKDAY(INT($B560), 5)), 2, 2), """"))/$G560)), """")"),"")</f>
        <v/>
      </c>
      <c r="P560" s="47" t="str">
        <f>IFERROR(__xludf.DUMMYFUNCTION("IFERROR(IF(OR(ISBLANK($G560), IFERROR(INDEX(GOOGLEFINANCE($C560, ""price"", WORKDAY(INT($B560), 20)), 2, 2), """")=""""), """", IF($D560=""LONG"", (IFERROR(INDEX(GOOGLEFINANCE($C560, ""price"", WORKDAY(INT($B560), 20)), 2, 2), """")-$G560)/$G560, ($G560-I"&amp;"FERROR(INDEX(GOOGLEFINANCE($C560, ""price"", WORKDAY(INT($B560), 20)), 2, 2), """"))/$G560)), """")"),"")</f>
        <v/>
      </c>
      <c r="Q560" s="44"/>
      <c r="R560" s="44"/>
      <c r="S560" s="44"/>
      <c r="T560" s="44"/>
      <c r="U560" s="44"/>
      <c r="V560" s="44"/>
      <c r="W560" s="44"/>
      <c r="X560" s="44"/>
      <c r="Y560" s="44"/>
      <c r="Z560" s="44"/>
    </row>
    <row r="561">
      <c r="A561" s="44"/>
      <c r="B561" s="45"/>
      <c r="C561" s="44"/>
      <c r="D561" s="44"/>
      <c r="E561" s="44"/>
      <c r="F561" s="44"/>
      <c r="G561" s="46"/>
      <c r="H561" s="44"/>
      <c r="I561" s="44"/>
      <c r="J561" s="44"/>
      <c r="K561" s="44"/>
      <c r="L561" s="46" t="str">
        <f>IFERROR(__xludf.DUMMYFUNCTION("IFERROR(IF(ISBLANK($C561), """", GOOGLEFINANCE($C561, ""price"")), """")"),"")</f>
        <v/>
      </c>
      <c r="M561" s="47" t="str">
        <f t="shared" si="3"/>
        <v/>
      </c>
      <c r="N561" s="47" t="str">
        <f>IFERROR(__xludf.DUMMYFUNCTION("IFERROR(IF(OR(ISBLANK($G561), IFERROR(INDEX(GOOGLEFINANCE($C561, ""price"", WORKDAY(INT($B561), 1)), 2, 2), """")=""""), """", IF($D561=""LONG"", (IFERROR(INDEX(GOOGLEFINANCE($C561, ""price"", WORKDAY(INT($B561), 1)), 2, 2), """")-$G561)/$G561, ($G561-IFE"&amp;"RROR(INDEX(GOOGLEFINANCE($C561, ""price"", WORKDAY(INT($B561), 1)), 2, 2), """"))/$G561)), """")"),"")</f>
        <v/>
      </c>
      <c r="O561" s="47" t="str">
        <f>IFERROR(__xludf.DUMMYFUNCTION("IFERROR(IF(OR(ISBLANK($G561), IFERROR(INDEX(GOOGLEFINANCE($C561, ""price"", WORKDAY(INT($B561), 5)), 2, 2), """")=""""), """", IF($D561=""LONG"", (IFERROR(INDEX(GOOGLEFINANCE($C561, ""price"", WORKDAY(INT($B561), 5)), 2, 2), """")-$G561)/$G561, ($G561-IFE"&amp;"RROR(INDEX(GOOGLEFINANCE($C561, ""price"", WORKDAY(INT($B561), 5)), 2, 2), """"))/$G561)), """")"),"")</f>
        <v/>
      </c>
      <c r="P561" s="47" t="str">
        <f>IFERROR(__xludf.DUMMYFUNCTION("IFERROR(IF(OR(ISBLANK($G561), IFERROR(INDEX(GOOGLEFINANCE($C561, ""price"", WORKDAY(INT($B561), 20)), 2, 2), """")=""""), """", IF($D561=""LONG"", (IFERROR(INDEX(GOOGLEFINANCE($C561, ""price"", WORKDAY(INT($B561), 20)), 2, 2), """")-$G561)/$G561, ($G561-I"&amp;"FERROR(INDEX(GOOGLEFINANCE($C561, ""price"", WORKDAY(INT($B561), 20)), 2, 2), """"))/$G561)), """")"),"")</f>
        <v/>
      </c>
      <c r="Q561" s="44"/>
      <c r="R561" s="44"/>
      <c r="S561" s="44"/>
      <c r="T561" s="44"/>
      <c r="U561" s="44"/>
      <c r="V561" s="44"/>
      <c r="W561" s="44"/>
      <c r="X561" s="44"/>
      <c r="Y561" s="44"/>
      <c r="Z561" s="44"/>
    </row>
    <row r="562">
      <c r="A562" s="44"/>
      <c r="B562" s="45"/>
      <c r="C562" s="44"/>
      <c r="D562" s="44"/>
      <c r="E562" s="44"/>
      <c r="F562" s="44"/>
      <c r="G562" s="46"/>
      <c r="H562" s="44"/>
      <c r="I562" s="44"/>
      <c r="J562" s="44"/>
      <c r="K562" s="44"/>
      <c r="L562" s="46" t="str">
        <f>IFERROR(__xludf.DUMMYFUNCTION("IFERROR(IF(ISBLANK($C562), """", GOOGLEFINANCE($C562, ""price"")), """")"),"")</f>
        <v/>
      </c>
      <c r="M562" s="47" t="str">
        <f t="shared" si="3"/>
        <v/>
      </c>
      <c r="N562" s="47" t="str">
        <f>IFERROR(__xludf.DUMMYFUNCTION("IFERROR(IF(OR(ISBLANK($G562), IFERROR(INDEX(GOOGLEFINANCE($C562, ""price"", WORKDAY(INT($B562), 1)), 2, 2), """")=""""), """", IF($D562=""LONG"", (IFERROR(INDEX(GOOGLEFINANCE($C562, ""price"", WORKDAY(INT($B562), 1)), 2, 2), """")-$G562)/$G562, ($G562-IFE"&amp;"RROR(INDEX(GOOGLEFINANCE($C562, ""price"", WORKDAY(INT($B562), 1)), 2, 2), """"))/$G562)), """")"),"")</f>
        <v/>
      </c>
      <c r="O562" s="47" t="str">
        <f>IFERROR(__xludf.DUMMYFUNCTION("IFERROR(IF(OR(ISBLANK($G562), IFERROR(INDEX(GOOGLEFINANCE($C562, ""price"", WORKDAY(INT($B562), 5)), 2, 2), """")=""""), """", IF($D562=""LONG"", (IFERROR(INDEX(GOOGLEFINANCE($C562, ""price"", WORKDAY(INT($B562), 5)), 2, 2), """")-$G562)/$G562, ($G562-IFE"&amp;"RROR(INDEX(GOOGLEFINANCE($C562, ""price"", WORKDAY(INT($B562), 5)), 2, 2), """"))/$G562)), """")"),"")</f>
        <v/>
      </c>
      <c r="P562" s="47" t="str">
        <f>IFERROR(__xludf.DUMMYFUNCTION("IFERROR(IF(OR(ISBLANK($G562), IFERROR(INDEX(GOOGLEFINANCE($C562, ""price"", WORKDAY(INT($B562), 20)), 2, 2), """")=""""), """", IF($D562=""LONG"", (IFERROR(INDEX(GOOGLEFINANCE($C562, ""price"", WORKDAY(INT($B562), 20)), 2, 2), """")-$G562)/$G562, ($G562-I"&amp;"FERROR(INDEX(GOOGLEFINANCE($C562, ""price"", WORKDAY(INT($B562), 20)), 2, 2), """"))/$G562)), """")"),"")</f>
        <v/>
      </c>
      <c r="Q562" s="44"/>
      <c r="R562" s="44"/>
      <c r="S562" s="44"/>
      <c r="T562" s="44"/>
      <c r="U562" s="44"/>
      <c r="V562" s="44"/>
      <c r="W562" s="44"/>
      <c r="X562" s="44"/>
      <c r="Y562" s="44"/>
      <c r="Z562" s="44"/>
    </row>
    <row r="563">
      <c r="A563" s="44"/>
      <c r="B563" s="45"/>
      <c r="C563" s="44"/>
      <c r="D563" s="44"/>
      <c r="E563" s="44"/>
      <c r="F563" s="44"/>
      <c r="G563" s="46"/>
      <c r="H563" s="44"/>
      <c r="I563" s="44"/>
      <c r="J563" s="44"/>
      <c r="K563" s="44"/>
      <c r="L563" s="46" t="str">
        <f>IFERROR(__xludf.DUMMYFUNCTION("IFERROR(IF(ISBLANK($C563), """", GOOGLEFINANCE($C563, ""price"")), """")"),"")</f>
        <v/>
      </c>
      <c r="M563" s="47" t="str">
        <f t="shared" si="3"/>
        <v/>
      </c>
      <c r="N563" s="47" t="str">
        <f>IFERROR(__xludf.DUMMYFUNCTION("IFERROR(IF(OR(ISBLANK($G563), IFERROR(INDEX(GOOGLEFINANCE($C563, ""price"", WORKDAY(INT($B563), 1)), 2, 2), """")=""""), """", IF($D563=""LONG"", (IFERROR(INDEX(GOOGLEFINANCE($C563, ""price"", WORKDAY(INT($B563), 1)), 2, 2), """")-$G563)/$G563, ($G563-IFE"&amp;"RROR(INDEX(GOOGLEFINANCE($C563, ""price"", WORKDAY(INT($B563), 1)), 2, 2), """"))/$G563)), """")"),"")</f>
        <v/>
      </c>
      <c r="O563" s="47" t="str">
        <f>IFERROR(__xludf.DUMMYFUNCTION("IFERROR(IF(OR(ISBLANK($G563), IFERROR(INDEX(GOOGLEFINANCE($C563, ""price"", WORKDAY(INT($B563), 5)), 2, 2), """")=""""), """", IF($D563=""LONG"", (IFERROR(INDEX(GOOGLEFINANCE($C563, ""price"", WORKDAY(INT($B563), 5)), 2, 2), """")-$G563)/$G563, ($G563-IFE"&amp;"RROR(INDEX(GOOGLEFINANCE($C563, ""price"", WORKDAY(INT($B563), 5)), 2, 2), """"))/$G563)), """")"),"")</f>
        <v/>
      </c>
      <c r="P563" s="47" t="str">
        <f>IFERROR(__xludf.DUMMYFUNCTION("IFERROR(IF(OR(ISBLANK($G563), IFERROR(INDEX(GOOGLEFINANCE($C563, ""price"", WORKDAY(INT($B563), 20)), 2, 2), """")=""""), """", IF($D563=""LONG"", (IFERROR(INDEX(GOOGLEFINANCE($C563, ""price"", WORKDAY(INT($B563), 20)), 2, 2), """")-$G563)/$G563, ($G563-I"&amp;"FERROR(INDEX(GOOGLEFINANCE($C563, ""price"", WORKDAY(INT($B563), 20)), 2, 2), """"))/$G563)), """")"),"")</f>
        <v/>
      </c>
      <c r="Q563" s="44"/>
      <c r="R563" s="44"/>
      <c r="S563" s="44"/>
      <c r="T563" s="44"/>
      <c r="U563" s="44"/>
      <c r="V563" s="44"/>
      <c r="W563" s="44"/>
      <c r="X563" s="44"/>
      <c r="Y563" s="44"/>
      <c r="Z563" s="44"/>
    </row>
    <row r="564">
      <c r="A564" s="44"/>
      <c r="B564" s="45"/>
      <c r="C564" s="44"/>
      <c r="D564" s="44"/>
      <c r="E564" s="44"/>
      <c r="F564" s="44"/>
      <c r="G564" s="46"/>
      <c r="H564" s="44"/>
      <c r="I564" s="44"/>
      <c r="J564" s="44"/>
      <c r="K564" s="44"/>
      <c r="L564" s="46" t="str">
        <f>IFERROR(__xludf.DUMMYFUNCTION("IFERROR(IF(ISBLANK($C564), """", GOOGLEFINANCE($C564, ""price"")), """")"),"")</f>
        <v/>
      </c>
      <c r="M564" s="47" t="str">
        <f t="shared" si="3"/>
        <v/>
      </c>
      <c r="N564" s="47" t="str">
        <f>IFERROR(__xludf.DUMMYFUNCTION("IFERROR(IF(OR(ISBLANK($G564), IFERROR(INDEX(GOOGLEFINANCE($C564, ""price"", WORKDAY(INT($B564), 1)), 2, 2), """")=""""), """", IF($D564=""LONG"", (IFERROR(INDEX(GOOGLEFINANCE($C564, ""price"", WORKDAY(INT($B564), 1)), 2, 2), """")-$G564)/$G564, ($G564-IFE"&amp;"RROR(INDEX(GOOGLEFINANCE($C564, ""price"", WORKDAY(INT($B564), 1)), 2, 2), """"))/$G564)), """")"),"")</f>
        <v/>
      </c>
      <c r="O564" s="47" t="str">
        <f>IFERROR(__xludf.DUMMYFUNCTION("IFERROR(IF(OR(ISBLANK($G564), IFERROR(INDEX(GOOGLEFINANCE($C564, ""price"", WORKDAY(INT($B564), 5)), 2, 2), """")=""""), """", IF($D564=""LONG"", (IFERROR(INDEX(GOOGLEFINANCE($C564, ""price"", WORKDAY(INT($B564), 5)), 2, 2), """")-$G564)/$G564, ($G564-IFE"&amp;"RROR(INDEX(GOOGLEFINANCE($C564, ""price"", WORKDAY(INT($B564), 5)), 2, 2), """"))/$G564)), """")"),"")</f>
        <v/>
      </c>
      <c r="P564" s="47" t="str">
        <f>IFERROR(__xludf.DUMMYFUNCTION("IFERROR(IF(OR(ISBLANK($G564), IFERROR(INDEX(GOOGLEFINANCE($C564, ""price"", WORKDAY(INT($B564), 20)), 2, 2), """")=""""), """", IF($D564=""LONG"", (IFERROR(INDEX(GOOGLEFINANCE($C564, ""price"", WORKDAY(INT($B564), 20)), 2, 2), """")-$G564)/$G564, ($G564-I"&amp;"FERROR(INDEX(GOOGLEFINANCE($C564, ""price"", WORKDAY(INT($B564), 20)), 2, 2), """"))/$G564)), """")"),"")</f>
        <v/>
      </c>
      <c r="Q564" s="44"/>
      <c r="R564" s="44"/>
      <c r="S564" s="44"/>
      <c r="T564" s="44"/>
      <c r="U564" s="44"/>
      <c r="V564" s="44"/>
      <c r="W564" s="44"/>
      <c r="X564" s="44"/>
      <c r="Y564" s="44"/>
      <c r="Z564" s="44"/>
    </row>
    <row r="565">
      <c r="A565" s="44"/>
      <c r="B565" s="45"/>
      <c r="C565" s="44"/>
      <c r="D565" s="44"/>
      <c r="E565" s="44"/>
      <c r="F565" s="44"/>
      <c r="G565" s="46"/>
      <c r="H565" s="44"/>
      <c r="I565" s="44"/>
      <c r="J565" s="44"/>
      <c r="K565" s="44"/>
      <c r="L565" s="46" t="str">
        <f>IFERROR(__xludf.DUMMYFUNCTION("IFERROR(IF(ISBLANK($C565), """", GOOGLEFINANCE($C565, ""price"")), """")"),"")</f>
        <v/>
      </c>
      <c r="M565" s="47" t="str">
        <f t="shared" si="3"/>
        <v/>
      </c>
      <c r="N565" s="47" t="str">
        <f>IFERROR(__xludf.DUMMYFUNCTION("IFERROR(IF(OR(ISBLANK($G565), IFERROR(INDEX(GOOGLEFINANCE($C565, ""price"", WORKDAY(INT($B565), 1)), 2, 2), """")=""""), """", IF($D565=""LONG"", (IFERROR(INDEX(GOOGLEFINANCE($C565, ""price"", WORKDAY(INT($B565), 1)), 2, 2), """")-$G565)/$G565, ($G565-IFE"&amp;"RROR(INDEX(GOOGLEFINANCE($C565, ""price"", WORKDAY(INT($B565), 1)), 2, 2), """"))/$G565)), """")"),"")</f>
        <v/>
      </c>
      <c r="O565" s="47" t="str">
        <f>IFERROR(__xludf.DUMMYFUNCTION("IFERROR(IF(OR(ISBLANK($G565), IFERROR(INDEX(GOOGLEFINANCE($C565, ""price"", WORKDAY(INT($B565), 5)), 2, 2), """")=""""), """", IF($D565=""LONG"", (IFERROR(INDEX(GOOGLEFINANCE($C565, ""price"", WORKDAY(INT($B565), 5)), 2, 2), """")-$G565)/$G565, ($G565-IFE"&amp;"RROR(INDEX(GOOGLEFINANCE($C565, ""price"", WORKDAY(INT($B565), 5)), 2, 2), """"))/$G565)), """")"),"")</f>
        <v/>
      </c>
      <c r="P565" s="47" t="str">
        <f>IFERROR(__xludf.DUMMYFUNCTION("IFERROR(IF(OR(ISBLANK($G565), IFERROR(INDEX(GOOGLEFINANCE($C565, ""price"", WORKDAY(INT($B565), 20)), 2, 2), """")=""""), """", IF($D565=""LONG"", (IFERROR(INDEX(GOOGLEFINANCE($C565, ""price"", WORKDAY(INT($B565), 20)), 2, 2), """")-$G565)/$G565, ($G565-I"&amp;"FERROR(INDEX(GOOGLEFINANCE($C565, ""price"", WORKDAY(INT($B565), 20)), 2, 2), """"))/$G565)), """")"),"")</f>
        <v/>
      </c>
      <c r="Q565" s="44"/>
      <c r="R565" s="44"/>
      <c r="S565" s="44"/>
      <c r="T565" s="44"/>
      <c r="U565" s="44"/>
      <c r="V565" s="44"/>
      <c r="W565" s="44"/>
      <c r="X565" s="44"/>
      <c r="Y565" s="44"/>
      <c r="Z565" s="44"/>
    </row>
    <row r="566">
      <c r="A566" s="44"/>
      <c r="B566" s="45"/>
      <c r="C566" s="44"/>
      <c r="D566" s="44"/>
      <c r="E566" s="44"/>
      <c r="F566" s="44"/>
      <c r="G566" s="46"/>
      <c r="H566" s="44"/>
      <c r="I566" s="44"/>
      <c r="J566" s="44"/>
      <c r="K566" s="44"/>
      <c r="L566" s="46" t="str">
        <f>IFERROR(__xludf.DUMMYFUNCTION("IFERROR(IF(ISBLANK($C566), """", GOOGLEFINANCE($C566, ""price"")), """")"),"")</f>
        <v/>
      </c>
      <c r="M566" s="47" t="str">
        <f t="shared" si="3"/>
        <v/>
      </c>
      <c r="N566" s="47" t="str">
        <f>IFERROR(__xludf.DUMMYFUNCTION("IFERROR(IF(OR(ISBLANK($G566), IFERROR(INDEX(GOOGLEFINANCE($C566, ""price"", WORKDAY(INT($B566), 1)), 2, 2), """")=""""), """", IF($D566=""LONG"", (IFERROR(INDEX(GOOGLEFINANCE($C566, ""price"", WORKDAY(INT($B566), 1)), 2, 2), """")-$G566)/$G566, ($G566-IFE"&amp;"RROR(INDEX(GOOGLEFINANCE($C566, ""price"", WORKDAY(INT($B566), 1)), 2, 2), """"))/$G566)), """")"),"")</f>
        <v/>
      </c>
      <c r="O566" s="47" t="str">
        <f>IFERROR(__xludf.DUMMYFUNCTION("IFERROR(IF(OR(ISBLANK($G566), IFERROR(INDEX(GOOGLEFINANCE($C566, ""price"", WORKDAY(INT($B566), 5)), 2, 2), """")=""""), """", IF($D566=""LONG"", (IFERROR(INDEX(GOOGLEFINANCE($C566, ""price"", WORKDAY(INT($B566), 5)), 2, 2), """")-$G566)/$G566, ($G566-IFE"&amp;"RROR(INDEX(GOOGLEFINANCE($C566, ""price"", WORKDAY(INT($B566), 5)), 2, 2), """"))/$G566)), """")"),"")</f>
        <v/>
      </c>
      <c r="P566" s="47" t="str">
        <f>IFERROR(__xludf.DUMMYFUNCTION("IFERROR(IF(OR(ISBLANK($G566), IFERROR(INDEX(GOOGLEFINANCE($C566, ""price"", WORKDAY(INT($B566), 20)), 2, 2), """")=""""), """", IF($D566=""LONG"", (IFERROR(INDEX(GOOGLEFINANCE($C566, ""price"", WORKDAY(INT($B566), 20)), 2, 2), """")-$G566)/$G566, ($G566-I"&amp;"FERROR(INDEX(GOOGLEFINANCE($C566, ""price"", WORKDAY(INT($B566), 20)), 2, 2), """"))/$G566)), """")"),"")</f>
        <v/>
      </c>
      <c r="Q566" s="44"/>
      <c r="R566" s="44"/>
      <c r="S566" s="44"/>
      <c r="T566" s="44"/>
      <c r="U566" s="44"/>
      <c r="V566" s="44"/>
      <c r="W566" s="44"/>
      <c r="X566" s="44"/>
      <c r="Y566" s="44"/>
      <c r="Z566" s="44"/>
    </row>
    <row r="567">
      <c r="A567" s="44"/>
      <c r="B567" s="45"/>
      <c r="C567" s="44"/>
      <c r="D567" s="44"/>
      <c r="E567" s="44"/>
      <c r="F567" s="44"/>
      <c r="G567" s="46"/>
      <c r="H567" s="44"/>
      <c r="I567" s="44"/>
      <c r="J567" s="44"/>
      <c r="K567" s="44"/>
      <c r="L567" s="46" t="str">
        <f>IFERROR(__xludf.DUMMYFUNCTION("IFERROR(IF(ISBLANK($C567), """", GOOGLEFINANCE($C567, ""price"")), """")"),"")</f>
        <v/>
      </c>
      <c r="M567" s="47" t="str">
        <f t="shared" si="3"/>
        <v/>
      </c>
      <c r="N567" s="47" t="str">
        <f>IFERROR(__xludf.DUMMYFUNCTION("IFERROR(IF(OR(ISBLANK($G567), IFERROR(INDEX(GOOGLEFINANCE($C567, ""price"", WORKDAY(INT($B567), 1)), 2, 2), """")=""""), """", IF($D567=""LONG"", (IFERROR(INDEX(GOOGLEFINANCE($C567, ""price"", WORKDAY(INT($B567), 1)), 2, 2), """")-$G567)/$G567, ($G567-IFE"&amp;"RROR(INDEX(GOOGLEFINANCE($C567, ""price"", WORKDAY(INT($B567), 1)), 2, 2), """"))/$G567)), """")"),"")</f>
        <v/>
      </c>
      <c r="O567" s="47" t="str">
        <f>IFERROR(__xludf.DUMMYFUNCTION("IFERROR(IF(OR(ISBLANK($G567), IFERROR(INDEX(GOOGLEFINANCE($C567, ""price"", WORKDAY(INT($B567), 5)), 2, 2), """")=""""), """", IF($D567=""LONG"", (IFERROR(INDEX(GOOGLEFINANCE($C567, ""price"", WORKDAY(INT($B567), 5)), 2, 2), """")-$G567)/$G567, ($G567-IFE"&amp;"RROR(INDEX(GOOGLEFINANCE($C567, ""price"", WORKDAY(INT($B567), 5)), 2, 2), """"))/$G567)), """")"),"")</f>
        <v/>
      </c>
      <c r="P567" s="47" t="str">
        <f>IFERROR(__xludf.DUMMYFUNCTION("IFERROR(IF(OR(ISBLANK($G567), IFERROR(INDEX(GOOGLEFINANCE($C567, ""price"", WORKDAY(INT($B567), 20)), 2, 2), """")=""""), """", IF($D567=""LONG"", (IFERROR(INDEX(GOOGLEFINANCE($C567, ""price"", WORKDAY(INT($B567), 20)), 2, 2), """")-$G567)/$G567, ($G567-I"&amp;"FERROR(INDEX(GOOGLEFINANCE($C567, ""price"", WORKDAY(INT($B567), 20)), 2, 2), """"))/$G567)), """")"),"")</f>
        <v/>
      </c>
      <c r="Q567" s="44"/>
      <c r="R567" s="44"/>
      <c r="S567" s="44"/>
      <c r="T567" s="44"/>
      <c r="U567" s="44"/>
      <c r="V567" s="44"/>
      <c r="W567" s="44"/>
      <c r="X567" s="44"/>
      <c r="Y567" s="44"/>
      <c r="Z567" s="44"/>
    </row>
    <row r="568">
      <c r="A568" s="44"/>
      <c r="B568" s="45"/>
      <c r="C568" s="44"/>
      <c r="D568" s="44"/>
      <c r="E568" s="44"/>
      <c r="F568" s="44"/>
      <c r="G568" s="46"/>
      <c r="H568" s="44"/>
      <c r="I568" s="44"/>
      <c r="J568" s="44"/>
      <c r="K568" s="44"/>
      <c r="L568" s="46" t="str">
        <f>IFERROR(__xludf.DUMMYFUNCTION("IFERROR(IF(ISBLANK($C568), """", GOOGLEFINANCE($C568, ""price"")), """")"),"")</f>
        <v/>
      </c>
      <c r="M568" s="47" t="str">
        <f t="shared" si="3"/>
        <v/>
      </c>
      <c r="N568" s="47" t="str">
        <f>IFERROR(__xludf.DUMMYFUNCTION("IFERROR(IF(OR(ISBLANK($G568), IFERROR(INDEX(GOOGLEFINANCE($C568, ""price"", WORKDAY(INT($B568), 1)), 2, 2), """")=""""), """", IF($D568=""LONG"", (IFERROR(INDEX(GOOGLEFINANCE($C568, ""price"", WORKDAY(INT($B568), 1)), 2, 2), """")-$G568)/$G568, ($G568-IFE"&amp;"RROR(INDEX(GOOGLEFINANCE($C568, ""price"", WORKDAY(INT($B568), 1)), 2, 2), """"))/$G568)), """")"),"")</f>
        <v/>
      </c>
      <c r="O568" s="47" t="str">
        <f>IFERROR(__xludf.DUMMYFUNCTION("IFERROR(IF(OR(ISBLANK($G568), IFERROR(INDEX(GOOGLEFINANCE($C568, ""price"", WORKDAY(INT($B568), 5)), 2, 2), """")=""""), """", IF($D568=""LONG"", (IFERROR(INDEX(GOOGLEFINANCE($C568, ""price"", WORKDAY(INT($B568), 5)), 2, 2), """")-$G568)/$G568, ($G568-IFE"&amp;"RROR(INDEX(GOOGLEFINANCE($C568, ""price"", WORKDAY(INT($B568), 5)), 2, 2), """"))/$G568)), """")"),"")</f>
        <v/>
      </c>
      <c r="P568" s="47" t="str">
        <f>IFERROR(__xludf.DUMMYFUNCTION("IFERROR(IF(OR(ISBLANK($G568), IFERROR(INDEX(GOOGLEFINANCE($C568, ""price"", WORKDAY(INT($B568), 20)), 2, 2), """")=""""), """", IF($D568=""LONG"", (IFERROR(INDEX(GOOGLEFINANCE($C568, ""price"", WORKDAY(INT($B568), 20)), 2, 2), """")-$G568)/$G568, ($G568-I"&amp;"FERROR(INDEX(GOOGLEFINANCE($C568, ""price"", WORKDAY(INT($B568), 20)), 2, 2), """"))/$G568)), """")"),"")</f>
        <v/>
      </c>
      <c r="Q568" s="44"/>
      <c r="R568" s="44"/>
      <c r="S568" s="44"/>
      <c r="T568" s="44"/>
      <c r="U568" s="44"/>
      <c r="V568" s="44"/>
      <c r="W568" s="44"/>
      <c r="X568" s="44"/>
      <c r="Y568" s="44"/>
      <c r="Z568" s="44"/>
    </row>
    <row r="569">
      <c r="A569" s="44"/>
      <c r="B569" s="45"/>
      <c r="C569" s="44"/>
      <c r="D569" s="44"/>
      <c r="E569" s="44"/>
      <c r="F569" s="44"/>
      <c r="G569" s="46"/>
      <c r="H569" s="44"/>
      <c r="I569" s="44"/>
      <c r="J569" s="44"/>
      <c r="K569" s="44"/>
      <c r="L569" s="46" t="str">
        <f>IFERROR(__xludf.DUMMYFUNCTION("IFERROR(IF(ISBLANK($C569), """", GOOGLEFINANCE($C569, ""price"")), """")"),"")</f>
        <v/>
      </c>
      <c r="M569" s="47" t="str">
        <f t="shared" si="3"/>
        <v/>
      </c>
      <c r="N569" s="47" t="str">
        <f>IFERROR(__xludf.DUMMYFUNCTION("IFERROR(IF(OR(ISBLANK($G569), IFERROR(INDEX(GOOGLEFINANCE($C569, ""price"", WORKDAY(INT($B569), 1)), 2, 2), """")=""""), """", IF($D569=""LONG"", (IFERROR(INDEX(GOOGLEFINANCE($C569, ""price"", WORKDAY(INT($B569), 1)), 2, 2), """")-$G569)/$G569, ($G569-IFE"&amp;"RROR(INDEX(GOOGLEFINANCE($C569, ""price"", WORKDAY(INT($B569), 1)), 2, 2), """"))/$G569)), """")"),"")</f>
        <v/>
      </c>
      <c r="O569" s="47" t="str">
        <f>IFERROR(__xludf.DUMMYFUNCTION("IFERROR(IF(OR(ISBLANK($G569), IFERROR(INDEX(GOOGLEFINANCE($C569, ""price"", WORKDAY(INT($B569), 5)), 2, 2), """")=""""), """", IF($D569=""LONG"", (IFERROR(INDEX(GOOGLEFINANCE($C569, ""price"", WORKDAY(INT($B569), 5)), 2, 2), """")-$G569)/$G569, ($G569-IFE"&amp;"RROR(INDEX(GOOGLEFINANCE($C569, ""price"", WORKDAY(INT($B569), 5)), 2, 2), """"))/$G569)), """")"),"")</f>
        <v/>
      </c>
      <c r="P569" s="47" t="str">
        <f>IFERROR(__xludf.DUMMYFUNCTION("IFERROR(IF(OR(ISBLANK($G569), IFERROR(INDEX(GOOGLEFINANCE($C569, ""price"", WORKDAY(INT($B569), 20)), 2, 2), """")=""""), """", IF($D569=""LONG"", (IFERROR(INDEX(GOOGLEFINANCE($C569, ""price"", WORKDAY(INT($B569), 20)), 2, 2), """")-$G569)/$G569, ($G569-I"&amp;"FERROR(INDEX(GOOGLEFINANCE($C569, ""price"", WORKDAY(INT($B569), 20)), 2, 2), """"))/$G569)), """")"),"")</f>
        <v/>
      </c>
      <c r="Q569" s="44"/>
      <c r="R569" s="44"/>
      <c r="S569" s="44"/>
      <c r="T569" s="44"/>
      <c r="U569" s="44"/>
      <c r="V569" s="44"/>
      <c r="W569" s="44"/>
      <c r="X569" s="44"/>
      <c r="Y569" s="44"/>
      <c r="Z569" s="44"/>
    </row>
    <row r="570">
      <c r="A570" s="44"/>
      <c r="B570" s="45"/>
      <c r="C570" s="44"/>
      <c r="D570" s="44"/>
      <c r="E570" s="44"/>
      <c r="F570" s="44"/>
      <c r="G570" s="46"/>
      <c r="H570" s="44"/>
      <c r="I570" s="44"/>
      <c r="J570" s="44"/>
      <c r="K570" s="44"/>
      <c r="L570" s="46" t="str">
        <f>IFERROR(__xludf.DUMMYFUNCTION("IFERROR(IF(ISBLANK($C570), """", GOOGLEFINANCE($C570, ""price"")), """")"),"")</f>
        <v/>
      </c>
      <c r="M570" s="47" t="str">
        <f t="shared" si="3"/>
        <v/>
      </c>
      <c r="N570" s="47" t="str">
        <f>IFERROR(__xludf.DUMMYFUNCTION("IFERROR(IF(OR(ISBLANK($G570), IFERROR(INDEX(GOOGLEFINANCE($C570, ""price"", WORKDAY(INT($B570), 1)), 2, 2), """")=""""), """", IF($D570=""LONG"", (IFERROR(INDEX(GOOGLEFINANCE($C570, ""price"", WORKDAY(INT($B570), 1)), 2, 2), """")-$G570)/$G570, ($G570-IFE"&amp;"RROR(INDEX(GOOGLEFINANCE($C570, ""price"", WORKDAY(INT($B570), 1)), 2, 2), """"))/$G570)), """")"),"")</f>
        <v/>
      </c>
      <c r="O570" s="47" t="str">
        <f>IFERROR(__xludf.DUMMYFUNCTION("IFERROR(IF(OR(ISBLANK($G570), IFERROR(INDEX(GOOGLEFINANCE($C570, ""price"", WORKDAY(INT($B570), 5)), 2, 2), """")=""""), """", IF($D570=""LONG"", (IFERROR(INDEX(GOOGLEFINANCE($C570, ""price"", WORKDAY(INT($B570), 5)), 2, 2), """")-$G570)/$G570, ($G570-IFE"&amp;"RROR(INDEX(GOOGLEFINANCE($C570, ""price"", WORKDAY(INT($B570), 5)), 2, 2), """"))/$G570)), """")"),"")</f>
        <v/>
      </c>
      <c r="P570" s="47" t="str">
        <f>IFERROR(__xludf.DUMMYFUNCTION("IFERROR(IF(OR(ISBLANK($G570), IFERROR(INDEX(GOOGLEFINANCE($C570, ""price"", WORKDAY(INT($B570), 20)), 2, 2), """")=""""), """", IF($D570=""LONG"", (IFERROR(INDEX(GOOGLEFINANCE($C570, ""price"", WORKDAY(INT($B570), 20)), 2, 2), """")-$G570)/$G570, ($G570-I"&amp;"FERROR(INDEX(GOOGLEFINANCE($C570, ""price"", WORKDAY(INT($B570), 20)), 2, 2), """"))/$G570)), """")"),"")</f>
        <v/>
      </c>
      <c r="Q570" s="44"/>
      <c r="R570" s="44"/>
      <c r="S570" s="44"/>
      <c r="T570" s="44"/>
      <c r="U570" s="44"/>
      <c r="V570" s="44"/>
      <c r="W570" s="44"/>
      <c r="X570" s="44"/>
      <c r="Y570" s="44"/>
      <c r="Z570" s="44"/>
    </row>
    <row r="571">
      <c r="A571" s="44"/>
      <c r="B571" s="45"/>
      <c r="C571" s="44"/>
      <c r="D571" s="44"/>
      <c r="E571" s="44"/>
      <c r="F571" s="44"/>
      <c r="G571" s="46"/>
      <c r="H571" s="44"/>
      <c r="I571" s="44"/>
      <c r="J571" s="44"/>
      <c r="K571" s="44"/>
      <c r="L571" s="46" t="str">
        <f>IFERROR(__xludf.DUMMYFUNCTION("IFERROR(IF(ISBLANK($C571), """", GOOGLEFINANCE($C571, ""price"")), """")"),"")</f>
        <v/>
      </c>
      <c r="M571" s="47" t="str">
        <f t="shared" si="3"/>
        <v/>
      </c>
      <c r="N571" s="47" t="str">
        <f>IFERROR(__xludf.DUMMYFUNCTION("IFERROR(IF(OR(ISBLANK($G571), IFERROR(INDEX(GOOGLEFINANCE($C571, ""price"", WORKDAY(INT($B571), 1)), 2, 2), """")=""""), """", IF($D571=""LONG"", (IFERROR(INDEX(GOOGLEFINANCE($C571, ""price"", WORKDAY(INT($B571), 1)), 2, 2), """")-$G571)/$G571, ($G571-IFE"&amp;"RROR(INDEX(GOOGLEFINANCE($C571, ""price"", WORKDAY(INT($B571), 1)), 2, 2), """"))/$G571)), """")"),"")</f>
        <v/>
      </c>
      <c r="O571" s="47" t="str">
        <f>IFERROR(__xludf.DUMMYFUNCTION("IFERROR(IF(OR(ISBLANK($G571), IFERROR(INDEX(GOOGLEFINANCE($C571, ""price"", WORKDAY(INT($B571), 5)), 2, 2), """")=""""), """", IF($D571=""LONG"", (IFERROR(INDEX(GOOGLEFINANCE($C571, ""price"", WORKDAY(INT($B571), 5)), 2, 2), """")-$G571)/$G571, ($G571-IFE"&amp;"RROR(INDEX(GOOGLEFINANCE($C571, ""price"", WORKDAY(INT($B571), 5)), 2, 2), """"))/$G571)), """")"),"")</f>
        <v/>
      </c>
      <c r="P571" s="47" t="str">
        <f>IFERROR(__xludf.DUMMYFUNCTION("IFERROR(IF(OR(ISBLANK($G571), IFERROR(INDEX(GOOGLEFINANCE($C571, ""price"", WORKDAY(INT($B571), 20)), 2, 2), """")=""""), """", IF($D571=""LONG"", (IFERROR(INDEX(GOOGLEFINANCE($C571, ""price"", WORKDAY(INT($B571), 20)), 2, 2), """")-$G571)/$G571, ($G571-I"&amp;"FERROR(INDEX(GOOGLEFINANCE($C571, ""price"", WORKDAY(INT($B571), 20)), 2, 2), """"))/$G571)), """")"),"")</f>
        <v/>
      </c>
      <c r="Q571" s="44"/>
      <c r="R571" s="44"/>
      <c r="S571" s="44"/>
      <c r="T571" s="44"/>
      <c r="U571" s="44"/>
      <c r="V571" s="44"/>
      <c r="W571" s="44"/>
      <c r="X571" s="44"/>
      <c r="Y571" s="44"/>
      <c r="Z571" s="44"/>
    </row>
    <row r="572">
      <c r="A572" s="44"/>
      <c r="B572" s="45"/>
      <c r="C572" s="44"/>
      <c r="D572" s="44"/>
      <c r="E572" s="44"/>
      <c r="F572" s="44"/>
      <c r="G572" s="46"/>
      <c r="H572" s="44"/>
      <c r="I572" s="44"/>
      <c r="J572" s="44"/>
      <c r="K572" s="44"/>
      <c r="L572" s="46" t="str">
        <f>IFERROR(__xludf.DUMMYFUNCTION("IFERROR(IF(ISBLANK($C572), """", GOOGLEFINANCE($C572, ""price"")), """")"),"")</f>
        <v/>
      </c>
      <c r="M572" s="47" t="str">
        <f t="shared" si="3"/>
        <v/>
      </c>
      <c r="N572" s="47" t="str">
        <f>IFERROR(__xludf.DUMMYFUNCTION("IFERROR(IF(OR(ISBLANK($G572), IFERROR(INDEX(GOOGLEFINANCE($C572, ""price"", WORKDAY(INT($B572), 1)), 2, 2), """")=""""), """", IF($D572=""LONG"", (IFERROR(INDEX(GOOGLEFINANCE($C572, ""price"", WORKDAY(INT($B572), 1)), 2, 2), """")-$G572)/$G572, ($G572-IFE"&amp;"RROR(INDEX(GOOGLEFINANCE($C572, ""price"", WORKDAY(INT($B572), 1)), 2, 2), """"))/$G572)), """")"),"")</f>
        <v/>
      </c>
      <c r="O572" s="47" t="str">
        <f>IFERROR(__xludf.DUMMYFUNCTION("IFERROR(IF(OR(ISBLANK($G572), IFERROR(INDEX(GOOGLEFINANCE($C572, ""price"", WORKDAY(INT($B572), 5)), 2, 2), """")=""""), """", IF($D572=""LONG"", (IFERROR(INDEX(GOOGLEFINANCE($C572, ""price"", WORKDAY(INT($B572), 5)), 2, 2), """")-$G572)/$G572, ($G572-IFE"&amp;"RROR(INDEX(GOOGLEFINANCE($C572, ""price"", WORKDAY(INT($B572), 5)), 2, 2), """"))/$G572)), """")"),"")</f>
        <v/>
      </c>
      <c r="P572" s="47" t="str">
        <f>IFERROR(__xludf.DUMMYFUNCTION("IFERROR(IF(OR(ISBLANK($G572), IFERROR(INDEX(GOOGLEFINANCE($C572, ""price"", WORKDAY(INT($B572), 20)), 2, 2), """")=""""), """", IF($D572=""LONG"", (IFERROR(INDEX(GOOGLEFINANCE($C572, ""price"", WORKDAY(INT($B572), 20)), 2, 2), """")-$G572)/$G572, ($G572-I"&amp;"FERROR(INDEX(GOOGLEFINANCE($C572, ""price"", WORKDAY(INT($B572), 20)), 2, 2), """"))/$G572)), """")"),"")</f>
        <v/>
      </c>
      <c r="Q572" s="44"/>
      <c r="R572" s="44"/>
      <c r="S572" s="44"/>
      <c r="T572" s="44"/>
      <c r="U572" s="44"/>
      <c r="V572" s="44"/>
      <c r="W572" s="44"/>
      <c r="X572" s="44"/>
      <c r="Y572" s="44"/>
      <c r="Z572" s="44"/>
    </row>
    <row r="573">
      <c r="A573" s="44"/>
      <c r="B573" s="45"/>
      <c r="C573" s="44"/>
      <c r="D573" s="44"/>
      <c r="E573" s="44"/>
      <c r="F573" s="44"/>
      <c r="G573" s="46"/>
      <c r="H573" s="44"/>
      <c r="I573" s="44"/>
      <c r="J573" s="44"/>
      <c r="K573" s="44"/>
      <c r="L573" s="46" t="str">
        <f>IFERROR(__xludf.DUMMYFUNCTION("IFERROR(IF(ISBLANK($C573), """", GOOGLEFINANCE($C573, ""price"")), """")"),"")</f>
        <v/>
      </c>
      <c r="M573" s="47" t="str">
        <f t="shared" si="3"/>
        <v/>
      </c>
      <c r="N573" s="47" t="str">
        <f>IFERROR(__xludf.DUMMYFUNCTION("IFERROR(IF(OR(ISBLANK($G573), IFERROR(INDEX(GOOGLEFINANCE($C573, ""price"", WORKDAY(INT($B573), 1)), 2, 2), """")=""""), """", IF($D573=""LONG"", (IFERROR(INDEX(GOOGLEFINANCE($C573, ""price"", WORKDAY(INT($B573), 1)), 2, 2), """")-$G573)/$G573, ($G573-IFE"&amp;"RROR(INDEX(GOOGLEFINANCE($C573, ""price"", WORKDAY(INT($B573), 1)), 2, 2), """"))/$G573)), """")"),"")</f>
        <v/>
      </c>
      <c r="O573" s="47" t="str">
        <f>IFERROR(__xludf.DUMMYFUNCTION("IFERROR(IF(OR(ISBLANK($G573), IFERROR(INDEX(GOOGLEFINANCE($C573, ""price"", WORKDAY(INT($B573), 5)), 2, 2), """")=""""), """", IF($D573=""LONG"", (IFERROR(INDEX(GOOGLEFINANCE($C573, ""price"", WORKDAY(INT($B573), 5)), 2, 2), """")-$G573)/$G573, ($G573-IFE"&amp;"RROR(INDEX(GOOGLEFINANCE($C573, ""price"", WORKDAY(INT($B573), 5)), 2, 2), """"))/$G573)), """")"),"")</f>
        <v/>
      </c>
      <c r="P573" s="47" t="str">
        <f>IFERROR(__xludf.DUMMYFUNCTION("IFERROR(IF(OR(ISBLANK($G573), IFERROR(INDEX(GOOGLEFINANCE($C573, ""price"", WORKDAY(INT($B573), 20)), 2, 2), """")=""""), """", IF($D573=""LONG"", (IFERROR(INDEX(GOOGLEFINANCE($C573, ""price"", WORKDAY(INT($B573), 20)), 2, 2), """")-$G573)/$G573, ($G573-I"&amp;"FERROR(INDEX(GOOGLEFINANCE($C573, ""price"", WORKDAY(INT($B573), 20)), 2, 2), """"))/$G573)), """")"),"")</f>
        <v/>
      </c>
      <c r="Q573" s="44"/>
      <c r="R573" s="44"/>
      <c r="S573" s="44"/>
      <c r="T573" s="44"/>
      <c r="U573" s="44"/>
      <c r="V573" s="44"/>
      <c r="W573" s="44"/>
      <c r="X573" s="44"/>
      <c r="Y573" s="44"/>
      <c r="Z573" s="44"/>
    </row>
    <row r="574">
      <c r="A574" s="44"/>
      <c r="B574" s="45"/>
      <c r="C574" s="44"/>
      <c r="D574" s="44"/>
      <c r="E574" s="44"/>
      <c r="F574" s="44"/>
      <c r="G574" s="46"/>
      <c r="H574" s="44"/>
      <c r="I574" s="44"/>
      <c r="J574" s="44"/>
      <c r="K574" s="44"/>
      <c r="L574" s="46" t="str">
        <f>IFERROR(__xludf.DUMMYFUNCTION("IFERROR(IF(ISBLANK($C574), """", GOOGLEFINANCE($C574, ""price"")), """")"),"")</f>
        <v/>
      </c>
      <c r="M574" s="47" t="str">
        <f t="shared" si="3"/>
        <v/>
      </c>
      <c r="N574" s="47" t="str">
        <f>IFERROR(__xludf.DUMMYFUNCTION("IFERROR(IF(OR(ISBLANK($G574), IFERROR(INDEX(GOOGLEFINANCE($C574, ""price"", WORKDAY(INT($B574), 1)), 2, 2), """")=""""), """", IF($D574=""LONG"", (IFERROR(INDEX(GOOGLEFINANCE($C574, ""price"", WORKDAY(INT($B574), 1)), 2, 2), """")-$G574)/$G574, ($G574-IFE"&amp;"RROR(INDEX(GOOGLEFINANCE($C574, ""price"", WORKDAY(INT($B574), 1)), 2, 2), """"))/$G574)), """")"),"")</f>
        <v/>
      </c>
      <c r="O574" s="47" t="str">
        <f>IFERROR(__xludf.DUMMYFUNCTION("IFERROR(IF(OR(ISBLANK($G574), IFERROR(INDEX(GOOGLEFINANCE($C574, ""price"", WORKDAY(INT($B574), 5)), 2, 2), """")=""""), """", IF($D574=""LONG"", (IFERROR(INDEX(GOOGLEFINANCE($C574, ""price"", WORKDAY(INT($B574), 5)), 2, 2), """")-$G574)/$G574, ($G574-IFE"&amp;"RROR(INDEX(GOOGLEFINANCE($C574, ""price"", WORKDAY(INT($B574), 5)), 2, 2), """"))/$G574)), """")"),"")</f>
        <v/>
      </c>
      <c r="P574" s="47" t="str">
        <f>IFERROR(__xludf.DUMMYFUNCTION("IFERROR(IF(OR(ISBLANK($G574), IFERROR(INDEX(GOOGLEFINANCE($C574, ""price"", WORKDAY(INT($B574), 20)), 2, 2), """")=""""), """", IF($D574=""LONG"", (IFERROR(INDEX(GOOGLEFINANCE($C574, ""price"", WORKDAY(INT($B574), 20)), 2, 2), """")-$G574)/$G574, ($G574-I"&amp;"FERROR(INDEX(GOOGLEFINANCE($C574, ""price"", WORKDAY(INT($B574), 20)), 2, 2), """"))/$G574)), """")"),"")</f>
        <v/>
      </c>
      <c r="Q574" s="44"/>
      <c r="R574" s="44"/>
      <c r="S574" s="44"/>
      <c r="T574" s="44"/>
      <c r="U574" s="44"/>
      <c r="V574" s="44"/>
      <c r="W574" s="44"/>
      <c r="X574" s="44"/>
      <c r="Y574" s="44"/>
      <c r="Z574" s="44"/>
    </row>
    <row r="575">
      <c r="A575" s="44"/>
      <c r="B575" s="45"/>
      <c r="C575" s="44"/>
      <c r="D575" s="44"/>
      <c r="E575" s="44"/>
      <c r="F575" s="44"/>
      <c r="G575" s="46"/>
      <c r="H575" s="44"/>
      <c r="I575" s="44"/>
      <c r="J575" s="44"/>
      <c r="K575" s="44"/>
      <c r="L575" s="46" t="str">
        <f>IFERROR(__xludf.DUMMYFUNCTION("IFERROR(IF(ISBLANK($C575), """", GOOGLEFINANCE($C575, ""price"")), """")"),"")</f>
        <v/>
      </c>
      <c r="M575" s="47" t="str">
        <f t="shared" si="3"/>
        <v/>
      </c>
      <c r="N575" s="47" t="str">
        <f>IFERROR(__xludf.DUMMYFUNCTION("IFERROR(IF(OR(ISBLANK($G575), IFERROR(INDEX(GOOGLEFINANCE($C575, ""price"", WORKDAY(INT($B575), 1)), 2, 2), """")=""""), """", IF($D575=""LONG"", (IFERROR(INDEX(GOOGLEFINANCE($C575, ""price"", WORKDAY(INT($B575), 1)), 2, 2), """")-$G575)/$G575, ($G575-IFE"&amp;"RROR(INDEX(GOOGLEFINANCE($C575, ""price"", WORKDAY(INT($B575), 1)), 2, 2), """"))/$G575)), """")"),"")</f>
        <v/>
      </c>
      <c r="O575" s="47" t="str">
        <f>IFERROR(__xludf.DUMMYFUNCTION("IFERROR(IF(OR(ISBLANK($G575), IFERROR(INDEX(GOOGLEFINANCE($C575, ""price"", WORKDAY(INT($B575), 5)), 2, 2), """")=""""), """", IF($D575=""LONG"", (IFERROR(INDEX(GOOGLEFINANCE($C575, ""price"", WORKDAY(INT($B575), 5)), 2, 2), """")-$G575)/$G575, ($G575-IFE"&amp;"RROR(INDEX(GOOGLEFINANCE($C575, ""price"", WORKDAY(INT($B575), 5)), 2, 2), """"))/$G575)), """")"),"")</f>
        <v/>
      </c>
      <c r="P575" s="47" t="str">
        <f>IFERROR(__xludf.DUMMYFUNCTION("IFERROR(IF(OR(ISBLANK($G575), IFERROR(INDEX(GOOGLEFINANCE($C575, ""price"", WORKDAY(INT($B575), 20)), 2, 2), """")=""""), """", IF($D575=""LONG"", (IFERROR(INDEX(GOOGLEFINANCE($C575, ""price"", WORKDAY(INT($B575), 20)), 2, 2), """")-$G575)/$G575, ($G575-I"&amp;"FERROR(INDEX(GOOGLEFINANCE($C575, ""price"", WORKDAY(INT($B575), 20)), 2, 2), """"))/$G575)), """")"),"")</f>
        <v/>
      </c>
      <c r="Q575" s="44"/>
      <c r="R575" s="44"/>
      <c r="S575" s="44"/>
      <c r="T575" s="44"/>
      <c r="U575" s="44"/>
      <c r="V575" s="44"/>
      <c r="W575" s="44"/>
      <c r="X575" s="44"/>
      <c r="Y575" s="44"/>
      <c r="Z575" s="44"/>
    </row>
    <row r="576">
      <c r="A576" s="44"/>
      <c r="B576" s="45"/>
      <c r="C576" s="44"/>
      <c r="D576" s="44"/>
      <c r="E576" s="44"/>
      <c r="F576" s="44"/>
      <c r="G576" s="46"/>
      <c r="H576" s="44"/>
      <c r="I576" s="44"/>
      <c r="J576" s="44"/>
      <c r="K576" s="44"/>
      <c r="L576" s="46" t="str">
        <f>IFERROR(__xludf.DUMMYFUNCTION("IFERROR(IF(ISBLANK($C576), """", GOOGLEFINANCE($C576, ""price"")), """")"),"")</f>
        <v/>
      </c>
      <c r="M576" s="47" t="str">
        <f t="shared" si="3"/>
        <v/>
      </c>
      <c r="N576" s="47" t="str">
        <f>IFERROR(__xludf.DUMMYFUNCTION("IFERROR(IF(OR(ISBLANK($G576), IFERROR(INDEX(GOOGLEFINANCE($C576, ""price"", WORKDAY(INT($B576), 1)), 2, 2), """")=""""), """", IF($D576=""LONG"", (IFERROR(INDEX(GOOGLEFINANCE($C576, ""price"", WORKDAY(INT($B576), 1)), 2, 2), """")-$G576)/$G576, ($G576-IFE"&amp;"RROR(INDEX(GOOGLEFINANCE($C576, ""price"", WORKDAY(INT($B576), 1)), 2, 2), """"))/$G576)), """")"),"")</f>
        <v/>
      </c>
      <c r="O576" s="47" t="str">
        <f>IFERROR(__xludf.DUMMYFUNCTION("IFERROR(IF(OR(ISBLANK($G576), IFERROR(INDEX(GOOGLEFINANCE($C576, ""price"", WORKDAY(INT($B576), 5)), 2, 2), """")=""""), """", IF($D576=""LONG"", (IFERROR(INDEX(GOOGLEFINANCE($C576, ""price"", WORKDAY(INT($B576), 5)), 2, 2), """")-$G576)/$G576, ($G576-IFE"&amp;"RROR(INDEX(GOOGLEFINANCE($C576, ""price"", WORKDAY(INT($B576), 5)), 2, 2), """"))/$G576)), """")"),"")</f>
        <v/>
      </c>
      <c r="P576" s="47" t="str">
        <f>IFERROR(__xludf.DUMMYFUNCTION("IFERROR(IF(OR(ISBLANK($G576), IFERROR(INDEX(GOOGLEFINANCE($C576, ""price"", WORKDAY(INT($B576), 20)), 2, 2), """")=""""), """", IF($D576=""LONG"", (IFERROR(INDEX(GOOGLEFINANCE($C576, ""price"", WORKDAY(INT($B576), 20)), 2, 2), """")-$G576)/$G576, ($G576-I"&amp;"FERROR(INDEX(GOOGLEFINANCE($C576, ""price"", WORKDAY(INT($B576), 20)), 2, 2), """"))/$G576)), """")"),"")</f>
        <v/>
      </c>
      <c r="Q576" s="44"/>
      <c r="R576" s="44"/>
      <c r="S576" s="44"/>
      <c r="T576" s="44"/>
      <c r="U576" s="44"/>
      <c r="V576" s="44"/>
      <c r="W576" s="44"/>
      <c r="X576" s="44"/>
      <c r="Y576" s="44"/>
      <c r="Z576" s="44"/>
    </row>
    <row r="577">
      <c r="A577" s="44"/>
      <c r="B577" s="45"/>
      <c r="C577" s="44"/>
      <c r="D577" s="44"/>
      <c r="E577" s="44"/>
      <c r="F577" s="44"/>
      <c r="G577" s="46"/>
      <c r="H577" s="44"/>
      <c r="I577" s="44"/>
      <c r="J577" s="44"/>
      <c r="K577" s="44"/>
      <c r="L577" s="46" t="str">
        <f>IFERROR(__xludf.DUMMYFUNCTION("IFERROR(IF(ISBLANK($C577), """", GOOGLEFINANCE($C577, ""price"")), """")"),"")</f>
        <v/>
      </c>
      <c r="M577" s="47" t="str">
        <f t="shared" si="3"/>
        <v/>
      </c>
      <c r="N577" s="47" t="str">
        <f>IFERROR(__xludf.DUMMYFUNCTION("IFERROR(IF(OR(ISBLANK($G577), IFERROR(INDEX(GOOGLEFINANCE($C577, ""price"", WORKDAY(INT($B577), 1)), 2, 2), """")=""""), """", IF($D577=""LONG"", (IFERROR(INDEX(GOOGLEFINANCE($C577, ""price"", WORKDAY(INT($B577), 1)), 2, 2), """")-$G577)/$G577, ($G577-IFE"&amp;"RROR(INDEX(GOOGLEFINANCE($C577, ""price"", WORKDAY(INT($B577), 1)), 2, 2), """"))/$G577)), """")"),"")</f>
        <v/>
      </c>
      <c r="O577" s="47" t="str">
        <f>IFERROR(__xludf.DUMMYFUNCTION("IFERROR(IF(OR(ISBLANK($G577), IFERROR(INDEX(GOOGLEFINANCE($C577, ""price"", WORKDAY(INT($B577), 5)), 2, 2), """")=""""), """", IF($D577=""LONG"", (IFERROR(INDEX(GOOGLEFINANCE($C577, ""price"", WORKDAY(INT($B577), 5)), 2, 2), """")-$G577)/$G577, ($G577-IFE"&amp;"RROR(INDEX(GOOGLEFINANCE($C577, ""price"", WORKDAY(INT($B577), 5)), 2, 2), """"))/$G577)), """")"),"")</f>
        <v/>
      </c>
      <c r="P577" s="47" t="str">
        <f>IFERROR(__xludf.DUMMYFUNCTION("IFERROR(IF(OR(ISBLANK($G577), IFERROR(INDEX(GOOGLEFINANCE($C577, ""price"", WORKDAY(INT($B577), 20)), 2, 2), """")=""""), """", IF($D577=""LONG"", (IFERROR(INDEX(GOOGLEFINANCE($C577, ""price"", WORKDAY(INT($B577), 20)), 2, 2), """")-$G577)/$G577, ($G577-I"&amp;"FERROR(INDEX(GOOGLEFINANCE($C577, ""price"", WORKDAY(INT($B577), 20)), 2, 2), """"))/$G577)), """")"),"")</f>
        <v/>
      </c>
      <c r="Q577" s="44"/>
      <c r="R577" s="44"/>
      <c r="S577" s="44"/>
      <c r="T577" s="44"/>
      <c r="U577" s="44"/>
      <c r="V577" s="44"/>
      <c r="W577" s="44"/>
      <c r="X577" s="44"/>
      <c r="Y577" s="44"/>
      <c r="Z577" s="44"/>
    </row>
    <row r="578">
      <c r="A578" s="44"/>
      <c r="B578" s="45"/>
      <c r="C578" s="44"/>
      <c r="D578" s="44"/>
      <c r="E578" s="44"/>
      <c r="F578" s="44"/>
      <c r="G578" s="46"/>
      <c r="H578" s="44"/>
      <c r="I578" s="44"/>
      <c r="J578" s="44"/>
      <c r="K578" s="44"/>
      <c r="L578" s="46" t="str">
        <f>IFERROR(__xludf.DUMMYFUNCTION("IFERROR(IF(ISBLANK($C578), """", GOOGLEFINANCE($C578, ""price"")), """")"),"")</f>
        <v/>
      </c>
      <c r="M578" s="47" t="str">
        <f t="shared" si="3"/>
        <v/>
      </c>
      <c r="N578" s="47" t="str">
        <f>IFERROR(__xludf.DUMMYFUNCTION("IFERROR(IF(OR(ISBLANK($G578), IFERROR(INDEX(GOOGLEFINANCE($C578, ""price"", WORKDAY(INT($B578), 1)), 2, 2), """")=""""), """", IF($D578=""LONG"", (IFERROR(INDEX(GOOGLEFINANCE($C578, ""price"", WORKDAY(INT($B578), 1)), 2, 2), """")-$G578)/$G578, ($G578-IFE"&amp;"RROR(INDEX(GOOGLEFINANCE($C578, ""price"", WORKDAY(INT($B578), 1)), 2, 2), """"))/$G578)), """")"),"")</f>
        <v/>
      </c>
      <c r="O578" s="47" t="str">
        <f>IFERROR(__xludf.DUMMYFUNCTION("IFERROR(IF(OR(ISBLANK($G578), IFERROR(INDEX(GOOGLEFINANCE($C578, ""price"", WORKDAY(INT($B578), 5)), 2, 2), """")=""""), """", IF($D578=""LONG"", (IFERROR(INDEX(GOOGLEFINANCE($C578, ""price"", WORKDAY(INT($B578), 5)), 2, 2), """")-$G578)/$G578, ($G578-IFE"&amp;"RROR(INDEX(GOOGLEFINANCE($C578, ""price"", WORKDAY(INT($B578), 5)), 2, 2), """"))/$G578)), """")"),"")</f>
        <v/>
      </c>
      <c r="P578" s="47" t="str">
        <f>IFERROR(__xludf.DUMMYFUNCTION("IFERROR(IF(OR(ISBLANK($G578), IFERROR(INDEX(GOOGLEFINANCE($C578, ""price"", WORKDAY(INT($B578), 20)), 2, 2), """")=""""), """", IF($D578=""LONG"", (IFERROR(INDEX(GOOGLEFINANCE($C578, ""price"", WORKDAY(INT($B578), 20)), 2, 2), """")-$G578)/$G578, ($G578-I"&amp;"FERROR(INDEX(GOOGLEFINANCE($C578, ""price"", WORKDAY(INT($B578), 20)), 2, 2), """"))/$G578)), """")"),"")</f>
        <v/>
      </c>
      <c r="Q578" s="44"/>
      <c r="R578" s="44"/>
      <c r="S578" s="44"/>
      <c r="T578" s="44"/>
      <c r="U578" s="44"/>
      <c r="V578" s="44"/>
      <c r="W578" s="44"/>
      <c r="X578" s="44"/>
      <c r="Y578" s="44"/>
      <c r="Z578" s="44"/>
    </row>
    <row r="579">
      <c r="A579" s="44"/>
      <c r="B579" s="45"/>
      <c r="C579" s="44"/>
      <c r="D579" s="44"/>
      <c r="E579" s="44"/>
      <c r="F579" s="44"/>
      <c r="G579" s="46"/>
      <c r="H579" s="44"/>
      <c r="I579" s="44"/>
      <c r="J579" s="44"/>
      <c r="K579" s="44"/>
      <c r="L579" s="46" t="str">
        <f>IFERROR(__xludf.DUMMYFUNCTION("IFERROR(IF(ISBLANK($C579), """", GOOGLEFINANCE($C579, ""price"")), """")"),"")</f>
        <v/>
      </c>
      <c r="M579" s="47" t="str">
        <f t="shared" si="3"/>
        <v/>
      </c>
      <c r="N579" s="47" t="str">
        <f>IFERROR(__xludf.DUMMYFUNCTION("IFERROR(IF(OR(ISBLANK($G579), IFERROR(INDEX(GOOGLEFINANCE($C579, ""price"", WORKDAY(INT($B579), 1)), 2, 2), """")=""""), """", IF($D579=""LONG"", (IFERROR(INDEX(GOOGLEFINANCE($C579, ""price"", WORKDAY(INT($B579), 1)), 2, 2), """")-$G579)/$G579, ($G579-IFE"&amp;"RROR(INDEX(GOOGLEFINANCE($C579, ""price"", WORKDAY(INT($B579), 1)), 2, 2), """"))/$G579)), """")"),"")</f>
        <v/>
      </c>
      <c r="O579" s="47" t="str">
        <f>IFERROR(__xludf.DUMMYFUNCTION("IFERROR(IF(OR(ISBLANK($G579), IFERROR(INDEX(GOOGLEFINANCE($C579, ""price"", WORKDAY(INT($B579), 5)), 2, 2), """")=""""), """", IF($D579=""LONG"", (IFERROR(INDEX(GOOGLEFINANCE($C579, ""price"", WORKDAY(INT($B579), 5)), 2, 2), """")-$G579)/$G579, ($G579-IFE"&amp;"RROR(INDEX(GOOGLEFINANCE($C579, ""price"", WORKDAY(INT($B579), 5)), 2, 2), """"))/$G579)), """")"),"")</f>
        <v/>
      </c>
      <c r="P579" s="47" t="str">
        <f>IFERROR(__xludf.DUMMYFUNCTION("IFERROR(IF(OR(ISBLANK($G579), IFERROR(INDEX(GOOGLEFINANCE($C579, ""price"", WORKDAY(INT($B579), 20)), 2, 2), """")=""""), """", IF($D579=""LONG"", (IFERROR(INDEX(GOOGLEFINANCE($C579, ""price"", WORKDAY(INT($B579), 20)), 2, 2), """")-$G579)/$G579, ($G579-I"&amp;"FERROR(INDEX(GOOGLEFINANCE($C579, ""price"", WORKDAY(INT($B579), 20)), 2, 2), """"))/$G579)), """")"),"")</f>
        <v/>
      </c>
      <c r="Q579" s="44"/>
      <c r="R579" s="44"/>
      <c r="S579" s="44"/>
      <c r="T579" s="44"/>
      <c r="U579" s="44"/>
      <c r="V579" s="44"/>
      <c r="W579" s="44"/>
      <c r="X579" s="44"/>
      <c r="Y579" s="44"/>
      <c r="Z579" s="44"/>
    </row>
    <row r="580">
      <c r="A580" s="44"/>
      <c r="B580" s="45"/>
      <c r="C580" s="44"/>
      <c r="D580" s="44"/>
      <c r="E580" s="44"/>
      <c r="F580" s="44"/>
      <c r="G580" s="46"/>
      <c r="H580" s="44"/>
      <c r="I580" s="44"/>
      <c r="J580" s="44"/>
      <c r="K580" s="44"/>
      <c r="L580" s="46" t="str">
        <f>IFERROR(__xludf.DUMMYFUNCTION("IFERROR(IF(ISBLANK($C580), """", GOOGLEFINANCE($C580, ""price"")), """")"),"")</f>
        <v/>
      </c>
      <c r="M580" s="47" t="str">
        <f t="shared" si="3"/>
        <v/>
      </c>
      <c r="N580" s="47" t="str">
        <f>IFERROR(__xludf.DUMMYFUNCTION("IFERROR(IF(OR(ISBLANK($G580), IFERROR(INDEX(GOOGLEFINANCE($C580, ""price"", WORKDAY(INT($B580), 1)), 2, 2), """")=""""), """", IF($D580=""LONG"", (IFERROR(INDEX(GOOGLEFINANCE($C580, ""price"", WORKDAY(INT($B580), 1)), 2, 2), """")-$G580)/$G580, ($G580-IFE"&amp;"RROR(INDEX(GOOGLEFINANCE($C580, ""price"", WORKDAY(INT($B580), 1)), 2, 2), """"))/$G580)), """")"),"")</f>
        <v/>
      </c>
      <c r="O580" s="47" t="str">
        <f>IFERROR(__xludf.DUMMYFUNCTION("IFERROR(IF(OR(ISBLANK($G580), IFERROR(INDEX(GOOGLEFINANCE($C580, ""price"", WORKDAY(INT($B580), 5)), 2, 2), """")=""""), """", IF($D580=""LONG"", (IFERROR(INDEX(GOOGLEFINANCE($C580, ""price"", WORKDAY(INT($B580), 5)), 2, 2), """")-$G580)/$G580, ($G580-IFE"&amp;"RROR(INDEX(GOOGLEFINANCE($C580, ""price"", WORKDAY(INT($B580), 5)), 2, 2), """"))/$G580)), """")"),"")</f>
        <v/>
      </c>
      <c r="P580" s="47" t="str">
        <f>IFERROR(__xludf.DUMMYFUNCTION("IFERROR(IF(OR(ISBLANK($G580), IFERROR(INDEX(GOOGLEFINANCE($C580, ""price"", WORKDAY(INT($B580), 20)), 2, 2), """")=""""), """", IF($D580=""LONG"", (IFERROR(INDEX(GOOGLEFINANCE($C580, ""price"", WORKDAY(INT($B580), 20)), 2, 2), """")-$G580)/$G580, ($G580-I"&amp;"FERROR(INDEX(GOOGLEFINANCE($C580, ""price"", WORKDAY(INT($B580), 20)), 2, 2), """"))/$G580)), """")"),"")</f>
        <v/>
      </c>
      <c r="Q580" s="44"/>
      <c r="R580" s="44"/>
      <c r="S580" s="44"/>
      <c r="T580" s="44"/>
      <c r="U580" s="44"/>
      <c r="V580" s="44"/>
      <c r="W580" s="44"/>
      <c r="X580" s="44"/>
      <c r="Y580" s="44"/>
      <c r="Z580" s="44"/>
    </row>
    <row r="581">
      <c r="A581" s="44"/>
      <c r="B581" s="45"/>
      <c r="C581" s="44"/>
      <c r="D581" s="44"/>
      <c r="E581" s="44"/>
      <c r="F581" s="44"/>
      <c r="G581" s="46"/>
      <c r="H581" s="44"/>
      <c r="I581" s="44"/>
      <c r="J581" s="44"/>
      <c r="K581" s="44"/>
      <c r="L581" s="46" t="str">
        <f>IFERROR(__xludf.DUMMYFUNCTION("IFERROR(IF(ISBLANK($C581), """", GOOGLEFINANCE($C581, ""price"")), """")"),"")</f>
        <v/>
      </c>
      <c r="M581" s="47" t="str">
        <f t="shared" si="3"/>
        <v/>
      </c>
      <c r="N581" s="47" t="str">
        <f>IFERROR(__xludf.DUMMYFUNCTION("IFERROR(IF(OR(ISBLANK($G581), IFERROR(INDEX(GOOGLEFINANCE($C581, ""price"", WORKDAY(INT($B581), 1)), 2, 2), """")=""""), """", IF($D581=""LONG"", (IFERROR(INDEX(GOOGLEFINANCE($C581, ""price"", WORKDAY(INT($B581), 1)), 2, 2), """")-$G581)/$G581, ($G581-IFE"&amp;"RROR(INDEX(GOOGLEFINANCE($C581, ""price"", WORKDAY(INT($B581), 1)), 2, 2), """"))/$G581)), """")"),"")</f>
        <v/>
      </c>
      <c r="O581" s="47" t="str">
        <f>IFERROR(__xludf.DUMMYFUNCTION("IFERROR(IF(OR(ISBLANK($G581), IFERROR(INDEX(GOOGLEFINANCE($C581, ""price"", WORKDAY(INT($B581), 5)), 2, 2), """")=""""), """", IF($D581=""LONG"", (IFERROR(INDEX(GOOGLEFINANCE($C581, ""price"", WORKDAY(INT($B581), 5)), 2, 2), """")-$G581)/$G581, ($G581-IFE"&amp;"RROR(INDEX(GOOGLEFINANCE($C581, ""price"", WORKDAY(INT($B581), 5)), 2, 2), """"))/$G581)), """")"),"")</f>
        <v/>
      </c>
      <c r="P581" s="47" t="str">
        <f>IFERROR(__xludf.DUMMYFUNCTION("IFERROR(IF(OR(ISBLANK($G581), IFERROR(INDEX(GOOGLEFINANCE($C581, ""price"", WORKDAY(INT($B581), 20)), 2, 2), """")=""""), """", IF($D581=""LONG"", (IFERROR(INDEX(GOOGLEFINANCE($C581, ""price"", WORKDAY(INT($B581), 20)), 2, 2), """")-$G581)/$G581, ($G581-I"&amp;"FERROR(INDEX(GOOGLEFINANCE($C581, ""price"", WORKDAY(INT($B581), 20)), 2, 2), """"))/$G581)), """")"),"")</f>
        <v/>
      </c>
      <c r="Q581" s="44"/>
      <c r="R581" s="44"/>
      <c r="S581" s="44"/>
      <c r="T581" s="44"/>
      <c r="U581" s="44"/>
      <c r="V581" s="44"/>
      <c r="W581" s="44"/>
      <c r="X581" s="44"/>
      <c r="Y581" s="44"/>
      <c r="Z581" s="44"/>
    </row>
    <row r="582">
      <c r="A582" s="44"/>
      <c r="B582" s="45"/>
      <c r="C582" s="44"/>
      <c r="D582" s="44"/>
      <c r="E582" s="44"/>
      <c r="F582" s="44"/>
      <c r="G582" s="46"/>
      <c r="H582" s="44"/>
      <c r="I582" s="44"/>
      <c r="J582" s="44"/>
      <c r="K582" s="44"/>
      <c r="L582" s="46" t="str">
        <f>IFERROR(__xludf.DUMMYFUNCTION("IFERROR(IF(ISBLANK($C582), """", GOOGLEFINANCE($C582, ""price"")), """")"),"")</f>
        <v/>
      </c>
      <c r="M582" s="47" t="str">
        <f t="shared" si="3"/>
        <v/>
      </c>
      <c r="N582" s="47" t="str">
        <f>IFERROR(__xludf.DUMMYFUNCTION("IFERROR(IF(OR(ISBLANK($G582), IFERROR(INDEX(GOOGLEFINANCE($C582, ""price"", WORKDAY(INT($B582), 1)), 2, 2), """")=""""), """", IF($D582=""LONG"", (IFERROR(INDEX(GOOGLEFINANCE($C582, ""price"", WORKDAY(INT($B582), 1)), 2, 2), """")-$G582)/$G582, ($G582-IFE"&amp;"RROR(INDEX(GOOGLEFINANCE($C582, ""price"", WORKDAY(INT($B582), 1)), 2, 2), """"))/$G582)), """")"),"")</f>
        <v/>
      </c>
      <c r="O582" s="47" t="str">
        <f>IFERROR(__xludf.DUMMYFUNCTION("IFERROR(IF(OR(ISBLANK($G582), IFERROR(INDEX(GOOGLEFINANCE($C582, ""price"", WORKDAY(INT($B582), 5)), 2, 2), """")=""""), """", IF($D582=""LONG"", (IFERROR(INDEX(GOOGLEFINANCE($C582, ""price"", WORKDAY(INT($B582), 5)), 2, 2), """")-$G582)/$G582, ($G582-IFE"&amp;"RROR(INDEX(GOOGLEFINANCE($C582, ""price"", WORKDAY(INT($B582), 5)), 2, 2), """"))/$G582)), """")"),"")</f>
        <v/>
      </c>
      <c r="P582" s="47" t="str">
        <f>IFERROR(__xludf.DUMMYFUNCTION("IFERROR(IF(OR(ISBLANK($G582), IFERROR(INDEX(GOOGLEFINANCE($C582, ""price"", WORKDAY(INT($B582), 20)), 2, 2), """")=""""), """", IF($D582=""LONG"", (IFERROR(INDEX(GOOGLEFINANCE($C582, ""price"", WORKDAY(INT($B582), 20)), 2, 2), """")-$G582)/$G582, ($G582-I"&amp;"FERROR(INDEX(GOOGLEFINANCE($C582, ""price"", WORKDAY(INT($B582), 20)), 2, 2), """"))/$G582)), """")"),"")</f>
        <v/>
      </c>
      <c r="Q582" s="44"/>
      <c r="R582" s="44"/>
      <c r="S582" s="44"/>
      <c r="T582" s="44"/>
      <c r="U582" s="44"/>
      <c r="V582" s="44"/>
      <c r="W582" s="44"/>
      <c r="X582" s="44"/>
      <c r="Y582" s="44"/>
      <c r="Z582" s="44"/>
    </row>
    <row r="583">
      <c r="A583" s="44"/>
      <c r="B583" s="45"/>
      <c r="C583" s="44"/>
      <c r="D583" s="44"/>
      <c r="E583" s="44"/>
      <c r="F583" s="44"/>
      <c r="G583" s="46"/>
      <c r="H583" s="44"/>
      <c r="I583" s="44"/>
      <c r="J583" s="44"/>
      <c r="K583" s="44"/>
      <c r="L583" s="46" t="str">
        <f>IFERROR(__xludf.DUMMYFUNCTION("IFERROR(IF(ISBLANK($C583), """", GOOGLEFINANCE($C583, ""price"")), """")"),"")</f>
        <v/>
      </c>
      <c r="M583" s="47" t="str">
        <f t="shared" si="3"/>
        <v/>
      </c>
      <c r="N583" s="47" t="str">
        <f>IFERROR(__xludf.DUMMYFUNCTION("IFERROR(IF(OR(ISBLANK($G583), IFERROR(INDEX(GOOGLEFINANCE($C583, ""price"", WORKDAY(INT($B583), 1)), 2, 2), """")=""""), """", IF($D583=""LONG"", (IFERROR(INDEX(GOOGLEFINANCE($C583, ""price"", WORKDAY(INT($B583), 1)), 2, 2), """")-$G583)/$G583, ($G583-IFE"&amp;"RROR(INDEX(GOOGLEFINANCE($C583, ""price"", WORKDAY(INT($B583), 1)), 2, 2), """"))/$G583)), """")"),"")</f>
        <v/>
      </c>
      <c r="O583" s="47" t="str">
        <f>IFERROR(__xludf.DUMMYFUNCTION("IFERROR(IF(OR(ISBLANK($G583), IFERROR(INDEX(GOOGLEFINANCE($C583, ""price"", WORKDAY(INT($B583), 5)), 2, 2), """")=""""), """", IF($D583=""LONG"", (IFERROR(INDEX(GOOGLEFINANCE($C583, ""price"", WORKDAY(INT($B583), 5)), 2, 2), """")-$G583)/$G583, ($G583-IFE"&amp;"RROR(INDEX(GOOGLEFINANCE($C583, ""price"", WORKDAY(INT($B583), 5)), 2, 2), """"))/$G583)), """")"),"")</f>
        <v/>
      </c>
      <c r="P583" s="47" t="str">
        <f>IFERROR(__xludf.DUMMYFUNCTION("IFERROR(IF(OR(ISBLANK($G583), IFERROR(INDEX(GOOGLEFINANCE($C583, ""price"", WORKDAY(INT($B583), 20)), 2, 2), """")=""""), """", IF($D583=""LONG"", (IFERROR(INDEX(GOOGLEFINANCE($C583, ""price"", WORKDAY(INT($B583), 20)), 2, 2), """")-$G583)/$G583, ($G583-I"&amp;"FERROR(INDEX(GOOGLEFINANCE($C583, ""price"", WORKDAY(INT($B583), 20)), 2, 2), """"))/$G583)), """")"),"")</f>
        <v/>
      </c>
      <c r="Q583" s="44"/>
      <c r="R583" s="44"/>
      <c r="S583" s="44"/>
      <c r="T583" s="44"/>
      <c r="U583" s="44"/>
      <c r="V583" s="44"/>
      <c r="W583" s="44"/>
      <c r="X583" s="44"/>
      <c r="Y583" s="44"/>
      <c r="Z583" s="44"/>
    </row>
    <row r="584">
      <c r="A584" s="44"/>
      <c r="B584" s="45"/>
      <c r="C584" s="44"/>
      <c r="D584" s="44"/>
      <c r="E584" s="44"/>
      <c r="F584" s="44"/>
      <c r="G584" s="46"/>
      <c r="H584" s="44"/>
      <c r="I584" s="44"/>
      <c r="J584" s="44"/>
      <c r="K584" s="44"/>
      <c r="L584" s="46" t="str">
        <f>IFERROR(__xludf.DUMMYFUNCTION("IFERROR(IF(ISBLANK($C584), """", GOOGLEFINANCE($C584, ""price"")), """")"),"")</f>
        <v/>
      </c>
      <c r="M584" s="47" t="str">
        <f t="shared" si="3"/>
        <v/>
      </c>
      <c r="N584" s="47" t="str">
        <f>IFERROR(__xludf.DUMMYFUNCTION("IFERROR(IF(OR(ISBLANK($G584), IFERROR(INDEX(GOOGLEFINANCE($C584, ""price"", WORKDAY(INT($B584), 1)), 2, 2), """")=""""), """", IF($D584=""LONG"", (IFERROR(INDEX(GOOGLEFINANCE($C584, ""price"", WORKDAY(INT($B584), 1)), 2, 2), """")-$G584)/$G584, ($G584-IFE"&amp;"RROR(INDEX(GOOGLEFINANCE($C584, ""price"", WORKDAY(INT($B584), 1)), 2, 2), """"))/$G584)), """")"),"")</f>
        <v/>
      </c>
      <c r="O584" s="47" t="str">
        <f>IFERROR(__xludf.DUMMYFUNCTION("IFERROR(IF(OR(ISBLANK($G584), IFERROR(INDEX(GOOGLEFINANCE($C584, ""price"", WORKDAY(INT($B584), 5)), 2, 2), """")=""""), """", IF($D584=""LONG"", (IFERROR(INDEX(GOOGLEFINANCE($C584, ""price"", WORKDAY(INT($B584), 5)), 2, 2), """")-$G584)/$G584, ($G584-IFE"&amp;"RROR(INDEX(GOOGLEFINANCE($C584, ""price"", WORKDAY(INT($B584), 5)), 2, 2), """"))/$G584)), """")"),"")</f>
        <v/>
      </c>
      <c r="P584" s="47" t="str">
        <f>IFERROR(__xludf.DUMMYFUNCTION("IFERROR(IF(OR(ISBLANK($G584), IFERROR(INDEX(GOOGLEFINANCE($C584, ""price"", WORKDAY(INT($B584), 20)), 2, 2), """")=""""), """", IF($D584=""LONG"", (IFERROR(INDEX(GOOGLEFINANCE($C584, ""price"", WORKDAY(INT($B584), 20)), 2, 2), """")-$G584)/$G584, ($G584-I"&amp;"FERROR(INDEX(GOOGLEFINANCE($C584, ""price"", WORKDAY(INT($B584), 20)), 2, 2), """"))/$G584)), """")"),"")</f>
        <v/>
      </c>
      <c r="Q584" s="44"/>
      <c r="R584" s="44"/>
      <c r="S584" s="44"/>
      <c r="T584" s="44"/>
      <c r="U584" s="44"/>
      <c r="V584" s="44"/>
      <c r="W584" s="44"/>
      <c r="X584" s="44"/>
      <c r="Y584" s="44"/>
      <c r="Z584" s="44"/>
    </row>
    <row r="585">
      <c r="A585" s="44"/>
      <c r="B585" s="45"/>
      <c r="C585" s="44"/>
      <c r="D585" s="44"/>
      <c r="E585" s="44"/>
      <c r="F585" s="44"/>
      <c r="G585" s="46"/>
      <c r="H585" s="44"/>
      <c r="I585" s="44"/>
      <c r="J585" s="44"/>
      <c r="K585" s="44"/>
      <c r="L585" s="46" t="str">
        <f>IFERROR(__xludf.DUMMYFUNCTION("IFERROR(IF(ISBLANK($C585), """", GOOGLEFINANCE($C585, ""price"")), """")"),"")</f>
        <v/>
      </c>
      <c r="M585" s="47" t="str">
        <f t="shared" si="3"/>
        <v/>
      </c>
      <c r="N585" s="47" t="str">
        <f>IFERROR(__xludf.DUMMYFUNCTION("IFERROR(IF(OR(ISBLANK($G585), IFERROR(INDEX(GOOGLEFINANCE($C585, ""price"", WORKDAY(INT($B585), 1)), 2, 2), """")=""""), """", IF($D585=""LONG"", (IFERROR(INDEX(GOOGLEFINANCE($C585, ""price"", WORKDAY(INT($B585), 1)), 2, 2), """")-$G585)/$G585, ($G585-IFE"&amp;"RROR(INDEX(GOOGLEFINANCE($C585, ""price"", WORKDAY(INT($B585), 1)), 2, 2), """"))/$G585)), """")"),"")</f>
        <v/>
      </c>
      <c r="O585" s="47" t="str">
        <f>IFERROR(__xludf.DUMMYFUNCTION("IFERROR(IF(OR(ISBLANK($G585), IFERROR(INDEX(GOOGLEFINANCE($C585, ""price"", WORKDAY(INT($B585), 5)), 2, 2), """")=""""), """", IF($D585=""LONG"", (IFERROR(INDEX(GOOGLEFINANCE($C585, ""price"", WORKDAY(INT($B585), 5)), 2, 2), """")-$G585)/$G585, ($G585-IFE"&amp;"RROR(INDEX(GOOGLEFINANCE($C585, ""price"", WORKDAY(INT($B585), 5)), 2, 2), """"))/$G585)), """")"),"")</f>
        <v/>
      </c>
      <c r="P585" s="47" t="str">
        <f>IFERROR(__xludf.DUMMYFUNCTION("IFERROR(IF(OR(ISBLANK($G585), IFERROR(INDEX(GOOGLEFINANCE($C585, ""price"", WORKDAY(INT($B585), 20)), 2, 2), """")=""""), """", IF($D585=""LONG"", (IFERROR(INDEX(GOOGLEFINANCE($C585, ""price"", WORKDAY(INT($B585), 20)), 2, 2), """")-$G585)/$G585, ($G585-I"&amp;"FERROR(INDEX(GOOGLEFINANCE($C585, ""price"", WORKDAY(INT($B585), 20)), 2, 2), """"))/$G585)), """")"),"")</f>
        <v/>
      </c>
      <c r="Q585" s="44"/>
      <c r="R585" s="44"/>
      <c r="S585" s="44"/>
      <c r="T585" s="44"/>
      <c r="U585" s="44"/>
      <c r="V585" s="44"/>
      <c r="W585" s="44"/>
      <c r="X585" s="44"/>
      <c r="Y585" s="44"/>
      <c r="Z585" s="44"/>
    </row>
    <row r="586">
      <c r="A586" s="44"/>
      <c r="B586" s="45"/>
      <c r="C586" s="44"/>
      <c r="D586" s="44"/>
      <c r="E586" s="44"/>
      <c r="F586" s="44"/>
      <c r="G586" s="46"/>
      <c r="H586" s="44"/>
      <c r="I586" s="44"/>
      <c r="J586" s="44"/>
      <c r="K586" s="44"/>
      <c r="L586" s="46" t="str">
        <f>IFERROR(__xludf.DUMMYFUNCTION("IFERROR(IF(ISBLANK($C586), """", GOOGLEFINANCE($C586, ""price"")), """")"),"")</f>
        <v/>
      </c>
      <c r="M586" s="47" t="str">
        <f t="shared" si="3"/>
        <v/>
      </c>
      <c r="N586" s="47" t="str">
        <f>IFERROR(__xludf.DUMMYFUNCTION("IFERROR(IF(OR(ISBLANK($G586), IFERROR(INDEX(GOOGLEFINANCE($C586, ""price"", WORKDAY(INT($B586), 1)), 2, 2), """")=""""), """", IF($D586=""LONG"", (IFERROR(INDEX(GOOGLEFINANCE($C586, ""price"", WORKDAY(INT($B586), 1)), 2, 2), """")-$G586)/$G586, ($G586-IFE"&amp;"RROR(INDEX(GOOGLEFINANCE($C586, ""price"", WORKDAY(INT($B586), 1)), 2, 2), """"))/$G586)), """")"),"")</f>
        <v/>
      </c>
      <c r="O586" s="47" t="str">
        <f>IFERROR(__xludf.DUMMYFUNCTION("IFERROR(IF(OR(ISBLANK($G586), IFERROR(INDEX(GOOGLEFINANCE($C586, ""price"", WORKDAY(INT($B586), 5)), 2, 2), """")=""""), """", IF($D586=""LONG"", (IFERROR(INDEX(GOOGLEFINANCE($C586, ""price"", WORKDAY(INT($B586), 5)), 2, 2), """")-$G586)/$G586, ($G586-IFE"&amp;"RROR(INDEX(GOOGLEFINANCE($C586, ""price"", WORKDAY(INT($B586), 5)), 2, 2), """"))/$G586)), """")"),"")</f>
        <v/>
      </c>
      <c r="P586" s="47" t="str">
        <f>IFERROR(__xludf.DUMMYFUNCTION("IFERROR(IF(OR(ISBLANK($G586), IFERROR(INDEX(GOOGLEFINANCE($C586, ""price"", WORKDAY(INT($B586), 20)), 2, 2), """")=""""), """", IF($D586=""LONG"", (IFERROR(INDEX(GOOGLEFINANCE($C586, ""price"", WORKDAY(INT($B586), 20)), 2, 2), """")-$G586)/$G586, ($G586-I"&amp;"FERROR(INDEX(GOOGLEFINANCE($C586, ""price"", WORKDAY(INT($B586), 20)), 2, 2), """"))/$G586)), """")"),"")</f>
        <v/>
      </c>
      <c r="Q586" s="44"/>
      <c r="R586" s="44"/>
      <c r="S586" s="44"/>
      <c r="T586" s="44"/>
      <c r="U586" s="44"/>
      <c r="V586" s="44"/>
      <c r="W586" s="44"/>
      <c r="X586" s="44"/>
      <c r="Y586" s="44"/>
      <c r="Z586" s="44"/>
    </row>
    <row r="587">
      <c r="A587" s="44"/>
      <c r="B587" s="45"/>
      <c r="C587" s="44"/>
      <c r="D587" s="44"/>
      <c r="E587" s="44"/>
      <c r="F587" s="44"/>
      <c r="G587" s="46"/>
      <c r="H587" s="44"/>
      <c r="I587" s="44"/>
      <c r="J587" s="44"/>
      <c r="K587" s="44"/>
      <c r="L587" s="46" t="str">
        <f>IFERROR(__xludf.DUMMYFUNCTION("IFERROR(IF(ISBLANK($C587), """", GOOGLEFINANCE($C587, ""price"")), """")"),"")</f>
        <v/>
      </c>
      <c r="M587" s="47" t="str">
        <f t="shared" si="3"/>
        <v/>
      </c>
      <c r="N587" s="47" t="str">
        <f>IFERROR(__xludf.DUMMYFUNCTION("IFERROR(IF(OR(ISBLANK($G587), IFERROR(INDEX(GOOGLEFINANCE($C587, ""price"", WORKDAY(INT($B587), 1)), 2, 2), """")=""""), """", IF($D587=""LONG"", (IFERROR(INDEX(GOOGLEFINANCE($C587, ""price"", WORKDAY(INT($B587), 1)), 2, 2), """")-$G587)/$G587, ($G587-IFE"&amp;"RROR(INDEX(GOOGLEFINANCE($C587, ""price"", WORKDAY(INT($B587), 1)), 2, 2), """"))/$G587)), """")"),"")</f>
        <v/>
      </c>
      <c r="O587" s="47" t="str">
        <f>IFERROR(__xludf.DUMMYFUNCTION("IFERROR(IF(OR(ISBLANK($G587), IFERROR(INDEX(GOOGLEFINANCE($C587, ""price"", WORKDAY(INT($B587), 5)), 2, 2), """")=""""), """", IF($D587=""LONG"", (IFERROR(INDEX(GOOGLEFINANCE($C587, ""price"", WORKDAY(INT($B587), 5)), 2, 2), """")-$G587)/$G587, ($G587-IFE"&amp;"RROR(INDEX(GOOGLEFINANCE($C587, ""price"", WORKDAY(INT($B587), 5)), 2, 2), """"))/$G587)), """")"),"")</f>
        <v/>
      </c>
      <c r="P587" s="47" t="str">
        <f>IFERROR(__xludf.DUMMYFUNCTION("IFERROR(IF(OR(ISBLANK($G587), IFERROR(INDEX(GOOGLEFINANCE($C587, ""price"", WORKDAY(INT($B587), 20)), 2, 2), """")=""""), """", IF($D587=""LONG"", (IFERROR(INDEX(GOOGLEFINANCE($C587, ""price"", WORKDAY(INT($B587), 20)), 2, 2), """")-$G587)/$G587, ($G587-I"&amp;"FERROR(INDEX(GOOGLEFINANCE($C587, ""price"", WORKDAY(INT($B587), 20)), 2, 2), """"))/$G587)), """")"),"")</f>
        <v/>
      </c>
      <c r="Q587" s="44"/>
      <c r="R587" s="44"/>
      <c r="S587" s="44"/>
      <c r="T587" s="44"/>
      <c r="U587" s="44"/>
      <c r="V587" s="44"/>
      <c r="W587" s="44"/>
      <c r="X587" s="44"/>
      <c r="Y587" s="44"/>
      <c r="Z587" s="44"/>
    </row>
    <row r="588">
      <c r="A588" s="44"/>
      <c r="B588" s="45"/>
      <c r="C588" s="44"/>
      <c r="D588" s="44"/>
      <c r="E588" s="44"/>
      <c r="F588" s="44"/>
      <c r="G588" s="46"/>
      <c r="H588" s="44"/>
      <c r="I588" s="44"/>
      <c r="J588" s="44"/>
      <c r="K588" s="44"/>
      <c r="L588" s="46" t="str">
        <f>IFERROR(__xludf.DUMMYFUNCTION("IFERROR(IF(ISBLANK($C588), """", GOOGLEFINANCE($C588, ""price"")), """")"),"")</f>
        <v/>
      </c>
      <c r="M588" s="47" t="str">
        <f t="shared" si="3"/>
        <v/>
      </c>
      <c r="N588" s="47" t="str">
        <f>IFERROR(__xludf.DUMMYFUNCTION("IFERROR(IF(OR(ISBLANK($G588), IFERROR(INDEX(GOOGLEFINANCE($C588, ""price"", WORKDAY(INT($B588), 1)), 2, 2), """")=""""), """", IF($D588=""LONG"", (IFERROR(INDEX(GOOGLEFINANCE($C588, ""price"", WORKDAY(INT($B588), 1)), 2, 2), """")-$G588)/$G588, ($G588-IFE"&amp;"RROR(INDEX(GOOGLEFINANCE($C588, ""price"", WORKDAY(INT($B588), 1)), 2, 2), """"))/$G588)), """")"),"")</f>
        <v/>
      </c>
      <c r="O588" s="47" t="str">
        <f>IFERROR(__xludf.DUMMYFUNCTION("IFERROR(IF(OR(ISBLANK($G588), IFERROR(INDEX(GOOGLEFINANCE($C588, ""price"", WORKDAY(INT($B588), 5)), 2, 2), """")=""""), """", IF($D588=""LONG"", (IFERROR(INDEX(GOOGLEFINANCE($C588, ""price"", WORKDAY(INT($B588), 5)), 2, 2), """")-$G588)/$G588, ($G588-IFE"&amp;"RROR(INDEX(GOOGLEFINANCE($C588, ""price"", WORKDAY(INT($B588), 5)), 2, 2), """"))/$G588)), """")"),"")</f>
        <v/>
      </c>
      <c r="P588" s="47" t="str">
        <f>IFERROR(__xludf.DUMMYFUNCTION("IFERROR(IF(OR(ISBLANK($G588), IFERROR(INDEX(GOOGLEFINANCE($C588, ""price"", WORKDAY(INT($B588), 20)), 2, 2), """")=""""), """", IF($D588=""LONG"", (IFERROR(INDEX(GOOGLEFINANCE($C588, ""price"", WORKDAY(INT($B588), 20)), 2, 2), """")-$G588)/$G588, ($G588-I"&amp;"FERROR(INDEX(GOOGLEFINANCE($C588, ""price"", WORKDAY(INT($B588), 20)), 2, 2), """"))/$G588)), """")"),"")</f>
        <v/>
      </c>
      <c r="Q588" s="44"/>
      <c r="R588" s="44"/>
      <c r="S588" s="44"/>
      <c r="T588" s="44"/>
      <c r="U588" s="44"/>
      <c r="V588" s="44"/>
      <c r="W588" s="44"/>
      <c r="X588" s="44"/>
      <c r="Y588" s="44"/>
      <c r="Z588" s="44"/>
    </row>
    <row r="589">
      <c r="A589" s="44"/>
      <c r="B589" s="45"/>
      <c r="C589" s="44"/>
      <c r="D589" s="44"/>
      <c r="E589" s="44"/>
      <c r="F589" s="44"/>
      <c r="G589" s="46"/>
      <c r="H589" s="44"/>
      <c r="I589" s="44"/>
      <c r="J589" s="44"/>
      <c r="K589" s="44"/>
      <c r="L589" s="46" t="str">
        <f>IFERROR(__xludf.DUMMYFUNCTION("IFERROR(IF(ISBLANK($C589), """", GOOGLEFINANCE($C589, ""price"")), """")"),"")</f>
        <v/>
      </c>
      <c r="M589" s="47" t="str">
        <f t="shared" si="3"/>
        <v/>
      </c>
      <c r="N589" s="47" t="str">
        <f>IFERROR(__xludf.DUMMYFUNCTION("IFERROR(IF(OR(ISBLANK($G589), IFERROR(INDEX(GOOGLEFINANCE($C589, ""price"", WORKDAY(INT($B589), 1)), 2, 2), """")=""""), """", IF($D589=""LONG"", (IFERROR(INDEX(GOOGLEFINANCE($C589, ""price"", WORKDAY(INT($B589), 1)), 2, 2), """")-$G589)/$G589, ($G589-IFE"&amp;"RROR(INDEX(GOOGLEFINANCE($C589, ""price"", WORKDAY(INT($B589), 1)), 2, 2), """"))/$G589)), """")"),"")</f>
        <v/>
      </c>
      <c r="O589" s="47" t="str">
        <f>IFERROR(__xludf.DUMMYFUNCTION("IFERROR(IF(OR(ISBLANK($G589), IFERROR(INDEX(GOOGLEFINANCE($C589, ""price"", WORKDAY(INT($B589), 5)), 2, 2), """")=""""), """", IF($D589=""LONG"", (IFERROR(INDEX(GOOGLEFINANCE($C589, ""price"", WORKDAY(INT($B589), 5)), 2, 2), """")-$G589)/$G589, ($G589-IFE"&amp;"RROR(INDEX(GOOGLEFINANCE($C589, ""price"", WORKDAY(INT($B589), 5)), 2, 2), """"))/$G589)), """")"),"")</f>
        <v/>
      </c>
      <c r="P589" s="47" t="str">
        <f>IFERROR(__xludf.DUMMYFUNCTION("IFERROR(IF(OR(ISBLANK($G589), IFERROR(INDEX(GOOGLEFINANCE($C589, ""price"", WORKDAY(INT($B589), 20)), 2, 2), """")=""""), """", IF($D589=""LONG"", (IFERROR(INDEX(GOOGLEFINANCE($C589, ""price"", WORKDAY(INT($B589), 20)), 2, 2), """")-$G589)/$G589, ($G589-I"&amp;"FERROR(INDEX(GOOGLEFINANCE($C589, ""price"", WORKDAY(INT($B589), 20)), 2, 2), """"))/$G589)), """")"),"")</f>
        <v/>
      </c>
      <c r="Q589" s="44"/>
      <c r="R589" s="44"/>
      <c r="S589" s="44"/>
      <c r="T589" s="44"/>
      <c r="U589" s="44"/>
      <c r="V589" s="44"/>
      <c r="W589" s="44"/>
      <c r="X589" s="44"/>
      <c r="Y589" s="44"/>
      <c r="Z589" s="44"/>
    </row>
    <row r="590">
      <c r="A590" s="44"/>
      <c r="B590" s="45"/>
      <c r="C590" s="44"/>
      <c r="D590" s="44"/>
      <c r="E590" s="44"/>
      <c r="F590" s="44"/>
      <c r="G590" s="46"/>
      <c r="H590" s="44"/>
      <c r="I590" s="44"/>
      <c r="J590" s="44"/>
      <c r="K590" s="44"/>
      <c r="L590" s="46" t="str">
        <f>IFERROR(__xludf.DUMMYFUNCTION("IFERROR(IF(ISBLANK($C590), """", GOOGLEFINANCE($C590, ""price"")), """")"),"")</f>
        <v/>
      </c>
      <c r="M590" s="47" t="str">
        <f t="shared" si="3"/>
        <v/>
      </c>
      <c r="N590" s="47" t="str">
        <f>IFERROR(__xludf.DUMMYFUNCTION("IFERROR(IF(OR(ISBLANK($G590), IFERROR(INDEX(GOOGLEFINANCE($C590, ""price"", WORKDAY(INT($B590), 1)), 2, 2), """")=""""), """", IF($D590=""LONG"", (IFERROR(INDEX(GOOGLEFINANCE($C590, ""price"", WORKDAY(INT($B590), 1)), 2, 2), """")-$G590)/$G590, ($G590-IFE"&amp;"RROR(INDEX(GOOGLEFINANCE($C590, ""price"", WORKDAY(INT($B590), 1)), 2, 2), """"))/$G590)), """")"),"")</f>
        <v/>
      </c>
      <c r="O590" s="47" t="str">
        <f>IFERROR(__xludf.DUMMYFUNCTION("IFERROR(IF(OR(ISBLANK($G590), IFERROR(INDEX(GOOGLEFINANCE($C590, ""price"", WORKDAY(INT($B590), 5)), 2, 2), """")=""""), """", IF($D590=""LONG"", (IFERROR(INDEX(GOOGLEFINANCE($C590, ""price"", WORKDAY(INT($B590), 5)), 2, 2), """")-$G590)/$G590, ($G590-IFE"&amp;"RROR(INDEX(GOOGLEFINANCE($C590, ""price"", WORKDAY(INT($B590), 5)), 2, 2), """"))/$G590)), """")"),"")</f>
        <v/>
      </c>
      <c r="P590" s="47" t="str">
        <f>IFERROR(__xludf.DUMMYFUNCTION("IFERROR(IF(OR(ISBLANK($G590), IFERROR(INDEX(GOOGLEFINANCE($C590, ""price"", WORKDAY(INT($B590), 20)), 2, 2), """")=""""), """", IF($D590=""LONG"", (IFERROR(INDEX(GOOGLEFINANCE($C590, ""price"", WORKDAY(INT($B590), 20)), 2, 2), """")-$G590)/$G590, ($G590-I"&amp;"FERROR(INDEX(GOOGLEFINANCE($C590, ""price"", WORKDAY(INT($B590), 20)), 2, 2), """"))/$G590)), """")"),"")</f>
        <v/>
      </c>
      <c r="Q590" s="44"/>
      <c r="R590" s="44"/>
      <c r="S590" s="44"/>
      <c r="T590" s="44"/>
      <c r="U590" s="44"/>
      <c r="V590" s="44"/>
      <c r="W590" s="44"/>
      <c r="X590" s="44"/>
      <c r="Y590" s="44"/>
      <c r="Z590" s="44"/>
    </row>
    <row r="591">
      <c r="A591" s="44"/>
      <c r="B591" s="45"/>
      <c r="C591" s="44"/>
      <c r="D591" s="44"/>
      <c r="E591" s="44"/>
      <c r="F591" s="44"/>
      <c r="G591" s="46"/>
      <c r="H591" s="44"/>
      <c r="I591" s="44"/>
      <c r="J591" s="44"/>
      <c r="K591" s="44"/>
      <c r="L591" s="46" t="str">
        <f>IFERROR(__xludf.DUMMYFUNCTION("IFERROR(IF(ISBLANK($C591), """", GOOGLEFINANCE($C591, ""price"")), """")"),"")</f>
        <v/>
      </c>
      <c r="M591" s="47" t="str">
        <f t="shared" si="3"/>
        <v/>
      </c>
      <c r="N591" s="47" t="str">
        <f>IFERROR(__xludf.DUMMYFUNCTION("IFERROR(IF(OR(ISBLANK($G591), IFERROR(INDEX(GOOGLEFINANCE($C591, ""price"", WORKDAY(INT($B591), 1)), 2, 2), """")=""""), """", IF($D591=""LONG"", (IFERROR(INDEX(GOOGLEFINANCE($C591, ""price"", WORKDAY(INT($B591), 1)), 2, 2), """")-$G591)/$G591, ($G591-IFE"&amp;"RROR(INDEX(GOOGLEFINANCE($C591, ""price"", WORKDAY(INT($B591), 1)), 2, 2), """"))/$G591)), """")"),"")</f>
        <v/>
      </c>
      <c r="O591" s="47" t="str">
        <f>IFERROR(__xludf.DUMMYFUNCTION("IFERROR(IF(OR(ISBLANK($G591), IFERROR(INDEX(GOOGLEFINANCE($C591, ""price"", WORKDAY(INT($B591), 5)), 2, 2), """")=""""), """", IF($D591=""LONG"", (IFERROR(INDEX(GOOGLEFINANCE($C591, ""price"", WORKDAY(INT($B591), 5)), 2, 2), """")-$G591)/$G591, ($G591-IFE"&amp;"RROR(INDEX(GOOGLEFINANCE($C591, ""price"", WORKDAY(INT($B591), 5)), 2, 2), """"))/$G591)), """")"),"")</f>
        <v/>
      </c>
      <c r="P591" s="47" t="str">
        <f>IFERROR(__xludf.DUMMYFUNCTION("IFERROR(IF(OR(ISBLANK($G591), IFERROR(INDEX(GOOGLEFINANCE($C591, ""price"", WORKDAY(INT($B591), 20)), 2, 2), """")=""""), """", IF($D591=""LONG"", (IFERROR(INDEX(GOOGLEFINANCE($C591, ""price"", WORKDAY(INT($B591), 20)), 2, 2), """")-$G591)/$G591, ($G591-I"&amp;"FERROR(INDEX(GOOGLEFINANCE($C591, ""price"", WORKDAY(INT($B591), 20)), 2, 2), """"))/$G591)), """")"),"")</f>
        <v/>
      </c>
      <c r="Q591" s="44"/>
      <c r="R591" s="44"/>
      <c r="S591" s="44"/>
      <c r="T591" s="44"/>
      <c r="U591" s="44"/>
      <c r="V591" s="44"/>
      <c r="W591" s="44"/>
      <c r="X591" s="44"/>
      <c r="Y591" s="44"/>
      <c r="Z591" s="44"/>
    </row>
    <row r="592">
      <c r="A592" s="44"/>
      <c r="B592" s="45"/>
      <c r="C592" s="44"/>
      <c r="D592" s="44"/>
      <c r="E592" s="44"/>
      <c r="F592" s="44"/>
      <c r="G592" s="46"/>
      <c r="H592" s="44"/>
      <c r="I592" s="44"/>
      <c r="J592" s="44"/>
      <c r="K592" s="44"/>
      <c r="L592" s="46" t="str">
        <f>IFERROR(__xludf.DUMMYFUNCTION("IFERROR(IF(ISBLANK($C592), """", GOOGLEFINANCE($C592, ""price"")), """")"),"")</f>
        <v/>
      </c>
      <c r="M592" s="47" t="str">
        <f t="shared" si="3"/>
        <v/>
      </c>
      <c r="N592" s="47" t="str">
        <f>IFERROR(__xludf.DUMMYFUNCTION("IFERROR(IF(OR(ISBLANK($G592), IFERROR(INDEX(GOOGLEFINANCE($C592, ""price"", WORKDAY(INT($B592), 1)), 2, 2), """")=""""), """", IF($D592=""LONG"", (IFERROR(INDEX(GOOGLEFINANCE($C592, ""price"", WORKDAY(INT($B592), 1)), 2, 2), """")-$G592)/$G592, ($G592-IFE"&amp;"RROR(INDEX(GOOGLEFINANCE($C592, ""price"", WORKDAY(INT($B592), 1)), 2, 2), """"))/$G592)), """")"),"")</f>
        <v/>
      </c>
      <c r="O592" s="47" t="str">
        <f>IFERROR(__xludf.DUMMYFUNCTION("IFERROR(IF(OR(ISBLANK($G592), IFERROR(INDEX(GOOGLEFINANCE($C592, ""price"", WORKDAY(INT($B592), 5)), 2, 2), """")=""""), """", IF($D592=""LONG"", (IFERROR(INDEX(GOOGLEFINANCE($C592, ""price"", WORKDAY(INT($B592), 5)), 2, 2), """")-$G592)/$G592, ($G592-IFE"&amp;"RROR(INDEX(GOOGLEFINANCE($C592, ""price"", WORKDAY(INT($B592), 5)), 2, 2), """"))/$G592)), """")"),"")</f>
        <v/>
      </c>
      <c r="P592" s="47" t="str">
        <f>IFERROR(__xludf.DUMMYFUNCTION("IFERROR(IF(OR(ISBLANK($G592), IFERROR(INDEX(GOOGLEFINANCE($C592, ""price"", WORKDAY(INT($B592), 20)), 2, 2), """")=""""), """", IF($D592=""LONG"", (IFERROR(INDEX(GOOGLEFINANCE($C592, ""price"", WORKDAY(INT($B592), 20)), 2, 2), """")-$G592)/$G592, ($G592-I"&amp;"FERROR(INDEX(GOOGLEFINANCE($C592, ""price"", WORKDAY(INT($B592), 20)), 2, 2), """"))/$G592)), """")"),"")</f>
        <v/>
      </c>
      <c r="Q592" s="44"/>
      <c r="R592" s="44"/>
      <c r="S592" s="44"/>
      <c r="T592" s="44"/>
      <c r="U592" s="44"/>
      <c r="V592" s="44"/>
      <c r="W592" s="44"/>
      <c r="X592" s="44"/>
      <c r="Y592" s="44"/>
      <c r="Z592" s="44"/>
    </row>
    <row r="593">
      <c r="A593" s="44"/>
      <c r="B593" s="45"/>
      <c r="C593" s="44"/>
      <c r="D593" s="44"/>
      <c r="E593" s="44"/>
      <c r="F593" s="44"/>
      <c r="G593" s="46"/>
      <c r="H593" s="44"/>
      <c r="I593" s="44"/>
      <c r="J593" s="44"/>
      <c r="K593" s="44"/>
      <c r="L593" s="46" t="str">
        <f>IFERROR(__xludf.DUMMYFUNCTION("IFERROR(IF(ISBLANK($C593), """", GOOGLEFINANCE($C593, ""price"")), """")"),"")</f>
        <v/>
      </c>
      <c r="M593" s="47" t="str">
        <f t="shared" si="3"/>
        <v/>
      </c>
      <c r="N593" s="47" t="str">
        <f>IFERROR(__xludf.DUMMYFUNCTION("IFERROR(IF(OR(ISBLANK($G593), IFERROR(INDEX(GOOGLEFINANCE($C593, ""price"", WORKDAY(INT($B593), 1)), 2, 2), """")=""""), """", IF($D593=""LONG"", (IFERROR(INDEX(GOOGLEFINANCE($C593, ""price"", WORKDAY(INT($B593), 1)), 2, 2), """")-$G593)/$G593, ($G593-IFE"&amp;"RROR(INDEX(GOOGLEFINANCE($C593, ""price"", WORKDAY(INT($B593), 1)), 2, 2), """"))/$G593)), """")"),"")</f>
        <v/>
      </c>
      <c r="O593" s="47" t="str">
        <f>IFERROR(__xludf.DUMMYFUNCTION("IFERROR(IF(OR(ISBLANK($G593), IFERROR(INDEX(GOOGLEFINANCE($C593, ""price"", WORKDAY(INT($B593), 5)), 2, 2), """")=""""), """", IF($D593=""LONG"", (IFERROR(INDEX(GOOGLEFINANCE($C593, ""price"", WORKDAY(INT($B593), 5)), 2, 2), """")-$G593)/$G593, ($G593-IFE"&amp;"RROR(INDEX(GOOGLEFINANCE($C593, ""price"", WORKDAY(INT($B593), 5)), 2, 2), """"))/$G593)), """")"),"")</f>
        <v/>
      </c>
      <c r="P593" s="47" t="str">
        <f>IFERROR(__xludf.DUMMYFUNCTION("IFERROR(IF(OR(ISBLANK($G593), IFERROR(INDEX(GOOGLEFINANCE($C593, ""price"", WORKDAY(INT($B593), 20)), 2, 2), """")=""""), """", IF($D593=""LONG"", (IFERROR(INDEX(GOOGLEFINANCE($C593, ""price"", WORKDAY(INT($B593), 20)), 2, 2), """")-$G593)/$G593, ($G593-I"&amp;"FERROR(INDEX(GOOGLEFINANCE($C593, ""price"", WORKDAY(INT($B593), 20)), 2, 2), """"))/$G593)), """")"),"")</f>
        <v/>
      </c>
      <c r="Q593" s="44"/>
      <c r="R593" s="44"/>
      <c r="S593" s="44"/>
      <c r="T593" s="44"/>
      <c r="U593" s="44"/>
      <c r="V593" s="44"/>
      <c r="W593" s="44"/>
      <c r="X593" s="44"/>
      <c r="Y593" s="44"/>
      <c r="Z593" s="44"/>
    </row>
    <row r="594">
      <c r="A594" s="44"/>
      <c r="B594" s="45"/>
      <c r="C594" s="44"/>
      <c r="D594" s="44"/>
      <c r="E594" s="44"/>
      <c r="F594" s="44"/>
      <c r="G594" s="46"/>
      <c r="H594" s="44"/>
      <c r="I594" s="44"/>
      <c r="J594" s="44"/>
      <c r="K594" s="44"/>
      <c r="L594" s="46" t="str">
        <f>IFERROR(__xludf.DUMMYFUNCTION("IFERROR(IF(ISBLANK($C594), """", GOOGLEFINANCE($C594, ""price"")), """")"),"")</f>
        <v/>
      </c>
      <c r="M594" s="47" t="str">
        <f t="shared" si="3"/>
        <v/>
      </c>
      <c r="N594" s="47" t="str">
        <f>IFERROR(__xludf.DUMMYFUNCTION("IFERROR(IF(OR(ISBLANK($G594), IFERROR(INDEX(GOOGLEFINANCE($C594, ""price"", WORKDAY(INT($B594), 1)), 2, 2), """")=""""), """", IF($D594=""LONG"", (IFERROR(INDEX(GOOGLEFINANCE($C594, ""price"", WORKDAY(INT($B594), 1)), 2, 2), """")-$G594)/$G594, ($G594-IFE"&amp;"RROR(INDEX(GOOGLEFINANCE($C594, ""price"", WORKDAY(INT($B594), 1)), 2, 2), """"))/$G594)), """")"),"")</f>
        <v/>
      </c>
      <c r="O594" s="47" t="str">
        <f>IFERROR(__xludf.DUMMYFUNCTION("IFERROR(IF(OR(ISBLANK($G594), IFERROR(INDEX(GOOGLEFINANCE($C594, ""price"", WORKDAY(INT($B594), 5)), 2, 2), """")=""""), """", IF($D594=""LONG"", (IFERROR(INDEX(GOOGLEFINANCE($C594, ""price"", WORKDAY(INT($B594), 5)), 2, 2), """")-$G594)/$G594, ($G594-IFE"&amp;"RROR(INDEX(GOOGLEFINANCE($C594, ""price"", WORKDAY(INT($B594), 5)), 2, 2), """"))/$G594)), """")"),"")</f>
        <v/>
      </c>
      <c r="P594" s="47" t="str">
        <f>IFERROR(__xludf.DUMMYFUNCTION("IFERROR(IF(OR(ISBLANK($G594), IFERROR(INDEX(GOOGLEFINANCE($C594, ""price"", WORKDAY(INT($B594), 20)), 2, 2), """")=""""), """", IF($D594=""LONG"", (IFERROR(INDEX(GOOGLEFINANCE($C594, ""price"", WORKDAY(INT($B594), 20)), 2, 2), """")-$G594)/$G594, ($G594-I"&amp;"FERROR(INDEX(GOOGLEFINANCE($C594, ""price"", WORKDAY(INT($B594), 20)), 2, 2), """"))/$G594)), """")"),"")</f>
        <v/>
      </c>
      <c r="Q594" s="44"/>
      <c r="R594" s="44"/>
      <c r="S594" s="44"/>
      <c r="T594" s="44"/>
      <c r="U594" s="44"/>
      <c r="V594" s="44"/>
      <c r="W594" s="44"/>
      <c r="X594" s="44"/>
      <c r="Y594" s="44"/>
      <c r="Z594" s="44"/>
    </row>
    <row r="595">
      <c r="A595" s="44"/>
      <c r="B595" s="45"/>
      <c r="C595" s="44"/>
      <c r="D595" s="44"/>
      <c r="E595" s="44"/>
      <c r="F595" s="44"/>
      <c r="G595" s="46"/>
      <c r="H595" s="44"/>
      <c r="I595" s="44"/>
      <c r="J595" s="44"/>
      <c r="K595" s="44"/>
      <c r="L595" s="46" t="str">
        <f>IFERROR(__xludf.DUMMYFUNCTION("IFERROR(IF(ISBLANK($C595), """", GOOGLEFINANCE($C595, ""price"")), """")"),"")</f>
        <v/>
      </c>
      <c r="M595" s="47" t="str">
        <f t="shared" si="3"/>
        <v/>
      </c>
      <c r="N595" s="47" t="str">
        <f>IFERROR(__xludf.DUMMYFUNCTION("IFERROR(IF(OR(ISBLANK($G595), IFERROR(INDEX(GOOGLEFINANCE($C595, ""price"", WORKDAY(INT($B595), 1)), 2, 2), """")=""""), """", IF($D595=""LONG"", (IFERROR(INDEX(GOOGLEFINANCE($C595, ""price"", WORKDAY(INT($B595), 1)), 2, 2), """")-$G595)/$G595, ($G595-IFE"&amp;"RROR(INDEX(GOOGLEFINANCE($C595, ""price"", WORKDAY(INT($B595), 1)), 2, 2), """"))/$G595)), """")"),"")</f>
        <v/>
      </c>
      <c r="O595" s="47" t="str">
        <f>IFERROR(__xludf.DUMMYFUNCTION("IFERROR(IF(OR(ISBLANK($G595), IFERROR(INDEX(GOOGLEFINANCE($C595, ""price"", WORKDAY(INT($B595), 5)), 2, 2), """")=""""), """", IF($D595=""LONG"", (IFERROR(INDEX(GOOGLEFINANCE($C595, ""price"", WORKDAY(INT($B595), 5)), 2, 2), """")-$G595)/$G595, ($G595-IFE"&amp;"RROR(INDEX(GOOGLEFINANCE($C595, ""price"", WORKDAY(INT($B595), 5)), 2, 2), """"))/$G595)), """")"),"")</f>
        <v/>
      </c>
      <c r="P595" s="47" t="str">
        <f>IFERROR(__xludf.DUMMYFUNCTION("IFERROR(IF(OR(ISBLANK($G595), IFERROR(INDEX(GOOGLEFINANCE($C595, ""price"", WORKDAY(INT($B595), 20)), 2, 2), """")=""""), """", IF($D595=""LONG"", (IFERROR(INDEX(GOOGLEFINANCE($C595, ""price"", WORKDAY(INT($B595), 20)), 2, 2), """")-$G595)/$G595, ($G595-I"&amp;"FERROR(INDEX(GOOGLEFINANCE($C595, ""price"", WORKDAY(INT($B595), 20)), 2, 2), """"))/$G595)), """")"),"")</f>
        <v/>
      </c>
      <c r="Q595" s="44"/>
      <c r="R595" s="44"/>
      <c r="S595" s="44"/>
      <c r="T595" s="44"/>
      <c r="U595" s="44"/>
      <c r="V595" s="44"/>
      <c r="W595" s="44"/>
      <c r="X595" s="44"/>
      <c r="Y595" s="44"/>
      <c r="Z595" s="44"/>
    </row>
    <row r="596">
      <c r="A596" s="44"/>
      <c r="B596" s="45"/>
      <c r="C596" s="44"/>
      <c r="D596" s="44"/>
      <c r="E596" s="44"/>
      <c r="F596" s="44"/>
      <c r="G596" s="46"/>
      <c r="H596" s="44"/>
      <c r="I596" s="44"/>
      <c r="J596" s="44"/>
      <c r="K596" s="44"/>
      <c r="L596" s="46" t="str">
        <f>IFERROR(__xludf.DUMMYFUNCTION("IFERROR(IF(ISBLANK($C596), """", GOOGLEFINANCE($C596, ""price"")), """")"),"")</f>
        <v/>
      </c>
      <c r="M596" s="47" t="str">
        <f t="shared" si="3"/>
        <v/>
      </c>
      <c r="N596" s="47" t="str">
        <f>IFERROR(__xludf.DUMMYFUNCTION("IFERROR(IF(OR(ISBLANK($G596), IFERROR(INDEX(GOOGLEFINANCE($C596, ""price"", WORKDAY(INT($B596), 1)), 2, 2), """")=""""), """", IF($D596=""LONG"", (IFERROR(INDEX(GOOGLEFINANCE($C596, ""price"", WORKDAY(INT($B596), 1)), 2, 2), """")-$G596)/$G596, ($G596-IFE"&amp;"RROR(INDEX(GOOGLEFINANCE($C596, ""price"", WORKDAY(INT($B596), 1)), 2, 2), """"))/$G596)), """")"),"")</f>
        <v/>
      </c>
      <c r="O596" s="47" t="str">
        <f>IFERROR(__xludf.DUMMYFUNCTION("IFERROR(IF(OR(ISBLANK($G596), IFERROR(INDEX(GOOGLEFINANCE($C596, ""price"", WORKDAY(INT($B596), 5)), 2, 2), """")=""""), """", IF($D596=""LONG"", (IFERROR(INDEX(GOOGLEFINANCE($C596, ""price"", WORKDAY(INT($B596), 5)), 2, 2), """")-$G596)/$G596, ($G596-IFE"&amp;"RROR(INDEX(GOOGLEFINANCE($C596, ""price"", WORKDAY(INT($B596), 5)), 2, 2), """"))/$G596)), """")"),"")</f>
        <v/>
      </c>
      <c r="P596" s="47" t="str">
        <f>IFERROR(__xludf.DUMMYFUNCTION("IFERROR(IF(OR(ISBLANK($G596), IFERROR(INDEX(GOOGLEFINANCE($C596, ""price"", WORKDAY(INT($B596), 20)), 2, 2), """")=""""), """", IF($D596=""LONG"", (IFERROR(INDEX(GOOGLEFINANCE($C596, ""price"", WORKDAY(INT($B596), 20)), 2, 2), """")-$G596)/$G596, ($G596-I"&amp;"FERROR(INDEX(GOOGLEFINANCE($C596, ""price"", WORKDAY(INT($B596), 20)), 2, 2), """"))/$G596)), """")"),"")</f>
        <v/>
      </c>
      <c r="Q596" s="44"/>
      <c r="R596" s="44"/>
      <c r="S596" s="44"/>
      <c r="T596" s="44"/>
      <c r="U596" s="44"/>
      <c r="V596" s="44"/>
      <c r="W596" s="44"/>
      <c r="X596" s="44"/>
      <c r="Y596" s="44"/>
      <c r="Z596" s="44"/>
    </row>
    <row r="597">
      <c r="A597" s="44"/>
      <c r="B597" s="45"/>
      <c r="C597" s="44"/>
      <c r="D597" s="44"/>
      <c r="E597" s="44"/>
      <c r="F597" s="44"/>
      <c r="G597" s="46"/>
      <c r="H597" s="44"/>
      <c r="I597" s="44"/>
      <c r="J597" s="44"/>
      <c r="K597" s="44"/>
      <c r="L597" s="46" t="str">
        <f>IFERROR(__xludf.DUMMYFUNCTION("IFERROR(IF(ISBLANK($C597), """", GOOGLEFINANCE($C597, ""price"")), """")"),"")</f>
        <v/>
      </c>
      <c r="M597" s="47" t="str">
        <f t="shared" si="3"/>
        <v/>
      </c>
      <c r="N597" s="47" t="str">
        <f>IFERROR(__xludf.DUMMYFUNCTION("IFERROR(IF(OR(ISBLANK($G597), IFERROR(INDEX(GOOGLEFINANCE($C597, ""price"", WORKDAY(INT($B597), 1)), 2, 2), """")=""""), """", IF($D597=""LONG"", (IFERROR(INDEX(GOOGLEFINANCE($C597, ""price"", WORKDAY(INT($B597), 1)), 2, 2), """")-$G597)/$G597, ($G597-IFE"&amp;"RROR(INDEX(GOOGLEFINANCE($C597, ""price"", WORKDAY(INT($B597), 1)), 2, 2), """"))/$G597)), """")"),"")</f>
        <v/>
      </c>
      <c r="O597" s="47" t="str">
        <f>IFERROR(__xludf.DUMMYFUNCTION("IFERROR(IF(OR(ISBLANK($G597), IFERROR(INDEX(GOOGLEFINANCE($C597, ""price"", WORKDAY(INT($B597), 5)), 2, 2), """")=""""), """", IF($D597=""LONG"", (IFERROR(INDEX(GOOGLEFINANCE($C597, ""price"", WORKDAY(INT($B597), 5)), 2, 2), """")-$G597)/$G597, ($G597-IFE"&amp;"RROR(INDEX(GOOGLEFINANCE($C597, ""price"", WORKDAY(INT($B597), 5)), 2, 2), """"))/$G597)), """")"),"")</f>
        <v/>
      </c>
      <c r="P597" s="47" t="str">
        <f>IFERROR(__xludf.DUMMYFUNCTION("IFERROR(IF(OR(ISBLANK($G597), IFERROR(INDEX(GOOGLEFINANCE($C597, ""price"", WORKDAY(INT($B597), 20)), 2, 2), """")=""""), """", IF($D597=""LONG"", (IFERROR(INDEX(GOOGLEFINANCE($C597, ""price"", WORKDAY(INT($B597), 20)), 2, 2), """")-$G597)/$G597, ($G597-I"&amp;"FERROR(INDEX(GOOGLEFINANCE($C597, ""price"", WORKDAY(INT($B597), 20)), 2, 2), """"))/$G597)), """")"),"")</f>
        <v/>
      </c>
      <c r="Q597" s="44"/>
      <c r="R597" s="44"/>
      <c r="S597" s="44"/>
      <c r="T597" s="44"/>
      <c r="U597" s="44"/>
      <c r="V597" s="44"/>
      <c r="W597" s="44"/>
      <c r="X597" s="44"/>
      <c r="Y597" s="44"/>
      <c r="Z597" s="44"/>
    </row>
    <row r="598">
      <c r="A598" s="44"/>
      <c r="B598" s="45"/>
      <c r="C598" s="44"/>
      <c r="D598" s="44"/>
      <c r="E598" s="44"/>
      <c r="F598" s="44"/>
      <c r="G598" s="46"/>
      <c r="H598" s="44"/>
      <c r="I598" s="44"/>
      <c r="J598" s="44"/>
      <c r="K598" s="44"/>
      <c r="L598" s="46" t="str">
        <f>IFERROR(__xludf.DUMMYFUNCTION("IFERROR(IF(ISBLANK($C598), """", GOOGLEFINANCE($C598, ""price"")), """")"),"")</f>
        <v/>
      </c>
      <c r="M598" s="47" t="str">
        <f t="shared" si="3"/>
        <v/>
      </c>
      <c r="N598" s="47" t="str">
        <f>IFERROR(__xludf.DUMMYFUNCTION("IFERROR(IF(OR(ISBLANK($G598), IFERROR(INDEX(GOOGLEFINANCE($C598, ""price"", WORKDAY(INT($B598), 1)), 2, 2), """")=""""), """", IF($D598=""LONG"", (IFERROR(INDEX(GOOGLEFINANCE($C598, ""price"", WORKDAY(INT($B598), 1)), 2, 2), """")-$G598)/$G598, ($G598-IFE"&amp;"RROR(INDEX(GOOGLEFINANCE($C598, ""price"", WORKDAY(INT($B598), 1)), 2, 2), """"))/$G598)), """")"),"")</f>
        <v/>
      </c>
      <c r="O598" s="47" t="str">
        <f>IFERROR(__xludf.DUMMYFUNCTION("IFERROR(IF(OR(ISBLANK($G598), IFERROR(INDEX(GOOGLEFINANCE($C598, ""price"", WORKDAY(INT($B598), 5)), 2, 2), """")=""""), """", IF($D598=""LONG"", (IFERROR(INDEX(GOOGLEFINANCE($C598, ""price"", WORKDAY(INT($B598), 5)), 2, 2), """")-$G598)/$G598, ($G598-IFE"&amp;"RROR(INDEX(GOOGLEFINANCE($C598, ""price"", WORKDAY(INT($B598), 5)), 2, 2), """"))/$G598)), """")"),"")</f>
        <v/>
      </c>
      <c r="P598" s="47" t="str">
        <f>IFERROR(__xludf.DUMMYFUNCTION("IFERROR(IF(OR(ISBLANK($G598), IFERROR(INDEX(GOOGLEFINANCE($C598, ""price"", WORKDAY(INT($B598), 20)), 2, 2), """")=""""), """", IF($D598=""LONG"", (IFERROR(INDEX(GOOGLEFINANCE($C598, ""price"", WORKDAY(INT($B598), 20)), 2, 2), """")-$G598)/$G598, ($G598-I"&amp;"FERROR(INDEX(GOOGLEFINANCE($C598, ""price"", WORKDAY(INT($B598), 20)), 2, 2), """"))/$G598)), """")"),"")</f>
        <v/>
      </c>
      <c r="Q598" s="44"/>
      <c r="R598" s="44"/>
      <c r="S598" s="44"/>
      <c r="T598" s="44"/>
      <c r="U598" s="44"/>
      <c r="V598" s="44"/>
      <c r="W598" s="44"/>
      <c r="X598" s="44"/>
      <c r="Y598" s="44"/>
      <c r="Z598" s="44"/>
    </row>
    <row r="599">
      <c r="A599" s="44"/>
      <c r="B599" s="45"/>
      <c r="C599" s="44"/>
      <c r="D599" s="44"/>
      <c r="E599" s="44"/>
      <c r="F599" s="44"/>
      <c r="G599" s="46"/>
      <c r="H599" s="44"/>
      <c r="I599" s="44"/>
      <c r="J599" s="44"/>
      <c r="K599" s="44"/>
      <c r="L599" s="46" t="str">
        <f>IFERROR(__xludf.DUMMYFUNCTION("IFERROR(IF(ISBLANK($C599), """", GOOGLEFINANCE($C599, ""price"")), """")"),"")</f>
        <v/>
      </c>
      <c r="M599" s="47" t="str">
        <f t="shared" si="3"/>
        <v/>
      </c>
      <c r="N599" s="47" t="str">
        <f>IFERROR(__xludf.DUMMYFUNCTION("IFERROR(IF(OR(ISBLANK($G599), IFERROR(INDEX(GOOGLEFINANCE($C599, ""price"", WORKDAY(INT($B599), 1)), 2, 2), """")=""""), """", IF($D599=""LONG"", (IFERROR(INDEX(GOOGLEFINANCE($C599, ""price"", WORKDAY(INT($B599), 1)), 2, 2), """")-$G599)/$G599, ($G599-IFE"&amp;"RROR(INDEX(GOOGLEFINANCE($C599, ""price"", WORKDAY(INT($B599), 1)), 2, 2), """"))/$G599)), """")"),"")</f>
        <v/>
      </c>
      <c r="O599" s="47" t="str">
        <f>IFERROR(__xludf.DUMMYFUNCTION("IFERROR(IF(OR(ISBLANK($G599), IFERROR(INDEX(GOOGLEFINANCE($C599, ""price"", WORKDAY(INT($B599), 5)), 2, 2), """")=""""), """", IF($D599=""LONG"", (IFERROR(INDEX(GOOGLEFINANCE($C599, ""price"", WORKDAY(INT($B599), 5)), 2, 2), """")-$G599)/$G599, ($G599-IFE"&amp;"RROR(INDEX(GOOGLEFINANCE($C599, ""price"", WORKDAY(INT($B599), 5)), 2, 2), """"))/$G599)), """")"),"")</f>
        <v/>
      </c>
      <c r="P599" s="47" t="str">
        <f>IFERROR(__xludf.DUMMYFUNCTION("IFERROR(IF(OR(ISBLANK($G599), IFERROR(INDEX(GOOGLEFINANCE($C599, ""price"", WORKDAY(INT($B599), 20)), 2, 2), """")=""""), """", IF($D599=""LONG"", (IFERROR(INDEX(GOOGLEFINANCE($C599, ""price"", WORKDAY(INT($B599), 20)), 2, 2), """")-$G599)/$G599, ($G599-I"&amp;"FERROR(INDEX(GOOGLEFINANCE($C599, ""price"", WORKDAY(INT($B599), 20)), 2, 2), """"))/$G599)), """")"),"")</f>
        <v/>
      </c>
      <c r="Q599" s="44"/>
      <c r="R599" s="44"/>
      <c r="S599" s="44"/>
      <c r="T599" s="44"/>
      <c r="U599" s="44"/>
      <c r="V599" s="44"/>
      <c r="W599" s="44"/>
      <c r="X599" s="44"/>
      <c r="Y599" s="44"/>
      <c r="Z599" s="44"/>
    </row>
    <row r="600">
      <c r="A600" s="44"/>
      <c r="B600" s="45"/>
      <c r="C600" s="44"/>
      <c r="D600" s="44"/>
      <c r="E600" s="44"/>
      <c r="F600" s="44"/>
      <c r="G600" s="46"/>
      <c r="H600" s="44"/>
      <c r="I600" s="44"/>
      <c r="J600" s="44"/>
      <c r="K600" s="44"/>
      <c r="L600" s="46" t="str">
        <f>IFERROR(__xludf.DUMMYFUNCTION("IFERROR(IF(ISBLANK($C600), """", GOOGLEFINANCE($C600, ""price"")), """")"),"")</f>
        <v/>
      </c>
      <c r="M600" s="47" t="str">
        <f t="shared" si="3"/>
        <v/>
      </c>
      <c r="N600" s="47" t="str">
        <f>IFERROR(__xludf.DUMMYFUNCTION("IFERROR(IF(OR(ISBLANK($G600), IFERROR(INDEX(GOOGLEFINANCE($C600, ""price"", WORKDAY(INT($B600), 1)), 2, 2), """")=""""), """", IF($D600=""LONG"", (IFERROR(INDEX(GOOGLEFINANCE($C600, ""price"", WORKDAY(INT($B600), 1)), 2, 2), """")-$G600)/$G600, ($G600-IFE"&amp;"RROR(INDEX(GOOGLEFINANCE($C600, ""price"", WORKDAY(INT($B600), 1)), 2, 2), """"))/$G600)), """")"),"")</f>
        <v/>
      </c>
      <c r="O600" s="47" t="str">
        <f>IFERROR(__xludf.DUMMYFUNCTION("IFERROR(IF(OR(ISBLANK($G600), IFERROR(INDEX(GOOGLEFINANCE($C600, ""price"", WORKDAY(INT($B600), 5)), 2, 2), """")=""""), """", IF($D600=""LONG"", (IFERROR(INDEX(GOOGLEFINANCE($C600, ""price"", WORKDAY(INT($B600), 5)), 2, 2), """")-$G600)/$G600, ($G600-IFE"&amp;"RROR(INDEX(GOOGLEFINANCE($C600, ""price"", WORKDAY(INT($B600), 5)), 2, 2), """"))/$G600)), """")"),"")</f>
        <v/>
      </c>
      <c r="P600" s="47" t="str">
        <f>IFERROR(__xludf.DUMMYFUNCTION("IFERROR(IF(OR(ISBLANK($G600), IFERROR(INDEX(GOOGLEFINANCE($C600, ""price"", WORKDAY(INT($B600), 20)), 2, 2), """")=""""), """", IF($D600=""LONG"", (IFERROR(INDEX(GOOGLEFINANCE($C600, ""price"", WORKDAY(INT($B600), 20)), 2, 2), """")-$G600)/$G600, ($G600-I"&amp;"FERROR(INDEX(GOOGLEFINANCE($C600, ""price"", WORKDAY(INT($B600), 20)), 2, 2), """"))/$G600)), """")"),"")</f>
        <v/>
      </c>
      <c r="Q600" s="44"/>
      <c r="R600" s="44"/>
      <c r="S600" s="44"/>
      <c r="T600" s="44"/>
      <c r="U600" s="44"/>
      <c r="V600" s="44"/>
      <c r="W600" s="44"/>
      <c r="X600" s="44"/>
      <c r="Y600" s="44"/>
      <c r="Z600" s="44"/>
    </row>
    <row r="601">
      <c r="A601" s="44"/>
      <c r="B601" s="45"/>
      <c r="C601" s="44"/>
      <c r="D601" s="44"/>
      <c r="E601" s="44"/>
      <c r="F601" s="44"/>
      <c r="G601" s="46"/>
      <c r="H601" s="44"/>
      <c r="I601" s="44"/>
      <c r="J601" s="44"/>
      <c r="K601" s="44"/>
      <c r="L601" s="46" t="str">
        <f>IFERROR(__xludf.DUMMYFUNCTION("IFERROR(IF(ISBLANK($C601), """", GOOGLEFINANCE($C601, ""price"")), """")"),"")</f>
        <v/>
      </c>
      <c r="M601" s="47" t="str">
        <f t="shared" si="3"/>
        <v/>
      </c>
      <c r="N601" s="47" t="str">
        <f>IFERROR(__xludf.DUMMYFUNCTION("IFERROR(IF(OR(ISBLANK($G601), IFERROR(INDEX(GOOGLEFINANCE($C601, ""price"", WORKDAY(INT($B601), 1)), 2, 2), """")=""""), """", IF($D601=""LONG"", (IFERROR(INDEX(GOOGLEFINANCE($C601, ""price"", WORKDAY(INT($B601), 1)), 2, 2), """")-$G601)/$G601, ($G601-IFE"&amp;"RROR(INDEX(GOOGLEFINANCE($C601, ""price"", WORKDAY(INT($B601), 1)), 2, 2), """"))/$G601)), """")"),"")</f>
        <v/>
      </c>
      <c r="O601" s="47" t="str">
        <f>IFERROR(__xludf.DUMMYFUNCTION("IFERROR(IF(OR(ISBLANK($G601), IFERROR(INDEX(GOOGLEFINANCE($C601, ""price"", WORKDAY(INT($B601), 5)), 2, 2), """")=""""), """", IF($D601=""LONG"", (IFERROR(INDEX(GOOGLEFINANCE($C601, ""price"", WORKDAY(INT($B601), 5)), 2, 2), """")-$G601)/$G601, ($G601-IFE"&amp;"RROR(INDEX(GOOGLEFINANCE($C601, ""price"", WORKDAY(INT($B601), 5)), 2, 2), """"))/$G601)), """")"),"")</f>
        <v/>
      </c>
      <c r="P601" s="47" t="str">
        <f>IFERROR(__xludf.DUMMYFUNCTION("IFERROR(IF(OR(ISBLANK($G601), IFERROR(INDEX(GOOGLEFINANCE($C601, ""price"", WORKDAY(INT($B601), 20)), 2, 2), """")=""""), """", IF($D601=""LONG"", (IFERROR(INDEX(GOOGLEFINANCE($C601, ""price"", WORKDAY(INT($B601), 20)), 2, 2), """")-$G601)/$G601, ($G601-I"&amp;"FERROR(INDEX(GOOGLEFINANCE($C601, ""price"", WORKDAY(INT($B601), 20)), 2, 2), """"))/$G601)), """")"),"")</f>
        <v/>
      </c>
      <c r="Q601" s="44"/>
      <c r="R601" s="44"/>
      <c r="S601" s="44"/>
      <c r="T601" s="44"/>
      <c r="U601" s="44"/>
      <c r="V601" s="44"/>
      <c r="W601" s="44"/>
      <c r="X601" s="44"/>
      <c r="Y601" s="44"/>
      <c r="Z601" s="44"/>
    </row>
    <row r="602">
      <c r="A602" s="44"/>
      <c r="B602" s="45"/>
      <c r="C602" s="44"/>
      <c r="D602" s="44"/>
      <c r="E602" s="44"/>
      <c r="F602" s="44"/>
      <c r="G602" s="46"/>
      <c r="H602" s="44"/>
      <c r="I602" s="44"/>
      <c r="J602" s="44"/>
      <c r="K602" s="44"/>
      <c r="L602" s="46" t="str">
        <f>IFERROR(__xludf.DUMMYFUNCTION("IFERROR(IF(ISBLANK($C602), """", GOOGLEFINANCE($C602, ""price"")), """")"),"")</f>
        <v/>
      </c>
      <c r="M602" s="47" t="str">
        <f t="shared" si="3"/>
        <v/>
      </c>
      <c r="N602" s="47" t="str">
        <f>IFERROR(__xludf.DUMMYFUNCTION("IFERROR(IF(OR(ISBLANK($G602), IFERROR(INDEX(GOOGLEFINANCE($C602, ""price"", WORKDAY(INT($B602), 1)), 2, 2), """")=""""), """", IF($D602=""LONG"", (IFERROR(INDEX(GOOGLEFINANCE($C602, ""price"", WORKDAY(INT($B602), 1)), 2, 2), """")-$G602)/$G602, ($G602-IFE"&amp;"RROR(INDEX(GOOGLEFINANCE($C602, ""price"", WORKDAY(INT($B602), 1)), 2, 2), """"))/$G602)), """")"),"")</f>
        <v/>
      </c>
      <c r="O602" s="47" t="str">
        <f>IFERROR(__xludf.DUMMYFUNCTION("IFERROR(IF(OR(ISBLANK($G602), IFERROR(INDEX(GOOGLEFINANCE($C602, ""price"", WORKDAY(INT($B602), 5)), 2, 2), """")=""""), """", IF($D602=""LONG"", (IFERROR(INDEX(GOOGLEFINANCE($C602, ""price"", WORKDAY(INT($B602), 5)), 2, 2), """")-$G602)/$G602, ($G602-IFE"&amp;"RROR(INDEX(GOOGLEFINANCE($C602, ""price"", WORKDAY(INT($B602), 5)), 2, 2), """"))/$G602)), """")"),"")</f>
        <v/>
      </c>
      <c r="P602" s="47" t="str">
        <f>IFERROR(__xludf.DUMMYFUNCTION("IFERROR(IF(OR(ISBLANK($G602), IFERROR(INDEX(GOOGLEFINANCE($C602, ""price"", WORKDAY(INT($B602), 20)), 2, 2), """")=""""), """", IF($D602=""LONG"", (IFERROR(INDEX(GOOGLEFINANCE($C602, ""price"", WORKDAY(INT($B602), 20)), 2, 2), """")-$G602)/$G602, ($G602-I"&amp;"FERROR(INDEX(GOOGLEFINANCE($C602, ""price"", WORKDAY(INT($B602), 20)), 2, 2), """"))/$G602)), """")"),"")</f>
        <v/>
      </c>
      <c r="Q602" s="44"/>
      <c r="R602" s="44"/>
      <c r="S602" s="44"/>
      <c r="T602" s="44"/>
      <c r="U602" s="44"/>
      <c r="V602" s="44"/>
      <c r="W602" s="44"/>
      <c r="X602" s="44"/>
      <c r="Y602" s="44"/>
      <c r="Z602" s="44"/>
    </row>
    <row r="603">
      <c r="A603" s="44"/>
      <c r="B603" s="45"/>
      <c r="C603" s="44"/>
      <c r="D603" s="44"/>
      <c r="E603" s="44"/>
      <c r="F603" s="44"/>
      <c r="G603" s="46"/>
      <c r="H603" s="44"/>
      <c r="I603" s="44"/>
      <c r="J603" s="44"/>
      <c r="K603" s="44"/>
      <c r="L603" s="46" t="str">
        <f>IFERROR(__xludf.DUMMYFUNCTION("IFERROR(IF(ISBLANK($C603), """", GOOGLEFINANCE($C603, ""price"")), """")"),"")</f>
        <v/>
      </c>
      <c r="M603" s="47" t="str">
        <f t="shared" si="3"/>
        <v/>
      </c>
      <c r="N603" s="47" t="str">
        <f>IFERROR(__xludf.DUMMYFUNCTION("IFERROR(IF(OR(ISBLANK($G603), IFERROR(INDEX(GOOGLEFINANCE($C603, ""price"", WORKDAY(INT($B603), 1)), 2, 2), """")=""""), """", IF($D603=""LONG"", (IFERROR(INDEX(GOOGLEFINANCE($C603, ""price"", WORKDAY(INT($B603), 1)), 2, 2), """")-$G603)/$G603, ($G603-IFE"&amp;"RROR(INDEX(GOOGLEFINANCE($C603, ""price"", WORKDAY(INT($B603), 1)), 2, 2), """"))/$G603)), """")"),"")</f>
        <v/>
      </c>
      <c r="O603" s="47" t="str">
        <f>IFERROR(__xludf.DUMMYFUNCTION("IFERROR(IF(OR(ISBLANK($G603), IFERROR(INDEX(GOOGLEFINANCE($C603, ""price"", WORKDAY(INT($B603), 5)), 2, 2), """")=""""), """", IF($D603=""LONG"", (IFERROR(INDEX(GOOGLEFINANCE($C603, ""price"", WORKDAY(INT($B603), 5)), 2, 2), """")-$G603)/$G603, ($G603-IFE"&amp;"RROR(INDEX(GOOGLEFINANCE($C603, ""price"", WORKDAY(INT($B603), 5)), 2, 2), """"))/$G603)), """")"),"")</f>
        <v/>
      </c>
      <c r="P603" s="47" t="str">
        <f>IFERROR(__xludf.DUMMYFUNCTION("IFERROR(IF(OR(ISBLANK($G603), IFERROR(INDEX(GOOGLEFINANCE($C603, ""price"", WORKDAY(INT($B603), 20)), 2, 2), """")=""""), """", IF($D603=""LONG"", (IFERROR(INDEX(GOOGLEFINANCE($C603, ""price"", WORKDAY(INT($B603), 20)), 2, 2), """")-$G603)/$G603, ($G603-I"&amp;"FERROR(INDEX(GOOGLEFINANCE($C603, ""price"", WORKDAY(INT($B603), 20)), 2, 2), """"))/$G603)), """")"),"")</f>
        <v/>
      </c>
      <c r="Q603" s="44"/>
      <c r="R603" s="44"/>
      <c r="S603" s="44"/>
      <c r="T603" s="44"/>
      <c r="U603" s="44"/>
      <c r="V603" s="44"/>
      <c r="W603" s="44"/>
      <c r="X603" s="44"/>
      <c r="Y603" s="44"/>
      <c r="Z603" s="44"/>
    </row>
    <row r="604">
      <c r="A604" s="44"/>
      <c r="B604" s="45"/>
      <c r="C604" s="44"/>
      <c r="D604" s="44"/>
      <c r="E604" s="44"/>
      <c r="F604" s="44"/>
      <c r="G604" s="46"/>
      <c r="H604" s="44"/>
      <c r="I604" s="44"/>
      <c r="J604" s="44"/>
      <c r="K604" s="44"/>
      <c r="L604" s="46" t="str">
        <f>IFERROR(__xludf.DUMMYFUNCTION("IFERROR(IF(ISBLANK($C604), """", GOOGLEFINANCE($C604, ""price"")), """")"),"")</f>
        <v/>
      </c>
      <c r="M604" s="47" t="str">
        <f t="shared" si="3"/>
        <v/>
      </c>
      <c r="N604" s="47" t="str">
        <f>IFERROR(__xludf.DUMMYFUNCTION("IFERROR(IF(OR(ISBLANK($G604), IFERROR(INDEX(GOOGLEFINANCE($C604, ""price"", WORKDAY(INT($B604), 1)), 2, 2), """")=""""), """", IF($D604=""LONG"", (IFERROR(INDEX(GOOGLEFINANCE($C604, ""price"", WORKDAY(INT($B604), 1)), 2, 2), """")-$G604)/$G604, ($G604-IFE"&amp;"RROR(INDEX(GOOGLEFINANCE($C604, ""price"", WORKDAY(INT($B604), 1)), 2, 2), """"))/$G604)), """")"),"")</f>
        <v/>
      </c>
      <c r="O604" s="47" t="str">
        <f>IFERROR(__xludf.DUMMYFUNCTION("IFERROR(IF(OR(ISBLANK($G604), IFERROR(INDEX(GOOGLEFINANCE($C604, ""price"", WORKDAY(INT($B604), 5)), 2, 2), """")=""""), """", IF($D604=""LONG"", (IFERROR(INDEX(GOOGLEFINANCE($C604, ""price"", WORKDAY(INT($B604), 5)), 2, 2), """")-$G604)/$G604, ($G604-IFE"&amp;"RROR(INDEX(GOOGLEFINANCE($C604, ""price"", WORKDAY(INT($B604), 5)), 2, 2), """"))/$G604)), """")"),"")</f>
        <v/>
      </c>
      <c r="P604" s="47" t="str">
        <f>IFERROR(__xludf.DUMMYFUNCTION("IFERROR(IF(OR(ISBLANK($G604), IFERROR(INDEX(GOOGLEFINANCE($C604, ""price"", WORKDAY(INT($B604), 20)), 2, 2), """")=""""), """", IF($D604=""LONG"", (IFERROR(INDEX(GOOGLEFINANCE($C604, ""price"", WORKDAY(INT($B604), 20)), 2, 2), """")-$G604)/$G604, ($G604-I"&amp;"FERROR(INDEX(GOOGLEFINANCE($C604, ""price"", WORKDAY(INT($B604), 20)), 2, 2), """"))/$G604)), """")"),"")</f>
        <v/>
      </c>
      <c r="Q604" s="44"/>
      <c r="R604" s="44"/>
      <c r="S604" s="44"/>
      <c r="T604" s="44"/>
      <c r="U604" s="44"/>
      <c r="V604" s="44"/>
      <c r="W604" s="44"/>
      <c r="X604" s="44"/>
      <c r="Y604" s="44"/>
      <c r="Z604" s="44"/>
    </row>
    <row r="605">
      <c r="A605" s="44"/>
      <c r="B605" s="45"/>
      <c r="C605" s="44"/>
      <c r="D605" s="44"/>
      <c r="E605" s="44"/>
      <c r="F605" s="44"/>
      <c r="G605" s="46"/>
      <c r="H605" s="44"/>
      <c r="I605" s="44"/>
      <c r="J605" s="44"/>
      <c r="K605" s="44"/>
      <c r="L605" s="46" t="str">
        <f>IFERROR(__xludf.DUMMYFUNCTION("IFERROR(IF(ISBLANK($C605), """", GOOGLEFINANCE($C605, ""price"")), """")"),"")</f>
        <v/>
      </c>
      <c r="M605" s="47" t="str">
        <f t="shared" si="3"/>
        <v/>
      </c>
      <c r="N605" s="47" t="str">
        <f>IFERROR(__xludf.DUMMYFUNCTION("IFERROR(IF(OR(ISBLANK($G605), IFERROR(INDEX(GOOGLEFINANCE($C605, ""price"", WORKDAY(INT($B605), 1)), 2, 2), """")=""""), """", IF($D605=""LONG"", (IFERROR(INDEX(GOOGLEFINANCE($C605, ""price"", WORKDAY(INT($B605), 1)), 2, 2), """")-$G605)/$G605, ($G605-IFE"&amp;"RROR(INDEX(GOOGLEFINANCE($C605, ""price"", WORKDAY(INT($B605), 1)), 2, 2), """"))/$G605)), """")"),"")</f>
        <v/>
      </c>
      <c r="O605" s="47" t="str">
        <f>IFERROR(__xludf.DUMMYFUNCTION("IFERROR(IF(OR(ISBLANK($G605), IFERROR(INDEX(GOOGLEFINANCE($C605, ""price"", WORKDAY(INT($B605), 5)), 2, 2), """")=""""), """", IF($D605=""LONG"", (IFERROR(INDEX(GOOGLEFINANCE($C605, ""price"", WORKDAY(INT($B605), 5)), 2, 2), """")-$G605)/$G605, ($G605-IFE"&amp;"RROR(INDEX(GOOGLEFINANCE($C605, ""price"", WORKDAY(INT($B605), 5)), 2, 2), """"))/$G605)), """")"),"")</f>
        <v/>
      </c>
      <c r="P605" s="47" t="str">
        <f>IFERROR(__xludf.DUMMYFUNCTION("IFERROR(IF(OR(ISBLANK($G605), IFERROR(INDEX(GOOGLEFINANCE($C605, ""price"", WORKDAY(INT($B605), 20)), 2, 2), """")=""""), """", IF($D605=""LONG"", (IFERROR(INDEX(GOOGLEFINANCE($C605, ""price"", WORKDAY(INT($B605), 20)), 2, 2), """")-$G605)/$G605, ($G605-I"&amp;"FERROR(INDEX(GOOGLEFINANCE($C605, ""price"", WORKDAY(INT($B605), 20)), 2, 2), """"))/$G605)), """")"),"")</f>
        <v/>
      </c>
      <c r="Q605" s="44"/>
      <c r="R605" s="44"/>
      <c r="S605" s="44"/>
      <c r="T605" s="44"/>
      <c r="U605" s="44"/>
      <c r="V605" s="44"/>
      <c r="W605" s="44"/>
      <c r="X605" s="44"/>
      <c r="Y605" s="44"/>
      <c r="Z605" s="44"/>
    </row>
    <row r="606">
      <c r="A606" s="44"/>
      <c r="B606" s="45"/>
      <c r="C606" s="44"/>
      <c r="D606" s="44"/>
      <c r="E606" s="44"/>
      <c r="F606" s="44"/>
      <c r="G606" s="46"/>
      <c r="H606" s="44"/>
      <c r="I606" s="44"/>
      <c r="J606" s="44"/>
      <c r="K606" s="44"/>
      <c r="L606" s="46" t="str">
        <f>IFERROR(__xludf.DUMMYFUNCTION("IFERROR(IF(ISBLANK($C606), """", GOOGLEFINANCE($C606, ""price"")), """")"),"")</f>
        <v/>
      </c>
      <c r="M606" s="47" t="str">
        <f t="shared" si="3"/>
        <v/>
      </c>
      <c r="N606" s="47" t="str">
        <f>IFERROR(__xludf.DUMMYFUNCTION("IFERROR(IF(OR(ISBLANK($G606), IFERROR(INDEX(GOOGLEFINANCE($C606, ""price"", WORKDAY(INT($B606), 1)), 2, 2), """")=""""), """", IF($D606=""LONG"", (IFERROR(INDEX(GOOGLEFINANCE($C606, ""price"", WORKDAY(INT($B606), 1)), 2, 2), """")-$G606)/$G606, ($G606-IFE"&amp;"RROR(INDEX(GOOGLEFINANCE($C606, ""price"", WORKDAY(INT($B606), 1)), 2, 2), """"))/$G606)), """")"),"")</f>
        <v/>
      </c>
      <c r="O606" s="47" t="str">
        <f>IFERROR(__xludf.DUMMYFUNCTION("IFERROR(IF(OR(ISBLANK($G606), IFERROR(INDEX(GOOGLEFINANCE($C606, ""price"", WORKDAY(INT($B606), 5)), 2, 2), """")=""""), """", IF($D606=""LONG"", (IFERROR(INDEX(GOOGLEFINANCE($C606, ""price"", WORKDAY(INT($B606), 5)), 2, 2), """")-$G606)/$G606, ($G606-IFE"&amp;"RROR(INDEX(GOOGLEFINANCE($C606, ""price"", WORKDAY(INT($B606), 5)), 2, 2), """"))/$G606)), """")"),"")</f>
        <v/>
      </c>
      <c r="P606" s="47" t="str">
        <f>IFERROR(__xludf.DUMMYFUNCTION("IFERROR(IF(OR(ISBLANK($G606), IFERROR(INDEX(GOOGLEFINANCE($C606, ""price"", WORKDAY(INT($B606), 20)), 2, 2), """")=""""), """", IF($D606=""LONG"", (IFERROR(INDEX(GOOGLEFINANCE($C606, ""price"", WORKDAY(INT($B606), 20)), 2, 2), """")-$G606)/$G606, ($G606-I"&amp;"FERROR(INDEX(GOOGLEFINANCE($C606, ""price"", WORKDAY(INT($B606), 20)), 2, 2), """"))/$G606)), """")"),"")</f>
        <v/>
      </c>
      <c r="Q606" s="44"/>
      <c r="R606" s="44"/>
      <c r="S606" s="44"/>
      <c r="T606" s="44"/>
      <c r="U606" s="44"/>
      <c r="V606" s="44"/>
      <c r="W606" s="44"/>
      <c r="X606" s="44"/>
      <c r="Y606" s="44"/>
      <c r="Z606" s="44"/>
    </row>
    <row r="607">
      <c r="A607" s="44"/>
      <c r="B607" s="45"/>
      <c r="C607" s="44"/>
      <c r="D607" s="44"/>
      <c r="E607" s="44"/>
      <c r="F607" s="44"/>
      <c r="G607" s="46"/>
      <c r="H607" s="44"/>
      <c r="I607" s="44"/>
      <c r="J607" s="44"/>
      <c r="K607" s="44"/>
      <c r="L607" s="46" t="str">
        <f>IFERROR(__xludf.DUMMYFUNCTION("IFERROR(IF(ISBLANK($C607), """", GOOGLEFINANCE($C607, ""price"")), """")"),"")</f>
        <v/>
      </c>
      <c r="M607" s="47" t="str">
        <f t="shared" si="3"/>
        <v/>
      </c>
      <c r="N607" s="47" t="str">
        <f>IFERROR(__xludf.DUMMYFUNCTION("IFERROR(IF(OR(ISBLANK($G607), IFERROR(INDEX(GOOGLEFINANCE($C607, ""price"", WORKDAY(INT($B607), 1)), 2, 2), """")=""""), """", IF($D607=""LONG"", (IFERROR(INDEX(GOOGLEFINANCE($C607, ""price"", WORKDAY(INT($B607), 1)), 2, 2), """")-$G607)/$G607, ($G607-IFE"&amp;"RROR(INDEX(GOOGLEFINANCE($C607, ""price"", WORKDAY(INT($B607), 1)), 2, 2), """"))/$G607)), """")"),"")</f>
        <v/>
      </c>
      <c r="O607" s="47" t="str">
        <f>IFERROR(__xludf.DUMMYFUNCTION("IFERROR(IF(OR(ISBLANK($G607), IFERROR(INDEX(GOOGLEFINANCE($C607, ""price"", WORKDAY(INT($B607), 5)), 2, 2), """")=""""), """", IF($D607=""LONG"", (IFERROR(INDEX(GOOGLEFINANCE($C607, ""price"", WORKDAY(INT($B607), 5)), 2, 2), """")-$G607)/$G607, ($G607-IFE"&amp;"RROR(INDEX(GOOGLEFINANCE($C607, ""price"", WORKDAY(INT($B607), 5)), 2, 2), """"))/$G607)), """")"),"")</f>
        <v/>
      </c>
      <c r="P607" s="47" t="str">
        <f>IFERROR(__xludf.DUMMYFUNCTION("IFERROR(IF(OR(ISBLANK($G607), IFERROR(INDEX(GOOGLEFINANCE($C607, ""price"", WORKDAY(INT($B607), 20)), 2, 2), """")=""""), """", IF($D607=""LONG"", (IFERROR(INDEX(GOOGLEFINANCE($C607, ""price"", WORKDAY(INT($B607), 20)), 2, 2), """")-$G607)/$G607, ($G607-I"&amp;"FERROR(INDEX(GOOGLEFINANCE($C607, ""price"", WORKDAY(INT($B607), 20)), 2, 2), """"))/$G607)), """")"),"")</f>
        <v/>
      </c>
      <c r="Q607" s="44"/>
      <c r="R607" s="44"/>
      <c r="S607" s="44"/>
      <c r="T607" s="44"/>
      <c r="U607" s="44"/>
      <c r="V607" s="44"/>
      <c r="W607" s="44"/>
      <c r="X607" s="44"/>
      <c r="Y607" s="44"/>
      <c r="Z607" s="44"/>
    </row>
    <row r="608">
      <c r="A608" s="44"/>
      <c r="B608" s="45"/>
      <c r="C608" s="44"/>
      <c r="D608" s="44"/>
      <c r="E608" s="44"/>
      <c r="F608" s="44"/>
      <c r="G608" s="46"/>
      <c r="H608" s="44"/>
      <c r="I608" s="44"/>
      <c r="J608" s="44"/>
      <c r="K608" s="44"/>
      <c r="L608" s="46" t="str">
        <f>IFERROR(__xludf.DUMMYFUNCTION("IFERROR(IF(ISBLANK($C608), """", GOOGLEFINANCE($C608, ""price"")), """")"),"")</f>
        <v/>
      </c>
      <c r="M608" s="47" t="str">
        <f t="shared" si="3"/>
        <v/>
      </c>
      <c r="N608" s="47" t="str">
        <f>IFERROR(__xludf.DUMMYFUNCTION("IFERROR(IF(OR(ISBLANK($G608), IFERROR(INDEX(GOOGLEFINANCE($C608, ""price"", WORKDAY(INT($B608), 1)), 2, 2), """")=""""), """", IF($D608=""LONG"", (IFERROR(INDEX(GOOGLEFINANCE($C608, ""price"", WORKDAY(INT($B608), 1)), 2, 2), """")-$G608)/$G608, ($G608-IFE"&amp;"RROR(INDEX(GOOGLEFINANCE($C608, ""price"", WORKDAY(INT($B608), 1)), 2, 2), """"))/$G608)), """")"),"")</f>
        <v/>
      </c>
      <c r="O608" s="47" t="str">
        <f>IFERROR(__xludf.DUMMYFUNCTION("IFERROR(IF(OR(ISBLANK($G608), IFERROR(INDEX(GOOGLEFINANCE($C608, ""price"", WORKDAY(INT($B608), 5)), 2, 2), """")=""""), """", IF($D608=""LONG"", (IFERROR(INDEX(GOOGLEFINANCE($C608, ""price"", WORKDAY(INT($B608), 5)), 2, 2), """")-$G608)/$G608, ($G608-IFE"&amp;"RROR(INDEX(GOOGLEFINANCE($C608, ""price"", WORKDAY(INT($B608), 5)), 2, 2), """"))/$G608)), """")"),"")</f>
        <v/>
      </c>
      <c r="P608" s="47" t="str">
        <f>IFERROR(__xludf.DUMMYFUNCTION("IFERROR(IF(OR(ISBLANK($G608), IFERROR(INDEX(GOOGLEFINANCE($C608, ""price"", WORKDAY(INT($B608), 20)), 2, 2), """")=""""), """", IF($D608=""LONG"", (IFERROR(INDEX(GOOGLEFINANCE($C608, ""price"", WORKDAY(INT($B608), 20)), 2, 2), """")-$G608)/$G608, ($G608-I"&amp;"FERROR(INDEX(GOOGLEFINANCE($C608, ""price"", WORKDAY(INT($B608), 20)), 2, 2), """"))/$G608)), """")"),"")</f>
        <v/>
      </c>
      <c r="Q608" s="44"/>
      <c r="R608" s="44"/>
      <c r="S608" s="44"/>
      <c r="T608" s="44"/>
      <c r="U608" s="44"/>
      <c r="V608" s="44"/>
      <c r="W608" s="44"/>
      <c r="X608" s="44"/>
      <c r="Y608" s="44"/>
      <c r="Z608" s="44"/>
    </row>
    <row r="609">
      <c r="A609" s="44"/>
      <c r="B609" s="45"/>
      <c r="C609" s="44"/>
      <c r="D609" s="44"/>
      <c r="E609" s="44"/>
      <c r="F609" s="44"/>
      <c r="G609" s="46"/>
      <c r="H609" s="44"/>
      <c r="I609" s="44"/>
      <c r="J609" s="44"/>
      <c r="K609" s="44"/>
      <c r="L609" s="46" t="str">
        <f>IFERROR(__xludf.DUMMYFUNCTION("IFERROR(IF(ISBLANK($C609), """", GOOGLEFINANCE($C609, ""price"")), """")"),"")</f>
        <v/>
      </c>
      <c r="M609" s="47" t="str">
        <f t="shared" si="3"/>
        <v/>
      </c>
      <c r="N609" s="47" t="str">
        <f>IFERROR(__xludf.DUMMYFUNCTION("IFERROR(IF(OR(ISBLANK($G609), IFERROR(INDEX(GOOGLEFINANCE($C609, ""price"", WORKDAY(INT($B609), 1)), 2, 2), """")=""""), """", IF($D609=""LONG"", (IFERROR(INDEX(GOOGLEFINANCE($C609, ""price"", WORKDAY(INT($B609), 1)), 2, 2), """")-$G609)/$G609, ($G609-IFE"&amp;"RROR(INDEX(GOOGLEFINANCE($C609, ""price"", WORKDAY(INT($B609), 1)), 2, 2), """"))/$G609)), """")"),"")</f>
        <v/>
      </c>
      <c r="O609" s="47" t="str">
        <f>IFERROR(__xludf.DUMMYFUNCTION("IFERROR(IF(OR(ISBLANK($G609), IFERROR(INDEX(GOOGLEFINANCE($C609, ""price"", WORKDAY(INT($B609), 5)), 2, 2), """")=""""), """", IF($D609=""LONG"", (IFERROR(INDEX(GOOGLEFINANCE($C609, ""price"", WORKDAY(INT($B609), 5)), 2, 2), """")-$G609)/$G609, ($G609-IFE"&amp;"RROR(INDEX(GOOGLEFINANCE($C609, ""price"", WORKDAY(INT($B609), 5)), 2, 2), """"))/$G609)), """")"),"")</f>
        <v/>
      </c>
      <c r="P609" s="47" t="str">
        <f>IFERROR(__xludf.DUMMYFUNCTION("IFERROR(IF(OR(ISBLANK($G609), IFERROR(INDEX(GOOGLEFINANCE($C609, ""price"", WORKDAY(INT($B609), 20)), 2, 2), """")=""""), """", IF($D609=""LONG"", (IFERROR(INDEX(GOOGLEFINANCE($C609, ""price"", WORKDAY(INT($B609), 20)), 2, 2), """")-$G609)/$G609, ($G609-I"&amp;"FERROR(INDEX(GOOGLEFINANCE($C609, ""price"", WORKDAY(INT($B609), 20)), 2, 2), """"))/$G609)), """")"),"")</f>
        <v/>
      </c>
      <c r="Q609" s="44"/>
      <c r="R609" s="44"/>
      <c r="S609" s="44"/>
      <c r="T609" s="44"/>
      <c r="U609" s="44"/>
      <c r="V609" s="44"/>
      <c r="W609" s="44"/>
      <c r="X609" s="44"/>
      <c r="Y609" s="44"/>
      <c r="Z609" s="44"/>
    </row>
    <row r="610">
      <c r="A610" s="44"/>
      <c r="B610" s="45"/>
      <c r="C610" s="44"/>
      <c r="D610" s="44"/>
      <c r="E610" s="44"/>
      <c r="F610" s="44"/>
      <c r="G610" s="46"/>
      <c r="H610" s="44"/>
      <c r="I610" s="44"/>
      <c r="J610" s="44"/>
      <c r="K610" s="44"/>
      <c r="L610" s="46" t="str">
        <f>IFERROR(__xludf.DUMMYFUNCTION("IFERROR(IF(ISBLANK($C610), """", GOOGLEFINANCE($C610, ""price"")), """")"),"")</f>
        <v/>
      </c>
      <c r="M610" s="47" t="str">
        <f t="shared" si="3"/>
        <v/>
      </c>
      <c r="N610" s="47" t="str">
        <f>IFERROR(__xludf.DUMMYFUNCTION("IFERROR(IF(OR(ISBLANK($G610), IFERROR(INDEX(GOOGLEFINANCE($C610, ""price"", WORKDAY(INT($B610), 1)), 2, 2), """")=""""), """", IF($D610=""LONG"", (IFERROR(INDEX(GOOGLEFINANCE($C610, ""price"", WORKDAY(INT($B610), 1)), 2, 2), """")-$G610)/$G610, ($G610-IFE"&amp;"RROR(INDEX(GOOGLEFINANCE($C610, ""price"", WORKDAY(INT($B610), 1)), 2, 2), """"))/$G610)), """")"),"")</f>
        <v/>
      </c>
      <c r="O610" s="47" t="str">
        <f>IFERROR(__xludf.DUMMYFUNCTION("IFERROR(IF(OR(ISBLANK($G610), IFERROR(INDEX(GOOGLEFINANCE($C610, ""price"", WORKDAY(INT($B610), 5)), 2, 2), """")=""""), """", IF($D610=""LONG"", (IFERROR(INDEX(GOOGLEFINANCE($C610, ""price"", WORKDAY(INT($B610), 5)), 2, 2), """")-$G610)/$G610, ($G610-IFE"&amp;"RROR(INDEX(GOOGLEFINANCE($C610, ""price"", WORKDAY(INT($B610), 5)), 2, 2), """"))/$G610)), """")"),"")</f>
        <v/>
      </c>
      <c r="P610" s="47" t="str">
        <f>IFERROR(__xludf.DUMMYFUNCTION("IFERROR(IF(OR(ISBLANK($G610), IFERROR(INDEX(GOOGLEFINANCE($C610, ""price"", WORKDAY(INT($B610), 20)), 2, 2), """")=""""), """", IF($D610=""LONG"", (IFERROR(INDEX(GOOGLEFINANCE($C610, ""price"", WORKDAY(INT($B610), 20)), 2, 2), """")-$G610)/$G610, ($G610-I"&amp;"FERROR(INDEX(GOOGLEFINANCE($C610, ""price"", WORKDAY(INT($B610), 20)), 2, 2), """"))/$G610)), """")"),"")</f>
        <v/>
      </c>
      <c r="Q610" s="44"/>
      <c r="R610" s="44"/>
      <c r="S610" s="44"/>
      <c r="T610" s="44"/>
      <c r="U610" s="44"/>
      <c r="V610" s="44"/>
      <c r="W610" s="44"/>
      <c r="X610" s="44"/>
      <c r="Y610" s="44"/>
      <c r="Z610" s="44"/>
    </row>
    <row r="611">
      <c r="A611" s="44"/>
      <c r="B611" s="45"/>
      <c r="C611" s="44"/>
      <c r="D611" s="44"/>
      <c r="E611" s="44"/>
      <c r="F611" s="44"/>
      <c r="G611" s="46"/>
      <c r="H611" s="44"/>
      <c r="I611" s="44"/>
      <c r="J611" s="44"/>
      <c r="K611" s="44"/>
      <c r="L611" s="46" t="str">
        <f>IFERROR(__xludf.DUMMYFUNCTION("IFERROR(IF(ISBLANK($C611), """", GOOGLEFINANCE($C611, ""price"")), """")"),"")</f>
        <v/>
      </c>
      <c r="M611" s="47" t="str">
        <f t="shared" si="3"/>
        <v/>
      </c>
      <c r="N611" s="47" t="str">
        <f>IFERROR(__xludf.DUMMYFUNCTION("IFERROR(IF(OR(ISBLANK($G611), IFERROR(INDEX(GOOGLEFINANCE($C611, ""price"", WORKDAY(INT($B611), 1)), 2, 2), """")=""""), """", IF($D611=""LONG"", (IFERROR(INDEX(GOOGLEFINANCE($C611, ""price"", WORKDAY(INT($B611), 1)), 2, 2), """")-$G611)/$G611, ($G611-IFE"&amp;"RROR(INDEX(GOOGLEFINANCE($C611, ""price"", WORKDAY(INT($B611), 1)), 2, 2), """"))/$G611)), """")"),"")</f>
        <v/>
      </c>
      <c r="O611" s="47" t="str">
        <f>IFERROR(__xludf.DUMMYFUNCTION("IFERROR(IF(OR(ISBLANK($G611), IFERROR(INDEX(GOOGLEFINANCE($C611, ""price"", WORKDAY(INT($B611), 5)), 2, 2), """")=""""), """", IF($D611=""LONG"", (IFERROR(INDEX(GOOGLEFINANCE($C611, ""price"", WORKDAY(INT($B611), 5)), 2, 2), """")-$G611)/$G611, ($G611-IFE"&amp;"RROR(INDEX(GOOGLEFINANCE($C611, ""price"", WORKDAY(INT($B611), 5)), 2, 2), """"))/$G611)), """")"),"")</f>
        <v/>
      </c>
      <c r="P611" s="47" t="str">
        <f>IFERROR(__xludf.DUMMYFUNCTION("IFERROR(IF(OR(ISBLANK($G611), IFERROR(INDEX(GOOGLEFINANCE($C611, ""price"", WORKDAY(INT($B611), 20)), 2, 2), """")=""""), """", IF($D611=""LONG"", (IFERROR(INDEX(GOOGLEFINANCE($C611, ""price"", WORKDAY(INT($B611), 20)), 2, 2), """")-$G611)/$G611, ($G611-I"&amp;"FERROR(INDEX(GOOGLEFINANCE($C611, ""price"", WORKDAY(INT($B611), 20)), 2, 2), """"))/$G611)), """")"),"")</f>
        <v/>
      </c>
      <c r="Q611" s="44"/>
      <c r="R611" s="44"/>
      <c r="S611" s="44"/>
      <c r="T611" s="44"/>
      <c r="U611" s="44"/>
      <c r="V611" s="44"/>
      <c r="W611" s="44"/>
      <c r="X611" s="44"/>
      <c r="Y611" s="44"/>
      <c r="Z611" s="44"/>
    </row>
    <row r="612">
      <c r="A612" s="44"/>
      <c r="B612" s="45"/>
      <c r="C612" s="44"/>
      <c r="D612" s="44"/>
      <c r="E612" s="44"/>
      <c r="F612" s="44"/>
      <c r="G612" s="46"/>
      <c r="H612" s="44"/>
      <c r="I612" s="44"/>
      <c r="J612" s="44"/>
      <c r="K612" s="44"/>
      <c r="L612" s="46" t="str">
        <f>IFERROR(__xludf.DUMMYFUNCTION("IFERROR(IF(ISBLANK($C612), """", GOOGLEFINANCE($C612, ""price"")), """")"),"")</f>
        <v/>
      </c>
      <c r="M612" s="47" t="str">
        <f t="shared" si="3"/>
        <v/>
      </c>
      <c r="N612" s="47" t="str">
        <f>IFERROR(__xludf.DUMMYFUNCTION("IFERROR(IF(OR(ISBLANK($G612), IFERROR(INDEX(GOOGLEFINANCE($C612, ""price"", WORKDAY(INT($B612), 1)), 2, 2), """")=""""), """", IF($D612=""LONG"", (IFERROR(INDEX(GOOGLEFINANCE($C612, ""price"", WORKDAY(INT($B612), 1)), 2, 2), """")-$G612)/$G612, ($G612-IFE"&amp;"RROR(INDEX(GOOGLEFINANCE($C612, ""price"", WORKDAY(INT($B612), 1)), 2, 2), """"))/$G612)), """")"),"")</f>
        <v/>
      </c>
      <c r="O612" s="47" t="str">
        <f>IFERROR(__xludf.DUMMYFUNCTION("IFERROR(IF(OR(ISBLANK($G612), IFERROR(INDEX(GOOGLEFINANCE($C612, ""price"", WORKDAY(INT($B612), 5)), 2, 2), """")=""""), """", IF($D612=""LONG"", (IFERROR(INDEX(GOOGLEFINANCE($C612, ""price"", WORKDAY(INT($B612), 5)), 2, 2), """")-$G612)/$G612, ($G612-IFE"&amp;"RROR(INDEX(GOOGLEFINANCE($C612, ""price"", WORKDAY(INT($B612), 5)), 2, 2), """"))/$G612)), """")"),"")</f>
        <v/>
      </c>
      <c r="P612" s="47" t="str">
        <f>IFERROR(__xludf.DUMMYFUNCTION("IFERROR(IF(OR(ISBLANK($G612), IFERROR(INDEX(GOOGLEFINANCE($C612, ""price"", WORKDAY(INT($B612), 20)), 2, 2), """")=""""), """", IF($D612=""LONG"", (IFERROR(INDEX(GOOGLEFINANCE($C612, ""price"", WORKDAY(INT($B612), 20)), 2, 2), """")-$G612)/$G612, ($G612-I"&amp;"FERROR(INDEX(GOOGLEFINANCE($C612, ""price"", WORKDAY(INT($B612), 20)), 2, 2), """"))/$G612)), """")"),"")</f>
        <v/>
      </c>
      <c r="Q612" s="44"/>
      <c r="R612" s="44"/>
      <c r="S612" s="44"/>
      <c r="T612" s="44"/>
      <c r="U612" s="44"/>
      <c r="V612" s="44"/>
      <c r="W612" s="44"/>
      <c r="X612" s="44"/>
      <c r="Y612" s="44"/>
      <c r="Z612" s="44"/>
    </row>
    <row r="613">
      <c r="A613" s="44"/>
      <c r="B613" s="45"/>
      <c r="C613" s="44"/>
      <c r="D613" s="44"/>
      <c r="E613" s="44"/>
      <c r="F613" s="44"/>
      <c r="G613" s="46"/>
      <c r="H613" s="44"/>
      <c r="I613" s="44"/>
      <c r="J613" s="44"/>
      <c r="K613" s="44"/>
      <c r="L613" s="46" t="str">
        <f>IFERROR(__xludf.DUMMYFUNCTION("IFERROR(IF(ISBLANK($C613), """", GOOGLEFINANCE($C613, ""price"")), """")"),"")</f>
        <v/>
      </c>
      <c r="M613" s="47" t="str">
        <f t="shared" si="3"/>
        <v/>
      </c>
      <c r="N613" s="47" t="str">
        <f>IFERROR(__xludf.DUMMYFUNCTION("IFERROR(IF(OR(ISBLANK($G613), IFERROR(INDEX(GOOGLEFINANCE($C613, ""price"", WORKDAY(INT($B613), 1)), 2, 2), """")=""""), """", IF($D613=""LONG"", (IFERROR(INDEX(GOOGLEFINANCE($C613, ""price"", WORKDAY(INT($B613), 1)), 2, 2), """")-$G613)/$G613, ($G613-IFE"&amp;"RROR(INDEX(GOOGLEFINANCE($C613, ""price"", WORKDAY(INT($B613), 1)), 2, 2), """"))/$G613)), """")"),"")</f>
        <v/>
      </c>
      <c r="O613" s="47" t="str">
        <f>IFERROR(__xludf.DUMMYFUNCTION("IFERROR(IF(OR(ISBLANK($G613), IFERROR(INDEX(GOOGLEFINANCE($C613, ""price"", WORKDAY(INT($B613), 5)), 2, 2), """")=""""), """", IF($D613=""LONG"", (IFERROR(INDEX(GOOGLEFINANCE($C613, ""price"", WORKDAY(INT($B613), 5)), 2, 2), """")-$G613)/$G613, ($G613-IFE"&amp;"RROR(INDEX(GOOGLEFINANCE($C613, ""price"", WORKDAY(INT($B613), 5)), 2, 2), """"))/$G613)), """")"),"")</f>
        <v/>
      </c>
      <c r="P613" s="47" t="str">
        <f>IFERROR(__xludf.DUMMYFUNCTION("IFERROR(IF(OR(ISBLANK($G613), IFERROR(INDEX(GOOGLEFINANCE($C613, ""price"", WORKDAY(INT($B613), 20)), 2, 2), """")=""""), """", IF($D613=""LONG"", (IFERROR(INDEX(GOOGLEFINANCE($C613, ""price"", WORKDAY(INT($B613), 20)), 2, 2), """")-$G613)/$G613, ($G613-I"&amp;"FERROR(INDEX(GOOGLEFINANCE($C613, ""price"", WORKDAY(INT($B613), 20)), 2, 2), """"))/$G613)), """")"),"")</f>
        <v/>
      </c>
      <c r="Q613" s="44"/>
      <c r="R613" s="44"/>
      <c r="S613" s="44"/>
      <c r="T613" s="44"/>
      <c r="U613" s="44"/>
      <c r="V613" s="44"/>
      <c r="W613" s="44"/>
      <c r="X613" s="44"/>
      <c r="Y613" s="44"/>
      <c r="Z613" s="44"/>
    </row>
    <row r="614">
      <c r="A614" s="44"/>
      <c r="B614" s="45"/>
      <c r="C614" s="44"/>
      <c r="D614" s="44"/>
      <c r="E614" s="44"/>
      <c r="F614" s="44"/>
      <c r="G614" s="46"/>
      <c r="H614" s="44"/>
      <c r="I614" s="44"/>
      <c r="J614" s="44"/>
      <c r="K614" s="44"/>
      <c r="L614" s="46" t="str">
        <f>IFERROR(__xludf.DUMMYFUNCTION("IFERROR(IF(ISBLANK($C614), """", GOOGLEFINANCE($C614, ""price"")), """")"),"")</f>
        <v/>
      </c>
      <c r="M614" s="47" t="str">
        <f t="shared" si="3"/>
        <v/>
      </c>
      <c r="N614" s="47" t="str">
        <f>IFERROR(__xludf.DUMMYFUNCTION("IFERROR(IF(OR(ISBLANK($G614), IFERROR(INDEX(GOOGLEFINANCE($C614, ""price"", WORKDAY(INT($B614), 1)), 2, 2), """")=""""), """", IF($D614=""LONG"", (IFERROR(INDEX(GOOGLEFINANCE($C614, ""price"", WORKDAY(INT($B614), 1)), 2, 2), """")-$G614)/$G614, ($G614-IFE"&amp;"RROR(INDEX(GOOGLEFINANCE($C614, ""price"", WORKDAY(INT($B614), 1)), 2, 2), """"))/$G614)), """")"),"")</f>
        <v/>
      </c>
      <c r="O614" s="47" t="str">
        <f>IFERROR(__xludf.DUMMYFUNCTION("IFERROR(IF(OR(ISBLANK($G614), IFERROR(INDEX(GOOGLEFINANCE($C614, ""price"", WORKDAY(INT($B614), 5)), 2, 2), """")=""""), """", IF($D614=""LONG"", (IFERROR(INDEX(GOOGLEFINANCE($C614, ""price"", WORKDAY(INT($B614), 5)), 2, 2), """")-$G614)/$G614, ($G614-IFE"&amp;"RROR(INDEX(GOOGLEFINANCE($C614, ""price"", WORKDAY(INT($B614), 5)), 2, 2), """"))/$G614)), """")"),"")</f>
        <v/>
      </c>
      <c r="P614" s="47" t="str">
        <f>IFERROR(__xludf.DUMMYFUNCTION("IFERROR(IF(OR(ISBLANK($G614), IFERROR(INDEX(GOOGLEFINANCE($C614, ""price"", WORKDAY(INT($B614), 20)), 2, 2), """")=""""), """", IF($D614=""LONG"", (IFERROR(INDEX(GOOGLEFINANCE($C614, ""price"", WORKDAY(INT($B614), 20)), 2, 2), """")-$G614)/$G614, ($G614-I"&amp;"FERROR(INDEX(GOOGLEFINANCE($C614, ""price"", WORKDAY(INT($B614), 20)), 2, 2), """"))/$G614)), """")"),"")</f>
        <v/>
      </c>
      <c r="Q614" s="44"/>
      <c r="R614" s="44"/>
      <c r="S614" s="44"/>
      <c r="T614" s="44"/>
      <c r="U614" s="44"/>
      <c r="V614" s="44"/>
      <c r="W614" s="44"/>
      <c r="X614" s="44"/>
      <c r="Y614" s="44"/>
      <c r="Z614" s="44"/>
    </row>
    <row r="615">
      <c r="A615" s="44"/>
      <c r="B615" s="45"/>
      <c r="C615" s="44"/>
      <c r="D615" s="44"/>
      <c r="E615" s="44"/>
      <c r="F615" s="44"/>
      <c r="G615" s="46"/>
      <c r="H615" s="44"/>
      <c r="I615" s="44"/>
      <c r="J615" s="44"/>
      <c r="K615" s="44"/>
      <c r="L615" s="46" t="str">
        <f>IFERROR(__xludf.DUMMYFUNCTION("IFERROR(IF(ISBLANK($C615), """", GOOGLEFINANCE($C615, ""price"")), """")"),"")</f>
        <v/>
      </c>
      <c r="M615" s="47" t="str">
        <f t="shared" si="3"/>
        <v/>
      </c>
      <c r="N615" s="47" t="str">
        <f>IFERROR(__xludf.DUMMYFUNCTION("IFERROR(IF(OR(ISBLANK($G615), IFERROR(INDEX(GOOGLEFINANCE($C615, ""price"", WORKDAY(INT($B615), 1)), 2, 2), """")=""""), """", IF($D615=""LONG"", (IFERROR(INDEX(GOOGLEFINANCE($C615, ""price"", WORKDAY(INT($B615), 1)), 2, 2), """")-$G615)/$G615, ($G615-IFE"&amp;"RROR(INDEX(GOOGLEFINANCE($C615, ""price"", WORKDAY(INT($B615), 1)), 2, 2), """"))/$G615)), """")"),"")</f>
        <v/>
      </c>
      <c r="O615" s="47" t="str">
        <f>IFERROR(__xludf.DUMMYFUNCTION("IFERROR(IF(OR(ISBLANK($G615), IFERROR(INDEX(GOOGLEFINANCE($C615, ""price"", WORKDAY(INT($B615), 5)), 2, 2), """")=""""), """", IF($D615=""LONG"", (IFERROR(INDEX(GOOGLEFINANCE($C615, ""price"", WORKDAY(INT($B615), 5)), 2, 2), """")-$G615)/$G615, ($G615-IFE"&amp;"RROR(INDEX(GOOGLEFINANCE($C615, ""price"", WORKDAY(INT($B615), 5)), 2, 2), """"))/$G615)), """")"),"")</f>
        <v/>
      </c>
      <c r="P615" s="47" t="str">
        <f>IFERROR(__xludf.DUMMYFUNCTION("IFERROR(IF(OR(ISBLANK($G615), IFERROR(INDEX(GOOGLEFINANCE($C615, ""price"", WORKDAY(INT($B615), 20)), 2, 2), """")=""""), """", IF($D615=""LONG"", (IFERROR(INDEX(GOOGLEFINANCE($C615, ""price"", WORKDAY(INT($B615), 20)), 2, 2), """")-$G615)/$G615, ($G615-I"&amp;"FERROR(INDEX(GOOGLEFINANCE($C615, ""price"", WORKDAY(INT($B615), 20)), 2, 2), """"))/$G615)), """")"),"")</f>
        <v/>
      </c>
      <c r="Q615" s="44"/>
      <c r="R615" s="44"/>
      <c r="S615" s="44"/>
      <c r="T615" s="44"/>
      <c r="U615" s="44"/>
      <c r="V615" s="44"/>
      <c r="W615" s="44"/>
      <c r="X615" s="44"/>
      <c r="Y615" s="44"/>
      <c r="Z615" s="44"/>
    </row>
    <row r="616">
      <c r="A616" s="44"/>
      <c r="B616" s="45"/>
      <c r="C616" s="44"/>
      <c r="D616" s="44"/>
      <c r="E616" s="44"/>
      <c r="F616" s="44"/>
      <c r="G616" s="46"/>
      <c r="H616" s="44"/>
      <c r="I616" s="44"/>
      <c r="J616" s="44"/>
      <c r="K616" s="44"/>
      <c r="L616" s="46" t="str">
        <f>IFERROR(__xludf.DUMMYFUNCTION("IFERROR(IF(ISBLANK($C616), """", GOOGLEFINANCE($C616, ""price"")), """")"),"")</f>
        <v/>
      </c>
      <c r="M616" s="47" t="str">
        <f t="shared" si="3"/>
        <v/>
      </c>
      <c r="N616" s="47" t="str">
        <f>IFERROR(__xludf.DUMMYFUNCTION("IFERROR(IF(OR(ISBLANK($G616), IFERROR(INDEX(GOOGLEFINANCE($C616, ""price"", WORKDAY(INT($B616), 1)), 2, 2), """")=""""), """", IF($D616=""LONG"", (IFERROR(INDEX(GOOGLEFINANCE($C616, ""price"", WORKDAY(INT($B616), 1)), 2, 2), """")-$G616)/$G616, ($G616-IFE"&amp;"RROR(INDEX(GOOGLEFINANCE($C616, ""price"", WORKDAY(INT($B616), 1)), 2, 2), """"))/$G616)), """")"),"")</f>
        <v/>
      </c>
      <c r="O616" s="47" t="str">
        <f>IFERROR(__xludf.DUMMYFUNCTION("IFERROR(IF(OR(ISBLANK($G616), IFERROR(INDEX(GOOGLEFINANCE($C616, ""price"", WORKDAY(INT($B616), 5)), 2, 2), """")=""""), """", IF($D616=""LONG"", (IFERROR(INDEX(GOOGLEFINANCE($C616, ""price"", WORKDAY(INT($B616), 5)), 2, 2), """")-$G616)/$G616, ($G616-IFE"&amp;"RROR(INDEX(GOOGLEFINANCE($C616, ""price"", WORKDAY(INT($B616), 5)), 2, 2), """"))/$G616)), """")"),"")</f>
        <v/>
      </c>
      <c r="P616" s="47" t="str">
        <f>IFERROR(__xludf.DUMMYFUNCTION("IFERROR(IF(OR(ISBLANK($G616), IFERROR(INDEX(GOOGLEFINANCE($C616, ""price"", WORKDAY(INT($B616), 20)), 2, 2), """")=""""), """", IF($D616=""LONG"", (IFERROR(INDEX(GOOGLEFINANCE($C616, ""price"", WORKDAY(INT($B616), 20)), 2, 2), """")-$G616)/$G616, ($G616-I"&amp;"FERROR(INDEX(GOOGLEFINANCE($C616, ""price"", WORKDAY(INT($B616), 20)), 2, 2), """"))/$G616)), """")"),"")</f>
        <v/>
      </c>
      <c r="Q616" s="44"/>
      <c r="R616" s="44"/>
      <c r="S616" s="44"/>
      <c r="T616" s="44"/>
      <c r="U616" s="44"/>
      <c r="V616" s="44"/>
      <c r="W616" s="44"/>
      <c r="X616" s="44"/>
      <c r="Y616" s="44"/>
      <c r="Z616" s="44"/>
    </row>
    <row r="617">
      <c r="A617" s="44"/>
      <c r="B617" s="45"/>
      <c r="C617" s="44"/>
      <c r="D617" s="44"/>
      <c r="E617" s="44"/>
      <c r="F617" s="44"/>
      <c r="G617" s="46"/>
      <c r="H617" s="44"/>
      <c r="I617" s="44"/>
      <c r="J617" s="44"/>
      <c r="K617" s="44"/>
      <c r="L617" s="46" t="str">
        <f>IFERROR(__xludf.DUMMYFUNCTION("IFERROR(IF(ISBLANK($C617), """", GOOGLEFINANCE($C617, ""price"")), """")"),"")</f>
        <v/>
      </c>
      <c r="M617" s="47" t="str">
        <f t="shared" si="3"/>
        <v/>
      </c>
      <c r="N617" s="47" t="str">
        <f>IFERROR(__xludf.DUMMYFUNCTION("IFERROR(IF(OR(ISBLANK($G617), IFERROR(INDEX(GOOGLEFINANCE($C617, ""price"", WORKDAY(INT($B617), 1)), 2, 2), """")=""""), """", IF($D617=""LONG"", (IFERROR(INDEX(GOOGLEFINANCE($C617, ""price"", WORKDAY(INT($B617), 1)), 2, 2), """")-$G617)/$G617, ($G617-IFE"&amp;"RROR(INDEX(GOOGLEFINANCE($C617, ""price"", WORKDAY(INT($B617), 1)), 2, 2), """"))/$G617)), """")"),"")</f>
        <v/>
      </c>
      <c r="O617" s="47" t="str">
        <f>IFERROR(__xludf.DUMMYFUNCTION("IFERROR(IF(OR(ISBLANK($G617), IFERROR(INDEX(GOOGLEFINANCE($C617, ""price"", WORKDAY(INT($B617), 5)), 2, 2), """")=""""), """", IF($D617=""LONG"", (IFERROR(INDEX(GOOGLEFINANCE($C617, ""price"", WORKDAY(INT($B617), 5)), 2, 2), """")-$G617)/$G617, ($G617-IFE"&amp;"RROR(INDEX(GOOGLEFINANCE($C617, ""price"", WORKDAY(INT($B617), 5)), 2, 2), """"))/$G617)), """")"),"")</f>
        <v/>
      </c>
      <c r="P617" s="47" t="str">
        <f>IFERROR(__xludf.DUMMYFUNCTION("IFERROR(IF(OR(ISBLANK($G617), IFERROR(INDEX(GOOGLEFINANCE($C617, ""price"", WORKDAY(INT($B617), 20)), 2, 2), """")=""""), """", IF($D617=""LONG"", (IFERROR(INDEX(GOOGLEFINANCE($C617, ""price"", WORKDAY(INT($B617), 20)), 2, 2), """")-$G617)/$G617, ($G617-I"&amp;"FERROR(INDEX(GOOGLEFINANCE($C617, ""price"", WORKDAY(INT($B617), 20)), 2, 2), """"))/$G617)), """")"),"")</f>
        <v/>
      </c>
      <c r="Q617" s="44"/>
      <c r="R617" s="44"/>
      <c r="S617" s="44"/>
      <c r="T617" s="44"/>
      <c r="U617" s="44"/>
      <c r="V617" s="44"/>
      <c r="W617" s="44"/>
      <c r="X617" s="44"/>
      <c r="Y617" s="44"/>
      <c r="Z617" s="44"/>
    </row>
    <row r="618">
      <c r="A618" s="44"/>
      <c r="B618" s="45"/>
      <c r="C618" s="44"/>
      <c r="D618" s="44"/>
      <c r="E618" s="44"/>
      <c r="F618" s="44"/>
      <c r="G618" s="46"/>
      <c r="H618" s="44"/>
      <c r="I618" s="44"/>
      <c r="J618" s="44"/>
      <c r="K618" s="44"/>
      <c r="L618" s="46" t="str">
        <f>IFERROR(__xludf.DUMMYFUNCTION("IFERROR(IF(ISBLANK($C618), """", GOOGLEFINANCE($C618, ""price"")), """")"),"")</f>
        <v/>
      </c>
      <c r="M618" s="47" t="str">
        <f t="shared" si="3"/>
        <v/>
      </c>
      <c r="N618" s="47" t="str">
        <f>IFERROR(__xludf.DUMMYFUNCTION("IFERROR(IF(OR(ISBLANK($G618), IFERROR(INDEX(GOOGLEFINANCE($C618, ""price"", WORKDAY(INT($B618), 1)), 2, 2), """")=""""), """", IF($D618=""LONG"", (IFERROR(INDEX(GOOGLEFINANCE($C618, ""price"", WORKDAY(INT($B618), 1)), 2, 2), """")-$G618)/$G618, ($G618-IFE"&amp;"RROR(INDEX(GOOGLEFINANCE($C618, ""price"", WORKDAY(INT($B618), 1)), 2, 2), """"))/$G618)), """")"),"")</f>
        <v/>
      </c>
      <c r="O618" s="47" t="str">
        <f>IFERROR(__xludf.DUMMYFUNCTION("IFERROR(IF(OR(ISBLANK($G618), IFERROR(INDEX(GOOGLEFINANCE($C618, ""price"", WORKDAY(INT($B618), 5)), 2, 2), """")=""""), """", IF($D618=""LONG"", (IFERROR(INDEX(GOOGLEFINANCE($C618, ""price"", WORKDAY(INT($B618), 5)), 2, 2), """")-$G618)/$G618, ($G618-IFE"&amp;"RROR(INDEX(GOOGLEFINANCE($C618, ""price"", WORKDAY(INT($B618), 5)), 2, 2), """"))/$G618)), """")"),"")</f>
        <v/>
      </c>
      <c r="P618" s="47" t="str">
        <f>IFERROR(__xludf.DUMMYFUNCTION("IFERROR(IF(OR(ISBLANK($G618), IFERROR(INDEX(GOOGLEFINANCE($C618, ""price"", WORKDAY(INT($B618), 20)), 2, 2), """")=""""), """", IF($D618=""LONG"", (IFERROR(INDEX(GOOGLEFINANCE($C618, ""price"", WORKDAY(INT($B618), 20)), 2, 2), """")-$G618)/$G618, ($G618-I"&amp;"FERROR(INDEX(GOOGLEFINANCE($C618, ""price"", WORKDAY(INT($B618), 20)), 2, 2), """"))/$G618)), """")"),"")</f>
        <v/>
      </c>
      <c r="Q618" s="44"/>
      <c r="R618" s="44"/>
      <c r="S618" s="44"/>
      <c r="T618" s="44"/>
      <c r="U618" s="44"/>
      <c r="V618" s="44"/>
      <c r="W618" s="44"/>
      <c r="X618" s="44"/>
      <c r="Y618" s="44"/>
      <c r="Z618" s="44"/>
    </row>
    <row r="619">
      <c r="A619" s="44"/>
      <c r="B619" s="45"/>
      <c r="C619" s="44"/>
      <c r="D619" s="44"/>
      <c r="E619" s="44"/>
      <c r="F619" s="44"/>
      <c r="G619" s="46"/>
      <c r="H619" s="44"/>
      <c r="I619" s="44"/>
      <c r="J619" s="44"/>
      <c r="K619" s="44"/>
      <c r="L619" s="46" t="str">
        <f>IFERROR(__xludf.DUMMYFUNCTION("IFERROR(IF(ISBLANK($C619), """", GOOGLEFINANCE($C619, ""price"")), """")"),"")</f>
        <v/>
      </c>
      <c r="M619" s="47" t="str">
        <f t="shared" si="3"/>
        <v/>
      </c>
      <c r="N619" s="47" t="str">
        <f>IFERROR(__xludf.DUMMYFUNCTION("IFERROR(IF(OR(ISBLANK($G619), IFERROR(INDEX(GOOGLEFINANCE($C619, ""price"", WORKDAY(INT($B619), 1)), 2, 2), """")=""""), """", IF($D619=""LONG"", (IFERROR(INDEX(GOOGLEFINANCE($C619, ""price"", WORKDAY(INT($B619), 1)), 2, 2), """")-$G619)/$G619, ($G619-IFE"&amp;"RROR(INDEX(GOOGLEFINANCE($C619, ""price"", WORKDAY(INT($B619), 1)), 2, 2), """"))/$G619)), """")"),"")</f>
        <v/>
      </c>
      <c r="O619" s="47" t="str">
        <f>IFERROR(__xludf.DUMMYFUNCTION("IFERROR(IF(OR(ISBLANK($G619), IFERROR(INDEX(GOOGLEFINANCE($C619, ""price"", WORKDAY(INT($B619), 5)), 2, 2), """")=""""), """", IF($D619=""LONG"", (IFERROR(INDEX(GOOGLEFINANCE($C619, ""price"", WORKDAY(INT($B619), 5)), 2, 2), """")-$G619)/$G619, ($G619-IFE"&amp;"RROR(INDEX(GOOGLEFINANCE($C619, ""price"", WORKDAY(INT($B619), 5)), 2, 2), """"))/$G619)), """")"),"")</f>
        <v/>
      </c>
      <c r="P619" s="47" t="str">
        <f>IFERROR(__xludf.DUMMYFUNCTION("IFERROR(IF(OR(ISBLANK($G619), IFERROR(INDEX(GOOGLEFINANCE($C619, ""price"", WORKDAY(INT($B619), 20)), 2, 2), """")=""""), """", IF($D619=""LONG"", (IFERROR(INDEX(GOOGLEFINANCE($C619, ""price"", WORKDAY(INT($B619), 20)), 2, 2), """")-$G619)/$G619, ($G619-I"&amp;"FERROR(INDEX(GOOGLEFINANCE($C619, ""price"", WORKDAY(INT($B619), 20)), 2, 2), """"))/$G619)), """")"),"")</f>
        <v/>
      </c>
      <c r="Q619" s="44"/>
      <c r="R619" s="44"/>
      <c r="S619" s="44"/>
      <c r="T619" s="44"/>
      <c r="U619" s="44"/>
      <c r="V619" s="44"/>
      <c r="W619" s="44"/>
      <c r="X619" s="44"/>
      <c r="Y619" s="44"/>
      <c r="Z619" s="44"/>
    </row>
    <row r="620">
      <c r="A620" s="44"/>
      <c r="B620" s="45"/>
      <c r="C620" s="44"/>
      <c r="D620" s="44"/>
      <c r="E620" s="44"/>
      <c r="F620" s="44"/>
      <c r="G620" s="46"/>
      <c r="H620" s="44"/>
      <c r="I620" s="44"/>
      <c r="J620" s="44"/>
      <c r="K620" s="44"/>
      <c r="L620" s="46" t="str">
        <f>IFERROR(__xludf.DUMMYFUNCTION("IFERROR(IF(ISBLANK($C620), """", GOOGLEFINANCE($C620, ""price"")), """")"),"")</f>
        <v/>
      </c>
      <c r="M620" s="47" t="str">
        <f t="shared" si="3"/>
        <v/>
      </c>
      <c r="N620" s="47" t="str">
        <f>IFERROR(__xludf.DUMMYFUNCTION("IFERROR(IF(OR(ISBLANK($G620), IFERROR(INDEX(GOOGLEFINANCE($C620, ""price"", WORKDAY(INT($B620), 1)), 2, 2), """")=""""), """", IF($D620=""LONG"", (IFERROR(INDEX(GOOGLEFINANCE($C620, ""price"", WORKDAY(INT($B620), 1)), 2, 2), """")-$G620)/$G620, ($G620-IFE"&amp;"RROR(INDEX(GOOGLEFINANCE($C620, ""price"", WORKDAY(INT($B620), 1)), 2, 2), """"))/$G620)), """")"),"")</f>
        <v/>
      </c>
      <c r="O620" s="47" t="str">
        <f>IFERROR(__xludf.DUMMYFUNCTION("IFERROR(IF(OR(ISBLANK($G620), IFERROR(INDEX(GOOGLEFINANCE($C620, ""price"", WORKDAY(INT($B620), 5)), 2, 2), """")=""""), """", IF($D620=""LONG"", (IFERROR(INDEX(GOOGLEFINANCE($C620, ""price"", WORKDAY(INT($B620), 5)), 2, 2), """")-$G620)/$G620, ($G620-IFE"&amp;"RROR(INDEX(GOOGLEFINANCE($C620, ""price"", WORKDAY(INT($B620), 5)), 2, 2), """"))/$G620)), """")"),"")</f>
        <v/>
      </c>
      <c r="P620" s="47" t="str">
        <f>IFERROR(__xludf.DUMMYFUNCTION("IFERROR(IF(OR(ISBLANK($G620), IFERROR(INDEX(GOOGLEFINANCE($C620, ""price"", WORKDAY(INT($B620), 20)), 2, 2), """")=""""), """", IF($D620=""LONG"", (IFERROR(INDEX(GOOGLEFINANCE($C620, ""price"", WORKDAY(INT($B620), 20)), 2, 2), """")-$G620)/$G620, ($G620-I"&amp;"FERROR(INDEX(GOOGLEFINANCE($C620, ""price"", WORKDAY(INT($B620), 20)), 2, 2), """"))/$G620)), """")"),"")</f>
        <v/>
      </c>
      <c r="Q620" s="44"/>
      <c r="R620" s="44"/>
      <c r="S620" s="44"/>
      <c r="T620" s="44"/>
      <c r="U620" s="44"/>
      <c r="V620" s="44"/>
      <c r="W620" s="44"/>
      <c r="X620" s="44"/>
      <c r="Y620" s="44"/>
      <c r="Z620" s="44"/>
    </row>
    <row r="621">
      <c r="A621" s="44"/>
      <c r="B621" s="45"/>
      <c r="C621" s="44"/>
      <c r="D621" s="44"/>
      <c r="E621" s="44"/>
      <c r="F621" s="44"/>
      <c r="G621" s="46"/>
      <c r="H621" s="44"/>
      <c r="I621" s="44"/>
      <c r="J621" s="44"/>
      <c r="K621" s="44"/>
      <c r="L621" s="46" t="str">
        <f>IFERROR(__xludf.DUMMYFUNCTION("IFERROR(IF(ISBLANK($C621), """", GOOGLEFINANCE($C621, ""price"")), """")"),"")</f>
        <v/>
      </c>
      <c r="M621" s="47" t="str">
        <f t="shared" si="3"/>
        <v/>
      </c>
      <c r="N621" s="47" t="str">
        <f>IFERROR(__xludf.DUMMYFUNCTION("IFERROR(IF(OR(ISBLANK($G621), IFERROR(INDEX(GOOGLEFINANCE($C621, ""price"", WORKDAY(INT($B621), 1)), 2, 2), """")=""""), """", IF($D621=""LONG"", (IFERROR(INDEX(GOOGLEFINANCE($C621, ""price"", WORKDAY(INT($B621), 1)), 2, 2), """")-$G621)/$G621, ($G621-IFE"&amp;"RROR(INDEX(GOOGLEFINANCE($C621, ""price"", WORKDAY(INT($B621), 1)), 2, 2), """"))/$G621)), """")"),"")</f>
        <v/>
      </c>
      <c r="O621" s="47" t="str">
        <f>IFERROR(__xludf.DUMMYFUNCTION("IFERROR(IF(OR(ISBLANK($G621), IFERROR(INDEX(GOOGLEFINANCE($C621, ""price"", WORKDAY(INT($B621), 5)), 2, 2), """")=""""), """", IF($D621=""LONG"", (IFERROR(INDEX(GOOGLEFINANCE($C621, ""price"", WORKDAY(INT($B621), 5)), 2, 2), """")-$G621)/$G621, ($G621-IFE"&amp;"RROR(INDEX(GOOGLEFINANCE($C621, ""price"", WORKDAY(INT($B621), 5)), 2, 2), """"))/$G621)), """")"),"")</f>
        <v/>
      </c>
      <c r="P621" s="47" t="str">
        <f>IFERROR(__xludf.DUMMYFUNCTION("IFERROR(IF(OR(ISBLANK($G621), IFERROR(INDEX(GOOGLEFINANCE($C621, ""price"", WORKDAY(INT($B621), 20)), 2, 2), """")=""""), """", IF($D621=""LONG"", (IFERROR(INDEX(GOOGLEFINANCE($C621, ""price"", WORKDAY(INT($B621), 20)), 2, 2), """")-$G621)/$G621, ($G621-I"&amp;"FERROR(INDEX(GOOGLEFINANCE($C621, ""price"", WORKDAY(INT($B621), 20)), 2, 2), """"))/$G621)), """")"),"")</f>
        <v/>
      </c>
      <c r="Q621" s="44"/>
      <c r="R621" s="44"/>
      <c r="S621" s="44"/>
      <c r="T621" s="44"/>
      <c r="U621" s="44"/>
      <c r="V621" s="44"/>
      <c r="W621" s="44"/>
      <c r="X621" s="44"/>
      <c r="Y621" s="44"/>
      <c r="Z621" s="44"/>
    </row>
    <row r="622">
      <c r="A622" s="44"/>
      <c r="B622" s="45"/>
      <c r="C622" s="44"/>
      <c r="D622" s="44"/>
      <c r="E622" s="44"/>
      <c r="F622" s="44"/>
      <c r="G622" s="46"/>
      <c r="H622" s="44"/>
      <c r="I622" s="44"/>
      <c r="J622" s="44"/>
      <c r="K622" s="44"/>
      <c r="L622" s="46" t="str">
        <f>IFERROR(__xludf.DUMMYFUNCTION("IFERROR(IF(ISBLANK($C622), """", GOOGLEFINANCE($C622, ""price"")), """")"),"")</f>
        <v/>
      </c>
      <c r="M622" s="47" t="str">
        <f t="shared" si="3"/>
        <v/>
      </c>
      <c r="N622" s="47" t="str">
        <f>IFERROR(__xludf.DUMMYFUNCTION("IFERROR(IF(OR(ISBLANK($G622), IFERROR(INDEX(GOOGLEFINANCE($C622, ""price"", WORKDAY(INT($B622), 1)), 2, 2), """")=""""), """", IF($D622=""LONG"", (IFERROR(INDEX(GOOGLEFINANCE($C622, ""price"", WORKDAY(INT($B622), 1)), 2, 2), """")-$G622)/$G622, ($G622-IFE"&amp;"RROR(INDEX(GOOGLEFINANCE($C622, ""price"", WORKDAY(INT($B622), 1)), 2, 2), """"))/$G622)), """")"),"")</f>
        <v/>
      </c>
      <c r="O622" s="47" t="str">
        <f>IFERROR(__xludf.DUMMYFUNCTION("IFERROR(IF(OR(ISBLANK($G622), IFERROR(INDEX(GOOGLEFINANCE($C622, ""price"", WORKDAY(INT($B622), 5)), 2, 2), """")=""""), """", IF($D622=""LONG"", (IFERROR(INDEX(GOOGLEFINANCE($C622, ""price"", WORKDAY(INT($B622), 5)), 2, 2), """")-$G622)/$G622, ($G622-IFE"&amp;"RROR(INDEX(GOOGLEFINANCE($C622, ""price"", WORKDAY(INT($B622), 5)), 2, 2), """"))/$G622)), """")"),"")</f>
        <v/>
      </c>
      <c r="P622" s="47" t="str">
        <f>IFERROR(__xludf.DUMMYFUNCTION("IFERROR(IF(OR(ISBLANK($G622), IFERROR(INDEX(GOOGLEFINANCE($C622, ""price"", WORKDAY(INT($B622), 20)), 2, 2), """")=""""), """", IF($D622=""LONG"", (IFERROR(INDEX(GOOGLEFINANCE($C622, ""price"", WORKDAY(INT($B622), 20)), 2, 2), """")-$G622)/$G622, ($G622-I"&amp;"FERROR(INDEX(GOOGLEFINANCE($C622, ""price"", WORKDAY(INT($B622), 20)), 2, 2), """"))/$G622)), """")"),"")</f>
        <v/>
      </c>
      <c r="Q622" s="44"/>
      <c r="R622" s="44"/>
      <c r="S622" s="44"/>
      <c r="T622" s="44"/>
      <c r="U622" s="44"/>
      <c r="V622" s="44"/>
      <c r="W622" s="44"/>
      <c r="X622" s="44"/>
      <c r="Y622" s="44"/>
      <c r="Z622" s="44"/>
    </row>
    <row r="623">
      <c r="A623" s="44"/>
      <c r="B623" s="45"/>
      <c r="C623" s="44"/>
      <c r="D623" s="44"/>
      <c r="E623" s="44"/>
      <c r="F623" s="44"/>
      <c r="G623" s="46"/>
      <c r="H623" s="44"/>
      <c r="I623" s="44"/>
      <c r="J623" s="44"/>
      <c r="K623" s="44"/>
      <c r="L623" s="46" t="str">
        <f>IFERROR(__xludf.DUMMYFUNCTION("IFERROR(IF(ISBLANK($C623), """", GOOGLEFINANCE($C623, ""price"")), """")"),"")</f>
        <v/>
      </c>
      <c r="M623" s="47" t="str">
        <f t="shared" si="3"/>
        <v/>
      </c>
      <c r="N623" s="47" t="str">
        <f>IFERROR(__xludf.DUMMYFUNCTION("IFERROR(IF(OR(ISBLANK($G623), IFERROR(INDEX(GOOGLEFINANCE($C623, ""price"", WORKDAY(INT($B623), 1)), 2, 2), """")=""""), """", IF($D623=""LONG"", (IFERROR(INDEX(GOOGLEFINANCE($C623, ""price"", WORKDAY(INT($B623), 1)), 2, 2), """")-$G623)/$G623, ($G623-IFE"&amp;"RROR(INDEX(GOOGLEFINANCE($C623, ""price"", WORKDAY(INT($B623), 1)), 2, 2), """"))/$G623)), """")"),"")</f>
        <v/>
      </c>
      <c r="O623" s="47" t="str">
        <f>IFERROR(__xludf.DUMMYFUNCTION("IFERROR(IF(OR(ISBLANK($G623), IFERROR(INDEX(GOOGLEFINANCE($C623, ""price"", WORKDAY(INT($B623), 5)), 2, 2), """")=""""), """", IF($D623=""LONG"", (IFERROR(INDEX(GOOGLEFINANCE($C623, ""price"", WORKDAY(INT($B623), 5)), 2, 2), """")-$G623)/$G623, ($G623-IFE"&amp;"RROR(INDEX(GOOGLEFINANCE($C623, ""price"", WORKDAY(INT($B623), 5)), 2, 2), """"))/$G623)), """")"),"")</f>
        <v/>
      </c>
      <c r="P623" s="47" t="str">
        <f>IFERROR(__xludf.DUMMYFUNCTION("IFERROR(IF(OR(ISBLANK($G623), IFERROR(INDEX(GOOGLEFINANCE($C623, ""price"", WORKDAY(INT($B623), 20)), 2, 2), """")=""""), """", IF($D623=""LONG"", (IFERROR(INDEX(GOOGLEFINANCE($C623, ""price"", WORKDAY(INT($B623), 20)), 2, 2), """")-$G623)/$G623, ($G623-I"&amp;"FERROR(INDEX(GOOGLEFINANCE($C623, ""price"", WORKDAY(INT($B623), 20)), 2, 2), """"))/$G623)), """")"),"")</f>
        <v/>
      </c>
      <c r="Q623" s="44"/>
      <c r="R623" s="44"/>
      <c r="S623" s="44"/>
      <c r="T623" s="44"/>
      <c r="U623" s="44"/>
      <c r="V623" s="44"/>
      <c r="W623" s="44"/>
      <c r="X623" s="44"/>
      <c r="Y623" s="44"/>
      <c r="Z623" s="44"/>
    </row>
    <row r="624">
      <c r="A624" s="44"/>
      <c r="B624" s="45"/>
      <c r="C624" s="44"/>
      <c r="D624" s="44"/>
      <c r="E624" s="44"/>
      <c r="F624" s="44"/>
      <c r="G624" s="46"/>
      <c r="H624" s="44"/>
      <c r="I624" s="44"/>
      <c r="J624" s="44"/>
      <c r="K624" s="44"/>
      <c r="L624" s="46" t="str">
        <f>IFERROR(__xludf.DUMMYFUNCTION("IFERROR(IF(ISBLANK($C624), """", GOOGLEFINANCE($C624, ""price"")), """")"),"")</f>
        <v/>
      </c>
      <c r="M624" s="47" t="str">
        <f t="shared" si="3"/>
        <v/>
      </c>
      <c r="N624" s="47" t="str">
        <f>IFERROR(__xludf.DUMMYFUNCTION("IFERROR(IF(OR(ISBLANK($G624), IFERROR(INDEX(GOOGLEFINANCE($C624, ""price"", WORKDAY(INT($B624), 1)), 2, 2), """")=""""), """", IF($D624=""LONG"", (IFERROR(INDEX(GOOGLEFINANCE($C624, ""price"", WORKDAY(INT($B624), 1)), 2, 2), """")-$G624)/$G624, ($G624-IFE"&amp;"RROR(INDEX(GOOGLEFINANCE($C624, ""price"", WORKDAY(INT($B624), 1)), 2, 2), """"))/$G624)), """")"),"")</f>
        <v/>
      </c>
      <c r="O624" s="47" t="str">
        <f>IFERROR(__xludf.DUMMYFUNCTION("IFERROR(IF(OR(ISBLANK($G624), IFERROR(INDEX(GOOGLEFINANCE($C624, ""price"", WORKDAY(INT($B624), 5)), 2, 2), """")=""""), """", IF($D624=""LONG"", (IFERROR(INDEX(GOOGLEFINANCE($C624, ""price"", WORKDAY(INT($B624), 5)), 2, 2), """")-$G624)/$G624, ($G624-IFE"&amp;"RROR(INDEX(GOOGLEFINANCE($C624, ""price"", WORKDAY(INT($B624), 5)), 2, 2), """"))/$G624)), """")"),"")</f>
        <v/>
      </c>
      <c r="P624" s="47" t="str">
        <f>IFERROR(__xludf.DUMMYFUNCTION("IFERROR(IF(OR(ISBLANK($G624), IFERROR(INDEX(GOOGLEFINANCE($C624, ""price"", WORKDAY(INT($B624), 20)), 2, 2), """")=""""), """", IF($D624=""LONG"", (IFERROR(INDEX(GOOGLEFINANCE($C624, ""price"", WORKDAY(INT($B624), 20)), 2, 2), """")-$G624)/$G624, ($G624-I"&amp;"FERROR(INDEX(GOOGLEFINANCE($C624, ""price"", WORKDAY(INT($B624), 20)), 2, 2), """"))/$G624)), """")"),"")</f>
        <v/>
      </c>
      <c r="Q624" s="44"/>
      <c r="R624" s="44"/>
      <c r="S624" s="44"/>
      <c r="T624" s="44"/>
      <c r="U624" s="44"/>
      <c r="V624" s="44"/>
      <c r="W624" s="44"/>
      <c r="X624" s="44"/>
      <c r="Y624" s="44"/>
      <c r="Z624" s="44"/>
    </row>
    <row r="625">
      <c r="A625" s="44"/>
      <c r="B625" s="45"/>
      <c r="C625" s="44"/>
      <c r="D625" s="44"/>
      <c r="E625" s="44"/>
      <c r="F625" s="44"/>
      <c r="G625" s="46"/>
      <c r="H625" s="44"/>
      <c r="I625" s="44"/>
      <c r="J625" s="44"/>
      <c r="K625" s="44"/>
      <c r="L625" s="46" t="str">
        <f>IFERROR(__xludf.DUMMYFUNCTION("IFERROR(IF(ISBLANK($C625), """", GOOGLEFINANCE($C625, ""price"")), """")"),"")</f>
        <v/>
      </c>
      <c r="M625" s="47" t="str">
        <f t="shared" si="3"/>
        <v/>
      </c>
      <c r="N625" s="47" t="str">
        <f>IFERROR(__xludf.DUMMYFUNCTION("IFERROR(IF(OR(ISBLANK($G625), IFERROR(INDEX(GOOGLEFINANCE($C625, ""price"", WORKDAY(INT($B625), 1)), 2, 2), """")=""""), """", IF($D625=""LONG"", (IFERROR(INDEX(GOOGLEFINANCE($C625, ""price"", WORKDAY(INT($B625), 1)), 2, 2), """")-$G625)/$G625, ($G625-IFE"&amp;"RROR(INDEX(GOOGLEFINANCE($C625, ""price"", WORKDAY(INT($B625), 1)), 2, 2), """"))/$G625)), """")"),"")</f>
        <v/>
      </c>
      <c r="O625" s="47" t="str">
        <f>IFERROR(__xludf.DUMMYFUNCTION("IFERROR(IF(OR(ISBLANK($G625), IFERROR(INDEX(GOOGLEFINANCE($C625, ""price"", WORKDAY(INT($B625), 5)), 2, 2), """")=""""), """", IF($D625=""LONG"", (IFERROR(INDEX(GOOGLEFINANCE($C625, ""price"", WORKDAY(INT($B625), 5)), 2, 2), """")-$G625)/$G625, ($G625-IFE"&amp;"RROR(INDEX(GOOGLEFINANCE($C625, ""price"", WORKDAY(INT($B625), 5)), 2, 2), """"))/$G625)), """")"),"")</f>
        <v/>
      </c>
      <c r="P625" s="47" t="str">
        <f>IFERROR(__xludf.DUMMYFUNCTION("IFERROR(IF(OR(ISBLANK($G625), IFERROR(INDEX(GOOGLEFINANCE($C625, ""price"", WORKDAY(INT($B625), 20)), 2, 2), """")=""""), """", IF($D625=""LONG"", (IFERROR(INDEX(GOOGLEFINANCE($C625, ""price"", WORKDAY(INT($B625), 20)), 2, 2), """")-$G625)/$G625, ($G625-I"&amp;"FERROR(INDEX(GOOGLEFINANCE($C625, ""price"", WORKDAY(INT($B625), 20)), 2, 2), """"))/$G625)), """")"),"")</f>
        <v/>
      </c>
      <c r="Q625" s="44"/>
      <c r="R625" s="44"/>
      <c r="S625" s="44"/>
      <c r="T625" s="44"/>
      <c r="U625" s="44"/>
      <c r="V625" s="44"/>
      <c r="W625" s="44"/>
      <c r="X625" s="44"/>
      <c r="Y625" s="44"/>
      <c r="Z625" s="44"/>
    </row>
    <row r="626">
      <c r="A626" s="44"/>
      <c r="B626" s="45"/>
      <c r="C626" s="44"/>
      <c r="D626" s="44"/>
      <c r="E626" s="44"/>
      <c r="F626" s="44"/>
      <c r="G626" s="46"/>
      <c r="H626" s="44"/>
      <c r="I626" s="44"/>
      <c r="J626" s="44"/>
      <c r="K626" s="44"/>
      <c r="L626" s="46" t="str">
        <f>IFERROR(__xludf.DUMMYFUNCTION("IFERROR(IF(ISBLANK($C626), """", GOOGLEFINANCE($C626, ""price"")), """")"),"")</f>
        <v/>
      </c>
      <c r="M626" s="47" t="str">
        <f t="shared" si="3"/>
        <v/>
      </c>
      <c r="N626" s="47" t="str">
        <f>IFERROR(__xludf.DUMMYFUNCTION("IFERROR(IF(OR(ISBLANK($G626), IFERROR(INDEX(GOOGLEFINANCE($C626, ""price"", WORKDAY(INT($B626), 1)), 2, 2), """")=""""), """", IF($D626=""LONG"", (IFERROR(INDEX(GOOGLEFINANCE($C626, ""price"", WORKDAY(INT($B626), 1)), 2, 2), """")-$G626)/$G626, ($G626-IFE"&amp;"RROR(INDEX(GOOGLEFINANCE($C626, ""price"", WORKDAY(INT($B626), 1)), 2, 2), """"))/$G626)), """")"),"")</f>
        <v/>
      </c>
      <c r="O626" s="47" t="str">
        <f>IFERROR(__xludf.DUMMYFUNCTION("IFERROR(IF(OR(ISBLANK($G626), IFERROR(INDEX(GOOGLEFINANCE($C626, ""price"", WORKDAY(INT($B626), 5)), 2, 2), """")=""""), """", IF($D626=""LONG"", (IFERROR(INDEX(GOOGLEFINANCE($C626, ""price"", WORKDAY(INT($B626), 5)), 2, 2), """")-$G626)/$G626, ($G626-IFE"&amp;"RROR(INDEX(GOOGLEFINANCE($C626, ""price"", WORKDAY(INT($B626), 5)), 2, 2), """"))/$G626)), """")"),"")</f>
        <v/>
      </c>
      <c r="P626" s="47" t="str">
        <f>IFERROR(__xludf.DUMMYFUNCTION("IFERROR(IF(OR(ISBLANK($G626), IFERROR(INDEX(GOOGLEFINANCE($C626, ""price"", WORKDAY(INT($B626), 20)), 2, 2), """")=""""), """", IF($D626=""LONG"", (IFERROR(INDEX(GOOGLEFINANCE($C626, ""price"", WORKDAY(INT($B626), 20)), 2, 2), """")-$G626)/$G626, ($G626-I"&amp;"FERROR(INDEX(GOOGLEFINANCE($C626, ""price"", WORKDAY(INT($B626), 20)), 2, 2), """"))/$G626)), """")"),"")</f>
        <v/>
      </c>
      <c r="Q626" s="44"/>
      <c r="R626" s="44"/>
      <c r="S626" s="44"/>
      <c r="T626" s="44"/>
      <c r="U626" s="44"/>
      <c r="V626" s="44"/>
      <c r="W626" s="44"/>
      <c r="X626" s="44"/>
      <c r="Y626" s="44"/>
      <c r="Z626" s="44"/>
    </row>
    <row r="627">
      <c r="A627" s="44"/>
      <c r="B627" s="45"/>
      <c r="C627" s="44"/>
      <c r="D627" s="44"/>
      <c r="E627" s="44"/>
      <c r="F627" s="44"/>
      <c r="G627" s="46"/>
      <c r="H627" s="44"/>
      <c r="I627" s="44"/>
      <c r="J627" s="44"/>
      <c r="K627" s="44"/>
      <c r="L627" s="46" t="str">
        <f>IFERROR(__xludf.DUMMYFUNCTION("IFERROR(IF(ISBLANK($C627), """", GOOGLEFINANCE($C627, ""price"")), """")"),"")</f>
        <v/>
      </c>
      <c r="M627" s="47" t="str">
        <f t="shared" si="3"/>
        <v/>
      </c>
      <c r="N627" s="47" t="str">
        <f>IFERROR(__xludf.DUMMYFUNCTION("IFERROR(IF(OR(ISBLANK($G627), IFERROR(INDEX(GOOGLEFINANCE($C627, ""price"", WORKDAY(INT($B627), 1)), 2, 2), """")=""""), """", IF($D627=""LONG"", (IFERROR(INDEX(GOOGLEFINANCE($C627, ""price"", WORKDAY(INT($B627), 1)), 2, 2), """")-$G627)/$G627, ($G627-IFE"&amp;"RROR(INDEX(GOOGLEFINANCE($C627, ""price"", WORKDAY(INT($B627), 1)), 2, 2), """"))/$G627)), """")"),"")</f>
        <v/>
      </c>
      <c r="O627" s="47" t="str">
        <f>IFERROR(__xludf.DUMMYFUNCTION("IFERROR(IF(OR(ISBLANK($G627), IFERROR(INDEX(GOOGLEFINANCE($C627, ""price"", WORKDAY(INT($B627), 5)), 2, 2), """")=""""), """", IF($D627=""LONG"", (IFERROR(INDEX(GOOGLEFINANCE($C627, ""price"", WORKDAY(INT($B627), 5)), 2, 2), """")-$G627)/$G627, ($G627-IFE"&amp;"RROR(INDEX(GOOGLEFINANCE($C627, ""price"", WORKDAY(INT($B627), 5)), 2, 2), """"))/$G627)), """")"),"")</f>
        <v/>
      </c>
      <c r="P627" s="47" t="str">
        <f>IFERROR(__xludf.DUMMYFUNCTION("IFERROR(IF(OR(ISBLANK($G627), IFERROR(INDEX(GOOGLEFINANCE($C627, ""price"", WORKDAY(INT($B627), 20)), 2, 2), """")=""""), """", IF($D627=""LONG"", (IFERROR(INDEX(GOOGLEFINANCE($C627, ""price"", WORKDAY(INT($B627), 20)), 2, 2), """")-$G627)/$G627, ($G627-I"&amp;"FERROR(INDEX(GOOGLEFINANCE($C627, ""price"", WORKDAY(INT($B627), 20)), 2, 2), """"))/$G627)), """")"),"")</f>
        <v/>
      </c>
      <c r="Q627" s="44"/>
      <c r="R627" s="44"/>
      <c r="S627" s="44"/>
      <c r="T627" s="44"/>
      <c r="U627" s="44"/>
      <c r="V627" s="44"/>
      <c r="W627" s="44"/>
      <c r="X627" s="44"/>
      <c r="Y627" s="44"/>
      <c r="Z627" s="44"/>
    </row>
    <row r="628">
      <c r="A628" s="44"/>
      <c r="B628" s="45"/>
      <c r="C628" s="44"/>
      <c r="D628" s="44"/>
      <c r="E628" s="44"/>
      <c r="F628" s="44"/>
      <c r="G628" s="46"/>
      <c r="H628" s="44"/>
      <c r="I628" s="44"/>
      <c r="J628" s="44"/>
      <c r="K628" s="44"/>
      <c r="L628" s="46" t="str">
        <f>IFERROR(__xludf.DUMMYFUNCTION("IFERROR(IF(ISBLANK($C628), """", GOOGLEFINANCE($C628, ""price"")), """")"),"")</f>
        <v/>
      </c>
      <c r="M628" s="47" t="str">
        <f t="shared" si="3"/>
        <v/>
      </c>
      <c r="N628" s="47" t="str">
        <f>IFERROR(__xludf.DUMMYFUNCTION("IFERROR(IF(OR(ISBLANK($G628), IFERROR(INDEX(GOOGLEFINANCE($C628, ""price"", WORKDAY(INT($B628), 1)), 2, 2), """")=""""), """", IF($D628=""LONG"", (IFERROR(INDEX(GOOGLEFINANCE($C628, ""price"", WORKDAY(INT($B628), 1)), 2, 2), """")-$G628)/$G628, ($G628-IFE"&amp;"RROR(INDEX(GOOGLEFINANCE($C628, ""price"", WORKDAY(INT($B628), 1)), 2, 2), """"))/$G628)), """")"),"")</f>
        <v/>
      </c>
      <c r="O628" s="47" t="str">
        <f>IFERROR(__xludf.DUMMYFUNCTION("IFERROR(IF(OR(ISBLANK($G628), IFERROR(INDEX(GOOGLEFINANCE($C628, ""price"", WORKDAY(INT($B628), 5)), 2, 2), """")=""""), """", IF($D628=""LONG"", (IFERROR(INDEX(GOOGLEFINANCE($C628, ""price"", WORKDAY(INT($B628), 5)), 2, 2), """")-$G628)/$G628, ($G628-IFE"&amp;"RROR(INDEX(GOOGLEFINANCE($C628, ""price"", WORKDAY(INT($B628), 5)), 2, 2), """"))/$G628)), """")"),"")</f>
        <v/>
      </c>
      <c r="P628" s="47" t="str">
        <f>IFERROR(__xludf.DUMMYFUNCTION("IFERROR(IF(OR(ISBLANK($G628), IFERROR(INDEX(GOOGLEFINANCE($C628, ""price"", WORKDAY(INT($B628), 20)), 2, 2), """")=""""), """", IF($D628=""LONG"", (IFERROR(INDEX(GOOGLEFINANCE($C628, ""price"", WORKDAY(INT($B628), 20)), 2, 2), """")-$G628)/$G628, ($G628-I"&amp;"FERROR(INDEX(GOOGLEFINANCE($C628, ""price"", WORKDAY(INT($B628), 20)), 2, 2), """"))/$G628)), """")"),"")</f>
        <v/>
      </c>
      <c r="Q628" s="44"/>
      <c r="R628" s="44"/>
      <c r="S628" s="44"/>
      <c r="T628" s="44"/>
      <c r="U628" s="44"/>
      <c r="V628" s="44"/>
      <c r="W628" s="44"/>
      <c r="X628" s="44"/>
      <c r="Y628" s="44"/>
      <c r="Z628" s="44"/>
    </row>
    <row r="629">
      <c r="A629" s="44"/>
      <c r="B629" s="45"/>
      <c r="C629" s="44"/>
      <c r="D629" s="44"/>
      <c r="E629" s="44"/>
      <c r="F629" s="44"/>
      <c r="G629" s="46"/>
      <c r="H629" s="44"/>
      <c r="I629" s="44"/>
      <c r="J629" s="44"/>
      <c r="K629" s="44"/>
      <c r="L629" s="46" t="str">
        <f>IFERROR(__xludf.DUMMYFUNCTION("IFERROR(IF(ISBLANK($C629), """", GOOGLEFINANCE($C629, ""price"")), """")"),"")</f>
        <v/>
      </c>
      <c r="M629" s="47" t="str">
        <f t="shared" si="3"/>
        <v/>
      </c>
      <c r="N629" s="47" t="str">
        <f>IFERROR(__xludf.DUMMYFUNCTION("IFERROR(IF(OR(ISBLANK($G629), IFERROR(INDEX(GOOGLEFINANCE($C629, ""price"", WORKDAY(INT($B629), 1)), 2, 2), """")=""""), """", IF($D629=""LONG"", (IFERROR(INDEX(GOOGLEFINANCE($C629, ""price"", WORKDAY(INT($B629), 1)), 2, 2), """")-$G629)/$G629, ($G629-IFE"&amp;"RROR(INDEX(GOOGLEFINANCE($C629, ""price"", WORKDAY(INT($B629), 1)), 2, 2), """"))/$G629)), """")"),"")</f>
        <v/>
      </c>
      <c r="O629" s="47" t="str">
        <f>IFERROR(__xludf.DUMMYFUNCTION("IFERROR(IF(OR(ISBLANK($G629), IFERROR(INDEX(GOOGLEFINANCE($C629, ""price"", WORKDAY(INT($B629), 5)), 2, 2), """")=""""), """", IF($D629=""LONG"", (IFERROR(INDEX(GOOGLEFINANCE($C629, ""price"", WORKDAY(INT($B629), 5)), 2, 2), """")-$G629)/$G629, ($G629-IFE"&amp;"RROR(INDEX(GOOGLEFINANCE($C629, ""price"", WORKDAY(INT($B629), 5)), 2, 2), """"))/$G629)), """")"),"")</f>
        <v/>
      </c>
      <c r="P629" s="47" t="str">
        <f>IFERROR(__xludf.DUMMYFUNCTION("IFERROR(IF(OR(ISBLANK($G629), IFERROR(INDEX(GOOGLEFINANCE($C629, ""price"", WORKDAY(INT($B629), 20)), 2, 2), """")=""""), """", IF($D629=""LONG"", (IFERROR(INDEX(GOOGLEFINANCE($C629, ""price"", WORKDAY(INT($B629), 20)), 2, 2), """")-$G629)/$G629, ($G629-I"&amp;"FERROR(INDEX(GOOGLEFINANCE($C629, ""price"", WORKDAY(INT($B629), 20)), 2, 2), """"))/$G629)), """")"),"")</f>
        <v/>
      </c>
      <c r="Q629" s="44"/>
      <c r="R629" s="44"/>
      <c r="S629" s="44"/>
      <c r="T629" s="44"/>
      <c r="U629" s="44"/>
      <c r="V629" s="44"/>
      <c r="W629" s="44"/>
      <c r="X629" s="44"/>
      <c r="Y629" s="44"/>
      <c r="Z629" s="44"/>
    </row>
    <row r="630">
      <c r="A630" s="44"/>
      <c r="B630" s="45"/>
      <c r="C630" s="44"/>
      <c r="D630" s="44"/>
      <c r="E630" s="44"/>
      <c r="F630" s="44"/>
      <c r="G630" s="46"/>
      <c r="H630" s="44"/>
      <c r="I630" s="44"/>
      <c r="J630" s="44"/>
      <c r="K630" s="44"/>
      <c r="L630" s="46" t="str">
        <f>IFERROR(__xludf.DUMMYFUNCTION("IFERROR(IF(ISBLANK($C630), """", GOOGLEFINANCE($C630, ""price"")), """")"),"")</f>
        <v/>
      </c>
      <c r="M630" s="47" t="str">
        <f t="shared" si="3"/>
        <v/>
      </c>
      <c r="N630" s="47" t="str">
        <f>IFERROR(__xludf.DUMMYFUNCTION("IFERROR(IF(OR(ISBLANK($G630), IFERROR(INDEX(GOOGLEFINANCE($C630, ""price"", WORKDAY(INT($B630), 1)), 2, 2), """")=""""), """", IF($D630=""LONG"", (IFERROR(INDEX(GOOGLEFINANCE($C630, ""price"", WORKDAY(INT($B630), 1)), 2, 2), """")-$G630)/$G630, ($G630-IFE"&amp;"RROR(INDEX(GOOGLEFINANCE($C630, ""price"", WORKDAY(INT($B630), 1)), 2, 2), """"))/$G630)), """")"),"")</f>
        <v/>
      </c>
      <c r="O630" s="47" t="str">
        <f>IFERROR(__xludf.DUMMYFUNCTION("IFERROR(IF(OR(ISBLANK($G630), IFERROR(INDEX(GOOGLEFINANCE($C630, ""price"", WORKDAY(INT($B630), 5)), 2, 2), """")=""""), """", IF($D630=""LONG"", (IFERROR(INDEX(GOOGLEFINANCE($C630, ""price"", WORKDAY(INT($B630), 5)), 2, 2), """")-$G630)/$G630, ($G630-IFE"&amp;"RROR(INDEX(GOOGLEFINANCE($C630, ""price"", WORKDAY(INT($B630), 5)), 2, 2), """"))/$G630)), """")"),"")</f>
        <v/>
      </c>
      <c r="P630" s="47" t="str">
        <f>IFERROR(__xludf.DUMMYFUNCTION("IFERROR(IF(OR(ISBLANK($G630), IFERROR(INDEX(GOOGLEFINANCE($C630, ""price"", WORKDAY(INT($B630), 20)), 2, 2), """")=""""), """", IF($D630=""LONG"", (IFERROR(INDEX(GOOGLEFINANCE($C630, ""price"", WORKDAY(INT($B630), 20)), 2, 2), """")-$G630)/$G630, ($G630-I"&amp;"FERROR(INDEX(GOOGLEFINANCE($C630, ""price"", WORKDAY(INT($B630), 20)), 2, 2), """"))/$G630)), """")"),"")</f>
        <v/>
      </c>
      <c r="Q630" s="44"/>
      <c r="R630" s="44"/>
      <c r="S630" s="44"/>
      <c r="T630" s="44"/>
      <c r="U630" s="44"/>
      <c r="V630" s="44"/>
      <c r="W630" s="44"/>
      <c r="X630" s="44"/>
      <c r="Y630" s="44"/>
      <c r="Z630" s="44"/>
    </row>
    <row r="631">
      <c r="A631" s="44"/>
      <c r="B631" s="45"/>
      <c r="C631" s="44"/>
      <c r="D631" s="44"/>
      <c r="E631" s="44"/>
      <c r="F631" s="44"/>
      <c r="G631" s="46"/>
      <c r="H631" s="44"/>
      <c r="I631" s="44"/>
      <c r="J631" s="44"/>
      <c r="K631" s="44"/>
      <c r="L631" s="46" t="str">
        <f>IFERROR(__xludf.DUMMYFUNCTION("IFERROR(IF(ISBLANK($C631), """", GOOGLEFINANCE($C631, ""price"")), """")"),"")</f>
        <v/>
      </c>
      <c r="M631" s="47" t="str">
        <f t="shared" si="3"/>
        <v/>
      </c>
      <c r="N631" s="47" t="str">
        <f>IFERROR(__xludf.DUMMYFUNCTION("IFERROR(IF(OR(ISBLANK($G631), IFERROR(INDEX(GOOGLEFINANCE($C631, ""price"", WORKDAY(INT($B631), 1)), 2, 2), """")=""""), """", IF($D631=""LONG"", (IFERROR(INDEX(GOOGLEFINANCE($C631, ""price"", WORKDAY(INT($B631), 1)), 2, 2), """")-$G631)/$G631, ($G631-IFE"&amp;"RROR(INDEX(GOOGLEFINANCE($C631, ""price"", WORKDAY(INT($B631), 1)), 2, 2), """"))/$G631)), """")"),"")</f>
        <v/>
      </c>
      <c r="O631" s="47" t="str">
        <f>IFERROR(__xludf.DUMMYFUNCTION("IFERROR(IF(OR(ISBLANK($G631), IFERROR(INDEX(GOOGLEFINANCE($C631, ""price"", WORKDAY(INT($B631), 5)), 2, 2), """")=""""), """", IF($D631=""LONG"", (IFERROR(INDEX(GOOGLEFINANCE($C631, ""price"", WORKDAY(INT($B631), 5)), 2, 2), """")-$G631)/$G631, ($G631-IFE"&amp;"RROR(INDEX(GOOGLEFINANCE($C631, ""price"", WORKDAY(INT($B631), 5)), 2, 2), """"))/$G631)), """")"),"")</f>
        <v/>
      </c>
      <c r="P631" s="47" t="str">
        <f>IFERROR(__xludf.DUMMYFUNCTION("IFERROR(IF(OR(ISBLANK($G631), IFERROR(INDEX(GOOGLEFINANCE($C631, ""price"", WORKDAY(INT($B631), 20)), 2, 2), """")=""""), """", IF($D631=""LONG"", (IFERROR(INDEX(GOOGLEFINANCE($C631, ""price"", WORKDAY(INT($B631), 20)), 2, 2), """")-$G631)/$G631, ($G631-I"&amp;"FERROR(INDEX(GOOGLEFINANCE($C631, ""price"", WORKDAY(INT($B631), 20)), 2, 2), """"))/$G631)), """")"),"")</f>
        <v/>
      </c>
      <c r="Q631" s="44"/>
      <c r="R631" s="44"/>
      <c r="S631" s="44"/>
      <c r="T631" s="44"/>
      <c r="U631" s="44"/>
      <c r="V631" s="44"/>
      <c r="W631" s="44"/>
      <c r="X631" s="44"/>
      <c r="Y631" s="44"/>
      <c r="Z631" s="44"/>
    </row>
    <row r="632">
      <c r="A632" s="44"/>
      <c r="B632" s="45"/>
      <c r="C632" s="44"/>
      <c r="D632" s="44"/>
      <c r="E632" s="44"/>
      <c r="F632" s="44"/>
      <c r="G632" s="46"/>
      <c r="H632" s="44"/>
      <c r="I632" s="44"/>
      <c r="J632" s="44"/>
      <c r="K632" s="44"/>
      <c r="L632" s="46" t="str">
        <f>IFERROR(__xludf.DUMMYFUNCTION("IFERROR(IF(ISBLANK($C632), """", GOOGLEFINANCE($C632, ""price"")), """")"),"")</f>
        <v/>
      </c>
      <c r="M632" s="47" t="str">
        <f t="shared" si="3"/>
        <v/>
      </c>
      <c r="N632" s="47" t="str">
        <f>IFERROR(__xludf.DUMMYFUNCTION("IFERROR(IF(OR(ISBLANK($G632), IFERROR(INDEX(GOOGLEFINANCE($C632, ""price"", WORKDAY(INT($B632), 1)), 2, 2), """")=""""), """", IF($D632=""LONG"", (IFERROR(INDEX(GOOGLEFINANCE($C632, ""price"", WORKDAY(INT($B632), 1)), 2, 2), """")-$G632)/$G632, ($G632-IFE"&amp;"RROR(INDEX(GOOGLEFINANCE($C632, ""price"", WORKDAY(INT($B632), 1)), 2, 2), """"))/$G632)), """")"),"")</f>
        <v/>
      </c>
      <c r="O632" s="47" t="str">
        <f>IFERROR(__xludf.DUMMYFUNCTION("IFERROR(IF(OR(ISBLANK($G632), IFERROR(INDEX(GOOGLEFINANCE($C632, ""price"", WORKDAY(INT($B632), 5)), 2, 2), """")=""""), """", IF($D632=""LONG"", (IFERROR(INDEX(GOOGLEFINANCE($C632, ""price"", WORKDAY(INT($B632), 5)), 2, 2), """")-$G632)/$G632, ($G632-IFE"&amp;"RROR(INDEX(GOOGLEFINANCE($C632, ""price"", WORKDAY(INT($B632), 5)), 2, 2), """"))/$G632)), """")"),"")</f>
        <v/>
      </c>
      <c r="P632" s="47" t="str">
        <f>IFERROR(__xludf.DUMMYFUNCTION("IFERROR(IF(OR(ISBLANK($G632), IFERROR(INDEX(GOOGLEFINANCE($C632, ""price"", WORKDAY(INT($B632), 20)), 2, 2), """")=""""), """", IF($D632=""LONG"", (IFERROR(INDEX(GOOGLEFINANCE($C632, ""price"", WORKDAY(INT($B632), 20)), 2, 2), """")-$G632)/$G632, ($G632-I"&amp;"FERROR(INDEX(GOOGLEFINANCE($C632, ""price"", WORKDAY(INT($B632), 20)), 2, 2), """"))/$G632)), """")"),"")</f>
        <v/>
      </c>
      <c r="Q632" s="44"/>
      <c r="R632" s="44"/>
      <c r="S632" s="44"/>
      <c r="T632" s="44"/>
      <c r="U632" s="44"/>
      <c r="V632" s="44"/>
      <c r="W632" s="44"/>
      <c r="X632" s="44"/>
      <c r="Y632" s="44"/>
      <c r="Z632" s="44"/>
    </row>
    <row r="633">
      <c r="A633" s="44"/>
      <c r="B633" s="45"/>
      <c r="C633" s="44"/>
      <c r="D633" s="44"/>
      <c r="E633" s="44"/>
      <c r="F633" s="44"/>
      <c r="G633" s="46"/>
      <c r="H633" s="44"/>
      <c r="I633" s="44"/>
      <c r="J633" s="44"/>
      <c r="K633" s="44"/>
      <c r="L633" s="46" t="str">
        <f>IFERROR(__xludf.DUMMYFUNCTION("IFERROR(IF(ISBLANK($C633), """", GOOGLEFINANCE($C633, ""price"")), """")"),"")</f>
        <v/>
      </c>
      <c r="M633" s="47" t="str">
        <f t="shared" si="3"/>
        <v/>
      </c>
      <c r="N633" s="47" t="str">
        <f>IFERROR(__xludf.DUMMYFUNCTION("IFERROR(IF(OR(ISBLANK($G633), IFERROR(INDEX(GOOGLEFINANCE($C633, ""price"", WORKDAY(INT($B633), 1)), 2, 2), """")=""""), """", IF($D633=""LONG"", (IFERROR(INDEX(GOOGLEFINANCE($C633, ""price"", WORKDAY(INT($B633), 1)), 2, 2), """")-$G633)/$G633, ($G633-IFE"&amp;"RROR(INDEX(GOOGLEFINANCE($C633, ""price"", WORKDAY(INT($B633), 1)), 2, 2), """"))/$G633)), """")"),"")</f>
        <v/>
      </c>
      <c r="O633" s="47" t="str">
        <f>IFERROR(__xludf.DUMMYFUNCTION("IFERROR(IF(OR(ISBLANK($G633), IFERROR(INDEX(GOOGLEFINANCE($C633, ""price"", WORKDAY(INT($B633), 5)), 2, 2), """")=""""), """", IF($D633=""LONG"", (IFERROR(INDEX(GOOGLEFINANCE($C633, ""price"", WORKDAY(INT($B633), 5)), 2, 2), """")-$G633)/$G633, ($G633-IFE"&amp;"RROR(INDEX(GOOGLEFINANCE($C633, ""price"", WORKDAY(INT($B633), 5)), 2, 2), """"))/$G633)), """")"),"")</f>
        <v/>
      </c>
      <c r="P633" s="47" t="str">
        <f>IFERROR(__xludf.DUMMYFUNCTION("IFERROR(IF(OR(ISBLANK($G633), IFERROR(INDEX(GOOGLEFINANCE($C633, ""price"", WORKDAY(INT($B633), 20)), 2, 2), """")=""""), """", IF($D633=""LONG"", (IFERROR(INDEX(GOOGLEFINANCE($C633, ""price"", WORKDAY(INT($B633), 20)), 2, 2), """")-$G633)/$G633, ($G633-I"&amp;"FERROR(INDEX(GOOGLEFINANCE($C633, ""price"", WORKDAY(INT($B633), 20)), 2, 2), """"))/$G633)), """")"),"")</f>
        <v/>
      </c>
      <c r="Q633" s="44"/>
      <c r="R633" s="44"/>
      <c r="S633" s="44"/>
      <c r="T633" s="44"/>
      <c r="U633" s="44"/>
      <c r="V633" s="44"/>
      <c r="W633" s="44"/>
      <c r="X633" s="44"/>
      <c r="Y633" s="44"/>
      <c r="Z633" s="44"/>
    </row>
    <row r="634">
      <c r="A634" s="44"/>
      <c r="B634" s="45"/>
      <c r="C634" s="44"/>
      <c r="D634" s="44"/>
      <c r="E634" s="44"/>
      <c r="F634" s="44"/>
      <c r="G634" s="46"/>
      <c r="H634" s="44"/>
      <c r="I634" s="44"/>
      <c r="J634" s="44"/>
      <c r="K634" s="44"/>
      <c r="L634" s="46" t="str">
        <f>IFERROR(__xludf.DUMMYFUNCTION("IFERROR(IF(ISBLANK($C634), """", GOOGLEFINANCE($C634, ""price"")), """")"),"")</f>
        <v/>
      </c>
      <c r="M634" s="47" t="str">
        <f t="shared" si="3"/>
        <v/>
      </c>
      <c r="N634" s="47" t="str">
        <f>IFERROR(__xludf.DUMMYFUNCTION("IFERROR(IF(OR(ISBLANK($G634), IFERROR(INDEX(GOOGLEFINANCE($C634, ""price"", WORKDAY(INT($B634), 1)), 2, 2), """")=""""), """", IF($D634=""LONG"", (IFERROR(INDEX(GOOGLEFINANCE($C634, ""price"", WORKDAY(INT($B634), 1)), 2, 2), """")-$G634)/$G634, ($G634-IFE"&amp;"RROR(INDEX(GOOGLEFINANCE($C634, ""price"", WORKDAY(INT($B634), 1)), 2, 2), """"))/$G634)), """")"),"")</f>
        <v/>
      </c>
      <c r="O634" s="47" t="str">
        <f>IFERROR(__xludf.DUMMYFUNCTION("IFERROR(IF(OR(ISBLANK($G634), IFERROR(INDEX(GOOGLEFINANCE($C634, ""price"", WORKDAY(INT($B634), 5)), 2, 2), """")=""""), """", IF($D634=""LONG"", (IFERROR(INDEX(GOOGLEFINANCE($C634, ""price"", WORKDAY(INT($B634), 5)), 2, 2), """")-$G634)/$G634, ($G634-IFE"&amp;"RROR(INDEX(GOOGLEFINANCE($C634, ""price"", WORKDAY(INT($B634), 5)), 2, 2), """"))/$G634)), """")"),"")</f>
        <v/>
      </c>
      <c r="P634" s="47" t="str">
        <f>IFERROR(__xludf.DUMMYFUNCTION("IFERROR(IF(OR(ISBLANK($G634), IFERROR(INDEX(GOOGLEFINANCE($C634, ""price"", WORKDAY(INT($B634), 20)), 2, 2), """")=""""), """", IF($D634=""LONG"", (IFERROR(INDEX(GOOGLEFINANCE($C634, ""price"", WORKDAY(INT($B634), 20)), 2, 2), """")-$G634)/$G634, ($G634-I"&amp;"FERROR(INDEX(GOOGLEFINANCE($C634, ""price"", WORKDAY(INT($B634), 20)), 2, 2), """"))/$G634)), """")"),"")</f>
        <v/>
      </c>
      <c r="Q634" s="44"/>
      <c r="R634" s="44"/>
      <c r="S634" s="44"/>
      <c r="T634" s="44"/>
      <c r="U634" s="44"/>
      <c r="V634" s="44"/>
      <c r="W634" s="44"/>
      <c r="X634" s="44"/>
      <c r="Y634" s="44"/>
      <c r="Z634" s="44"/>
    </row>
    <row r="635">
      <c r="A635" s="44"/>
      <c r="B635" s="45"/>
      <c r="C635" s="44"/>
      <c r="D635" s="44"/>
      <c r="E635" s="44"/>
      <c r="F635" s="44"/>
      <c r="G635" s="46"/>
      <c r="H635" s="44"/>
      <c r="I635" s="44"/>
      <c r="J635" s="44"/>
      <c r="K635" s="44"/>
      <c r="L635" s="46" t="str">
        <f>IFERROR(__xludf.DUMMYFUNCTION("IFERROR(IF(ISBLANK($C635), """", GOOGLEFINANCE($C635, ""price"")), """")"),"")</f>
        <v/>
      </c>
      <c r="M635" s="47" t="str">
        <f t="shared" si="3"/>
        <v/>
      </c>
      <c r="N635" s="47" t="str">
        <f>IFERROR(__xludf.DUMMYFUNCTION("IFERROR(IF(OR(ISBLANK($G635), IFERROR(INDEX(GOOGLEFINANCE($C635, ""price"", WORKDAY(INT($B635), 1)), 2, 2), """")=""""), """", IF($D635=""LONG"", (IFERROR(INDEX(GOOGLEFINANCE($C635, ""price"", WORKDAY(INT($B635), 1)), 2, 2), """")-$G635)/$G635, ($G635-IFE"&amp;"RROR(INDEX(GOOGLEFINANCE($C635, ""price"", WORKDAY(INT($B635), 1)), 2, 2), """"))/$G635)), """")"),"")</f>
        <v/>
      </c>
      <c r="O635" s="47" t="str">
        <f>IFERROR(__xludf.DUMMYFUNCTION("IFERROR(IF(OR(ISBLANK($G635), IFERROR(INDEX(GOOGLEFINANCE($C635, ""price"", WORKDAY(INT($B635), 5)), 2, 2), """")=""""), """", IF($D635=""LONG"", (IFERROR(INDEX(GOOGLEFINANCE($C635, ""price"", WORKDAY(INT($B635), 5)), 2, 2), """")-$G635)/$G635, ($G635-IFE"&amp;"RROR(INDEX(GOOGLEFINANCE($C635, ""price"", WORKDAY(INT($B635), 5)), 2, 2), """"))/$G635)), """")"),"")</f>
        <v/>
      </c>
      <c r="P635" s="47" t="str">
        <f>IFERROR(__xludf.DUMMYFUNCTION("IFERROR(IF(OR(ISBLANK($G635), IFERROR(INDEX(GOOGLEFINANCE($C635, ""price"", WORKDAY(INT($B635), 20)), 2, 2), """")=""""), """", IF($D635=""LONG"", (IFERROR(INDEX(GOOGLEFINANCE($C635, ""price"", WORKDAY(INT($B635), 20)), 2, 2), """")-$G635)/$G635, ($G635-I"&amp;"FERROR(INDEX(GOOGLEFINANCE($C635, ""price"", WORKDAY(INT($B635), 20)), 2, 2), """"))/$G635)), """")"),"")</f>
        <v/>
      </c>
      <c r="Q635" s="44"/>
      <c r="R635" s="44"/>
      <c r="S635" s="44"/>
      <c r="T635" s="44"/>
      <c r="U635" s="44"/>
      <c r="V635" s="44"/>
      <c r="W635" s="44"/>
      <c r="X635" s="44"/>
      <c r="Y635" s="44"/>
      <c r="Z635" s="44"/>
    </row>
    <row r="636">
      <c r="A636" s="44"/>
      <c r="B636" s="45"/>
      <c r="C636" s="44"/>
      <c r="D636" s="44"/>
      <c r="E636" s="44"/>
      <c r="F636" s="44"/>
      <c r="G636" s="46"/>
      <c r="H636" s="44"/>
      <c r="I636" s="44"/>
      <c r="J636" s="44"/>
      <c r="K636" s="44"/>
      <c r="L636" s="46" t="str">
        <f>IFERROR(__xludf.DUMMYFUNCTION("IFERROR(IF(ISBLANK($C636), """", GOOGLEFINANCE($C636, ""price"")), """")"),"")</f>
        <v/>
      </c>
      <c r="M636" s="47" t="str">
        <f t="shared" si="3"/>
        <v/>
      </c>
      <c r="N636" s="47" t="str">
        <f>IFERROR(__xludf.DUMMYFUNCTION("IFERROR(IF(OR(ISBLANK($G636), IFERROR(INDEX(GOOGLEFINANCE($C636, ""price"", WORKDAY(INT($B636), 1)), 2, 2), """")=""""), """", IF($D636=""LONG"", (IFERROR(INDEX(GOOGLEFINANCE($C636, ""price"", WORKDAY(INT($B636), 1)), 2, 2), """")-$G636)/$G636, ($G636-IFE"&amp;"RROR(INDEX(GOOGLEFINANCE($C636, ""price"", WORKDAY(INT($B636), 1)), 2, 2), """"))/$G636)), """")"),"")</f>
        <v/>
      </c>
      <c r="O636" s="47" t="str">
        <f>IFERROR(__xludf.DUMMYFUNCTION("IFERROR(IF(OR(ISBLANK($G636), IFERROR(INDEX(GOOGLEFINANCE($C636, ""price"", WORKDAY(INT($B636), 5)), 2, 2), """")=""""), """", IF($D636=""LONG"", (IFERROR(INDEX(GOOGLEFINANCE($C636, ""price"", WORKDAY(INT($B636), 5)), 2, 2), """")-$G636)/$G636, ($G636-IFE"&amp;"RROR(INDEX(GOOGLEFINANCE($C636, ""price"", WORKDAY(INT($B636), 5)), 2, 2), """"))/$G636)), """")"),"")</f>
        <v/>
      </c>
      <c r="P636" s="47" t="str">
        <f>IFERROR(__xludf.DUMMYFUNCTION("IFERROR(IF(OR(ISBLANK($G636), IFERROR(INDEX(GOOGLEFINANCE($C636, ""price"", WORKDAY(INT($B636), 20)), 2, 2), """")=""""), """", IF($D636=""LONG"", (IFERROR(INDEX(GOOGLEFINANCE($C636, ""price"", WORKDAY(INT($B636), 20)), 2, 2), """")-$G636)/$G636, ($G636-I"&amp;"FERROR(INDEX(GOOGLEFINANCE($C636, ""price"", WORKDAY(INT($B636), 20)), 2, 2), """"))/$G636)), """")"),"")</f>
        <v/>
      </c>
      <c r="Q636" s="44"/>
      <c r="R636" s="44"/>
      <c r="S636" s="44"/>
      <c r="T636" s="44"/>
      <c r="U636" s="44"/>
      <c r="V636" s="44"/>
      <c r="W636" s="44"/>
      <c r="X636" s="44"/>
      <c r="Y636" s="44"/>
      <c r="Z636" s="44"/>
    </row>
    <row r="637">
      <c r="A637" s="44"/>
      <c r="B637" s="45"/>
      <c r="C637" s="44"/>
      <c r="D637" s="44"/>
      <c r="E637" s="44"/>
      <c r="F637" s="44"/>
      <c r="G637" s="46"/>
      <c r="H637" s="44"/>
      <c r="I637" s="44"/>
      <c r="J637" s="44"/>
      <c r="K637" s="44"/>
      <c r="L637" s="46" t="str">
        <f>IFERROR(__xludf.DUMMYFUNCTION("IFERROR(IF(ISBLANK($C637), """", GOOGLEFINANCE($C637, ""price"")), """")"),"")</f>
        <v/>
      </c>
      <c r="M637" s="47" t="str">
        <f t="shared" si="3"/>
        <v/>
      </c>
      <c r="N637" s="47" t="str">
        <f>IFERROR(__xludf.DUMMYFUNCTION("IFERROR(IF(OR(ISBLANK($G637), IFERROR(INDEX(GOOGLEFINANCE($C637, ""price"", WORKDAY(INT($B637), 1)), 2, 2), """")=""""), """", IF($D637=""LONG"", (IFERROR(INDEX(GOOGLEFINANCE($C637, ""price"", WORKDAY(INT($B637), 1)), 2, 2), """")-$G637)/$G637, ($G637-IFE"&amp;"RROR(INDEX(GOOGLEFINANCE($C637, ""price"", WORKDAY(INT($B637), 1)), 2, 2), """"))/$G637)), """")"),"")</f>
        <v/>
      </c>
      <c r="O637" s="47" t="str">
        <f>IFERROR(__xludf.DUMMYFUNCTION("IFERROR(IF(OR(ISBLANK($G637), IFERROR(INDEX(GOOGLEFINANCE($C637, ""price"", WORKDAY(INT($B637), 5)), 2, 2), """")=""""), """", IF($D637=""LONG"", (IFERROR(INDEX(GOOGLEFINANCE($C637, ""price"", WORKDAY(INT($B637), 5)), 2, 2), """")-$G637)/$G637, ($G637-IFE"&amp;"RROR(INDEX(GOOGLEFINANCE($C637, ""price"", WORKDAY(INT($B637), 5)), 2, 2), """"))/$G637)), """")"),"")</f>
        <v/>
      </c>
      <c r="P637" s="47" t="str">
        <f>IFERROR(__xludf.DUMMYFUNCTION("IFERROR(IF(OR(ISBLANK($G637), IFERROR(INDEX(GOOGLEFINANCE($C637, ""price"", WORKDAY(INT($B637), 20)), 2, 2), """")=""""), """", IF($D637=""LONG"", (IFERROR(INDEX(GOOGLEFINANCE($C637, ""price"", WORKDAY(INT($B637), 20)), 2, 2), """")-$G637)/$G637, ($G637-I"&amp;"FERROR(INDEX(GOOGLEFINANCE($C637, ""price"", WORKDAY(INT($B637), 20)), 2, 2), """"))/$G637)), """")"),"")</f>
        <v/>
      </c>
      <c r="Q637" s="44"/>
      <c r="R637" s="44"/>
      <c r="S637" s="44"/>
      <c r="T637" s="44"/>
      <c r="U637" s="44"/>
      <c r="V637" s="44"/>
      <c r="W637" s="44"/>
      <c r="X637" s="44"/>
      <c r="Y637" s="44"/>
      <c r="Z637" s="44"/>
    </row>
    <row r="638">
      <c r="A638" s="44"/>
      <c r="B638" s="45"/>
      <c r="C638" s="44"/>
      <c r="D638" s="44"/>
      <c r="E638" s="44"/>
      <c r="F638" s="44"/>
      <c r="G638" s="46"/>
      <c r="H638" s="44"/>
      <c r="I638" s="44"/>
      <c r="J638" s="44"/>
      <c r="K638" s="44"/>
      <c r="L638" s="46" t="str">
        <f>IFERROR(__xludf.DUMMYFUNCTION("IFERROR(IF(ISBLANK($C638), """", GOOGLEFINANCE($C638, ""price"")), """")"),"")</f>
        <v/>
      </c>
      <c r="M638" s="47" t="str">
        <f t="shared" si="3"/>
        <v/>
      </c>
      <c r="N638" s="47" t="str">
        <f>IFERROR(__xludf.DUMMYFUNCTION("IFERROR(IF(OR(ISBLANK($G638), IFERROR(INDEX(GOOGLEFINANCE($C638, ""price"", WORKDAY(INT($B638), 1)), 2, 2), """")=""""), """", IF($D638=""LONG"", (IFERROR(INDEX(GOOGLEFINANCE($C638, ""price"", WORKDAY(INT($B638), 1)), 2, 2), """")-$G638)/$G638, ($G638-IFE"&amp;"RROR(INDEX(GOOGLEFINANCE($C638, ""price"", WORKDAY(INT($B638), 1)), 2, 2), """"))/$G638)), """")"),"")</f>
        <v/>
      </c>
      <c r="O638" s="47" t="str">
        <f>IFERROR(__xludf.DUMMYFUNCTION("IFERROR(IF(OR(ISBLANK($G638), IFERROR(INDEX(GOOGLEFINANCE($C638, ""price"", WORKDAY(INT($B638), 5)), 2, 2), """")=""""), """", IF($D638=""LONG"", (IFERROR(INDEX(GOOGLEFINANCE($C638, ""price"", WORKDAY(INT($B638), 5)), 2, 2), """")-$G638)/$G638, ($G638-IFE"&amp;"RROR(INDEX(GOOGLEFINANCE($C638, ""price"", WORKDAY(INT($B638), 5)), 2, 2), """"))/$G638)), """")"),"")</f>
        <v/>
      </c>
      <c r="P638" s="47" t="str">
        <f>IFERROR(__xludf.DUMMYFUNCTION("IFERROR(IF(OR(ISBLANK($G638), IFERROR(INDEX(GOOGLEFINANCE($C638, ""price"", WORKDAY(INT($B638), 20)), 2, 2), """")=""""), """", IF($D638=""LONG"", (IFERROR(INDEX(GOOGLEFINANCE($C638, ""price"", WORKDAY(INT($B638), 20)), 2, 2), """")-$G638)/$G638, ($G638-I"&amp;"FERROR(INDEX(GOOGLEFINANCE($C638, ""price"", WORKDAY(INT($B638), 20)), 2, 2), """"))/$G638)), """")"),"")</f>
        <v/>
      </c>
      <c r="Q638" s="44"/>
      <c r="R638" s="44"/>
      <c r="S638" s="44"/>
      <c r="T638" s="44"/>
      <c r="U638" s="44"/>
      <c r="V638" s="44"/>
      <c r="W638" s="44"/>
      <c r="X638" s="44"/>
      <c r="Y638" s="44"/>
      <c r="Z638" s="44"/>
    </row>
    <row r="639">
      <c r="A639" s="44"/>
      <c r="B639" s="45"/>
      <c r="C639" s="44"/>
      <c r="D639" s="44"/>
      <c r="E639" s="44"/>
      <c r="F639" s="44"/>
      <c r="G639" s="46"/>
      <c r="H639" s="44"/>
      <c r="I639" s="44"/>
      <c r="J639" s="44"/>
      <c r="K639" s="44"/>
      <c r="L639" s="46" t="str">
        <f>IFERROR(__xludf.DUMMYFUNCTION("IFERROR(IF(ISBLANK($C639), """", GOOGLEFINANCE($C639, ""price"")), """")"),"")</f>
        <v/>
      </c>
      <c r="M639" s="47" t="str">
        <f t="shared" si="3"/>
        <v/>
      </c>
      <c r="N639" s="47" t="str">
        <f>IFERROR(__xludf.DUMMYFUNCTION("IFERROR(IF(OR(ISBLANK($G639), IFERROR(INDEX(GOOGLEFINANCE($C639, ""price"", WORKDAY(INT($B639), 1)), 2, 2), """")=""""), """", IF($D639=""LONG"", (IFERROR(INDEX(GOOGLEFINANCE($C639, ""price"", WORKDAY(INT($B639), 1)), 2, 2), """")-$G639)/$G639, ($G639-IFE"&amp;"RROR(INDEX(GOOGLEFINANCE($C639, ""price"", WORKDAY(INT($B639), 1)), 2, 2), """"))/$G639)), """")"),"")</f>
        <v/>
      </c>
      <c r="O639" s="47" t="str">
        <f>IFERROR(__xludf.DUMMYFUNCTION("IFERROR(IF(OR(ISBLANK($G639), IFERROR(INDEX(GOOGLEFINANCE($C639, ""price"", WORKDAY(INT($B639), 5)), 2, 2), """")=""""), """", IF($D639=""LONG"", (IFERROR(INDEX(GOOGLEFINANCE($C639, ""price"", WORKDAY(INT($B639), 5)), 2, 2), """")-$G639)/$G639, ($G639-IFE"&amp;"RROR(INDEX(GOOGLEFINANCE($C639, ""price"", WORKDAY(INT($B639), 5)), 2, 2), """"))/$G639)), """")"),"")</f>
        <v/>
      </c>
      <c r="P639" s="47" t="str">
        <f>IFERROR(__xludf.DUMMYFUNCTION("IFERROR(IF(OR(ISBLANK($G639), IFERROR(INDEX(GOOGLEFINANCE($C639, ""price"", WORKDAY(INT($B639), 20)), 2, 2), """")=""""), """", IF($D639=""LONG"", (IFERROR(INDEX(GOOGLEFINANCE($C639, ""price"", WORKDAY(INT($B639), 20)), 2, 2), """")-$G639)/$G639, ($G639-I"&amp;"FERROR(INDEX(GOOGLEFINANCE($C639, ""price"", WORKDAY(INT($B639), 20)), 2, 2), """"))/$G639)), """")"),"")</f>
        <v/>
      </c>
      <c r="Q639" s="44"/>
      <c r="R639" s="44"/>
      <c r="S639" s="44"/>
      <c r="T639" s="44"/>
      <c r="U639" s="44"/>
      <c r="V639" s="44"/>
      <c r="W639" s="44"/>
      <c r="X639" s="44"/>
      <c r="Y639" s="44"/>
      <c r="Z639" s="44"/>
    </row>
    <row r="640">
      <c r="A640" s="44"/>
      <c r="B640" s="45"/>
      <c r="C640" s="44"/>
      <c r="D640" s="44"/>
      <c r="E640" s="44"/>
      <c r="F640" s="44"/>
      <c r="G640" s="46"/>
      <c r="H640" s="44"/>
      <c r="I640" s="44"/>
      <c r="J640" s="44"/>
      <c r="K640" s="44"/>
      <c r="L640" s="46" t="str">
        <f>IFERROR(__xludf.DUMMYFUNCTION("IFERROR(IF(ISBLANK($C640), """", GOOGLEFINANCE($C640, ""price"")), """")"),"")</f>
        <v/>
      </c>
      <c r="M640" s="47" t="str">
        <f t="shared" si="3"/>
        <v/>
      </c>
      <c r="N640" s="47" t="str">
        <f>IFERROR(__xludf.DUMMYFUNCTION("IFERROR(IF(OR(ISBLANK($G640), IFERROR(INDEX(GOOGLEFINANCE($C640, ""price"", WORKDAY(INT($B640), 1)), 2, 2), """")=""""), """", IF($D640=""LONG"", (IFERROR(INDEX(GOOGLEFINANCE($C640, ""price"", WORKDAY(INT($B640), 1)), 2, 2), """")-$G640)/$G640, ($G640-IFE"&amp;"RROR(INDEX(GOOGLEFINANCE($C640, ""price"", WORKDAY(INT($B640), 1)), 2, 2), """"))/$G640)), """")"),"")</f>
        <v/>
      </c>
      <c r="O640" s="47" t="str">
        <f>IFERROR(__xludf.DUMMYFUNCTION("IFERROR(IF(OR(ISBLANK($G640), IFERROR(INDEX(GOOGLEFINANCE($C640, ""price"", WORKDAY(INT($B640), 5)), 2, 2), """")=""""), """", IF($D640=""LONG"", (IFERROR(INDEX(GOOGLEFINANCE($C640, ""price"", WORKDAY(INT($B640), 5)), 2, 2), """")-$G640)/$G640, ($G640-IFE"&amp;"RROR(INDEX(GOOGLEFINANCE($C640, ""price"", WORKDAY(INT($B640), 5)), 2, 2), """"))/$G640)), """")"),"")</f>
        <v/>
      </c>
      <c r="P640" s="47" t="str">
        <f>IFERROR(__xludf.DUMMYFUNCTION("IFERROR(IF(OR(ISBLANK($G640), IFERROR(INDEX(GOOGLEFINANCE($C640, ""price"", WORKDAY(INT($B640), 20)), 2, 2), """")=""""), """", IF($D640=""LONG"", (IFERROR(INDEX(GOOGLEFINANCE($C640, ""price"", WORKDAY(INT($B640), 20)), 2, 2), """")-$G640)/$G640, ($G640-I"&amp;"FERROR(INDEX(GOOGLEFINANCE($C640, ""price"", WORKDAY(INT($B640), 20)), 2, 2), """"))/$G640)), """")"),"")</f>
        <v/>
      </c>
      <c r="Q640" s="44"/>
      <c r="R640" s="44"/>
      <c r="S640" s="44"/>
      <c r="T640" s="44"/>
      <c r="U640" s="44"/>
      <c r="V640" s="44"/>
      <c r="W640" s="44"/>
      <c r="X640" s="44"/>
      <c r="Y640" s="44"/>
      <c r="Z640" s="44"/>
    </row>
    <row r="641">
      <c r="A641" s="44"/>
      <c r="B641" s="45"/>
      <c r="C641" s="44"/>
      <c r="D641" s="44"/>
      <c r="E641" s="44"/>
      <c r="F641" s="44"/>
      <c r="G641" s="46"/>
      <c r="H641" s="44"/>
      <c r="I641" s="44"/>
      <c r="J641" s="44"/>
      <c r="K641" s="44"/>
      <c r="L641" s="46" t="str">
        <f>IFERROR(__xludf.DUMMYFUNCTION("IFERROR(IF(ISBLANK($C641), """", GOOGLEFINANCE($C641, ""price"")), """")"),"")</f>
        <v/>
      </c>
      <c r="M641" s="47" t="str">
        <f t="shared" si="3"/>
        <v/>
      </c>
      <c r="N641" s="47" t="str">
        <f>IFERROR(__xludf.DUMMYFUNCTION("IFERROR(IF(OR(ISBLANK($G641), IFERROR(INDEX(GOOGLEFINANCE($C641, ""price"", WORKDAY(INT($B641), 1)), 2, 2), """")=""""), """", IF($D641=""LONG"", (IFERROR(INDEX(GOOGLEFINANCE($C641, ""price"", WORKDAY(INT($B641), 1)), 2, 2), """")-$G641)/$G641, ($G641-IFE"&amp;"RROR(INDEX(GOOGLEFINANCE($C641, ""price"", WORKDAY(INT($B641), 1)), 2, 2), """"))/$G641)), """")"),"")</f>
        <v/>
      </c>
      <c r="O641" s="47" t="str">
        <f>IFERROR(__xludf.DUMMYFUNCTION("IFERROR(IF(OR(ISBLANK($G641), IFERROR(INDEX(GOOGLEFINANCE($C641, ""price"", WORKDAY(INT($B641), 5)), 2, 2), """")=""""), """", IF($D641=""LONG"", (IFERROR(INDEX(GOOGLEFINANCE($C641, ""price"", WORKDAY(INT($B641), 5)), 2, 2), """")-$G641)/$G641, ($G641-IFE"&amp;"RROR(INDEX(GOOGLEFINANCE($C641, ""price"", WORKDAY(INT($B641), 5)), 2, 2), """"))/$G641)), """")"),"")</f>
        <v/>
      </c>
      <c r="P641" s="47" t="str">
        <f>IFERROR(__xludf.DUMMYFUNCTION("IFERROR(IF(OR(ISBLANK($G641), IFERROR(INDEX(GOOGLEFINANCE($C641, ""price"", WORKDAY(INT($B641), 20)), 2, 2), """")=""""), """", IF($D641=""LONG"", (IFERROR(INDEX(GOOGLEFINANCE($C641, ""price"", WORKDAY(INT($B641), 20)), 2, 2), """")-$G641)/$G641, ($G641-I"&amp;"FERROR(INDEX(GOOGLEFINANCE($C641, ""price"", WORKDAY(INT($B641), 20)), 2, 2), """"))/$G641)), """")"),"")</f>
        <v/>
      </c>
      <c r="Q641" s="44"/>
      <c r="R641" s="44"/>
      <c r="S641" s="44"/>
      <c r="T641" s="44"/>
      <c r="U641" s="44"/>
      <c r="V641" s="44"/>
      <c r="W641" s="44"/>
      <c r="X641" s="44"/>
      <c r="Y641" s="44"/>
      <c r="Z641" s="44"/>
    </row>
    <row r="642">
      <c r="A642" s="44"/>
      <c r="B642" s="45"/>
      <c r="C642" s="44"/>
      <c r="D642" s="44"/>
      <c r="E642" s="44"/>
      <c r="F642" s="44"/>
      <c r="G642" s="46"/>
      <c r="H642" s="44"/>
      <c r="I642" s="44"/>
      <c r="J642" s="44"/>
      <c r="K642" s="44"/>
      <c r="L642" s="46" t="str">
        <f>IFERROR(__xludf.DUMMYFUNCTION("IFERROR(IF(ISBLANK($C642), """", GOOGLEFINANCE($C642, ""price"")), """")"),"")</f>
        <v/>
      </c>
      <c r="M642" s="47" t="str">
        <f t="shared" si="3"/>
        <v/>
      </c>
      <c r="N642" s="47" t="str">
        <f>IFERROR(__xludf.DUMMYFUNCTION("IFERROR(IF(OR(ISBLANK($G642), IFERROR(INDEX(GOOGLEFINANCE($C642, ""price"", WORKDAY(INT($B642), 1)), 2, 2), """")=""""), """", IF($D642=""LONG"", (IFERROR(INDEX(GOOGLEFINANCE($C642, ""price"", WORKDAY(INT($B642), 1)), 2, 2), """")-$G642)/$G642, ($G642-IFE"&amp;"RROR(INDEX(GOOGLEFINANCE($C642, ""price"", WORKDAY(INT($B642), 1)), 2, 2), """"))/$G642)), """")"),"")</f>
        <v/>
      </c>
      <c r="O642" s="47" t="str">
        <f>IFERROR(__xludf.DUMMYFUNCTION("IFERROR(IF(OR(ISBLANK($G642), IFERROR(INDEX(GOOGLEFINANCE($C642, ""price"", WORKDAY(INT($B642), 5)), 2, 2), """")=""""), """", IF($D642=""LONG"", (IFERROR(INDEX(GOOGLEFINANCE($C642, ""price"", WORKDAY(INT($B642), 5)), 2, 2), """")-$G642)/$G642, ($G642-IFE"&amp;"RROR(INDEX(GOOGLEFINANCE($C642, ""price"", WORKDAY(INT($B642), 5)), 2, 2), """"))/$G642)), """")"),"")</f>
        <v/>
      </c>
      <c r="P642" s="47" t="str">
        <f>IFERROR(__xludf.DUMMYFUNCTION("IFERROR(IF(OR(ISBLANK($G642), IFERROR(INDEX(GOOGLEFINANCE($C642, ""price"", WORKDAY(INT($B642), 20)), 2, 2), """")=""""), """", IF($D642=""LONG"", (IFERROR(INDEX(GOOGLEFINANCE($C642, ""price"", WORKDAY(INT($B642), 20)), 2, 2), """")-$G642)/$G642, ($G642-I"&amp;"FERROR(INDEX(GOOGLEFINANCE($C642, ""price"", WORKDAY(INT($B642), 20)), 2, 2), """"))/$G642)), """")"),"")</f>
        <v/>
      </c>
      <c r="Q642" s="44"/>
      <c r="R642" s="44"/>
      <c r="S642" s="44"/>
      <c r="T642" s="44"/>
      <c r="U642" s="44"/>
      <c r="V642" s="44"/>
      <c r="W642" s="44"/>
      <c r="X642" s="44"/>
      <c r="Y642" s="44"/>
      <c r="Z642" s="44"/>
    </row>
    <row r="643">
      <c r="A643" s="44"/>
      <c r="B643" s="45"/>
      <c r="C643" s="44"/>
      <c r="D643" s="44"/>
      <c r="E643" s="44"/>
      <c r="F643" s="44"/>
      <c r="G643" s="46"/>
      <c r="H643" s="44"/>
      <c r="I643" s="44"/>
      <c r="J643" s="44"/>
      <c r="K643" s="44"/>
      <c r="L643" s="46" t="str">
        <f>IFERROR(__xludf.DUMMYFUNCTION("IFERROR(IF(ISBLANK($C643), """", GOOGLEFINANCE($C643, ""price"")), """")"),"")</f>
        <v/>
      </c>
      <c r="M643" s="47" t="str">
        <f t="shared" si="3"/>
        <v/>
      </c>
      <c r="N643" s="47" t="str">
        <f>IFERROR(__xludf.DUMMYFUNCTION("IFERROR(IF(OR(ISBLANK($G643), IFERROR(INDEX(GOOGLEFINANCE($C643, ""price"", WORKDAY(INT($B643), 1)), 2, 2), """")=""""), """", IF($D643=""LONG"", (IFERROR(INDEX(GOOGLEFINANCE($C643, ""price"", WORKDAY(INT($B643), 1)), 2, 2), """")-$G643)/$G643, ($G643-IFE"&amp;"RROR(INDEX(GOOGLEFINANCE($C643, ""price"", WORKDAY(INT($B643), 1)), 2, 2), """"))/$G643)), """")"),"")</f>
        <v/>
      </c>
      <c r="O643" s="47" t="str">
        <f>IFERROR(__xludf.DUMMYFUNCTION("IFERROR(IF(OR(ISBLANK($G643), IFERROR(INDEX(GOOGLEFINANCE($C643, ""price"", WORKDAY(INT($B643), 5)), 2, 2), """")=""""), """", IF($D643=""LONG"", (IFERROR(INDEX(GOOGLEFINANCE($C643, ""price"", WORKDAY(INT($B643), 5)), 2, 2), """")-$G643)/$G643, ($G643-IFE"&amp;"RROR(INDEX(GOOGLEFINANCE($C643, ""price"", WORKDAY(INT($B643), 5)), 2, 2), """"))/$G643)), """")"),"")</f>
        <v/>
      </c>
      <c r="P643" s="47" t="str">
        <f>IFERROR(__xludf.DUMMYFUNCTION("IFERROR(IF(OR(ISBLANK($G643), IFERROR(INDEX(GOOGLEFINANCE($C643, ""price"", WORKDAY(INT($B643), 20)), 2, 2), """")=""""), """", IF($D643=""LONG"", (IFERROR(INDEX(GOOGLEFINANCE($C643, ""price"", WORKDAY(INT($B643), 20)), 2, 2), """")-$G643)/$G643, ($G643-I"&amp;"FERROR(INDEX(GOOGLEFINANCE($C643, ""price"", WORKDAY(INT($B643), 20)), 2, 2), """"))/$G643)), """")"),"")</f>
        <v/>
      </c>
      <c r="Q643" s="44"/>
      <c r="R643" s="44"/>
      <c r="S643" s="44"/>
      <c r="T643" s="44"/>
      <c r="U643" s="44"/>
      <c r="V643" s="44"/>
      <c r="W643" s="44"/>
      <c r="X643" s="44"/>
      <c r="Y643" s="44"/>
      <c r="Z643" s="44"/>
    </row>
    <row r="644">
      <c r="A644" s="44"/>
      <c r="B644" s="45"/>
      <c r="C644" s="44"/>
      <c r="D644" s="44"/>
      <c r="E644" s="44"/>
      <c r="F644" s="44"/>
      <c r="G644" s="46"/>
      <c r="H644" s="44"/>
      <c r="I644" s="44"/>
      <c r="J644" s="44"/>
      <c r="K644" s="44"/>
      <c r="L644" s="46" t="str">
        <f>IFERROR(__xludf.DUMMYFUNCTION("IFERROR(IF(ISBLANK($C644), """", GOOGLEFINANCE($C644, ""price"")), """")"),"")</f>
        <v/>
      </c>
      <c r="M644" s="47" t="str">
        <f t="shared" si="3"/>
        <v/>
      </c>
      <c r="N644" s="47" t="str">
        <f>IFERROR(__xludf.DUMMYFUNCTION("IFERROR(IF(OR(ISBLANK($G644), IFERROR(INDEX(GOOGLEFINANCE($C644, ""price"", WORKDAY(INT($B644), 1)), 2, 2), """")=""""), """", IF($D644=""LONG"", (IFERROR(INDEX(GOOGLEFINANCE($C644, ""price"", WORKDAY(INT($B644), 1)), 2, 2), """")-$G644)/$G644, ($G644-IFE"&amp;"RROR(INDEX(GOOGLEFINANCE($C644, ""price"", WORKDAY(INT($B644), 1)), 2, 2), """"))/$G644)), """")"),"")</f>
        <v/>
      </c>
      <c r="O644" s="47" t="str">
        <f>IFERROR(__xludf.DUMMYFUNCTION("IFERROR(IF(OR(ISBLANK($G644), IFERROR(INDEX(GOOGLEFINANCE($C644, ""price"", WORKDAY(INT($B644), 5)), 2, 2), """")=""""), """", IF($D644=""LONG"", (IFERROR(INDEX(GOOGLEFINANCE($C644, ""price"", WORKDAY(INT($B644), 5)), 2, 2), """")-$G644)/$G644, ($G644-IFE"&amp;"RROR(INDEX(GOOGLEFINANCE($C644, ""price"", WORKDAY(INT($B644), 5)), 2, 2), """"))/$G644)), """")"),"")</f>
        <v/>
      </c>
      <c r="P644" s="47" t="str">
        <f>IFERROR(__xludf.DUMMYFUNCTION("IFERROR(IF(OR(ISBLANK($G644), IFERROR(INDEX(GOOGLEFINANCE($C644, ""price"", WORKDAY(INT($B644), 20)), 2, 2), """")=""""), """", IF($D644=""LONG"", (IFERROR(INDEX(GOOGLEFINANCE($C644, ""price"", WORKDAY(INT($B644), 20)), 2, 2), """")-$G644)/$G644, ($G644-I"&amp;"FERROR(INDEX(GOOGLEFINANCE($C644, ""price"", WORKDAY(INT($B644), 20)), 2, 2), """"))/$G644)), """")"),"")</f>
        <v/>
      </c>
      <c r="Q644" s="44"/>
      <c r="R644" s="44"/>
      <c r="S644" s="44"/>
      <c r="T644" s="44"/>
      <c r="U644" s="44"/>
      <c r="V644" s="44"/>
      <c r="W644" s="44"/>
      <c r="X644" s="44"/>
      <c r="Y644" s="44"/>
      <c r="Z644" s="44"/>
    </row>
    <row r="645">
      <c r="A645" s="44"/>
      <c r="B645" s="45"/>
      <c r="C645" s="44"/>
      <c r="D645" s="44"/>
      <c r="E645" s="44"/>
      <c r="F645" s="44"/>
      <c r="G645" s="46"/>
      <c r="H645" s="44"/>
      <c r="I645" s="44"/>
      <c r="J645" s="44"/>
      <c r="K645" s="44"/>
      <c r="L645" s="46" t="str">
        <f>IFERROR(__xludf.DUMMYFUNCTION("IFERROR(IF(ISBLANK($C645), """", GOOGLEFINANCE($C645, ""price"")), """")"),"")</f>
        <v/>
      </c>
      <c r="M645" s="47" t="str">
        <f t="shared" si="3"/>
        <v/>
      </c>
      <c r="N645" s="47" t="str">
        <f>IFERROR(__xludf.DUMMYFUNCTION("IFERROR(IF(OR(ISBLANK($G645), IFERROR(INDEX(GOOGLEFINANCE($C645, ""price"", WORKDAY(INT($B645), 1)), 2, 2), """")=""""), """", IF($D645=""LONG"", (IFERROR(INDEX(GOOGLEFINANCE($C645, ""price"", WORKDAY(INT($B645), 1)), 2, 2), """")-$G645)/$G645, ($G645-IFE"&amp;"RROR(INDEX(GOOGLEFINANCE($C645, ""price"", WORKDAY(INT($B645), 1)), 2, 2), """"))/$G645)), """")"),"")</f>
        <v/>
      </c>
      <c r="O645" s="47" t="str">
        <f>IFERROR(__xludf.DUMMYFUNCTION("IFERROR(IF(OR(ISBLANK($G645), IFERROR(INDEX(GOOGLEFINANCE($C645, ""price"", WORKDAY(INT($B645), 5)), 2, 2), """")=""""), """", IF($D645=""LONG"", (IFERROR(INDEX(GOOGLEFINANCE($C645, ""price"", WORKDAY(INT($B645), 5)), 2, 2), """")-$G645)/$G645, ($G645-IFE"&amp;"RROR(INDEX(GOOGLEFINANCE($C645, ""price"", WORKDAY(INT($B645), 5)), 2, 2), """"))/$G645)), """")"),"")</f>
        <v/>
      </c>
      <c r="P645" s="47" t="str">
        <f>IFERROR(__xludf.DUMMYFUNCTION("IFERROR(IF(OR(ISBLANK($G645), IFERROR(INDEX(GOOGLEFINANCE($C645, ""price"", WORKDAY(INT($B645), 20)), 2, 2), """")=""""), """", IF($D645=""LONG"", (IFERROR(INDEX(GOOGLEFINANCE($C645, ""price"", WORKDAY(INT($B645), 20)), 2, 2), """")-$G645)/$G645, ($G645-I"&amp;"FERROR(INDEX(GOOGLEFINANCE($C645, ""price"", WORKDAY(INT($B645), 20)), 2, 2), """"))/$G645)), """")"),"")</f>
        <v/>
      </c>
      <c r="Q645" s="44"/>
      <c r="R645" s="44"/>
      <c r="S645" s="44"/>
      <c r="T645" s="44"/>
      <c r="U645" s="44"/>
      <c r="V645" s="44"/>
      <c r="W645" s="44"/>
      <c r="X645" s="44"/>
      <c r="Y645" s="44"/>
      <c r="Z645" s="44"/>
    </row>
    <row r="646">
      <c r="A646" s="44"/>
      <c r="B646" s="45"/>
      <c r="C646" s="44"/>
      <c r="D646" s="44"/>
      <c r="E646" s="44"/>
      <c r="F646" s="44"/>
      <c r="G646" s="46"/>
      <c r="H646" s="44"/>
      <c r="I646" s="44"/>
      <c r="J646" s="44"/>
      <c r="K646" s="44"/>
      <c r="L646" s="46" t="str">
        <f>IFERROR(__xludf.DUMMYFUNCTION("IFERROR(IF(ISBLANK($C646), """", GOOGLEFINANCE($C646, ""price"")), """")"),"")</f>
        <v/>
      </c>
      <c r="M646" s="47" t="str">
        <f t="shared" si="3"/>
        <v/>
      </c>
      <c r="N646" s="47" t="str">
        <f>IFERROR(__xludf.DUMMYFUNCTION("IFERROR(IF(OR(ISBLANK($G646), IFERROR(INDEX(GOOGLEFINANCE($C646, ""price"", WORKDAY(INT($B646), 1)), 2, 2), """")=""""), """", IF($D646=""LONG"", (IFERROR(INDEX(GOOGLEFINANCE($C646, ""price"", WORKDAY(INT($B646), 1)), 2, 2), """")-$G646)/$G646, ($G646-IFE"&amp;"RROR(INDEX(GOOGLEFINANCE($C646, ""price"", WORKDAY(INT($B646), 1)), 2, 2), """"))/$G646)), """")"),"")</f>
        <v/>
      </c>
      <c r="O646" s="47" t="str">
        <f>IFERROR(__xludf.DUMMYFUNCTION("IFERROR(IF(OR(ISBLANK($G646), IFERROR(INDEX(GOOGLEFINANCE($C646, ""price"", WORKDAY(INT($B646), 5)), 2, 2), """")=""""), """", IF($D646=""LONG"", (IFERROR(INDEX(GOOGLEFINANCE($C646, ""price"", WORKDAY(INT($B646), 5)), 2, 2), """")-$G646)/$G646, ($G646-IFE"&amp;"RROR(INDEX(GOOGLEFINANCE($C646, ""price"", WORKDAY(INT($B646), 5)), 2, 2), """"))/$G646)), """")"),"")</f>
        <v/>
      </c>
      <c r="P646" s="47" t="str">
        <f>IFERROR(__xludf.DUMMYFUNCTION("IFERROR(IF(OR(ISBLANK($G646), IFERROR(INDEX(GOOGLEFINANCE($C646, ""price"", WORKDAY(INT($B646), 20)), 2, 2), """")=""""), """", IF($D646=""LONG"", (IFERROR(INDEX(GOOGLEFINANCE($C646, ""price"", WORKDAY(INT($B646), 20)), 2, 2), """")-$G646)/$G646, ($G646-I"&amp;"FERROR(INDEX(GOOGLEFINANCE($C646, ""price"", WORKDAY(INT($B646), 20)), 2, 2), """"))/$G646)), """")"),"")</f>
        <v/>
      </c>
      <c r="Q646" s="44"/>
      <c r="R646" s="44"/>
      <c r="S646" s="44"/>
      <c r="T646" s="44"/>
      <c r="U646" s="44"/>
      <c r="V646" s="44"/>
      <c r="W646" s="44"/>
      <c r="X646" s="44"/>
      <c r="Y646" s="44"/>
      <c r="Z646" s="44"/>
    </row>
    <row r="647">
      <c r="A647" s="44"/>
      <c r="B647" s="45"/>
      <c r="C647" s="44"/>
      <c r="D647" s="44"/>
      <c r="E647" s="44"/>
      <c r="F647" s="44"/>
      <c r="G647" s="46"/>
      <c r="H647" s="44"/>
      <c r="I647" s="44"/>
      <c r="J647" s="44"/>
      <c r="K647" s="44"/>
      <c r="L647" s="46" t="str">
        <f>IFERROR(__xludf.DUMMYFUNCTION("IFERROR(IF(ISBLANK($C647), """", GOOGLEFINANCE($C647, ""price"")), """")"),"")</f>
        <v/>
      </c>
      <c r="M647" s="47" t="str">
        <f t="shared" si="3"/>
        <v/>
      </c>
      <c r="N647" s="47" t="str">
        <f>IFERROR(__xludf.DUMMYFUNCTION("IFERROR(IF(OR(ISBLANK($G647), IFERROR(INDEX(GOOGLEFINANCE($C647, ""price"", WORKDAY(INT($B647), 1)), 2, 2), """")=""""), """", IF($D647=""LONG"", (IFERROR(INDEX(GOOGLEFINANCE($C647, ""price"", WORKDAY(INT($B647), 1)), 2, 2), """")-$G647)/$G647, ($G647-IFE"&amp;"RROR(INDEX(GOOGLEFINANCE($C647, ""price"", WORKDAY(INT($B647), 1)), 2, 2), """"))/$G647)), """")"),"")</f>
        <v/>
      </c>
      <c r="O647" s="47" t="str">
        <f>IFERROR(__xludf.DUMMYFUNCTION("IFERROR(IF(OR(ISBLANK($G647), IFERROR(INDEX(GOOGLEFINANCE($C647, ""price"", WORKDAY(INT($B647), 5)), 2, 2), """")=""""), """", IF($D647=""LONG"", (IFERROR(INDEX(GOOGLEFINANCE($C647, ""price"", WORKDAY(INT($B647), 5)), 2, 2), """")-$G647)/$G647, ($G647-IFE"&amp;"RROR(INDEX(GOOGLEFINANCE($C647, ""price"", WORKDAY(INT($B647), 5)), 2, 2), """"))/$G647)), """")"),"")</f>
        <v/>
      </c>
      <c r="P647" s="47" t="str">
        <f>IFERROR(__xludf.DUMMYFUNCTION("IFERROR(IF(OR(ISBLANK($G647), IFERROR(INDEX(GOOGLEFINANCE($C647, ""price"", WORKDAY(INT($B647), 20)), 2, 2), """")=""""), """", IF($D647=""LONG"", (IFERROR(INDEX(GOOGLEFINANCE($C647, ""price"", WORKDAY(INT($B647), 20)), 2, 2), """")-$G647)/$G647, ($G647-I"&amp;"FERROR(INDEX(GOOGLEFINANCE($C647, ""price"", WORKDAY(INT($B647), 20)), 2, 2), """"))/$G647)), """")"),"")</f>
        <v/>
      </c>
      <c r="Q647" s="44"/>
      <c r="R647" s="44"/>
      <c r="S647" s="44"/>
      <c r="T647" s="44"/>
      <c r="U647" s="44"/>
      <c r="V647" s="44"/>
      <c r="W647" s="44"/>
      <c r="X647" s="44"/>
      <c r="Y647" s="44"/>
      <c r="Z647" s="44"/>
    </row>
    <row r="648">
      <c r="A648" s="44"/>
      <c r="B648" s="45"/>
      <c r="C648" s="44"/>
      <c r="D648" s="44"/>
      <c r="E648" s="44"/>
      <c r="F648" s="44"/>
      <c r="G648" s="46"/>
      <c r="H648" s="44"/>
      <c r="I648" s="44"/>
      <c r="J648" s="44"/>
      <c r="K648" s="44"/>
      <c r="L648" s="46" t="str">
        <f>IFERROR(__xludf.DUMMYFUNCTION("IFERROR(IF(ISBLANK($C648), """", GOOGLEFINANCE($C648, ""price"")), """")"),"")</f>
        <v/>
      </c>
      <c r="M648" s="47" t="str">
        <f t="shared" si="3"/>
        <v/>
      </c>
      <c r="N648" s="47" t="str">
        <f>IFERROR(__xludf.DUMMYFUNCTION("IFERROR(IF(OR(ISBLANK($G648), IFERROR(INDEX(GOOGLEFINANCE($C648, ""price"", WORKDAY(INT($B648), 1)), 2, 2), """")=""""), """", IF($D648=""LONG"", (IFERROR(INDEX(GOOGLEFINANCE($C648, ""price"", WORKDAY(INT($B648), 1)), 2, 2), """")-$G648)/$G648, ($G648-IFE"&amp;"RROR(INDEX(GOOGLEFINANCE($C648, ""price"", WORKDAY(INT($B648), 1)), 2, 2), """"))/$G648)), """")"),"")</f>
        <v/>
      </c>
      <c r="O648" s="47" t="str">
        <f>IFERROR(__xludf.DUMMYFUNCTION("IFERROR(IF(OR(ISBLANK($G648), IFERROR(INDEX(GOOGLEFINANCE($C648, ""price"", WORKDAY(INT($B648), 5)), 2, 2), """")=""""), """", IF($D648=""LONG"", (IFERROR(INDEX(GOOGLEFINANCE($C648, ""price"", WORKDAY(INT($B648), 5)), 2, 2), """")-$G648)/$G648, ($G648-IFE"&amp;"RROR(INDEX(GOOGLEFINANCE($C648, ""price"", WORKDAY(INT($B648), 5)), 2, 2), """"))/$G648)), """")"),"")</f>
        <v/>
      </c>
      <c r="P648" s="47" t="str">
        <f>IFERROR(__xludf.DUMMYFUNCTION("IFERROR(IF(OR(ISBLANK($G648), IFERROR(INDEX(GOOGLEFINANCE($C648, ""price"", WORKDAY(INT($B648), 20)), 2, 2), """")=""""), """", IF($D648=""LONG"", (IFERROR(INDEX(GOOGLEFINANCE($C648, ""price"", WORKDAY(INT($B648), 20)), 2, 2), """")-$G648)/$G648, ($G648-I"&amp;"FERROR(INDEX(GOOGLEFINANCE($C648, ""price"", WORKDAY(INT($B648), 20)), 2, 2), """"))/$G648)), """")"),"")</f>
        <v/>
      </c>
      <c r="Q648" s="44"/>
      <c r="R648" s="44"/>
      <c r="S648" s="44"/>
      <c r="T648" s="44"/>
      <c r="U648" s="44"/>
      <c r="V648" s="44"/>
      <c r="W648" s="44"/>
      <c r="X648" s="44"/>
      <c r="Y648" s="44"/>
      <c r="Z648" s="44"/>
    </row>
    <row r="649">
      <c r="A649" s="44"/>
      <c r="B649" s="45"/>
      <c r="C649" s="44"/>
      <c r="D649" s="44"/>
      <c r="E649" s="44"/>
      <c r="F649" s="44"/>
      <c r="G649" s="46"/>
      <c r="H649" s="44"/>
      <c r="I649" s="44"/>
      <c r="J649" s="44"/>
      <c r="K649" s="44"/>
      <c r="L649" s="46" t="str">
        <f>IFERROR(__xludf.DUMMYFUNCTION("IFERROR(IF(ISBLANK($C649), """", GOOGLEFINANCE($C649, ""price"")), """")"),"")</f>
        <v/>
      </c>
      <c r="M649" s="47" t="str">
        <f t="shared" si="3"/>
        <v/>
      </c>
      <c r="N649" s="47" t="str">
        <f>IFERROR(__xludf.DUMMYFUNCTION("IFERROR(IF(OR(ISBLANK($G649), IFERROR(INDEX(GOOGLEFINANCE($C649, ""price"", WORKDAY(INT($B649), 1)), 2, 2), """")=""""), """", IF($D649=""LONG"", (IFERROR(INDEX(GOOGLEFINANCE($C649, ""price"", WORKDAY(INT($B649), 1)), 2, 2), """")-$G649)/$G649, ($G649-IFE"&amp;"RROR(INDEX(GOOGLEFINANCE($C649, ""price"", WORKDAY(INT($B649), 1)), 2, 2), """"))/$G649)), """")"),"")</f>
        <v/>
      </c>
      <c r="O649" s="47" t="str">
        <f>IFERROR(__xludf.DUMMYFUNCTION("IFERROR(IF(OR(ISBLANK($G649), IFERROR(INDEX(GOOGLEFINANCE($C649, ""price"", WORKDAY(INT($B649), 5)), 2, 2), """")=""""), """", IF($D649=""LONG"", (IFERROR(INDEX(GOOGLEFINANCE($C649, ""price"", WORKDAY(INT($B649), 5)), 2, 2), """")-$G649)/$G649, ($G649-IFE"&amp;"RROR(INDEX(GOOGLEFINANCE($C649, ""price"", WORKDAY(INT($B649), 5)), 2, 2), """"))/$G649)), """")"),"")</f>
        <v/>
      </c>
      <c r="P649" s="47" t="str">
        <f>IFERROR(__xludf.DUMMYFUNCTION("IFERROR(IF(OR(ISBLANK($G649), IFERROR(INDEX(GOOGLEFINANCE($C649, ""price"", WORKDAY(INT($B649), 20)), 2, 2), """")=""""), """", IF($D649=""LONG"", (IFERROR(INDEX(GOOGLEFINANCE($C649, ""price"", WORKDAY(INT($B649), 20)), 2, 2), """")-$G649)/$G649, ($G649-I"&amp;"FERROR(INDEX(GOOGLEFINANCE($C649, ""price"", WORKDAY(INT($B649), 20)), 2, 2), """"))/$G649)), """")"),"")</f>
        <v/>
      </c>
      <c r="Q649" s="44"/>
      <c r="R649" s="44"/>
      <c r="S649" s="44"/>
      <c r="T649" s="44"/>
      <c r="U649" s="44"/>
      <c r="V649" s="44"/>
      <c r="W649" s="44"/>
      <c r="X649" s="44"/>
      <c r="Y649" s="44"/>
      <c r="Z649" s="44"/>
    </row>
    <row r="650">
      <c r="A650" s="44"/>
      <c r="B650" s="45"/>
      <c r="C650" s="44"/>
      <c r="D650" s="44"/>
      <c r="E650" s="44"/>
      <c r="F650" s="44"/>
      <c r="G650" s="46"/>
      <c r="H650" s="44"/>
      <c r="I650" s="44"/>
      <c r="J650" s="44"/>
      <c r="K650" s="44"/>
      <c r="L650" s="46" t="str">
        <f>IFERROR(__xludf.DUMMYFUNCTION("IFERROR(IF(ISBLANK($C650), """", GOOGLEFINANCE($C650, ""price"")), """")"),"")</f>
        <v/>
      </c>
      <c r="M650" s="47" t="str">
        <f t="shared" si="3"/>
        <v/>
      </c>
      <c r="N650" s="47" t="str">
        <f>IFERROR(__xludf.DUMMYFUNCTION("IFERROR(IF(OR(ISBLANK($G650), IFERROR(INDEX(GOOGLEFINANCE($C650, ""price"", WORKDAY(INT($B650), 1)), 2, 2), """")=""""), """", IF($D650=""LONG"", (IFERROR(INDEX(GOOGLEFINANCE($C650, ""price"", WORKDAY(INT($B650), 1)), 2, 2), """")-$G650)/$G650, ($G650-IFE"&amp;"RROR(INDEX(GOOGLEFINANCE($C650, ""price"", WORKDAY(INT($B650), 1)), 2, 2), """"))/$G650)), """")"),"")</f>
        <v/>
      </c>
      <c r="O650" s="47" t="str">
        <f>IFERROR(__xludf.DUMMYFUNCTION("IFERROR(IF(OR(ISBLANK($G650), IFERROR(INDEX(GOOGLEFINANCE($C650, ""price"", WORKDAY(INT($B650), 5)), 2, 2), """")=""""), """", IF($D650=""LONG"", (IFERROR(INDEX(GOOGLEFINANCE($C650, ""price"", WORKDAY(INT($B650), 5)), 2, 2), """")-$G650)/$G650, ($G650-IFE"&amp;"RROR(INDEX(GOOGLEFINANCE($C650, ""price"", WORKDAY(INT($B650), 5)), 2, 2), """"))/$G650)), """")"),"")</f>
        <v/>
      </c>
      <c r="P650" s="47" t="str">
        <f>IFERROR(__xludf.DUMMYFUNCTION("IFERROR(IF(OR(ISBLANK($G650), IFERROR(INDEX(GOOGLEFINANCE($C650, ""price"", WORKDAY(INT($B650), 20)), 2, 2), """")=""""), """", IF($D650=""LONG"", (IFERROR(INDEX(GOOGLEFINANCE($C650, ""price"", WORKDAY(INT($B650), 20)), 2, 2), """")-$G650)/$G650, ($G650-I"&amp;"FERROR(INDEX(GOOGLEFINANCE($C650, ""price"", WORKDAY(INT($B650), 20)), 2, 2), """"))/$G650)), """")"),"")</f>
        <v/>
      </c>
      <c r="Q650" s="44"/>
      <c r="R650" s="44"/>
      <c r="S650" s="44"/>
      <c r="T650" s="44"/>
      <c r="U650" s="44"/>
      <c r="V650" s="44"/>
      <c r="W650" s="44"/>
      <c r="X650" s="44"/>
      <c r="Y650" s="44"/>
      <c r="Z650" s="44"/>
    </row>
    <row r="651">
      <c r="A651" s="44"/>
      <c r="B651" s="45"/>
      <c r="C651" s="44"/>
      <c r="D651" s="44"/>
      <c r="E651" s="44"/>
      <c r="F651" s="44"/>
      <c r="G651" s="46"/>
      <c r="H651" s="44"/>
      <c r="I651" s="44"/>
      <c r="J651" s="44"/>
      <c r="K651" s="44"/>
      <c r="L651" s="46" t="str">
        <f>IFERROR(__xludf.DUMMYFUNCTION("IFERROR(IF(ISBLANK($C651), """", GOOGLEFINANCE($C651, ""price"")), """")"),"")</f>
        <v/>
      </c>
      <c r="M651" s="47" t="str">
        <f t="shared" si="3"/>
        <v/>
      </c>
      <c r="N651" s="47" t="str">
        <f>IFERROR(__xludf.DUMMYFUNCTION("IFERROR(IF(OR(ISBLANK($G651), IFERROR(INDEX(GOOGLEFINANCE($C651, ""price"", WORKDAY(INT($B651), 1)), 2, 2), """")=""""), """", IF($D651=""LONG"", (IFERROR(INDEX(GOOGLEFINANCE($C651, ""price"", WORKDAY(INT($B651), 1)), 2, 2), """")-$G651)/$G651, ($G651-IFE"&amp;"RROR(INDEX(GOOGLEFINANCE($C651, ""price"", WORKDAY(INT($B651), 1)), 2, 2), """"))/$G651)), """")"),"")</f>
        <v/>
      </c>
      <c r="O651" s="47" t="str">
        <f>IFERROR(__xludf.DUMMYFUNCTION("IFERROR(IF(OR(ISBLANK($G651), IFERROR(INDEX(GOOGLEFINANCE($C651, ""price"", WORKDAY(INT($B651), 5)), 2, 2), """")=""""), """", IF($D651=""LONG"", (IFERROR(INDEX(GOOGLEFINANCE($C651, ""price"", WORKDAY(INT($B651), 5)), 2, 2), """")-$G651)/$G651, ($G651-IFE"&amp;"RROR(INDEX(GOOGLEFINANCE($C651, ""price"", WORKDAY(INT($B651), 5)), 2, 2), """"))/$G651)), """")"),"")</f>
        <v/>
      </c>
      <c r="P651" s="47" t="str">
        <f>IFERROR(__xludf.DUMMYFUNCTION("IFERROR(IF(OR(ISBLANK($G651), IFERROR(INDEX(GOOGLEFINANCE($C651, ""price"", WORKDAY(INT($B651), 20)), 2, 2), """")=""""), """", IF($D651=""LONG"", (IFERROR(INDEX(GOOGLEFINANCE($C651, ""price"", WORKDAY(INT($B651), 20)), 2, 2), """")-$G651)/$G651, ($G651-I"&amp;"FERROR(INDEX(GOOGLEFINANCE($C651, ""price"", WORKDAY(INT($B651), 20)), 2, 2), """"))/$G651)), """")"),"")</f>
        <v/>
      </c>
      <c r="Q651" s="44"/>
      <c r="R651" s="44"/>
      <c r="S651" s="44"/>
      <c r="T651" s="44"/>
      <c r="U651" s="44"/>
      <c r="V651" s="44"/>
      <c r="W651" s="44"/>
      <c r="X651" s="44"/>
      <c r="Y651" s="44"/>
      <c r="Z651" s="44"/>
    </row>
    <row r="652">
      <c r="A652" s="44"/>
      <c r="B652" s="45"/>
      <c r="C652" s="44"/>
      <c r="D652" s="44"/>
      <c r="E652" s="44"/>
      <c r="F652" s="44"/>
      <c r="G652" s="46"/>
      <c r="H652" s="44"/>
      <c r="I652" s="44"/>
      <c r="J652" s="44"/>
      <c r="K652" s="44"/>
      <c r="L652" s="46" t="str">
        <f>IFERROR(__xludf.DUMMYFUNCTION("IFERROR(IF(ISBLANK($C652), """", GOOGLEFINANCE($C652, ""price"")), """")"),"")</f>
        <v/>
      </c>
      <c r="M652" s="47" t="str">
        <f t="shared" si="3"/>
        <v/>
      </c>
      <c r="N652" s="47" t="str">
        <f>IFERROR(__xludf.DUMMYFUNCTION("IFERROR(IF(OR(ISBLANK($G652), IFERROR(INDEX(GOOGLEFINANCE($C652, ""price"", WORKDAY(INT($B652), 1)), 2, 2), """")=""""), """", IF($D652=""LONG"", (IFERROR(INDEX(GOOGLEFINANCE($C652, ""price"", WORKDAY(INT($B652), 1)), 2, 2), """")-$G652)/$G652, ($G652-IFE"&amp;"RROR(INDEX(GOOGLEFINANCE($C652, ""price"", WORKDAY(INT($B652), 1)), 2, 2), """"))/$G652)), """")"),"")</f>
        <v/>
      </c>
      <c r="O652" s="47" t="str">
        <f>IFERROR(__xludf.DUMMYFUNCTION("IFERROR(IF(OR(ISBLANK($G652), IFERROR(INDEX(GOOGLEFINANCE($C652, ""price"", WORKDAY(INT($B652), 5)), 2, 2), """")=""""), """", IF($D652=""LONG"", (IFERROR(INDEX(GOOGLEFINANCE($C652, ""price"", WORKDAY(INT($B652), 5)), 2, 2), """")-$G652)/$G652, ($G652-IFE"&amp;"RROR(INDEX(GOOGLEFINANCE($C652, ""price"", WORKDAY(INT($B652), 5)), 2, 2), """"))/$G652)), """")"),"")</f>
        <v/>
      </c>
      <c r="P652" s="47" t="str">
        <f>IFERROR(__xludf.DUMMYFUNCTION("IFERROR(IF(OR(ISBLANK($G652), IFERROR(INDEX(GOOGLEFINANCE($C652, ""price"", WORKDAY(INT($B652), 20)), 2, 2), """")=""""), """", IF($D652=""LONG"", (IFERROR(INDEX(GOOGLEFINANCE($C652, ""price"", WORKDAY(INT($B652), 20)), 2, 2), """")-$G652)/$G652, ($G652-I"&amp;"FERROR(INDEX(GOOGLEFINANCE($C652, ""price"", WORKDAY(INT($B652), 20)), 2, 2), """"))/$G652)), """")"),"")</f>
        <v/>
      </c>
      <c r="Q652" s="44"/>
      <c r="R652" s="44"/>
      <c r="S652" s="44"/>
      <c r="T652" s="44"/>
      <c r="U652" s="44"/>
      <c r="V652" s="44"/>
      <c r="W652" s="44"/>
      <c r="X652" s="44"/>
      <c r="Y652" s="44"/>
      <c r="Z652" s="44"/>
    </row>
    <row r="653">
      <c r="A653" s="44"/>
      <c r="B653" s="45"/>
      <c r="C653" s="44"/>
      <c r="D653" s="44"/>
      <c r="E653" s="44"/>
      <c r="F653" s="44"/>
      <c r="G653" s="46"/>
      <c r="H653" s="44"/>
      <c r="I653" s="44"/>
      <c r="J653" s="44"/>
      <c r="K653" s="44"/>
      <c r="L653" s="46" t="str">
        <f>IFERROR(__xludf.DUMMYFUNCTION("IFERROR(IF(ISBLANK($C653), """", GOOGLEFINANCE($C653, ""price"")), """")"),"")</f>
        <v/>
      </c>
      <c r="M653" s="47" t="str">
        <f t="shared" si="3"/>
        <v/>
      </c>
      <c r="N653" s="47" t="str">
        <f>IFERROR(__xludf.DUMMYFUNCTION("IFERROR(IF(OR(ISBLANK($G653), IFERROR(INDEX(GOOGLEFINANCE($C653, ""price"", WORKDAY(INT($B653), 1)), 2, 2), """")=""""), """", IF($D653=""LONG"", (IFERROR(INDEX(GOOGLEFINANCE($C653, ""price"", WORKDAY(INT($B653), 1)), 2, 2), """")-$G653)/$G653, ($G653-IFE"&amp;"RROR(INDEX(GOOGLEFINANCE($C653, ""price"", WORKDAY(INT($B653), 1)), 2, 2), """"))/$G653)), """")"),"")</f>
        <v/>
      </c>
      <c r="O653" s="47" t="str">
        <f>IFERROR(__xludf.DUMMYFUNCTION("IFERROR(IF(OR(ISBLANK($G653), IFERROR(INDEX(GOOGLEFINANCE($C653, ""price"", WORKDAY(INT($B653), 5)), 2, 2), """")=""""), """", IF($D653=""LONG"", (IFERROR(INDEX(GOOGLEFINANCE($C653, ""price"", WORKDAY(INT($B653), 5)), 2, 2), """")-$G653)/$G653, ($G653-IFE"&amp;"RROR(INDEX(GOOGLEFINANCE($C653, ""price"", WORKDAY(INT($B653), 5)), 2, 2), """"))/$G653)), """")"),"")</f>
        <v/>
      </c>
      <c r="P653" s="47" t="str">
        <f>IFERROR(__xludf.DUMMYFUNCTION("IFERROR(IF(OR(ISBLANK($G653), IFERROR(INDEX(GOOGLEFINANCE($C653, ""price"", WORKDAY(INT($B653), 20)), 2, 2), """")=""""), """", IF($D653=""LONG"", (IFERROR(INDEX(GOOGLEFINANCE($C653, ""price"", WORKDAY(INT($B653), 20)), 2, 2), """")-$G653)/$G653, ($G653-I"&amp;"FERROR(INDEX(GOOGLEFINANCE($C653, ""price"", WORKDAY(INT($B653), 20)), 2, 2), """"))/$G653)), """")"),"")</f>
        <v/>
      </c>
      <c r="Q653" s="44"/>
      <c r="R653" s="44"/>
      <c r="S653" s="44"/>
      <c r="T653" s="44"/>
      <c r="U653" s="44"/>
      <c r="V653" s="44"/>
      <c r="W653" s="44"/>
      <c r="X653" s="44"/>
      <c r="Y653" s="44"/>
      <c r="Z653" s="44"/>
    </row>
    <row r="654">
      <c r="A654" s="44"/>
      <c r="B654" s="45"/>
      <c r="C654" s="44"/>
      <c r="D654" s="44"/>
      <c r="E654" s="44"/>
      <c r="F654" s="44"/>
      <c r="G654" s="46"/>
      <c r="H654" s="44"/>
      <c r="I654" s="44"/>
      <c r="J654" s="44"/>
      <c r="K654" s="44"/>
      <c r="L654" s="46" t="str">
        <f>IFERROR(__xludf.DUMMYFUNCTION("IFERROR(IF(ISBLANK($C654), """", GOOGLEFINANCE($C654, ""price"")), """")"),"")</f>
        <v/>
      </c>
      <c r="M654" s="47" t="str">
        <f t="shared" si="3"/>
        <v/>
      </c>
      <c r="N654" s="47" t="str">
        <f>IFERROR(__xludf.DUMMYFUNCTION("IFERROR(IF(OR(ISBLANK($G654), IFERROR(INDEX(GOOGLEFINANCE($C654, ""price"", WORKDAY(INT($B654), 1)), 2, 2), """")=""""), """", IF($D654=""LONG"", (IFERROR(INDEX(GOOGLEFINANCE($C654, ""price"", WORKDAY(INT($B654), 1)), 2, 2), """")-$G654)/$G654, ($G654-IFE"&amp;"RROR(INDEX(GOOGLEFINANCE($C654, ""price"", WORKDAY(INT($B654), 1)), 2, 2), """"))/$G654)), """")"),"")</f>
        <v/>
      </c>
      <c r="O654" s="47" t="str">
        <f>IFERROR(__xludf.DUMMYFUNCTION("IFERROR(IF(OR(ISBLANK($G654), IFERROR(INDEX(GOOGLEFINANCE($C654, ""price"", WORKDAY(INT($B654), 5)), 2, 2), """")=""""), """", IF($D654=""LONG"", (IFERROR(INDEX(GOOGLEFINANCE($C654, ""price"", WORKDAY(INT($B654), 5)), 2, 2), """")-$G654)/$G654, ($G654-IFE"&amp;"RROR(INDEX(GOOGLEFINANCE($C654, ""price"", WORKDAY(INT($B654), 5)), 2, 2), """"))/$G654)), """")"),"")</f>
        <v/>
      </c>
      <c r="P654" s="47" t="str">
        <f>IFERROR(__xludf.DUMMYFUNCTION("IFERROR(IF(OR(ISBLANK($G654), IFERROR(INDEX(GOOGLEFINANCE($C654, ""price"", WORKDAY(INT($B654), 20)), 2, 2), """")=""""), """", IF($D654=""LONG"", (IFERROR(INDEX(GOOGLEFINANCE($C654, ""price"", WORKDAY(INT($B654), 20)), 2, 2), """")-$G654)/$G654, ($G654-I"&amp;"FERROR(INDEX(GOOGLEFINANCE($C654, ""price"", WORKDAY(INT($B654), 20)), 2, 2), """"))/$G654)), """")"),"")</f>
        <v/>
      </c>
      <c r="Q654" s="44"/>
      <c r="R654" s="44"/>
      <c r="S654" s="44"/>
      <c r="T654" s="44"/>
      <c r="U654" s="44"/>
      <c r="V654" s="44"/>
      <c r="W654" s="44"/>
      <c r="X654" s="44"/>
      <c r="Y654" s="44"/>
      <c r="Z654" s="44"/>
    </row>
    <row r="655">
      <c r="A655" s="44"/>
      <c r="B655" s="45"/>
      <c r="C655" s="44"/>
      <c r="D655" s="44"/>
      <c r="E655" s="44"/>
      <c r="F655" s="44"/>
      <c r="G655" s="46"/>
      <c r="H655" s="44"/>
      <c r="I655" s="44"/>
      <c r="J655" s="44"/>
      <c r="K655" s="44"/>
      <c r="L655" s="46" t="str">
        <f>IFERROR(__xludf.DUMMYFUNCTION("IFERROR(IF(ISBLANK($C655), """", GOOGLEFINANCE($C655, ""price"")), """")"),"")</f>
        <v/>
      </c>
      <c r="M655" s="47" t="str">
        <f t="shared" si="3"/>
        <v/>
      </c>
      <c r="N655" s="47" t="str">
        <f>IFERROR(__xludf.DUMMYFUNCTION("IFERROR(IF(OR(ISBLANK($G655), IFERROR(INDEX(GOOGLEFINANCE($C655, ""price"", WORKDAY(INT($B655), 1)), 2, 2), """")=""""), """", IF($D655=""LONG"", (IFERROR(INDEX(GOOGLEFINANCE($C655, ""price"", WORKDAY(INT($B655), 1)), 2, 2), """")-$G655)/$G655, ($G655-IFE"&amp;"RROR(INDEX(GOOGLEFINANCE($C655, ""price"", WORKDAY(INT($B655), 1)), 2, 2), """"))/$G655)), """")"),"")</f>
        <v/>
      </c>
      <c r="O655" s="47" t="str">
        <f>IFERROR(__xludf.DUMMYFUNCTION("IFERROR(IF(OR(ISBLANK($G655), IFERROR(INDEX(GOOGLEFINANCE($C655, ""price"", WORKDAY(INT($B655), 5)), 2, 2), """")=""""), """", IF($D655=""LONG"", (IFERROR(INDEX(GOOGLEFINANCE($C655, ""price"", WORKDAY(INT($B655), 5)), 2, 2), """")-$G655)/$G655, ($G655-IFE"&amp;"RROR(INDEX(GOOGLEFINANCE($C655, ""price"", WORKDAY(INT($B655), 5)), 2, 2), """"))/$G655)), """")"),"")</f>
        <v/>
      </c>
      <c r="P655" s="47" t="str">
        <f>IFERROR(__xludf.DUMMYFUNCTION("IFERROR(IF(OR(ISBLANK($G655), IFERROR(INDEX(GOOGLEFINANCE($C655, ""price"", WORKDAY(INT($B655), 20)), 2, 2), """")=""""), """", IF($D655=""LONG"", (IFERROR(INDEX(GOOGLEFINANCE($C655, ""price"", WORKDAY(INT($B655), 20)), 2, 2), """")-$G655)/$G655, ($G655-I"&amp;"FERROR(INDEX(GOOGLEFINANCE($C655, ""price"", WORKDAY(INT($B655), 20)), 2, 2), """"))/$G655)), """")"),"")</f>
        <v/>
      </c>
      <c r="Q655" s="44"/>
      <c r="R655" s="44"/>
      <c r="S655" s="44"/>
      <c r="T655" s="44"/>
      <c r="U655" s="44"/>
      <c r="V655" s="44"/>
      <c r="W655" s="44"/>
      <c r="X655" s="44"/>
      <c r="Y655" s="44"/>
      <c r="Z655" s="44"/>
    </row>
    <row r="656">
      <c r="A656" s="44"/>
      <c r="B656" s="45"/>
      <c r="C656" s="44"/>
      <c r="D656" s="44"/>
      <c r="E656" s="44"/>
      <c r="F656" s="44"/>
      <c r="G656" s="46"/>
      <c r="H656" s="44"/>
      <c r="I656" s="44"/>
      <c r="J656" s="44"/>
      <c r="K656" s="44"/>
      <c r="L656" s="46" t="str">
        <f>IFERROR(__xludf.DUMMYFUNCTION("IFERROR(IF(ISBLANK($C656), """", GOOGLEFINANCE($C656, ""price"")), """")"),"")</f>
        <v/>
      </c>
      <c r="M656" s="47" t="str">
        <f t="shared" si="3"/>
        <v/>
      </c>
      <c r="N656" s="47" t="str">
        <f>IFERROR(__xludf.DUMMYFUNCTION("IFERROR(IF(OR(ISBLANK($G656), IFERROR(INDEX(GOOGLEFINANCE($C656, ""price"", WORKDAY(INT($B656), 1)), 2, 2), """")=""""), """", IF($D656=""LONG"", (IFERROR(INDEX(GOOGLEFINANCE($C656, ""price"", WORKDAY(INT($B656), 1)), 2, 2), """")-$G656)/$G656, ($G656-IFE"&amp;"RROR(INDEX(GOOGLEFINANCE($C656, ""price"", WORKDAY(INT($B656), 1)), 2, 2), """"))/$G656)), """")"),"")</f>
        <v/>
      </c>
      <c r="O656" s="47" t="str">
        <f>IFERROR(__xludf.DUMMYFUNCTION("IFERROR(IF(OR(ISBLANK($G656), IFERROR(INDEX(GOOGLEFINANCE($C656, ""price"", WORKDAY(INT($B656), 5)), 2, 2), """")=""""), """", IF($D656=""LONG"", (IFERROR(INDEX(GOOGLEFINANCE($C656, ""price"", WORKDAY(INT($B656), 5)), 2, 2), """")-$G656)/$G656, ($G656-IFE"&amp;"RROR(INDEX(GOOGLEFINANCE($C656, ""price"", WORKDAY(INT($B656), 5)), 2, 2), """"))/$G656)), """")"),"")</f>
        <v/>
      </c>
      <c r="P656" s="47" t="str">
        <f>IFERROR(__xludf.DUMMYFUNCTION("IFERROR(IF(OR(ISBLANK($G656), IFERROR(INDEX(GOOGLEFINANCE($C656, ""price"", WORKDAY(INT($B656), 20)), 2, 2), """")=""""), """", IF($D656=""LONG"", (IFERROR(INDEX(GOOGLEFINANCE($C656, ""price"", WORKDAY(INT($B656), 20)), 2, 2), """")-$G656)/$G656, ($G656-I"&amp;"FERROR(INDEX(GOOGLEFINANCE($C656, ""price"", WORKDAY(INT($B656), 20)), 2, 2), """"))/$G656)), """")"),"")</f>
        <v/>
      </c>
      <c r="Q656" s="44"/>
      <c r="R656" s="44"/>
      <c r="S656" s="44"/>
      <c r="T656" s="44"/>
      <c r="U656" s="44"/>
      <c r="V656" s="44"/>
      <c r="W656" s="44"/>
      <c r="X656" s="44"/>
      <c r="Y656" s="44"/>
      <c r="Z656" s="44"/>
    </row>
    <row r="657">
      <c r="A657" s="44"/>
      <c r="B657" s="45"/>
      <c r="C657" s="44"/>
      <c r="D657" s="44"/>
      <c r="E657" s="44"/>
      <c r="F657" s="44"/>
      <c r="G657" s="46"/>
      <c r="H657" s="44"/>
      <c r="I657" s="44"/>
      <c r="J657" s="44"/>
      <c r="K657" s="44"/>
      <c r="L657" s="46" t="str">
        <f>IFERROR(__xludf.DUMMYFUNCTION("IFERROR(IF(ISBLANK($C657), """", GOOGLEFINANCE($C657, ""price"")), """")"),"")</f>
        <v/>
      </c>
      <c r="M657" s="47" t="str">
        <f t="shared" si="3"/>
        <v/>
      </c>
      <c r="N657" s="47" t="str">
        <f>IFERROR(__xludf.DUMMYFUNCTION("IFERROR(IF(OR(ISBLANK($G657), IFERROR(INDEX(GOOGLEFINANCE($C657, ""price"", WORKDAY(INT($B657), 1)), 2, 2), """")=""""), """", IF($D657=""LONG"", (IFERROR(INDEX(GOOGLEFINANCE($C657, ""price"", WORKDAY(INT($B657), 1)), 2, 2), """")-$G657)/$G657, ($G657-IFE"&amp;"RROR(INDEX(GOOGLEFINANCE($C657, ""price"", WORKDAY(INT($B657), 1)), 2, 2), """"))/$G657)), """")"),"")</f>
        <v/>
      </c>
      <c r="O657" s="47" t="str">
        <f>IFERROR(__xludf.DUMMYFUNCTION("IFERROR(IF(OR(ISBLANK($G657), IFERROR(INDEX(GOOGLEFINANCE($C657, ""price"", WORKDAY(INT($B657), 5)), 2, 2), """")=""""), """", IF($D657=""LONG"", (IFERROR(INDEX(GOOGLEFINANCE($C657, ""price"", WORKDAY(INT($B657), 5)), 2, 2), """")-$G657)/$G657, ($G657-IFE"&amp;"RROR(INDEX(GOOGLEFINANCE($C657, ""price"", WORKDAY(INT($B657), 5)), 2, 2), """"))/$G657)), """")"),"")</f>
        <v/>
      </c>
      <c r="P657" s="47" t="str">
        <f>IFERROR(__xludf.DUMMYFUNCTION("IFERROR(IF(OR(ISBLANK($G657), IFERROR(INDEX(GOOGLEFINANCE($C657, ""price"", WORKDAY(INT($B657), 20)), 2, 2), """")=""""), """", IF($D657=""LONG"", (IFERROR(INDEX(GOOGLEFINANCE($C657, ""price"", WORKDAY(INT($B657), 20)), 2, 2), """")-$G657)/$G657, ($G657-I"&amp;"FERROR(INDEX(GOOGLEFINANCE($C657, ""price"", WORKDAY(INT($B657), 20)), 2, 2), """"))/$G657)), """")"),"")</f>
        <v/>
      </c>
      <c r="Q657" s="44"/>
      <c r="R657" s="44"/>
      <c r="S657" s="44"/>
      <c r="T657" s="44"/>
      <c r="U657" s="44"/>
      <c r="V657" s="44"/>
      <c r="W657" s="44"/>
      <c r="X657" s="44"/>
      <c r="Y657" s="44"/>
      <c r="Z657" s="44"/>
    </row>
    <row r="658">
      <c r="A658" s="44"/>
      <c r="B658" s="45"/>
      <c r="C658" s="44"/>
      <c r="D658" s="44"/>
      <c r="E658" s="44"/>
      <c r="F658" s="44"/>
      <c r="G658" s="46"/>
      <c r="H658" s="44"/>
      <c r="I658" s="44"/>
      <c r="J658" s="44"/>
      <c r="K658" s="44"/>
      <c r="L658" s="46" t="str">
        <f>IFERROR(__xludf.DUMMYFUNCTION("IFERROR(IF(ISBLANK($C658), """", GOOGLEFINANCE($C658, ""price"")), """")"),"")</f>
        <v/>
      </c>
      <c r="M658" s="47" t="str">
        <f t="shared" si="3"/>
        <v/>
      </c>
      <c r="N658" s="47" t="str">
        <f>IFERROR(__xludf.DUMMYFUNCTION("IFERROR(IF(OR(ISBLANK($G658), IFERROR(INDEX(GOOGLEFINANCE($C658, ""price"", WORKDAY(INT($B658), 1)), 2, 2), """")=""""), """", IF($D658=""LONG"", (IFERROR(INDEX(GOOGLEFINANCE($C658, ""price"", WORKDAY(INT($B658), 1)), 2, 2), """")-$G658)/$G658, ($G658-IFE"&amp;"RROR(INDEX(GOOGLEFINANCE($C658, ""price"", WORKDAY(INT($B658), 1)), 2, 2), """"))/$G658)), """")"),"")</f>
        <v/>
      </c>
      <c r="O658" s="47" t="str">
        <f>IFERROR(__xludf.DUMMYFUNCTION("IFERROR(IF(OR(ISBLANK($G658), IFERROR(INDEX(GOOGLEFINANCE($C658, ""price"", WORKDAY(INT($B658), 5)), 2, 2), """")=""""), """", IF($D658=""LONG"", (IFERROR(INDEX(GOOGLEFINANCE($C658, ""price"", WORKDAY(INT($B658), 5)), 2, 2), """")-$G658)/$G658, ($G658-IFE"&amp;"RROR(INDEX(GOOGLEFINANCE($C658, ""price"", WORKDAY(INT($B658), 5)), 2, 2), """"))/$G658)), """")"),"")</f>
        <v/>
      </c>
      <c r="P658" s="47" t="str">
        <f>IFERROR(__xludf.DUMMYFUNCTION("IFERROR(IF(OR(ISBLANK($G658), IFERROR(INDEX(GOOGLEFINANCE($C658, ""price"", WORKDAY(INT($B658), 20)), 2, 2), """")=""""), """", IF($D658=""LONG"", (IFERROR(INDEX(GOOGLEFINANCE($C658, ""price"", WORKDAY(INT($B658), 20)), 2, 2), """")-$G658)/$G658, ($G658-I"&amp;"FERROR(INDEX(GOOGLEFINANCE($C658, ""price"", WORKDAY(INT($B658), 20)), 2, 2), """"))/$G658)), """")"),"")</f>
        <v/>
      </c>
      <c r="Q658" s="44"/>
      <c r="R658" s="44"/>
      <c r="S658" s="44"/>
      <c r="T658" s="44"/>
      <c r="U658" s="44"/>
      <c r="V658" s="44"/>
      <c r="W658" s="44"/>
      <c r="X658" s="44"/>
      <c r="Y658" s="44"/>
      <c r="Z658" s="44"/>
    </row>
    <row r="659">
      <c r="A659" s="44"/>
      <c r="B659" s="45"/>
      <c r="C659" s="44"/>
      <c r="D659" s="44"/>
      <c r="E659" s="44"/>
      <c r="F659" s="44"/>
      <c r="G659" s="46"/>
      <c r="H659" s="44"/>
      <c r="I659" s="44"/>
      <c r="J659" s="44"/>
      <c r="K659" s="44"/>
      <c r="L659" s="46" t="str">
        <f>IFERROR(__xludf.DUMMYFUNCTION("IFERROR(IF(ISBLANK($C659), """", GOOGLEFINANCE($C659, ""price"")), """")"),"")</f>
        <v/>
      </c>
      <c r="M659" s="47" t="str">
        <f t="shared" si="3"/>
        <v/>
      </c>
      <c r="N659" s="47" t="str">
        <f>IFERROR(__xludf.DUMMYFUNCTION("IFERROR(IF(OR(ISBLANK($G659), IFERROR(INDEX(GOOGLEFINANCE($C659, ""price"", WORKDAY(INT($B659), 1)), 2, 2), """")=""""), """", IF($D659=""LONG"", (IFERROR(INDEX(GOOGLEFINANCE($C659, ""price"", WORKDAY(INT($B659), 1)), 2, 2), """")-$G659)/$G659, ($G659-IFE"&amp;"RROR(INDEX(GOOGLEFINANCE($C659, ""price"", WORKDAY(INT($B659), 1)), 2, 2), """"))/$G659)), """")"),"")</f>
        <v/>
      </c>
      <c r="O659" s="47" t="str">
        <f>IFERROR(__xludf.DUMMYFUNCTION("IFERROR(IF(OR(ISBLANK($G659), IFERROR(INDEX(GOOGLEFINANCE($C659, ""price"", WORKDAY(INT($B659), 5)), 2, 2), """")=""""), """", IF($D659=""LONG"", (IFERROR(INDEX(GOOGLEFINANCE($C659, ""price"", WORKDAY(INT($B659), 5)), 2, 2), """")-$G659)/$G659, ($G659-IFE"&amp;"RROR(INDEX(GOOGLEFINANCE($C659, ""price"", WORKDAY(INT($B659), 5)), 2, 2), """"))/$G659)), """")"),"")</f>
        <v/>
      </c>
      <c r="P659" s="47" t="str">
        <f>IFERROR(__xludf.DUMMYFUNCTION("IFERROR(IF(OR(ISBLANK($G659), IFERROR(INDEX(GOOGLEFINANCE($C659, ""price"", WORKDAY(INT($B659), 20)), 2, 2), """")=""""), """", IF($D659=""LONG"", (IFERROR(INDEX(GOOGLEFINANCE($C659, ""price"", WORKDAY(INT($B659), 20)), 2, 2), """")-$G659)/$G659, ($G659-I"&amp;"FERROR(INDEX(GOOGLEFINANCE($C659, ""price"", WORKDAY(INT($B659), 20)), 2, 2), """"))/$G659)), """")"),"")</f>
        <v/>
      </c>
      <c r="Q659" s="44"/>
      <c r="R659" s="44"/>
      <c r="S659" s="44"/>
      <c r="T659" s="44"/>
      <c r="U659" s="44"/>
      <c r="V659" s="44"/>
      <c r="W659" s="44"/>
      <c r="X659" s="44"/>
      <c r="Y659" s="44"/>
      <c r="Z659" s="44"/>
    </row>
    <row r="660">
      <c r="A660" s="44"/>
      <c r="B660" s="45"/>
      <c r="C660" s="44"/>
      <c r="D660" s="44"/>
      <c r="E660" s="44"/>
      <c r="F660" s="44"/>
      <c r="G660" s="46"/>
      <c r="H660" s="44"/>
      <c r="I660" s="44"/>
      <c r="J660" s="44"/>
      <c r="K660" s="44"/>
      <c r="L660" s="46" t="str">
        <f>IFERROR(__xludf.DUMMYFUNCTION("IFERROR(IF(ISBLANK($C660), """", GOOGLEFINANCE($C660, ""price"")), """")"),"")</f>
        <v/>
      </c>
      <c r="M660" s="47" t="str">
        <f t="shared" si="3"/>
        <v/>
      </c>
      <c r="N660" s="47" t="str">
        <f>IFERROR(__xludf.DUMMYFUNCTION("IFERROR(IF(OR(ISBLANK($G660), IFERROR(INDEX(GOOGLEFINANCE($C660, ""price"", WORKDAY(INT($B660), 1)), 2, 2), """")=""""), """", IF($D660=""LONG"", (IFERROR(INDEX(GOOGLEFINANCE($C660, ""price"", WORKDAY(INT($B660), 1)), 2, 2), """")-$G660)/$G660, ($G660-IFE"&amp;"RROR(INDEX(GOOGLEFINANCE($C660, ""price"", WORKDAY(INT($B660), 1)), 2, 2), """"))/$G660)), """")"),"")</f>
        <v/>
      </c>
      <c r="O660" s="47" t="str">
        <f>IFERROR(__xludf.DUMMYFUNCTION("IFERROR(IF(OR(ISBLANK($G660), IFERROR(INDEX(GOOGLEFINANCE($C660, ""price"", WORKDAY(INT($B660), 5)), 2, 2), """")=""""), """", IF($D660=""LONG"", (IFERROR(INDEX(GOOGLEFINANCE($C660, ""price"", WORKDAY(INT($B660), 5)), 2, 2), """")-$G660)/$G660, ($G660-IFE"&amp;"RROR(INDEX(GOOGLEFINANCE($C660, ""price"", WORKDAY(INT($B660), 5)), 2, 2), """"))/$G660)), """")"),"")</f>
        <v/>
      </c>
      <c r="P660" s="47" t="str">
        <f>IFERROR(__xludf.DUMMYFUNCTION("IFERROR(IF(OR(ISBLANK($G660), IFERROR(INDEX(GOOGLEFINANCE($C660, ""price"", WORKDAY(INT($B660), 20)), 2, 2), """")=""""), """", IF($D660=""LONG"", (IFERROR(INDEX(GOOGLEFINANCE($C660, ""price"", WORKDAY(INT($B660), 20)), 2, 2), """")-$G660)/$G660, ($G660-I"&amp;"FERROR(INDEX(GOOGLEFINANCE($C660, ""price"", WORKDAY(INT($B660), 20)), 2, 2), """"))/$G660)), """")"),"")</f>
        <v/>
      </c>
      <c r="Q660" s="44"/>
      <c r="R660" s="44"/>
      <c r="S660" s="44"/>
      <c r="T660" s="44"/>
      <c r="U660" s="44"/>
      <c r="V660" s="44"/>
      <c r="W660" s="44"/>
      <c r="X660" s="44"/>
      <c r="Y660" s="44"/>
      <c r="Z660" s="44"/>
    </row>
    <row r="661">
      <c r="A661" s="44"/>
      <c r="B661" s="45"/>
      <c r="C661" s="44"/>
      <c r="D661" s="44"/>
      <c r="E661" s="44"/>
      <c r="F661" s="44"/>
      <c r="G661" s="46"/>
      <c r="H661" s="44"/>
      <c r="I661" s="44"/>
      <c r="J661" s="44"/>
      <c r="K661" s="44"/>
      <c r="L661" s="46" t="str">
        <f>IFERROR(__xludf.DUMMYFUNCTION("IFERROR(IF(ISBLANK($C661), """", GOOGLEFINANCE($C661, ""price"")), """")"),"")</f>
        <v/>
      </c>
      <c r="M661" s="47" t="str">
        <f t="shared" si="3"/>
        <v/>
      </c>
      <c r="N661" s="47" t="str">
        <f>IFERROR(__xludf.DUMMYFUNCTION("IFERROR(IF(OR(ISBLANK($G661), IFERROR(INDEX(GOOGLEFINANCE($C661, ""price"", WORKDAY(INT($B661), 1)), 2, 2), """")=""""), """", IF($D661=""LONG"", (IFERROR(INDEX(GOOGLEFINANCE($C661, ""price"", WORKDAY(INT($B661), 1)), 2, 2), """")-$G661)/$G661, ($G661-IFE"&amp;"RROR(INDEX(GOOGLEFINANCE($C661, ""price"", WORKDAY(INT($B661), 1)), 2, 2), """"))/$G661)), """")"),"")</f>
        <v/>
      </c>
      <c r="O661" s="47" t="str">
        <f>IFERROR(__xludf.DUMMYFUNCTION("IFERROR(IF(OR(ISBLANK($G661), IFERROR(INDEX(GOOGLEFINANCE($C661, ""price"", WORKDAY(INT($B661), 5)), 2, 2), """")=""""), """", IF($D661=""LONG"", (IFERROR(INDEX(GOOGLEFINANCE($C661, ""price"", WORKDAY(INT($B661), 5)), 2, 2), """")-$G661)/$G661, ($G661-IFE"&amp;"RROR(INDEX(GOOGLEFINANCE($C661, ""price"", WORKDAY(INT($B661), 5)), 2, 2), """"))/$G661)), """")"),"")</f>
        <v/>
      </c>
      <c r="P661" s="47" t="str">
        <f>IFERROR(__xludf.DUMMYFUNCTION("IFERROR(IF(OR(ISBLANK($G661), IFERROR(INDEX(GOOGLEFINANCE($C661, ""price"", WORKDAY(INT($B661), 20)), 2, 2), """")=""""), """", IF($D661=""LONG"", (IFERROR(INDEX(GOOGLEFINANCE($C661, ""price"", WORKDAY(INT($B661), 20)), 2, 2), """")-$G661)/$G661, ($G661-I"&amp;"FERROR(INDEX(GOOGLEFINANCE($C661, ""price"", WORKDAY(INT($B661), 20)), 2, 2), """"))/$G661)), """")"),"")</f>
        <v/>
      </c>
      <c r="Q661" s="44"/>
      <c r="R661" s="44"/>
      <c r="S661" s="44"/>
      <c r="T661" s="44"/>
      <c r="U661" s="44"/>
      <c r="V661" s="44"/>
      <c r="W661" s="44"/>
      <c r="X661" s="44"/>
      <c r="Y661" s="44"/>
      <c r="Z661" s="44"/>
    </row>
    <row r="662">
      <c r="A662" s="44"/>
      <c r="B662" s="45"/>
      <c r="C662" s="44"/>
      <c r="D662" s="44"/>
      <c r="E662" s="44"/>
      <c r="F662" s="44"/>
      <c r="G662" s="46"/>
      <c r="H662" s="44"/>
      <c r="I662" s="44"/>
      <c r="J662" s="44"/>
      <c r="K662" s="44"/>
      <c r="L662" s="46" t="str">
        <f>IFERROR(__xludf.DUMMYFUNCTION("IFERROR(IF(ISBLANK($C662), """", GOOGLEFINANCE($C662, ""price"")), """")"),"")</f>
        <v/>
      </c>
      <c r="M662" s="47" t="str">
        <f t="shared" si="3"/>
        <v/>
      </c>
      <c r="N662" s="47" t="str">
        <f>IFERROR(__xludf.DUMMYFUNCTION("IFERROR(IF(OR(ISBLANK($G662), IFERROR(INDEX(GOOGLEFINANCE($C662, ""price"", WORKDAY(INT($B662), 1)), 2, 2), """")=""""), """", IF($D662=""LONG"", (IFERROR(INDEX(GOOGLEFINANCE($C662, ""price"", WORKDAY(INT($B662), 1)), 2, 2), """")-$G662)/$G662, ($G662-IFE"&amp;"RROR(INDEX(GOOGLEFINANCE($C662, ""price"", WORKDAY(INT($B662), 1)), 2, 2), """"))/$G662)), """")"),"")</f>
        <v/>
      </c>
      <c r="O662" s="47" t="str">
        <f>IFERROR(__xludf.DUMMYFUNCTION("IFERROR(IF(OR(ISBLANK($G662), IFERROR(INDEX(GOOGLEFINANCE($C662, ""price"", WORKDAY(INT($B662), 5)), 2, 2), """")=""""), """", IF($D662=""LONG"", (IFERROR(INDEX(GOOGLEFINANCE($C662, ""price"", WORKDAY(INT($B662), 5)), 2, 2), """")-$G662)/$G662, ($G662-IFE"&amp;"RROR(INDEX(GOOGLEFINANCE($C662, ""price"", WORKDAY(INT($B662), 5)), 2, 2), """"))/$G662)), """")"),"")</f>
        <v/>
      </c>
      <c r="P662" s="47" t="str">
        <f>IFERROR(__xludf.DUMMYFUNCTION("IFERROR(IF(OR(ISBLANK($G662), IFERROR(INDEX(GOOGLEFINANCE($C662, ""price"", WORKDAY(INT($B662), 20)), 2, 2), """")=""""), """", IF($D662=""LONG"", (IFERROR(INDEX(GOOGLEFINANCE($C662, ""price"", WORKDAY(INT($B662), 20)), 2, 2), """")-$G662)/$G662, ($G662-I"&amp;"FERROR(INDEX(GOOGLEFINANCE($C662, ""price"", WORKDAY(INT($B662), 20)), 2, 2), """"))/$G662)), """")"),"")</f>
        <v/>
      </c>
      <c r="Q662" s="44"/>
      <c r="R662" s="44"/>
      <c r="S662" s="44"/>
      <c r="T662" s="44"/>
      <c r="U662" s="44"/>
      <c r="V662" s="44"/>
      <c r="W662" s="44"/>
      <c r="X662" s="44"/>
      <c r="Y662" s="44"/>
      <c r="Z662" s="44"/>
    </row>
    <row r="663">
      <c r="A663" s="44"/>
      <c r="B663" s="45"/>
      <c r="C663" s="44"/>
      <c r="D663" s="44"/>
      <c r="E663" s="44"/>
      <c r="F663" s="44"/>
      <c r="G663" s="46"/>
      <c r="H663" s="44"/>
      <c r="I663" s="44"/>
      <c r="J663" s="44"/>
      <c r="K663" s="44"/>
      <c r="L663" s="46" t="str">
        <f>IFERROR(__xludf.DUMMYFUNCTION("IFERROR(IF(ISBLANK($C663), """", GOOGLEFINANCE($C663, ""price"")), """")"),"")</f>
        <v/>
      </c>
      <c r="M663" s="47" t="str">
        <f t="shared" si="3"/>
        <v/>
      </c>
      <c r="N663" s="47" t="str">
        <f>IFERROR(__xludf.DUMMYFUNCTION("IFERROR(IF(OR(ISBLANK($G663), IFERROR(INDEX(GOOGLEFINANCE($C663, ""price"", WORKDAY(INT($B663), 1)), 2, 2), """")=""""), """", IF($D663=""LONG"", (IFERROR(INDEX(GOOGLEFINANCE($C663, ""price"", WORKDAY(INT($B663), 1)), 2, 2), """")-$G663)/$G663, ($G663-IFE"&amp;"RROR(INDEX(GOOGLEFINANCE($C663, ""price"", WORKDAY(INT($B663), 1)), 2, 2), """"))/$G663)), """")"),"")</f>
        <v/>
      </c>
      <c r="O663" s="47" t="str">
        <f>IFERROR(__xludf.DUMMYFUNCTION("IFERROR(IF(OR(ISBLANK($G663), IFERROR(INDEX(GOOGLEFINANCE($C663, ""price"", WORKDAY(INT($B663), 5)), 2, 2), """")=""""), """", IF($D663=""LONG"", (IFERROR(INDEX(GOOGLEFINANCE($C663, ""price"", WORKDAY(INT($B663), 5)), 2, 2), """")-$G663)/$G663, ($G663-IFE"&amp;"RROR(INDEX(GOOGLEFINANCE($C663, ""price"", WORKDAY(INT($B663), 5)), 2, 2), """"))/$G663)), """")"),"")</f>
        <v/>
      </c>
      <c r="P663" s="47" t="str">
        <f>IFERROR(__xludf.DUMMYFUNCTION("IFERROR(IF(OR(ISBLANK($G663), IFERROR(INDEX(GOOGLEFINANCE($C663, ""price"", WORKDAY(INT($B663), 20)), 2, 2), """")=""""), """", IF($D663=""LONG"", (IFERROR(INDEX(GOOGLEFINANCE($C663, ""price"", WORKDAY(INT($B663), 20)), 2, 2), """")-$G663)/$G663, ($G663-I"&amp;"FERROR(INDEX(GOOGLEFINANCE($C663, ""price"", WORKDAY(INT($B663), 20)), 2, 2), """"))/$G663)), """")"),"")</f>
        <v/>
      </c>
      <c r="Q663" s="44"/>
      <c r="R663" s="44"/>
      <c r="S663" s="44"/>
      <c r="T663" s="44"/>
      <c r="U663" s="44"/>
      <c r="V663" s="44"/>
      <c r="W663" s="44"/>
      <c r="X663" s="44"/>
      <c r="Y663" s="44"/>
      <c r="Z663" s="44"/>
    </row>
    <row r="664">
      <c r="A664" s="44"/>
      <c r="B664" s="45"/>
      <c r="C664" s="44"/>
      <c r="D664" s="44"/>
      <c r="E664" s="44"/>
      <c r="F664" s="44"/>
      <c r="G664" s="46"/>
      <c r="H664" s="44"/>
      <c r="I664" s="44"/>
      <c r="J664" s="44"/>
      <c r="K664" s="44"/>
      <c r="L664" s="46" t="str">
        <f>IFERROR(__xludf.DUMMYFUNCTION("IFERROR(IF(ISBLANK($C664), """", GOOGLEFINANCE($C664, ""price"")), """")"),"")</f>
        <v/>
      </c>
      <c r="M664" s="47" t="str">
        <f t="shared" si="3"/>
        <v/>
      </c>
      <c r="N664" s="47" t="str">
        <f>IFERROR(__xludf.DUMMYFUNCTION("IFERROR(IF(OR(ISBLANK($G664), IFERROR(INDEX(GOOGLEFINANCE($C664, ""price"", WORKDAY(INT($B664), 1)), 2, 2), """")=""""), """", IF($D664=""LONG"", (IFERROR(INDEX(GOOGLEFINANCE($C664, ""price"", WORKDAY(INT($B664), 1)), 2, 2), """")-$G664)/$G664, ($G664-IFE"&amp;"RROR(INDEX(GOOGLEFINANCE($C664, ""price"", WORKDAY(INT($B664), 1)), 2, 2), """"))/$G664)), """")"),"")</f>
        <v/>
      </c>
      <c r="O664" s="47" t="str">
        <f>IFERROR(__xludf.DUMMYFUNCTION("IFERROR(IF(OR(ISBLANK($G664), IFERROR(INDEX(GOOGLEFINANCE($C664, ""price"", WORKDAY(INT($B664), 5)), 2, 2), """")=""""), """", IF($D664=""LONG"", (IFERROR(INDEX(GOOGLEFINANCE($C664, ""price"", WORKDAY(INT($B664), 5)), 2, 2), """")-$G664)/$G664, ($G664-IFE"&amp;"RROR(INDEX(GOOGLEFINANCE($C664, ""price"", WORKDAY(INT($B664), 5)), 2, 2), """"))/$G664)), """")"),"")</f>
        <v/>
      </c>
      <c r="P664" s="47" t="str">
        <f>IFERROR(__xludf.DUMMYFUNCTION("IFERROR(IF(OR(ISBLANK($G664), IFERROR(INDEX(GOOGLEFINANCE($C664, ""price"", WORKDAY(INT($B664), 20)), 2, 2), """")=""""), """", IF($D664=""LONG"", (IFERROR(INDEX(GOOGLEFINANCE($C664, ""price"", WORKDAY(INT($B664), 20)), 2, 2), """")-$G664)/$G664, ($G664-I"&amp;"FERROR(INDEX(GOOGLEFINANCE($C664, ""price"", WORKDAY(INT($B664), 20)), 2, 2), """"))/$G664)), """")"),"")</f>
        <v/>
      </c>
      <c r="Q664" s="44"/>
      <c r="R664" s="44"/>
      <c r="S664" s="44"/>
      <c r="T664" s="44"/>
      <c r="U664" s="44"/>
      <c r="V664" s="44"/>
      <c r="W664" s="44"/>
      <c r="X664" s="44"/>
      <c r="Y664" s="44"/>
      <c r="Z664" s="44"/>
    </row>
    <row r="665">
      <c r="A665" s="44"/>
      <c r="B665" s="45"/>
      <c r="C665" s="44"/>
      <c r="D665" s="44"/>
      <c r="E665" s="44"/>
      <c r="F665" s="44"/>
      <c r="G665" s="46"/>
      <c r="H665" s="44"/>
      <c r="I665" s="44"/>
      <c r="J665" s="44"/>
      <c r="K665" s="44"/>
      <c r="L665" s="46" t="str">
        <f>IFERROR(__xludf.DUMMYFUNCTION("IFERROR(IF(ISBLANK($C665), """", GOOGLEFINANCE($C665, ""price"")), """")"),"")</f>
        <v/>
      </c>
      <c r="M665" s="47" t="str">
        <f t="shared" si="3"/>
        <v/>
      </c>
      <c r="N665" s="47" t="str">
        <f>IFERROR(__xludf.DUMMYFUNCTION("IFERROR(IF(OR(ISBLANK($G665), IFERROR(INDEX(GOOGLEFINANCE($C665, ""price"", WORKDAY(INT($B665), 1)), 2, 2), """")=""""), """", IF($D665=""LONG"", (IFERROR(INDEX(GOOGLEFINANCE($C665, ""price"", WORKDAY(INT($B665), 1)), 2, 2), """")-$G665)/$G665, ($G665-IFE"&amp;"RROR(INDEX(GOOGLEFINANCE($C665, ""price"", WORKDAY(INT($B665), 1)), 2, 2), """"))/$G665)), """")"),"")</f>
        <v/>
      </c>
      <c r="O665" s="47" t="str">
        <f>IFERROR(__xludf.DUMMYFUNCTION("IFERROR(IF(OR(ISBLANK($G665), IFERROR(INDEX(GOOGLEFINANCE($C665, ""price"", WORKDAY(INT($B665), 5)), 2, 2), """")=""""), """", IF($D665=""LONG"", (IFERROR(INDEX(GOOGLEFINANCE($C665, ""price"", WORKDAY(INT($B665), 5)), 2, 2), """")-$G665)/$G665, ($G665-IFE"&amp;"RROR(INDEX(GOOGLEFINANCE($C665, ""price"", WORKDAY(INT($B665), 5)), 2, 2), """"))/$G665)), """")"),"")</f>
        <v/>
      </c>
      <c r="P665" s="47" t="str">
        <f>IFERROR(__xludf.DUMMYFUNCTION("IFERROR(IF(OR(ISBLANK($G665), IFERROR(INDEX(GOOGLEFINANCE($C665, ""price"", WORKDAY(INT($B665), 20)), 2, 2), """")=""""), """", IF($D665=""LONG"", (IFERROR(INDEX(GOOGLEFINANCE($C665, ""price"", WORKDAY(INT($B665), 20)), 2, 2), """")-$G665)/$G665, ($G665-I"&amp;"FERROR(INDEX(GOOGLEFINANCE($C665, ""price"", WORKDAY(INT($B665), 20)), 2, 2), """"))/$G665)), """")"),"")</f>
        <v/>
      </c>
      <c r="Q665" s="44"/>
      <c r="R665" s="44"/>
      <c r="S665" s="44"/>
      <c r="T665" s="44"/>
      <c r="U665" s="44"/>
      <c r="V665" s="44"/>
      <c r="W665" s="44"/>
      <c r="X665" s="44"/>
      <c r="Y665" s="44"/>
      <c r="Z665" s="44"/>
    </row>
    <row r="666">
      <c r="A666" s="44"/>
      <c r="B666" s="45"/>
      <c r="C666" s="44"/>
      <c r="D666" s="44"/>
      <c r="E666" s="44"/>
      <c r="F666" s="44"/>
      <c r="G666" s="46"/>
      <c r="H666" s="44"/>
      <c r="I666" s="44"/>
      <c r="J666" s="44"/>
      <c r="K666" s="44"/>
      <c r="L666" s="46" t="str">
        <f>IFERROR(__xludf.DUMMYFUNCTION("IFERROR(IF(ISBLANK($C666), """", GOOGLEFINANCE($C666, ""price"")), """")"),"")</f>
        <v/>
      </c>
      <c r="M666" s="47" t="str">
        <f t="shared" si="3"/>
        <v/>
      </c>
      <c r="N666" s="47" t="str">
        <f>IFERROR(__xludf.DUMMYFUNCTION("IFERROR(IF(OR(ISBLANK($G666), IFERROR(INDEX(GOOGLEFINANCE($C666, ""price"", WORKDAY(INT($B666), 1)), 2, 2), """")=""""), """", IF($D666=""LONG"", (IFERROR(INDEX(GOOGLEFINANCE($C666, ""price"", WORKDAY(INT($B666), 1)), 2, 2), """")-$G666)/$G666, ($G666-IFE"&amp;"RROR(INDEX(GOOGLEFINANCE($C666, ""price"", WORKDAY(INT($B666), 1)), 2, 2), """"))/$G666)), """")"),"")</f>
        <v/>
      </c>
      <c r="O666" s="47" t="str">
        <f>IFERROR(__xludf.DUMMYFUNCTION("IFERROR(IF(OR(ISBLANK($G666), IFERROR(INDEX(GOOGLEFINANCE($C666, ""price"", WORKDAY(INT($B666), 5)), 2, 2), """")=""""), """", IF($D666=""LONG"", (IFERROR(INDEX(GOOGLEFINANCE($C666, ""price"", WORKDAY(INT($B666), 5)), 2, 2), """")-$G666)/$G666, ($G666-IFE"&amp;"RROR(INDEX(GOOGLEFINANCE($C666, ""price"", WORKDAY(INT($B666), 5)), 2, 2), """"))/$G666)), """")"),"")</f>
        <v/>
      </c>
      <c r="P666" s="47" t="str">
        <f>IFERROR(__xludf.DUMMYFUNCTION("IFERROR(IF(OR(ISBLANK($G666), IFERROR(INDEX(GOOGLEFINANCE($C666, ""price"", WORKDAY(INT($B666), 20)), 2, 2), """")=""""), """", IF($D666=""LONG"", (IFERROR(INDEX(GOOGLEFINANCE($C666, ""price"", WORKDAY(INT($B666), 20)), 2, 2), """")-$G666)/$G666, ($G666-I"&amp;"FERROR(INDEX(GOOGLEFINANCE($C666, ""price"", WORKDAY(INT($B666), 20)), 2, 2), """"))/$G666)), """")"),"")</f>
        <v/>
      </c>
      <c r="Q666" s="44"/>
      <c r="R666" s="44"/>
      <c r="S666" s="44"/>
      <c r="T666" s="44"/>
      <c r="U666" s="44"/>
      <c r="V666" s="44"/>
      <c r="W666" s="44"/>
      <c r="X666" s="44"/>
      <c r="Y666" s="44"/>
      <c r="Z666" s="44"/>
    </row>
    <row r="667">
      <c r="A667" s="44"/>
      <c r="B667" s="45"/>
      <c r="C667" s="44"/>
      <c r="D667" s="44"/>
      <c r="E667" s="44"/>
      <c r="F667" s="44"/>
      <c r="G667" s="46"/>
      <c r="H667" s="44"/>
      <c r="I667" s="44"/>
      <c r="J667" s="44"/>
      <c r="K667" s="44"/>
      <c r="L667" s="46" t="str">
        <f>IFERROR(__xludf.DUMMYFUNCTION("IFERROR(IF(ISBLANK($C667), """", GOOGLEFINANCE($C667, ""price"")), """")"),"")</f>
        <v/>
      </c>
      <c r="M667" s="47" t="str">
        <f t="shared" si="3"/>
        <v/>
      </c>
      <c r="N667" s="47" t="str">
        <f>IFERROR(__xludf.DUMMYFUNCTION("IFERROR(IF(OR(ISBLANK($G667), IFERROR(INDEX(GOOGLEFINANCE($C667, ""price"", WORKDAY(INT($B667), 1)), 2, 2), """")=""""), """", IF($D667=""LONG"", (IFERROR(INDEX(GOOGLEFINANCE($C667, ""price"", WORKDAY(INT($B667), 1)), 2, 2), """")-$G667)/$G667, ($G667-IFE"&amp;"RROR(INDEX(GOOGLEFINANCE($C667, ""price"", WORKDAY(INT($B667), 1)), 2, 2), """"))/$G667)), """")"),"")</f>
        <v/>
      </c>
      <c r="O667" s="47" t="str">
        <f>IFERROR(__xludf.DUMMYFUNCTION("IFERROR(IF(OR(ISBLANK($G667), IFERROR(INDEX(GOOGLEFINANCE($C667, ""price"", WORKDAY(INT($B667), 5)), 2, 2), """")=""""), """", IF($D667=""LONG"", (IFERROR(INDEX(GOOGLEFINANCE($C667, ""price"", WORKDAY(INT($B667), 5)), 2, 2), """")-$G667)/$G667, ($G667-IFE"&amp;"RROR(INDEX(GOOGLEFINANCE($C667, ""price"", WORKDAY(INT($B667), 5)), 2, 2), """"))/$G667)), """")"),"")</f>
        <v/>
      </c>
      <c r="P667" s="47" t="str">
        <f>IFERROR(__xludf.DUMMYFUNCTION("IFERROR(IF(OR(ISBLANK($G667), IFERROR(INDEX(GOOGLEFINANCE($C667, ""price"", WORKDAY(INT($B667), 20)), 2, 2), """")=""""), """", IF($D667=""LONG"", (IFERROR(INDEX(GOOGLEFINANCE($C667, ""price"", WORKDAY(INT($B667), 20)), 2, 2), """")-$G667)/$G667, ($G667-I"&amp;"FERROR(INDEX(GOOGLEFINANCE($C667, ""price"", WORKDAY(INT($B667), 20)), 2, 2), """"))/$G667)), """")"),"")</f>
        <v/>
      </c>
      <c r="Q667" s="44"/>
      <c r="R667" s="44"/>
      <c r="S667" s="44"/>
      <c r="T667" s="44"/>
      <c r="U667" s="44"/>
      <c r="V667" s="44"/>
      <c r="W667" s="44"/>
      <c r="X667" s="44"/>
      <c r="Y667" s="44"/>
      <c r="Z667" s="44"/>
    </row>
    <row r="668">
      <c r="A668" s="44"/>
      <c r="B668" s="45"/>
      <c r="C668" s="44"/>
      <c r="D668" s="44"/>
      <c r="E668" s="44"/>
      <c r="F668" s="44"/>
      <c r="G668" s="46"/>
      <c r="H668" s="44"/>
      <c r="I668" s="44"/>
      <c r="J668" s="44"/>
      <c r="K668" s="44"/>
      <c r="L668" s="46" t="str">
        <f>IFERROR(__xludf.DUMMYFUNCTION("IFERROR(IF(ISBLANK($C668), """", GOOGLEFINANCE($C668, ""price"")), """")"),"")</f>
        <v/>
      </c>
      <c r="M668" s="47" t="str">
        <f t="shared" si="3"/>
        <v/>
      </c>
      <c r="N668" s="47" t="str">
        <f>IFERROR(__xludf.DUMMYFUNCTION("IFERROR(IF(OR(ISBLANK($G668), IFERROR(INDEX(GOOGLEFINANCE($C668, ""price"", WORKDAY(INT($B668), 1)), 2, 2), """")=""""), """", IF($D668=""LONG"", (IFERROR(INDEX(GOOGLEFINANCE($C668, ""price"", WORKDAY(INT($B668), 1)), 2, 2), """")-$G668)/$G668, ($G668-IFE"&amp;"RROR(INDEX(GOOGLEFINANCE($C668, ""price"", WORKDAY(INT($B668), 1)), 2, 2), """"))/$G668)), """")"),"")</f>
        <v/>
      </c>
      <c r="O668" s="47" t="str">
        <f>IFERROR(__xludf.DUMMYFUNCTION("IFERROR(IF(OR(ISBLANK($G668), IFERROR(INDEX(GOOGLEFINANCE($C668, ""price"", WORKDAY(INT($B668), 5)), 2, 2), """")=""""), """", IF($D668=""LONG"", (IFERROR(INDEX(GOOGLEFINANCE($C668, ""price"", WORKDAY(INT($B668), 5)), 2, 2), """")-$G668)/$G668, ($G668-IFE"&amp;"RROR(INDEX(GOOGLEFINANCE($C668, ""price"", WORKDAY(INT($B668), 5)), 2, 2), """"))/$G668)), """")"),"")</f>
        <v/>
      </c>
      <c r="P668" s="47" t="str">
        <f>IFERROR(__xludf.DUMMYFUNCTION("IFERROR(IF(OR(ISBLANK($G668), IFERROR(INDEX(GOOGLEFINANCE($C668, ""price"", WORKDAY(INT($B668), 20)), 2, 2), """")=""""), """", IF($D668=""LONG"", (IFERROR(INDEX(GOOGLEFINANCE($C668, ""price"", WORKDAY(INT($B668), 20)), 2, 2), """")-$G668)/$G668, ($G668-I"&amp;"FERROR(INDEX(GOOGLEFINANCE($C668, ""price"", WORKDAY(INT($B668), 20)), 2, 2), """"))/$G668)), """")"),"")</f>
        <v/>
      </c>
      <c r="Q668" s="44"/>
      <c r="R668" s="44"/>
      <c r="S668" s="44"/>
      <c r="T668" s="44"/>
      <c r="U668" s="44"/>
      <c r="V668" s="44"/>
      <c r="W668" s="44"/>
      <c r="X668" s="44"/>
      <c r="Y668" s="44"/>
      <c r="Z668" s="44"/>
    </row>
    <row r="669">
      <c r="A669" s="44"/>
      <c r="B669" s="45"/>
      <c r="C669" s="44"/>
      <c r="D669" s="44"/>
      <c r="E669" s="44"/>
      <c r="F669" s="44"/>
      <c r="G669" s="46"/>
      <c r="H669" s="44"/>
      <c r="I669" s="44"/>
      <c r="J669" s="44"/>
      <c r="K669" s="44"/>
      <c r="L669" s="46" t="str">
        <f>IFERROR(__xludf.DUMMYFUNCTION("IFERROR(IF(ISBLANK($C669), """", GOOGLEFINANCE($C669, ""price"")), """")"),"")</f>
        <v/>
      </c>
      <c r="M669" s="47" t="str">
        <f t="shared" si="3"/>
        <v/>
      </c>
      <c r="N669" s="47" t="str">
        <f>IFERROR(__xludf.DUMMYFUNCTION("IFERROR(IF(OR(ISBLANK($G669), IFERROR(INDEX(GOOGLEFINANCE($C669, ""price"", WORKDAY(INT($B669), 1)), 2, 2), """")=""""), """", IF($D669=""LONG"", (IFERROR(INDEX(GOOGLEFINANCE($C669, ""price"", WORKDAY(INT($B669), 1)), 2, 2), """")-$G669)/$G669, ($G669-IFE"&amp;"RROR(INDEX(GOOGLEFINANCE($C669, ""price"", WORKDAY(INT($B669), 1)), 2, 2), """"))/$G669)), """")"),"")</f>
        <v/>
      </c>
      <c r="O669" s="47" t="str">
        <f>IFERROR(__xludf.DUMMYFUNCTION("IFERROR(IF(OR(ISBLANK($G669), IFERROR(INDEX(GOOGLEFINANCE($C669, ""price"", WORKDAY(INT($B669), 5)), 2, 2), """")=""""), """", IF($D669=""LONG"", (IFERROR(INDEX(GOOGLEFINANCE($C669, ""price"", WORKDAY(INT($B669), 5)), 2, 2), """")-$G669)/$G669, ($G669-IFE"&amp;"RROR(INDEX(GOOGLEFINANCE($C669, ""price"", WORKDAY(INT($B669), 5)), 2, 2), """"))/$G669)), """")"),"")</f>
        <v/>
      </c>
      <c r="P669" s="47" t="str">
        <f>IFERROR(__xludf.DUMMYFUNCTION("IFERROR(IF(OR(ISBLANK($G669), IFERROR(INDEX(GOOGLEFINANCE($C669, ""price"", WORKDAY(INT($B669), 20)), 2, 2), """")=""""), """", IF($D669=""LONG"", (IFERROR(INDEX(GOOGLEFINANCE($C669, ""price"", WORKDAY(INT($B669), 20)), 2, 2), """")-$G669)/$G669, ($G669-I"&amp;"FERROR(INDEX(GOOGLEFINANCE($C669, ""price"", WORKDAY(INT($B669), 20)), 2, 2), """"))/$G669)), """")"),"")</f>
        <v/>
      </c>
      <c r="Q669" s="44"/>
      <c r="R669" s="44"/>
      <c r="S669" s="44"/>
      <c r="T669" s="44"/>
      <c r="U669" s="44"/>
      <c r="V669" s="44"/>
      <c r="W669" s="44"/>
      <c r="X669" s="44"/>
      <c r="Y669" s="44"/>
      <c r="Z669" s="44"/>
    </row>
    <row r="670">
      <c r="A670" s="44"/>
      <c r="B670" s="45"/>
      <c r="C670" s="44"/>
      <c r="D670" s="44"/>
      <c r="E670" s="44"/>
      <c r="F670" s="44"/>
      <c r="G670" s="46"/>
      <c r="H670" s="44"/>
      <c r="I670" s="44"/>
      <c r="J670" s="44"/>
      <c r="K670" s="44"/>
      <c r="L670" s="46" t="str">
        <f>IFERROR(__xludf.DUMMYFUNCTION("IFERROR(IF(ISBLANK($C670), """", GOOGLEFINANCE($C670, ""price"")), """")"),"")</f>
        <v/>
      </c>
      <c r="M670" s="47" t="str">
        <f t="shared" si="3"/>
        <v/>
      </c>
      <c r="N670" s="47" t="str">
        <f>IFERROR(__xludf.DUMMYFUNCTION("IFERROR(IF(OR(ISBLANK($G670), IFERROR(INDEX(GOOGLEFINANCE($C670, ""price"", WORKDAY(INT($B670), 1)), 2, 2), """")=""""), """", IF($D670=""LONG"", (IFERROR(INDEX(GOOGLEFINANCE($C670, ""price"", WORKDAY(INT($B670), 1)), 2, 2), """")-$G670)/$G670, ($G670-IFE"&amp;"RROR(INDEX(GOOGLEFINANCE($C670, ""price"", WORKDAY(INT($B670), 1)), 2, 2), """"))/$G670)), """")"),"")</f>
        <v/>
      </c>
      <c r="O670" s="47" t="str">
        <f>IFERROR(__xludf.DUMMYFUNCTION("IFERROR(IF(OR(ISBLANK($G670), IFERROR(INDEX(GOOGLEFINANCE($C670, ""price"", WORKDAY(INT($B670), 5)), 2, 2), """")=""""), """", IF($D670=""LONG"", (IFERROR(INDEX(GOOGLEFINANCE($C670, ""price"", WORKDAY(INT($B670), 5)), 2, 2), """")-$G670)/$G670, ($G670-IFE"&amp;"RROR(INDEX(GOOGLEFINANCE($C670, ""price"", WORKDAY(INT($B670), 5)), 2, 2), """"))/$G670)), """")"),"")</f>
        <v/>
      </c>
      <c r="P670" s="47" t="str">
        <f>IFERROR(__xludf.DUMMYFUNCTION("IFERROR(IF(OR(ISBLANK($G670), IFERROR(INDEX(GOOGLEFINANCE($C670, ""price"", WORKDAY(INT($B670), 20)), 2, 2), """")=""""), """", IF($D670=""LONG"", (IFERROR(INDEX(GOOGLEFINANCE($C670, ""price"", WORKDAY(INT($B670), 20)), 2, 2), """")-$G670)/$G670, ($G670-I"&amp;"FERROR(INDEX(GOOGLEFINANCE($C670, ""price"", WORKDAY(INT($B670), 20)), 2, 2), """"))/$G670)), """")"),"")</f>
        <v/>
      </c>
      <c r="Q670" s="44"/>
      <c r="R670" s="44"/>
      <c r="S670" s="44"/>
      <c r="T670" s="44"/>
      <c r="U670" s="44"/>
      <c r="V670" s="44"/>
      <c r="W670" s="44"/>
      <c r="X670" s="44"/>
      <c r="Y670" s="44"/>
      <c r="Z670" s="44"/>
    </row>
    <row r="671">
      <c r="A671" s="44"/>
      <c r="B671" s="45"/>
      <c r="C671" s="44"/>
      <c r="D671" s="44"/>
      <c r="E671" s="44"/>
      <c r="F671" s="44"/>
      <c r="G671" s="46"/>
      <c r="H671" s="44"/>
      <c r="I671" s="44"/>
      <c r="J671" s="44"/>
      <c r="K671" s="44"/>
      <c r="L671" s="46" t="str">
        <f>IFERROR(__xludf.DUMMYFUNCTION("IFERROR(IF(ISBLANK($C671), """", GOOGLEFINANCE($C671, ""price"")), """")"),"")</f>
        <v/>
      </c>
      <c r="M671" s="47" t="str">
        <f t="shared" si="3"/>
        <v/>
      </c>
      <c r="N671" s="47" t="str">
        <f>IFERROR(__xludf.DUMMYFUNCTION("IFERROR(IF(OR(ISBLANK($G671), IFERROR(INDEX(GOOGLEFINANCE($C671, ""price"", WORKDAY(INT($B671), 1)), 2, 2), """")=""""), """", IF($D671=""LONG"", (IFERROR(INDEX(GOOGLEFINANCE($C671, ""price"", WORKDAY(INT($B671), 1)), 2, 2), """")-$G671)/$G671, ($G671-IFE"&amp;"RROR(INDEX(GOOGLEFINANCE($C671, ""price"", WORKDAY(INT($B671), 1)), 2, 2), """"))/$G671)), """")"),"")</f>
        <v/>
      </c>
      <c r="O671" s="47" t="str">
        <f>IFERROR(__xludf.DUMMYFUNCTION("IFERROR(IF(OR(ISBLANK($G671), IFERROR(INDEX(GOOGLEFINANCE($C671, ""price"", WORKDAY(INT($B671), 5)), 2, 2), """")=""""), """", IF($D671=""LONG"", (IFERROR(INDEX(GOOGLEFINANCE($C671, ""price"", WORKDAY(INT($B671), 5)), 2, 2), """")-$G671)/$G671, ($G671-IFE"&amp;"RROR(INDEX(GOOGLEFINANCE($C671, ""price"", WORKDAY(INT($B671), 5)), 2, 2), """"))/$G671)), """")"),"")</f>
        <v/>
      </c>
      <c r="P671" s="47" t="str">
        <f>IFERROR(__xludf.DUMMYFUNCTION("IFERROR(IF(OR(ISBLANK($G671), IFERROR(INDEX(GOOGLEFINANCE($C671, ""price"", WORKDAY(INT($B671), 20)), 2, 2), """")=""""), """", IF($D671=""LONG"", (IFERROR(INDEX(GOOGLEFINANCE($C671, ""price"", WORKDAY(INT($B671), 20)), 2, 2), """")-$G671)/$G671, ($G671-I"&amp;"FERROR(INDEX(GOOGLEFINANCE($C671, ""price"", WORKDAY(INT($B671), 20)), 2, 2), """"))/$G671)), """")"),"")</f>
        <v/>
      </c>
      <c r="Q671" s="44"/>
      <c r="R671" s="44"/>
      <c r="S671" s="44"/>
      <c r="T671" s="44"/>
      <c r="U671" s="44"/>
      <c r="V671" s="44"/>
      <c r="W671" s="44"/>
      <c r="X671" s="44"/>
      <c r="Y671" s="44"/>
      <c r="Z671" s="44"/>
    </row>
    <row r="672">
      <c r="A672" s="44"/>
      <c r="B672" s="45"/>
      <c r="C672" s="44"/>
      <c r="D672" s="44"/>
      <c r="E672" s="44"/>
      <c r="F672" s="44"/>
      <c r="G672" s="46"/>
      <c r="H672" s="44"/>
      <c r="I672" s="44"/>
      <c r="J672" s="44"/>
      <c r="K672" s="44"/>
      <c r="L672" s="46" t="str">
        <f>IFERROR(__xludf.DUMMYFUNCTION("IFERROR(IF(ISBLANK($C672), """", GOOGLEFINANCE($C672, ""price"")), """")"),"")</f>
        <v/>
      </c>
      <c r="M672" s="47" t="str">
        <f t="shared" si="3"/>
        <v/>
      </c>
      <c r="N672" s="47" t="str">
        <f>IFERROR(__xludf.DUMMYFUNCTION("IFERROR(IF(OR(ISBLANK($G672), IFERROR(INDEX(GOOGLEFINANCE($C672, ""price"", WORKDAY(INT($B672), 1)), 2, 2), """")=""""), """", IF($D672=""LONG"", (IFERROR(INDEX(GOOGLEFINANCE($C672, ""price"", WORKDAY(INT($B672), 1)), 2, 2), """")-$G672)/$G672, ($G672-IFE"&amp;"RROR(INDEX(GOOGLEFINANCE($C672, ""price"", WORKDAY(INT($B672), 1)), 2, 2), """"))/$G672)), """")"),"")</f>
        <v/>
      </c>
      <c r="O672" s="47" t="str">
        <f>IFERROR(__xludf.DUMMYFUNCTION("IFERROR(IF(OR(ISBLANK($G672), IFERROR(INDEX(GOOGLEFINANCE($C672, ""price"", WORKDAY(INT($B672), 5)), 2, 2), """")=""""), """", IF($D672=""LONG"", (IFERROR(INDEX(GOOGLEFINANCE($C672, ""price"", WORKDAY(INT($B672), 5)), 2, 2), """")-$G672)/$G672, ($G672-IFE"&amp;"RROR(INDEX(GOOGLEFINANCE($C672, ""price"", WORKDAY(INT($B672), 5)), 2, 2), """"))/$G672)), """")"),"")</f>
        <v/>
      </c>
      <c r="P672" s="47" t="str">
        <f>IFERROR(__xludf.DUMMYFUNCTION("IFERROR(IF(OR(ISBLANK($G672), IFERROR(INDEX(GOOGLEFINANCE($C672, ""price"", WORKDAY(INT($B672), 20)), 2, 2), """")=""""), """", IF($D672=""LONG"", (IFERROR(INDEX(GOOGLEFINANCE($C672, ""price"", WORKDAY(INT($B672), 20)), 2, 2), """")-$G672)/$G672, ($G672-I"&amp;"FERROR(INDEX(GOOGLEFINANCE($C672, ""price"", WORKDAY(INT($B672), 20)), 2, 2), """"))/$G672)), """")"),"")</f>
        <v/>
      </c>
      <c r="Q672" s="44"/>
      <c r="R672" s="44"/>
      <c r="S672" s="44"/>
      <c r="T672" s="44"/>
      <c r="U672" s="44"/>
      <c r="V672" s="44"/>
      <c r="W672" s="44"/>
      <c r="X672" s="44"/>
      <c r="Y672" s="44"/>
      <c r="Z672" s="44"/>
    </row>
    <row r="673">
      <c r="A673" s="44"/>
      <c r="B673" s="45"/>
      <c r="C673" s="44"/>
      <c r="D673" s="44"/>
      <c r="E673" s="44"/>
      <c r="F673" s="44"/>
      <c r="G673" s="46"/>
      <c r="H673" s="44"/>
      <c r="I673" s="44"/>
      <c r="J673" s="44"/>
      <c r="K673" s="44"/>
      <c r="L673" s="46" t="str">
        <f>IFERROR(__xludf.DUMMYFUNCTION("IFERROR(IF(ISBLANK($C673), """", GOOGLEFINANCE($C673, ""price"")), """")"),"")</f>
        <v/>
      </c>
      <c r="M673" s="47" t="str">
        <f t="shared" si="3"/>
        <v/>
      </c>
      <c r="N673" s="47" t="str">
        <f>IFERROR(__xludf.DUMMYFUNCTION("IFERROR(IF(OR(ISBLANK($G673), IFERROR(INDEX(GOOGLEFINANCE($C673, ""price"", WORKDAY(INT($B673), 1)), 2, 2), """")=""""), """", IF($D673=""LONG"", (IFERROR(INDEX(GOOGLEFINANCE($C673, ""price"", WORKDAY(INT($B673), 1)), 2, 2), """")-$G673)/$G673, ($G673-IFE"&amp;"RROR(INDEX(GOOGLEFINANCE($C673, ""price"", WORKDAY(INT($B673), 1)), 2, 2), """"))/$G673)), """")"),"")</f>
        <v/>
      </c>
      <c r="O673" s="47" t="str">
        <f>IFERROR(__xludf.DUMMYFUNCTION("IFERROR(IF(OR(ISBLANK($G673), IFERROR(INDEX(GOOGLEFINANCE($C673, ""price"", WORKDAY(INT($B673), 5)), 2, 2), """")=""""), """", IF($D673=""LONG"", (IFERROR(INDEX(GOOGLEFINANCE($C673, ""price"", WORKDAY(INT($B673), 5)), 2, 2), """")-$G673)/$G673, ($G673-IFE"&amp;"RROR(INDEX(GOOGLEFINANCE($C673, ""price"", WORKDAY(INT($B673), 5)), 2, 2), """"))/$G673)), """")"),"")</f>
        <v/>
      </c>
      <c r="P673" s="47" t="str">
        <f>IFERROR(__xludf.DUMMYFUNCTION("IFERROR(IF(OR(ISBLANK($G673), IFERROR(INDEX(GOOGLEFINANCE($C673, ""price"", WORKDAY(INT($B673), 20)), 2, 2), """")=""""), """", IF($D673=""LONG"", (IFERROR(INDEX(GOOGLEFINANCE($C673, ""price"", WORKDAY(INT($B673), 20)), 2, 2), """")-$G673)/$G673, ($G673-I"&amp;"FERROR(INDEX(GOOGLEFINANCE($C673, ""price"", WORKDAY(INT($B673), 20)), 2, 2), """"))/$G673)), """")"),"")</f>
        <v/>
      </c>
      <c r="Q673" s="44"/>
      <c r="R673" s="44"/>
      <c r="S673" s="44"/>
      <c r="T673" s="44"/>
      <c r="U673" s="44"/>
      <c r="V673" s="44"/>
      <c r="W673" s="44"/>
      <c r="X673" s="44"/>
      <c r="Y673" s="44"/>
      <c r="Z673" s="44"/>
    </row>
    <row r="674">
      <c r="A674" s="44"/>
      <c r="B674" s="45"/>
      <c r="C674" s="44"/>
      <c r="D674" s="44"/>
      <c r="E674" s="44"/>
      <c r="F674" s="44"/>
      <c r="G674" s="46"/>
      <c r="H674" s="44"/>
      <c r="I674" s="44"/>
      <c r="J674" s="44"/>
      <c r="K674" s="44"/>
      <c r="L674" s="46" t="str">
        <f>IFERROR(__xludf.DUMMYFUNCTION("IFERROR(IF(ISBLANK($C674), """", GOOGLEFINANCE($C674, ""price"")), """")"),"")</f>
        <v/>
      </c>
      <c r="M674" s="47" t="str">
        <f t="shared" si="3"/>
        <v/>
      </c>
      <c r="N674" s="47" t="str">
        <f>IFERROR(__xludf.DUMMYFUNCTION("IFERROR(IF(OR(ISBLANK($G674), IFERROR(INDEX(GOOGLEFINANCE($C674, ""price"", WORKDAY(INT($B674), 1)), 2, 2), """")=""""), """", IF($D674=""LONG"", (IFERROR(INDEX(GOOGLEFINANCE($C674, ""price"", WORKDAY(INT($B674), 1)), 2, 2), """")-$G674)/$G674, ($G674-IFE"&amp;"RROR(INDEX(GOOGLEFINANCE($C674, ""price"", WORKDAY(INT($B674), 1)), 2, 2), """"))/$G674)), """")"),"")</f>
        <v/>
      </c>
      <c r="O674" s="47" t="str">
        <f>IFERROR(__xludf.DUMMYFUNCTION("IFERROR(IF(OR(ISBLANK($G674), IFERROR(INDEX(GOOGLEFINANCE($C674, ""price"", WORKDAY(INT($B674), 5)), 2, 2), """")=""""), """", IF($D674=""LONG"", (IFERROR(INDEX(GOOGLEFINANCE($C674, ""price"", WORKDAY(INT($B674), 5)), 2, 2), """")-$G674)/$G674, ($G674-IFE"&amp;"RROR(INDEX(GOOGLEFINANCE($C674, ""price"", WORKDAY(INT($B674), 5)), 2, 2), """"))/$G674)), """")"),"")</f>
        <v/>
      </c>
      <c r="P674" s="47" t="str">
        <f>IFERROR(__xludf.DUMMYFUNCTION("IFERROR(IF(OR(ISBLANK($G674), IFERROR(INDEX(GOOGLEFINANCE($C674, ""price"", WORKDAY(INT($B674), 20)), 2, 2), """")=""""), """", IF($D674=""LONG"", (IFERROR(INDEX(GOOGLEFINANCE($C674, ""price"", WORKDAY(INT($B674), 20)), 2, 2), """")-$G674)/$G674, ($G674-I"&amp;"FERROR(INDEX(GOOGLEFINANCE($C674, ""price"", WORKDAY(INT($B674), 20)), 2, 2), """"))/$G674)), """")"),"")</f>
        <v/>
      </c>
      <c r="Q674" s="44"/>
      <c r="R674" s="44"/>
      <c r="S674" s="44"/>
      <c r="T674" s="44"/>
      <c r="U674" s="44"/>
      <c r="V674" s="44"/>
      <c r="W674" s="44"/>
      <c r="X674" s="44"/>
      <c r="Y674" s="44"/>
      <c r="Z674" s="44"/>
    </row>
    <row r="675">
      <c r="A675" s="44"/>
      <c r="B675" s="45"/>
      <c r="C675" s="44"/>
      <c r="D675" s="44"/>
      <c r="E675" s="44"/>
      <c r="F675" s="44"/>
      <c r="G675" s="46"/>
      <c r="H675" s="44"/>
      <c r="I675" s="44"/>
      <c r="J675" s="44"/>
      <c r="K675" s="44"/>
      <c r="L675" s="46" t="str">
        <f>IFERROR(__xludf.DUMMYFUNCTION("IFERROR(IF(ISBLANK($C675), """", GOOGLEFINANCE($C675, ""price"")), """")"),"")</f>
        <v/>
      </c>
      <c r="M675" s="47" t="str">
        <f t="shared" si="3"/>
        <v/>
      </c>
      <c r="N675" s="47" t="str">
        <f>IFERROR(__xludf.DUMMYFUNCTION("IFERROR(IF(OR(ISBLANK($G675), IFERROR(INDEX(GOOGLEFINANCE($C675, ""price"", WORKDAY(INT($B675), 1)), 2, 2), """")=""""), """", IF($D675=""LONG"", (IFERROR(INDEX(GOOGLEFINANCE($C675, ""price"", WORKDAY(INT($B675), 1)), 2, 2), """")-$G675)/$G675, ($G675-IFE"&amp;"RROR(INDEX(GOOGLEFINANCE($C675, ""price"", WORKDAY(INT($B675), 1)), 2, 2), """"))/$G675)), """")"),"")</f>
        <v/>
      </c>
      <c r="O675" s="47" t="str">
        <f>IFERROR(__xludf.DUMMYFUNCTION("IFERROR(IF(OR(ISBLANK($G675), IFERROR(INDEX(GOOGLEFINANCE($C675, ""price"", WORKDAY(INT($B675), 5)), 2, 2), """")=""""), """", IF($D675=""LONG"", (IFERROR(INDEX(GOOGLEFINANCE($C675, ""price"", WORKDAY(INT($B675), 5)), 2, 2), """")-$G675)/$G675, ($G675-IFE"&amp;"RROR(INDEX(GOOGLEFINANCE($C675, ""price"", WORKDAY(INT($B675), 5)), 2, 2), """"))/$G675)), """")"),"")</f>
        <v/>
      </c>
      <c r="P675" s="47" t="str">
        <f>IFERROR(__xludf.DUMMYFUNCTION("IFERROR(IF(OR(ISBLANK($G675), IFERROR(INDEX(GOOGLEFINANCE($C675, ""price"", WORKDAY(INT($B675), 20)), 2, 2), """")=""""), """", IF($D675=""LONG"", (IFERROR(INDEX(GOOGLEFINANCE($C675, ""price"", WORKDAY(INT($B675), 20)), 2, 2), """")-$G675)/$G675, ($G675-I"&amp;"FERROR(INDEX(GOOGLEFINANCE($C675, ""price"", WORKDAY(INT($B675), 20)), 2, 2), """"))/$G675)), """")"),"")</f>
        <v/>
      </c>
      <c r="Q675" s="44"/>
      <c r="R675" s="44"/>
      <c r="S675" s="44"/>
      <c r="T675" s="44"/>
      <c r="U675" s="44"/>
      <c r="V675" s="44"/>
      <c r="W675" s="44"/>
      <c r="X675" s="44"/>
      <c r="Y675" s="44"/>
      <c r="Z675" s="44"/>
    </row>
    <row r="676">
      <c r="A676" s="44"/>
      <c r="B676" s="45"/>
      <c r="C676" s="44"/>
      <c r="D676" s="44"/>
      <c r="E676" s="44"/>
      <c r="F676" s="44"/>
      <c r="G676" s="46"/>
      <c r="H676" s="44"/>
      <c r="I676" s="44"/>
      <c r="J676" s="44"/>
      <c r="K676" s="44"/>
      <c r="L676" s="46" t="str">
        <f>IFERROR(__xludf.DUMMYFUNCTION("IFERROR(IF(ISBLANK($C676), """", GOOGLEFINANCE($C676, ""price"")), """")"),"")</f>
        <v/>
      </c>
      <c r="M676" s="47" t="str">
        <f t="shared" si="3"/>
        <v/>
      </c>
      <c r="N676" s="47" t="str">
        <f>IFERROR(__xludf.DUMMYFUNCTION("IFERROR(IF(OR(ISBLANK($G676), IFERROR(INDEX(GOOGLEFINANCE($C676, ""price"", WORKDAY(INT($B676), 1)), 2, 2), """")=""""), """", IF($D676=""LONG"", (IFERROR(INDEX(GOOGLEFINANCE($C676, ""price"", WORKDAY(INT($B676), 1)), 2, 2), """")-$G676)/$G676, ($G676-IFE"&amp;"RROR(INDEX(GOOGLEFINANCE($C676, ""price"", WORKDAY(INT($B676), 1)), 2, 2), """"))/$G676)), """")"),"")</f>
        <v/>
      </c>
      <c r="O676" s="47" t="str">
        <f>IFERROR(__xludf.DUMMYFUNCTION("IFERROR(IF(OR(ISBLANK($G676), IFERROR(INDEX(GOOGLEFINANCE($C676, ""price"", WORKDAY(INT($B676), 5)), 2, 2), """")=""""), """", IF($D676=""LONG"", (IFERROR(INDEX(GOOGLEFINANCE($C676, ""price"", WORKDAY(INT($B676), 5)), 2, 2), """")-$G676)/$G676, ($G676-IFE"&amp;"RROR(INDEX(GOOGLEFINANCE($C676, ""price"", WORKDAY(INT($B676), 5)), 2, 2), """"))/$G676)), """")"),"")</f>
        <v/>
      </c>
      <c r="P676" s="47" t="str">
        <f>IFERROR(__xludf.DUMMYFUNCTION("IFERROR(IF(OR(ISBLANK($G676), IFERROR(INDEX(GOOGLEFINANCE($C676, ""price"", WORKDAY(INT($B676), 20)), 2, 2), """")=""""), """", IF($D676=""LONG"", (IFERROR(INDEX(GOOGLEFINANCE($C676, ""price"", WORKDAY(INT($B676), 20)), 2, 2), """")-$G676)/$G676, ($G676-I"&amp;"FERROR(INDEX(GOOGLEFINANCE($C676, ""price"", WORKDAY(INT($B676), 20)), 2, 2), """"))/$G676)), """")"),"")</f>
        <v/>
      </c>
      <c r="Q676" s="44"/>
      <c r="R676" s="44"/>
      <c r="S676" s="44"/>
      <c r="T676" s="44"/>
      <c r="U676" s="44"/>
      <c r="V676" s="44"/>
      <c r="W676" s="44"/>
      <c r="X676" s="44"/>
      <c r="Y676" s="44"/>
      <c r="Z676" s="44"/>
    </row>
    <row r="677">
      <c r="A677" s="44"/>
      <c r="B677" s="45"/>
      <c r="C677" s="44"/>
      <c r="D677" s="44"/>
      <c r="E677" s="44"/>
      <c r="F677" s="44"/>
      <c r="G677" s="46"/>
      <c r="H677" s="44"/>
      <c r="I677" s="44"/>
      <c r="J677" s="44"/>
      <c r="K677" s="44"/>
      <c r="L677" s="46" t="str">
        <f>IFERROR(__xludf.DUMMYFUNCTION("IFERROR(IF(ISBLANK($C677), """", GOOGLEFINANCE($C677, ""price"")), """")"),"")</f>
        <v/>
      </c>
      <c r="M677" s="47" t="str">
        <f t="shared" si="3"/>
        <v/>
      </c>
      <c r="N677" s="47" t="str">
        <f>IFERROR(__xludf.DUMMYFUNCTION("IFERROR(IF(OR(ISBLANK($G677), IFERROR(INDEX(GOOGLEFINANCE($C677, ""price"", WORKDAY(INT($B677), 1)), 2, 2), """")=""""), """", IF($D677=""LONG"", (IFERROR(INDEX(GOOGLEFINANCE($C677, ""price"", WORKDAY(INT($B677), 1)), 2, 2), """")-$G677)/$G677, ($G677-IFE"&amp;"RROR(INDEX(GOOGLEFINANCE($C677, ""price"", WORKDAY(INT($B677), 1)), 2, 2), """"))/$G677)), """")"),"")</f>
        <v/>
      </c>
      <c r="O677" s="47" t="str">
        <f>IFERROR(__xludf.DUMMYFUNCTION("IFERROR(IF(OR(ISBLANK($G677), IFERROR(INDEX(GOOGLEFINANCE($C677, ""price"", WORKDAY(INT($B677), 5)), 2, 2), """")=""""), """", IF($D677=""LONG"", (IFERROR(INDEX(GOOGLEFINANCE($C677, ""price"", WORKDAY(INT($B677), 5)), 2, 2), """")-$G677)/$G677, ($G677-IFE"&amp;"RROR(INDEX(GOOGLEFINANCE($C677, ""price"", WORKDAY(INT($B677), 5)), 2, 2), """"))/$G677)), """")"),"")</f>
        <v/>
      </c>
      <c r="P677" s="47" t="str">
        <f>IFERROR(__xludf.DUMMYFUNCTION("IFERROR(IF(OR(ISBLANK($G677), IFERROR(INDEX(GOOGLEFINANCE($C677, ""price"", WORKDAY(INT($B677), 20)), 2, 2), """")=""""), """", IF($D677=""LONG"", (IFERROR(INDEX(GOOGLEFINANCE($C677, ""price"", WORKDAY(INT($B677), 20)), 2, 2), """")-$G677)/$G677, ($G677-I"&amp;"FERROR(INDEX(GOOGLEFINANCE($C677, ""price"", WORKDAY(INT($B677), 20)), 2, 2), """"))/$G677)), """")"),"")</f>
        <v/>
      </c>
      <c r="Q677" s="44"/>
      <c r="R677" s="44"/>
      <c r="S677" s="44"/>
      <c r="T677" s="44"/>
      <c r="U677" s="44"/>
      <c r="V677" s="44"/>
      <c r="W677" s="44"/>
      <c r="X677" s="44"/>
      <c r="Y677" s="44"/>
      <c r="Z677" s="44"/>
    </row>
    <row r="678">
      <c r="A678" s="44"/>
      <c r="B678" s="45"/>
      <c r="C678" s="44"/>
      <c r="D678" s="44"/>
      <c r="E678" s="44"/>
      <c r="F678" s="44"/>
      <c r="G678" s="46"/>
      <c r="H678" s="44"/>
      <c r="I678" s="44"/>
      <c r="J678" s="44"/>
      <c r="K678" s="44"/>
      <c r="L678" s="46" t="str">
        <f>IFERROR(__xludf.DUMMYFUNCTION("IFERROR(IF(ISBLANK($C678), """", GOOGLEFINANCE($C678, ""price"")), """")"),"")</f>
        <v/>
      </c>
      <c r="M678" s="47" t="str">
        <f t="shared" si="3"/>
        <v/>
      </c>
      <c r="N678" s="47" t="str">
        <f>IFERROR(__xludf.DUMMYFUNCTION("IFERROR(IF(OR(ISBLANK($G678), IFERROR(INDEX(GOOGLEFINANCE($C678, ""price"", WORKDAY(INT($B678), 1)), 2, 2), """")=""""), """", IF($D678=""LONG"", (IFERROR(INDEX(GOOGLEFINANCE($C678, ""price"", WORKDAY(INT($B678), 1)), 2, 2), """")-$G678)/$G678, ($G678-IFE"&amp;"RROR(INDEX(GOOGLEFINANCE($C678, ""price"", WORKDAY(INT($B678), 1)), 2, 2), """"))/$G678)), """")"),"")</f>
        <v/>
      </c>
      <c r="O678" s="47" t="str">
        <f>IFERROR(__xludf.DUMMYFUNCTION("IFERROR(IF(OR(ISBLANK($G678), IFERROR(INDEX(GOOGLEFINANCE($C678, ""price"", WORKDAY(INT($B678), 5)), 2, 2), """")=""""), """", IF($D678=""LONG"", (IFERROR(INDEX(GOOGLEFINANCE($C678, ""price"", WORKDAY(INT($B678), 5)), 2, 2), """")-$G678)/$G678, ($G678-IFE"&amp;"RROR(INDEX(GOOGLEFINANCE($C678, ""price"", WORKDAY(INT($B678), 5)), 2, 2), """"))/$G678)), """")"),"")</f>
        <v/>
      </c>
      <c r="P678" s="47" t="str">
        <f>IFERROR(__xludf.DUMMYFUNCTION("IFERROR(IF(OR(ISBLANK($G678), IFERROR(INDEX(GOOGLEFINANCE($C678, ""price"", WORKDAY(INT($B678), 20)), 2, 2), """")=""""), """", IF($D678=""LONG"", (IFERROR(INDEX(GOOGLEFINANCE($C678, ""price"", WORKDAY(INT($B678), 20)), 2, 2), """")-$G678)/$G678, ($G678-I"&amp;"FERROR(INDEX(GOOGLEFINANCE($C678, ""price"", WORKDAY(INT($B678), 20)), 2, 2), """"))/$G678)), """")"),"")</f>
        <v/>
      </c>
      <c r="Q678" s="44"/>
      <c r="R678" s="44"/>
      <c r="S678" s="44"/>
      <c r="T678" s="44"/>
      <c r="U678" s="44"/>
      <c r="V678" s="44"/>
      <c r="W678" s="44"/>
      <c r="X678" s="44"/>
      <c r="Y678" s="44"/>
      <c r="Z678" s="44"/>
    </row>
    <row r="679">
      <c r="A679" s="44"/>
      <c r="B679" s="45"/>
      <c r="C679" s="44"/>
      <c r="D679" s="44"/>
      <c r="E679" s="44"/>
      <c r="F679" s="44"/>
      <c r="G679" s="46"/>
      <c r="H679" s="44"/>
      <c r="I679" s="44"/>
      <c r="J679" s="44"/>
      <c r="K679" s="44"/>
      <c r="L679" s="46" t="str">
        <f>IFERROR(__xludf.DUMMYFUNCTION("IFERROR(IF(ISBLANK($C679), """", GOOGLEFINANCE($C679, ""price"")), """")"),"")</f>
        <v/>
      </c>
      <c r="M679" s="47" t="str">
        <f t="shared" si="3"/>
        <v/>
      </c>
      <c r="N679" s="47" t="str">
        <f>IFERROR(__xludf.DUMMYFUNCTION("IFERROR(IF(OR(ISBLANK($G679), IFERROR(INDEX(GOOGLEFINANCE($C679, ""price"", WORKDAY(INT($B679), 1)), 2, 2), """")=""""), """", IF($D679=""LONG"", (IFERROR(INDEX(GOOGLEFINANCE($C679, ""price"", WORKDAY(INT($B679), 1)), 2, 2), """")-$G679)/$G679, ($G679-IFE"&amp;"RROR(INDEX(GOOGLEFINANCE($C679, ""price"", WORKDAY(INT($B679), 1)), 2, 2), """"))/$G679)), """")"),"")</f>
        <v/>
      </c>
      <c r="O679" s="47" t="str">
        <f>IFERROR(__xludf.DUMMYFUNCTION("IFERROR(IF(OR(ISBLANK($G679), IFERROR(INDEX(GOOGLEFINANCE($C679, ""price"", WORKDAY(INT($B679), 5)), 2, 2), """")=""""), """", IF($D679=""LONG"", (IFERROR(INDEX(GOOGLEFINANCE($C679, ""price"", WORKDAY(INT($B679), 5)), 2, 2), """")-$G679)/$G679, ($G679-IFE"&amp;"RROR(INDEX(GOOGLEFINANCE($C679, ""price"", WORKDAY(INT($B679), 5)), 2, 2), """"))/$G679)), """")"),"")</f>
        <v/>
      </c>
      <c r="P679" s="47" t="str">
        <f>IFERROR(__xludf.DUMMYFUNCTION("IFERROR(IF(OR(ISBLANK($G679), IFERROR(INDEX(GOOGLEFINANCE($C679, ""price"", WORKDAY(INT($B679), 20)), 2, 2), """")=""""), """", IF($D679=""LONG"", (IFERROR(INDEX(GOOGLEFINANCE($C679, ""price"", WORKDAY(INT($B679), 20)), 2, 2), """")-$G679)/$G679, ($G679-I"&amp;"FERROR(INDEX(GOOGLEFINANCE($C679, ""price"", WORKDAY(INT($B679), 20)), 2, 2), """"))/$G679)), """")"),"")</f>
        <v/>
      </c>
      <c r="Q679" s="44"/>
      <c r="R679" s="44"/>
      <c r="S679" s="44"/>
      <c r="T679" s="44"/>
      <c r="U679" s="44"/>
      <c r="V679" s="44"/>
      <c r="W679" s="44"/>
      <c r="X679" s="44"/>
      <c r="Y679" s="44"/>
      <c r="Z679" s="44"/>
    </row>
    <row r="680">
      <c r="A680" s="44"/>
      <c r="B680" s="45"/>
      <c r="C680" s="44"/>
      <c r="D680" s="44"/>
      <c r="E680" s="44"/>
      <c r="F680" s="44"/>
      <c r="G680" s="46"/>
      <c r="H680" s="44"/>
      <c r="I680" s="44"/>
      <c r="J680" s="44"/>
      <c r="K680" s="44"/>
      <c r="L680" s="46" t="str">
        <f>IFERROR(__xludf.DUMMYFUNCTION("IFERROR(IF(ISBLANK($C680), """", GOOGLEFINANCE($C680, ""price"")), """")"),"")</f>
        <v/>
      </c>
      <c r="M680" s="47" t="str">
        <f t="shared" si="3"/>
        <v/>
      </c>
      <c r="N680" s="47" t="str">
        <f>IFERROR(__xludf.DUMMYFUNCTION("IFERROR(IF(OR(ISBLANK($G680), IFERROR(INDEX(GOOGLEFINANCE($C680, ""price"", WORKDAY(INT($B680), 1)), 2, 2), """")=""""), """", IF($D680=""LONG"", (IFERROR(INDEX(GOOGLEFINANCE($C680, ""price"", WORKDAY(INT($B680), 1)), 2, 2), """")-$G680)/$G680, ($G680-IFE"&amp;"RROR(INDEX(GOOGLEFINANCE($C680, ""price"", WORKDAY(INT($B680), 1)), 2, 2), """"))/$G680)), """")"),"")</f>
        <v/>
      </c>
      <c r="O680" s="47" t="str">
        <f>IFERROR(__xludf.DUMMYFUNCTION("IFERROR(IF(OR(ISBLANK($G680), IFERROR(INDEX(GOOGLEFINANCE($C680, ""price"", WORKDAY(INT($B680), 5)), 2, 2), """")=""""), """", IF($D680=""LONG"", (IFERROR(INDEX(GOOGLEFINANCE($C680, ""price"", WORKDAY(INT($B680), 5)), 2, 2), """")-$G680)/$G680, ($G680-IFE"&amp;"RROR(INDEX(GOOGLEFINANCE($C680, ""price"", WORKDAY(INT($B680), 5)), 2, 2), """"))/$G680)), """")"),"")</f>
        <v/>
      </c>
      <c r="P680" s="47" t="str">
        <f>IFERROR(__xludf.DUMMYFUNCTION("IFERROR(IF(OR(ISBLANK($G680), IFERROR(INDEX(GOOGLEFINANCE($C680, ""price"", WORKDAY(INT($B680), 20)), 2, 2), """")=""""), """", IF($D680=""LONG"", (IFERROR(INDEX(GOOGLEFINANCE($C680, ""price"", WORKDAY(INT($B680), 20)), 2, 2), """")-$G680)/$G680, ($G680-I"&amp;"FERROR(INDEX(GOOGLEFINANCE($C680, ""price"", WORKDAY(INT($B680), 20)), 2, 2), """"))/$G680)), """")"),"")</f>
        <v/>
      </c>
      <c r="Q680" s="44"/>
      <c r="R680" s="44"/>
      <c r="S680" s="44"/>
      <c r="T680" s="44"/>
      <c r="U680" s="44"/>
      <c r="V680" s="44"/>
      <c r="W680" s="44"/>
      <c r="X680" s="44"/>
      <c r="Y680" s="44"/>
      <c r="Z680" s="44"/>
    </row>
    <row r="681">
      <c r="A681" s="44"/>
      <c r="B681" s="45"/>
      <c r="C681" s="44"/>
      <c r="D681" s="44"/>
      <c r="E681" s="44"/>
      <c r="F681" s="44"/>
      <c r="G681" s="46"/>
      <c r="H681" s="44"/>
      <c r="I681" s="44"/>
      <c r="J681" s="44"/>
      <c r="K681" s="44"/>
      <c r="L681" s="46" t="str">
        <f>IFERROR(__xludf.DUMMYFUNCTION("IFERROR(IF(ISBLANK($C681), """", GOOGLEFINANCE($C681, ""price"")), """")"),"")</f>
        <v/>
      </c>
      <c r="M681" s="47" t="str">
        <f t="shared" si="3"/>
        <v/>
      </c>
      <c r="N681" s="47" t="str">
        <f>IFERROR(__xludf.DUMMYFUNCTION("IFERROR(IF(OR(ISBLANK($G681), IFERROR(INDEX(GOOGLEFINANCE($C681, ""price"", WORKDAY(INT($B681), 1)), 2, 2), """")=""""), """", IF($D681=""LONG"", (IFERROR(INDEX(GOOGLEFINANCE($C681, ""price"", WORKDAY(INT($B681), 1)), 2, 2), """")-$G681)/$G681, ($G681-IFE"&amp;"RROR(INDEX(GOOGLEFINANCE($C681, ""price"", WORKDAY(INT($B681), 1)), 2, 2), """"))/$G681)), """")"),"")</f>
        <v/>
      </c>
      <c r="O681" s="47" t="str">
        <f>IFERROR(__xludf.DUMMYFUNCTION("IFERROR(IF(OR(ISBLANK($G681), IFERROR(INDEX(GOOGLEFINANCE($C681, ""price"", WORKDAY(INT($B681), 5)), 2, 2), """")=""""), """", IF($D681=""LONG"", (IFERROR(INDEX(GOOGLEFINANCE($C681, ""price"", WORKDAY(INT($B681), 5)), 2, 2), """")-$G681)/$G681, ($G681-IFE"&amp;"RROR(INDEX(GOOGLEFINANCE($C681, ""price"", WORKDAY(INT($B681), 5)), 2, 2), """"))/$G681)), """")"),"")</f>
        <v/>
      </c>
      <c r="P681" s="47" t="str">
        <f>IFERROR(__xludf.DUMMYFUNCTION("IFERROR(IF(OR(ISBLANK($G681), IFERROR(INDEX(GOOGLEFINANCE($C681, ""price"", WORKDAY(INT($B681), 20)), 2, 2), """")=""""), """", IF($D681=""LONG"", (IFERROR(INDEX(GOOGLEFINANCE($C681, ""price"", WORKDAY(INT($B681), 20)), 2, 2), """")-$G681)/$G681, ($G681-I"&amp;"FERROR(INDEX(GOOGLEFINANCE($C681, ""price"", WORKDAY(INT($B681), 20)), 2, 2), """"))/$G681)), """")"),"")</f>
        <v/>
      </c>
      <c r="Q681" s="44"/>
      <c r="R681" s="44"/>
      <c r="S681" s="44"/>
      <c r="T681" s="44"/>
      <c r="U681" s="44"/>
      <c r="V681" s="44"/>
      <c r="W681" s="44"/>
      <c r="X681" s="44"/>
      <c r="Y681" s="44"/>
      <c r="Z681" s="44"/>
    </row>
    <row r="682">
      <c r="A682" s="44"/>
      <c r="B682" s="45"/>
      <c r="C682" s="44"/>
      <c r="D682" s="44"/>
      <c r="E682" s="44"/>
      <c r="F682" s="44"/>
      <c r="G682" s="46"/>
      <c r="H682" s="44"/>
      <c r="I682" s="44"/>
      <c r="J682" s="44"/>
      <c r="K682" s="44"/>
      <c r="L682" s="46" t="str">
        <f>IFERROR(__xludf.DUMMYFUNCTION("IFERROR(IF(ISBLANK($C682), """", GOOGLEFINANCE($C682, ""price"")), """")"),"")</f>
        <v/>
      </c>
      <c r="M682" s="47" t="str">
        <f t="shared" si="3"/>
        <v/>
      </c>
      <c r="N682" s="47" t="str">
        <f>IFERROR(__xludf.DUMMYFUNCTION("IFERROR(IF(OR(ISBLANK($G682), IFERROR(INDEX(GOOGLEFINANCE($C682, ""price"", WORKDAY(INT($B682), 1)), 2, 2), """")=""""), """", IF($D682=""LONG"", (IFERROR(INDEX(GOOGLEFINANCE($C682, ""price"", WORKDAY(INT($B682), 1)), 2, 2), """")-$G682)/$G682, ($G682-IFE"&amp;"RROR(INDEX(GOOGLEFINANCE($C682, ""price"", WORKDAY(INT($B682), 1)), 2, 2), """"))/$G682)), """")"),"")</f>
        <v/>
      </c>
      <c r="O682" s="47" t="str">
        <f>IFERROR(__xludf.DUMMYFUNCTION("IFERROR(IF(OR(ISBLANK($G682), IFERROR(INDEX(GOOGLEFINANCE($C682, ""price"", WORKDAY(INT($B682), 5)), 2, 2), """")=""""), """", IF($D682=""LONG"", (IFERROR(INDEX(GOOGLEFINANCE($C682, ""price"", WORKDAY(INT($B682), 5)), 2, 2), """")-$G682)/$G682, ($G682-IFE"&amp;"RROR(INDEX(GOOGLEFINANCE($C682, ""price"", WORKDAY(INT($B682), 5)), 2, 2), """"))/$G682)), """")"),"")</f>
        <v/>
      </c>
      <c r="P682" s="47" t="str">
        <f>IFERROR(__xludf.DUMMYFUNCTION("IFERROR(IF(OR(ISBLANK($G682), IFERROR(INDEX(GOOGLEFINANCE($C682, ""price"", WORKDAY(INT($B682), 20)), 2, 2), """")=""""), """", IF($D682=""LONG"", (IFERROR(INDEX(GOOGLEFINANCE($C682, ""price"", WORKDAY(INT($B682), 20)), 2, 2), """")-$G682)/$G682, ($G682-I"&amp;"FERROR(INDEX(GOOGLEFINANCE($C682, ""price"", WORKDAY(INT($B682), 20)), 2, 2), """"))/$G682)), """")"),"")</f>
        <v/>
      </c>
      <c r="Q682" s="44"/>
      <c r="R682" s="44"/>
      <c r="S682" s="44"/>
      <c r="T682" s="44"/>
      <c r="U682" s="44"/>
      <c r="V682" s="44"/>
      <c r="W682" s="44"/>
      <c r="X682" s="44"/>
      <c r="Y682" s="44"/>
      <c r="Z682" s="44"/>
    </row>
    <row r="683">
      <c r="A683" s="44"/>
      <c r="B683" s="45"/>
      <c r="C683" s="44"/>
      <c r="D683" s="44"/>
      <c r="E683" s="44"/>
      <c r="F683" s="44"/>
      <c r="G683" s="46"/>
      <c r="H683" s="44"/>
      <c r="I683" s="44"/>
      <c r="J683" s="44"/>
      <c r="K683" s="44"/>
      <c r="L683" s="46" t="str">
        <f>IFERROR(__xludf.DUMMYFUNCTION("IFERROR(IF(ISBLANK($C683), """", GOOGLEFINANCE($C683, ""price"")), """")"),"")</f>
        <v/>
      </c>
      <c r="M683" s="47" t="str">
        <f t="shared" si="3"/>
        <v/>
      </c>
      <c r="N683" s="47" t="str">
        <f>IFERROR(__xludf.DUMMYFUNCTION("IFERROR(IF(OR(ISBLANK($G683), IFERROR(INDEX(GOOGLEFINANCE($C683, ""price"", WORKDAY(INT($B683), 1)), 2, 2), """")=""""), """", IF($D683=""LONG"", (IFERROR(INDEX(GOOGLEFINANCE($C683, ""price"", WORKDAY(INT($B683), 1)), 2, 2), """")-$G683)/$G683, ($G683-IFE"&amp;"RROR(INDEX(GOOGLEFINANCE($C683, ""price"", WORKDAY(INT($B683), 1)), 2, 2), """"))/$G683)), """")"),"")</f>
        <v/>
      </c>
      <c r="O683" s="47" t="str">
        <f>IFERROR(__xludf.DUMMYFUNCTION("IFERROR(IF(OR(ISBLANK($G683), IFERROR(INDEX(GOOGLEFINANCE($C683, ""price"", WORKDAY(INT($B683), 5)), 2, 2), """")=""""), """", IF($D683=""LONG"", (IFERROR(INDEX(GOOGLEFINANCE($C683, ""price"", WORKDAY(INT($B683), 5)), 2, 2), """")-$G683)/$G683, ($G683-IFE"&amp;"RROR(INDEX(GOOGLEFINANCE($C683, ""price"", WORKDAY(INT($B683), 5)), 2, 2), """"))/$G683)), """")"),"")</f>
        <v/>
      </c>
      <c r="P683" s="47" t="str">
        <f>IFERROR(__xludf.DUMMYFUNCTION("IFERROR(IF(OR(ISBLANK($G683), IFERROR(INDEX(GOOGLEFINANCE($C683, ""price"", WORKDAY(INT($B683), 20)), 2, 2), """")=""""), """", IF($D683=""LONG"", (IFERROR(INDEX(GOOGLEFINANCE($C683, ""price"", WORKDAY(INT($B683), 20)), 2, 2), """")-$G683)/$G683, ($G683-I"&amp;"FERROR(INDEX(GOOGLEFINANCE($C683, ""price"", WORKDAY(INT($B683), 20)), 2, 2), """"))/$G683)), """")"),"")</f>
        <v/>
      </c>
      <c r="Q683" s="44"/>
      <c r="R683" s="44"/>
      <c r="S683" s="44"/>
      <c r="T683" s="44"/>
      <c r="U683" s="44"/>
      <c r="V683" s="44"/>
      <c r="W683" s="44"/>
      <c r="X683" s="44"/>
      <c r="Y683" s="44"/>
      <c r="Z683" s="44"/>
    </row>
    <row r="684">
      <c r="A684" s="44"/>
      <c r="B684" s="45"/>
      <c r="C684" s="44"/>
      <c r="D684" s="44"/>
      <c r="E684" s="44"/>
      <c r="F684" s="44"/>
      <c r="G684" s="46"/>
      <c r="H684" s="44"/>
      <c r="I684" s="44"/>
      <c r="J684" s="44"/>
      <c r="K684" s="44"/>
      <c r="L684" s="46" t="str">
        <f>IFERROR(__xludf.DUMMYFUNCTION("IFERROR(IF(ISBLANK($C684), """", GOOGLEFINANCE($C684, ""price"")), """")"),"")</f>
        <v/>
      </c>
      <c r="M684" s="47" t="str">
        <f t="shared" si="3"/>
        <v/>
      </c>
      <c r="N684" s="47" t="str">
        <f>IFERROR(__xludf.DUMMYFUNCTION("IFERROR(IF(OR(ISBLANK($G684), IFERROR(INDEX(GOOGLEFINANCE($C684, ""price"", WORKDAY(INT($B684), 1)), 2, 2), """")=""""), """", IF($D684=""LONG"", (IFERROR(INDEX(GOOGLEFINANCE($C684, ""price"", WORKDAY(INT($B684), 1)), 2, 2), """")-$G684)/$G684, ($G684-IFE"&amp;"RROR(INDEX(GOOGLEFINANCE($C684, ""price"", WORKDAY(INT($B684), 1)), 2, 2), """"))/$G684)), """")"),"")</f>
        <v/>
      </c>
      <c r="O684" s="47" t="str">
        <f>IFERROR(__xludf.DUMMYFUNCTION("IFERROR(IF(OR(ISBLANK($G684), IFERROR(INDEX(GOOGLEFINANCE($C684, ""price"", WORKDAY(INT($B684), 5)), 2, 2), """")=""""), """", IF($D684=""LONG"", (IFERROR(INDEX(GOOGLEFINANCE($C684, ""price"", WORKDAY(INT($B684), 5)), 2, 2), """")-$G684)/$G684, ($G684-IFE"&amp;"RROR(INDEX(GOOGLEFINANCE($C684, ""price"", WORKDAY(INT($B684), 5)), 2, 2), """"))/$G684)), """")"),"")</f>
        <v/>
      </c>
      <c r="P684" s="47" t="str">
        <f>IFERROR(__xludf.DUMMYFUNCTION("IFERROR(IF(OR(ISBLANK($G684), IFERROR(INDEX(GOOGLEFINANCE($C684, ""price"", WORKDAY(INT($B684), 20)), 2, 2), """")=""""), """", IF($D684=""LONG"", (IFERROR(INDEX(GOOGLEFINANCE($C684, ""price"", WORKDAY(INT($B684), 20)), 2, 2), """")-$G684)/$G684, ($G684-I"&amp;"FERROR(INDEX(GOOGLEFINANCE($C684, ""price"", WORKDAY(INT($B684), 20)), 2, 2), """"))/$G684)), """")"),"")</f>
        <v/>
      </c>
      <c r="Q684" s="44"/>
      <c r="R684" s="44"/>
      <c r="S684" s="44"/>
      <c r="T684" s="44"/>
      <c r="U684" s="44"/>
      <c r="V684" s="44"/>
      <c r="W684" s="44"/>
      <c r="X684" s="44"/>
      <c r="Y684" s="44"/>
      <c r="Z684" s="44"/>
    </row>
    <row r="685">
      <c r="A685" s="44"/>
      <c r="B685" s="45"/>
      <c r="C685" s="44"/>
      <c r="D685" s="44"/>
      <c r="E685" s="44"/>
      <c r="F685" s="44"/>
      <c r="G685" s="46"/>
      <c r="H685" s="44"/>
      <c r="I685" s="44"/>
      <c r="J685" s="44"/>
      <c r="K685" s="44"/>
      <c r="L685" s="46" t="str">
        <f>IFERROR(__xludf.DUMMYFUNCTION("IFERROR(IF(ISBLANK($C685), """", GOOGLEFINANCE($C685, ""price"")), """")"),"")</f>
        <v/>
      </c>
      <c r="M685" s="47" t="str">
        <f t="shared" si="3"/>
        <v/>
      </c>
      <c r="N685" s="47" t="str">
        <f>IFERROR(__xludf.DUMMYFUNCTION("IFERROR(IF(OR(ISBLANK($G685), IFERROR(INDEX(GOOGLEFINANCE($C685, ""price"", WORKDAY(INT($B685), 1)), 2, 2), """")=""""), """", IF($D685=""LONG"", (IFERROR(INDEX(GOOGLEFINANCE($C685, ""price"", WORKDAY(INT($B685), 1)), 2, 2), """")-$G685)/$G685, ($G685-IFE"&amp;"RROR(INDEX(GOOGLEFINANCE($C685, ""price"", WORKDAY(INT($B685), 1)), 2, 2), """"))/$G685)), """")"),"")</f>
        <v/>
      </c>
      <c r="O685" s="47" t="str">
        <f>IFERROR(__xludf.DUMMYFUNCTION("IFERROR(IF(OR(ISBLANK($G685), IFERROR(INDEX(GOOGLEFINANCE($C685, ""price"", WORKDAY(INT($B685), 5)), 2, 2), """")=""""), """", IF($D685=""LONG"", (IFERROR(INDEX(GOOGLEFINANCE($C685, ""price"", WORKDAY(INT($B685), 5)), 2, 2), """")-$G685)/$G685, ($G685-IFE"&amp;"RROR(INDEX(GOOGLEFINANCE($C685, ""price"", WORKDAY(INT($B685), 5)), 2, 2), """"))/$G685)), """")"),"")</f>
        <v/>
      </c>
      <c r="P685" s="47" t="str">
        <f>IFERROR(__xludf.DUMMYFUNCTION("IFERROR(IF(OR(ISBLANK($G685), IFERROR(INDEX(GOOGLEFINANCE($C685, ""price"", WORKDAY(INT($B685), 20)), 2, 2), """")=""""), """", IF($D685=""LONG"", (IFERROR(INDEX(GOOGLEFINANCE($C685, ""price"", WORKDAY(INT($B685), 20)), 2, 2), """")-$G685)/$G685, ($G685-I"&amp;"FERROR(INDEX(GOOGLEFINANCE($C685, ""price"", WORKDAY(INT($B685), 20)), 2, 2), """"))/$G685)), """")"),"")</f>
        <v/>
      </c>
      <c r="Q685" s="44"/>
      <c r="R685" s="44"/>
      <c r="S685" s="44"/>
      <c r="T685" s="44"/>
      <c r="U685" s="44"/>
      <c r="V685" s="44"/>
      <c r="W685" s="44"/>
      <c r="X685" s="44"/>
      <c r="Y685" s="44"/>
      <c r="Z685" s="44"/>
    </row>
    <row r="686">
      <c r="A686" s="44"/>
      <c r="B686" s="45"/>
      <c r="C686" s="44"/>
      <c r="D686" s="44"/>
      <c r="E686" s="44"/>
      <c r="F686" s="44"/>
      <c r="G686" s="46"/>
      <c r="H686" s="44"/>
      <c r="I686" s="44"/>
      <c r="J686" s="44"/>
      <c r="K686" s="44"/>
      <c r="L686" s="46" t="str">
        <f>IFERROR(__xludf.DUMMYFUNCTION("IFERROR(IF(ISBLANK($C686), """", GOOGLEFINANCE($C686, ""price"")), """")"),"")</f>
        <v/>
      </c>
      <c r="M686" s="47" t="str">
        <f t="shared" si="3"/>
        <v/>
      </c>
      <c r="N686" s="47" t="str">
        <f>IFERROR(__xludf.DUMMYFUNCTION("IFERROR(IF(OR(ISBLANK($G686), IFERROR(INDEX(GOOGLEFINANCE($C686, ""price"", WORKDAY(INT($B686), 1)), 2, 2), """")=""""), """", IF($D686=""LONG"", (IFERROR(INDEX(GOOGLEFINANCE($C686, ""price"", WORKDAY(INT($B686), 1)), 2, 2), """")-$G686)/$G686, ($G686-IFE"&amp;"RROR(INDEX(GOOGLEFINANCE($C686, ""price"", WORKDAY(INT($B686), 1)), 2, 2), """"))/$G686)), """")"),"")</f>
        <v/>
      </c>
      <c r="O686" s="47" t="str">
        <f>IFERROR(__xludf.DUMMYFUNCTION("IFERROR(IF(OR(ISBLANK($G686), IFERROR(INDEX(GOOGLEFINANCE($C686, ""price"", WORKDAY(INT($B686), 5)), 2, 2), """")=""""), """", IF($D686=""LONG"", (IFERROR(INDEX(GOOGLEFINANCE($C686, ""price"", WORKDAY(INT($B686), 5)), 2, 2), """")-$G686)/$G686, ($G686-IFE"&amp;"RROR(INDEX(GOOGLEFINANCE($C686, ""price"", WORKDAY(INT($B686), 5)), 2, 2), """"))/$G686)), """")"),"")</f>
        <v/>
      </c>
      <c r="P686" s="47" t="str">
        <f>IFERROR(__xludf.DUMMYFUNCTION("IFERROR(IF(OR(ISBLANK($G686), IFERROR(INDEX(GOOGLEFINANCE($C686, ""price"", WORKDAY(INT($B686), 20)), 2, 2), """")=""""), """", IF($D686=""LONG"", (IFERROR(INDEX(GOOGLEFINANCE($C686, ""price"", WORKDAY(INT($B686), 20)), 2, 2), """")-$G686)/$G686, ($G686-I"&amp;"FERROR(INDEX(GOOGLEFINANCE($C686, ""price"", WORKDAY(INT($B686), 20)), 2, 2), """"))/$G686)), """")"),"")</f>
        <v/>
      </c>
      <c r="Q686" s="44"/>
      <c r="R686" s="44"/>
      <c r="S686" s="44"/>
      <c r="T686" s="44"/>
      <c r="U686" s="44"/>
      <c r="V686" s="44"/>
      <c r="W686" s="44"/>
      <c r="X686" s="44"/>
      <c r="Y686" s="44"/>
      <c r="Z686" s="44"/>
    </row>
    <row r="687">
      <c r="A687" s="44"/>
      <c r="B687" s="45"/>
      <c r="C687" s="44"/>
      <c r="D687" s="44"/>
      <c r="E687" s="44"/>
      <c r="F687" s="44"/>
      <c r="G687" s="46"/>
      <c r="H687" s="44"/>
      <c r="I687" s="44"/>
      <c r="J687" s="44"/>
      <c r="K687" s="44"/>
      <c r="L687" s="46" t="str">
        <f>IFERROR(__xludf.DUMMYFUNCTION("IFERROR(IF(ISBLANK($C687), """", GOOGLEFINANCE($C687, ""price"")), """")"),"")</f>
        <v/>
      </c>
      <c r="M687" s="47" t="str">
        <f t="shared" si="3"/>
        <v/>
      </c>
      <c r="N687" s="47" t="str">
        <f>IFERROR(__xludf.DUMMYFUNCTION("IFERROR(IF(OR(ISBLANK($G687), IFERROR(INDEX(GOOGLEFINANCE($C687, ""price"", WORKDAY(INT($B687), 1)), 2, 2), """")=""""), """", IF($D687=""LONG"", (IFERROR(INDEX(GOOGLEFINANCE($C687, ""price"", WORKDAY(INT($B687), 1)), 2, 2), """")-$G687)/$G687, ($G687-IFE"&amp;"RROR(INDEX(GOOGLEFINANCE($C687, ""price"", WORKDAY(INT($B687), 1)), 2, 2), """"))/$G687)), """")"),"")</f>
        <v/>
      </c>
      <c r="O687" s="47" t="str">
        <f>IFERROR(__xludf.DUMMYFUNCTION("IFERROR(IF(OR(ISBLANK($G687), IFERROR(INDEX(GOOGLEFINANCE($C687, ""price"", WORKDAY(INT($B687), 5)), 2, 2), """")=""""), """", IF($D687=""LONG"", (IFERROR(INDEX(GOOGLEFINANCE($C687, ""price"", WORKDAY(INT($B687), 5)), 2, 2), """")-$G687)/$G687, ($G687-IFE"&amp;"RROR(INDEX(GOOGLEFINANCE($C687, ""price"", WORKDAY(INT($B687), 5)), 2, 2), """"))/$G687)), """")"),"")</f>
        <v/>
      </c>
      <c r="P687" s="47" t="str">
        <f>IFERROR(__xludf.DUMMYFUNCTION("IFERROR(IF(OR(ISBLANK($G687), IFERROR(INDEX(GOOGLEFINANCE($C687, ""price"", WORKDAY(INT($B687), 20)), 2, 2), """")=""""), """", IF($D687=""LONG"", (IFERROR(INDEX(GOOGLEFINANCE($C687, ""price"", WORKDAY(INT($B687), 20)), 2, 2), """")-$G687)/$G687, ($G687-I"&amp;"FERROR(INDEX(GOOGLEFINANCE($C687, ""price"", WORKDAY(INT($B687), 20)), 2, 2), """"))/$G687)), """")"),"")</f>
        <v/>
      </c>
      <c r="Q687" s="44"/>
      <c r="R687" s="44"/>
      <c r="S687" s="44"/>
      <c r="T687" s="44"/>
      <c r="U687" s="44"/>
      <c r="V687" s="44"/>
      <c r="W687" s="44"/>
      <c r="X687" s="44"/>
      <c r="Y687" s="44"/>
      <c r="Z687" s="44"/>
    </row>
    <row r="688">
      <c r="A688" s="44"/>
      <c r="B688" s="45"/>
      <c r="C688" s="44"/>
      <c r="D688" s="44"/>
      <c r="E688" s="44"/>
      <c r="F688" s="44"/>
      <c r="G688" s="46"/>
      <c r="H688" s="44"/>
      <c r="I688" s="44"/>
      <c r="J688" s="44"/>
      <c r="K688" s="44"/>
      <c r="L688" s="46" t="str">
        <f>IFERROR(__xludf.DUMMYFUNCTION("IFERROR(IF(ISBLANK($C688), """", GOOGLEFINANCE($C688, ""price"")), """")"),"")</f>
        <v/>
      </c>
      <c r="M688" s="47" t="str">
        <f t="shared" si="3"/>
        <v/>
      </c>
      <c r="N688" s="47" t="str">
        <f>IFERROR(__xludf.DUMMYFUNCTION("IFERROR(IF(OR(ISBLANK($G688), IFERROR(INDEX(GOOGLEFINANCE($C688, ""price"", WORKDAY(INT($B688), 1)), 2, 2), """")=""""), """", IF($D688=""LONG"", (IFERROR(INDEX(GOOGLEFINANCE($C688, ""price"", WORKDAY(INT($B688), 1)), 2, 2), """")-$G688)/$G688, ($G688-IFE"&amp;"RROR(INDEX(GOOGLEFINANCE($C688, ""price"", WORKDAY(INT($B688), 1)), 2, 2), """"))/$G688)), """")"),"")</f>
        <v/>
      </c>
      <c r="O688" s="47" t="str">
        <f>IFERROR(__xludf.DUMMYFUNCTION("IFERROR(IF(OR(ISBLANK($G688), IFERROR(INDEX(GOOGLEFINANCE($C688, ""price"", WORKDAY(INT($B688), 5)), 2, 2), """")=""""), """", IF($D688=""LONG"", (IFERROR(INDEX(GOOGLEFINANCE($C688, ""price"", WORKDAY(INT($B688), 5)), 2, 2), """")-$G688)/$G688, ($G688-IFE"&amp;"RROR(INDEX(GOOGLEFINANCE($C688, ""price"", WORKDAY(INT($B688), 5)), 2, 2), """"))/$G688)), """")"),"")</f>
        <v/>
      </c>
      <c r="P688" s="47" t="str">
        <f>IFERROR(__xludf.DUMMYFUNCTION("IFERROR(IF(OR(ISBLANK($G688), IFERROR(INDEX(GOOGLEFINANCE($C688, ""price"", WORKDAY(INT($B688), 20)), 2, 2), """")=""""), """", IF($D688=""LONG"", (IFERROR(INDEX(GOOGLEFINANCE($C688, ""price"", WORKDAY(INT($B688), 20)), 2, 2), """")-$G688)/$G688, ($G688-I"&amp;"FERROR(INDEX(GOOGLEFINANCE($C688, ""price"", WORKDAY(INT($B688), 20)), 2, 2), """"))/$G688)), """")"),"")</f>
        <v/>
      </c>
      <c r="Q688" s="44"/>
      <c r="R688" s="44"/>
      <c r="S688" s="44"/>
      <c r="T688" s="44"/>
      <c r="U688" s="44"/>
      <c r="V688" s="44"/>
      <c r="W688" s="44"/>
      <c r="X688" s="44"/>
      <c r="Y688" s="44"/>
      <c r="Z688" s="44"/>
    </row>
    <row r="689">
      <c r="A689" s="44"/>
      <c r="B689" s="45"/>
      <c r="C689" s="44"/>
      <c r="D689" s="44"/>
      <c r="E689" s="44"/>
      <c r="F689" s="44"/>
      <c r="G689" s="46"/>
      <c r="H689" s="44"/>
      <c r="I689" s="44"/>
      <c r="J689" s="44"/>
      <c r="K689" s="44"/>
      <c r="L689" s="46" t="str">
        <f>IFERROR(__xludf.DUMMYFUNCTION("IFERROR(IF(ISBLANK($C689), """", GOOGLEFINANCE($C689, ""price"")), """")"),"")</f>
        <v/>
      </c>
      <c r="M689" s="47" t="str">
        <f t="shared" si="3"/>
        <v/>
      </c>
      <c r="N689" s="47" t="str">
        <f>IFERROR(__xludf.DUMMYFUNCTION("IFERROR(IF(OR(ISBLANK($G689), IFERROR(INDEX(GOOGLEFINANCE($C689, ""price"", WORKDAY(INT($B689), 1)), 2, 2), """")=""""), """", IF($D689=""LONG"", (IFERROR(INDEX(GOOGLEFINANCE($C689, ""price"", WORKDAY(INT($B689), 1)), 2, 2), """")-$G689)/$G689, ($G689-IFE"&amp;"RROR(INDEX(GOOGLEFINANCE($C689, ""price"", WORKDAY(INT($B689), 1)), 2, 2), """"))/$G689)), """")"),"")</f>
        <v/>
      </c>
      <c r="O689" s="47" t="str">
        <f>IFERROR(__xludf.DUMMYFUNCTION("IFERROR(IF(OR(ISBLANK($G689), IFERROR(INDEX(GOOGLEFINANCE($C689, ""price"", WORKDAY(INT($B689), 5)), 2, 2), """")=""""), """", IF($D689=""LONG"", (IFERROR(INDEX(GOOGLEFINANCE($C689, ""price"", WORKDAY(INT($B689), 5)), 2, 2), """")-$G689)/$G689, ($G689-IFE"&amp;"RROR(INDEX(GOOGLEFINANCE($C689, ""price"", WORKDAY(INT($B689), 5)), 2, 2), """"))/$G689)), """")"),"")</f>
        <v/>
      </c>
      <c r="P689" s="47" t="str">
        <f>IFERROR(__xludf.DUMMYFUNCTION("IFERROR(IF(OR(ISBLANK($G689), IFERROR(INDEX(GOOGLEFINANCE($C689, ""price"", WORKDAY(INT($B689), 20)), 2, 2), """")=""""), """", IF($D689=""LONG"", (IFERROR(INDEX(GOOGLEFINANCE($C689, ""price"", WORKDAY(INT($B689), 20)), 2, 2), """")-$G689)/$G689, ($G689-I"&amp;"FERROR(INDEX(GOOGLEFINANCE($C689, ""price"", WORKDAY(INT($B689), 20)), 2, 2), """"))/$G689)), """")"),"")</f>
        <v/>
      </c>
      <c r="Q689" s="44"/>
      <c r="R689" s="44"/>
      <c r="S689" s="44"/>
      <c r="T689" s="44"/>
      <c r="U689" s="44"/>
      <c r="V689" s="44"/>
      <c r="W689" s="44"/>
      <c r="X689" s="44"/>
      <c r="Y689" s="44"/>
      <c r="Z689" s="44"/>
    </row>
    <row r="690">
      <c r="A690" s="44"/>
      <c r="B690" s="45"/>
      <c r="C690" s="44"/>
      <c r="D690" s="44"/>
      <c r="E690" s="44"/>
      <c r="F690" s="44"/>
      <c r="G690" s="46"/>
      <c r="H690" s="44"/>
      <c r="I690" s="44"/>
      <c r="J690" s="44"/>
      <c r="K690" s="44"/>
      <c r="L690" s="46" t="str">
        <f>IFERROR(__xludf.DUMMYFUNCTION("IFERROR(IF(ISBLANK($C690), """", GOOGLEFINANCE($C690, ""price"")), """")"),"")</f>
        <v/>
      </c>
      <c r="M690" s="47" t="str">
        <f t="shared" si="3"/>
        <v/>
      </c>
      <c r="N690" s="47" t="str">
        <f>IFERROR(__xludf.DUMMYFUNCTION("IFERROR(IF(OR(ISBLANK($G690), IFERROR(INDEX(GOOGLEFINANCE($C690, ""price"", WORKDAY(INT($B690), 1)), 2, 2), """")=""""), """", IF($D690=""LONG"", (IFERROR(INDEX(GOOGLEFINANCE($C690, ""price"", WORKDAY(INT($B690), 1)), 2, 2), """")-$G690)/$G690, ($G690-IFE"&amp;"RROR(INDEX(GOOGLEFINANCE($C690, ""price"", WORKDAY(INT($B690), 1)), 2, 2), """"))/$G690)), """")"),"")</f>
        <v/>
      </c>
      <c r="O690" s="47" t="str">
        <f>IFERROR(__xludf.DUMMYFUNCTION("IFERROR(IF(OR(ISBLANK($G690), IFERROR(INDEX(GOOGLEFINANCE($C690, ""price"", WORKDAY(INT($B690), 5)), 2, 2), """")=""""), """", IF($D690=""LONG"", (IFERROR(INDEX(GOOGLEFINANCE($C690, ""price"", WORKDAY(INT($B690), 5)), 2, 2), """")-$G690)/$G690, ($G690-IFE"&amp;"RROR(INDEX(GOOGLEFINANCE($C690, ""price"", WORKDAY(INT($B690), 5)), 2, 2), """"))/$G690)), """")"),"")</f>
        <v/>
      </c>
      <c r="P690" s="47" t="str">
        <f>IFERROR(__xludf.DUMMYFUNCTION("IFERROR(IF(OR(ISBLANK($G690), IFERROR(INDEX(GOOGLEFINANCE($C690, ""price"", WORKDAY(INT($B690), 20)), 2, 2), """")=""""), """", IF($D690=""LONG"", (IFERROR(INDEX(GOOGLEFINANCE($C690, ""price"", WORKDAY(INT($B690), 20)), 2, 2), """")-$G690)/$G690, ($G690-I"&amp;"FERROR(INDEX(GOOGLEFINANCE($C690, ""price"", WORKDAY(INT($B690), 20)), 2, 2), """"))/$G690)), """")"),"")</f>
        <v/>
      </c>
      <c r="Q690" s="44"/>
      <c r="R690" s="44"/>
      <c r="S690" s="44"/>
      <c r="T690" s="44"/>
      <c r="U690" s="44"/>
      <c r="V690" s="44"/>
      <c r="W690" s="44"/>
      <c r="X690" s="44"/>
      <c r="Y690" s="44"/>
      <c r="Z690" s="44"/>
    </row>
    <row r="691">
      <c r="A691" s="44"/>
      <c r="B691" s="45"/>
      <c r="C691" s="44"/>
      <c r="D691" s="44"/>
      <c r="E691" s="44"/>
      <c r="F691" s="44"/>
      <c r="G691" s="46"/>
      <c r="H691" s="44"/>
      <c r="I691" s="44"/>
      <c r="J691" s="44"/>
      <c r="K691" s="44"/>
      <c r="L691" s="46" t="str">
        <f>IFERROR(__xludf.DUMMYFUNCTION("IFERROR(IF(ISBLANK($C691), """", GOOGLEFINANCE($C691, ""price"")), """")"),"")</f>
        <v/>
      </c>
      <c r="M691" s="47" t="str">
        <f t="shared" si="3"/>
        <v/>
      </c>
      <c r="N691" s="47" t="str">
        <f>IFERROR(__xludf.DUMMYFUNCTION("IFERROR(IF(OR(ISBLANK($G691), IFERROR(INDEX(GOOGLEFINANCE($C691, ""price"", WORKDAY(INT($B691), 1)), 2, 2), """")=""""), """", IF($D691=""LONG"", (IFERROR(INDEX(GOOGLEFINANCE($C691, ""price"", WORKDAY(INT($B691), 1)), 2, 2), """")-$G691)/$G691, ($G691-IFE"&amp;"RROR(INDEX(GOOGLEFINANCE($C691, ""price"", WORKDAY(INT($B691), 1)), 2, 2), """"))/$G691)), """")"),"")</f>
        <v/>
      </c>
      <c r="O691" s="47" t="str">
        <f>IFERROR(__xludf.DUMMYFUNCTION("IFERROR(IF(OR(ISBLANK($G691), IFERROR(INDEX(GOOGLEFINANCE($C691, ""price"", WORKDAY(INT($B691), 5)), 2, 2), """")=""""), """", IF($D691=""LONG"", (IFERROR(INDEX(GOOGLEFINANCE($C691, ""price"", WORKDAY(INT($B691), 5)), 2, 2), """")-$G691)/$G691, ($G691-IFE"&amp;"RROR(INDEX(GOOGLEFINANCE($C691, ""price"", WORKDAY(INT($B691), 5)), 2, 2), """"))/$G691)), """")"),"")</f>
        <v/>
      </c>
      <c r="P691" s="47" t="str">
        <f>IFERROR(__xludf.DUMMYFUNCTION("IFERROR(IF(OR(ISBLANK($G691), IFERROR(INDEX(GOOGLEFINANCE($C691, ""price"", WORKDAY(INT($B691), 20)), 2, 2), """")=""""), """", IF($D691=""LONG"", (IFERROR(INDEX(GOOGLEFINANCE($C691, ""price"", WORKDAY(INT($B691), 20)), 2, 2), """")-$G691)/$G691, ($G691-I"&amp;"FERROR(INDEX(GOOGLEFINANCE($C691, ""price"", WORKDAY(INT($B691), 20)), 2, 2), """"))/$G691)), """")"),"")</f>
        <v/>
      </c>
      <c r="Q691" s="44"/>
      <c r="R691" s="44"/>
      <c r="S691" s="44"/>
      <c r="T691" s="44"/>
      <c r="U691" s="44"/>
      <c r="V691" s="44"/>
      <c r="W691" s="44"/>
      <c r="X691" s="44"/>
      <c r="Y691" s="44"/>
      <c r="Z691" s="44"/>
    </row>
    <row r="692">
      <c r="A692" s="44"/>
      <c r="B692" s="45"/>
      <c r="C692" s="44"/>
      <c r="D692" s="44"/>
      <c r="E692" s="44"/>
      <c r="F692" s="44"/>
      <c r="G692" s="46"/>
      <c r="H692" s="44"/>
      <c r="I692" s="44"/>
      <c r="J692" s="44"/>
      <c r="K692" s="44"/>
      <c r="L692" s="46" t="str">
        <f>IFERROR(__xludf.DUMMYFUNCTION("IFERROR(IF(ISBLANK($C692), """", GOOGLEFINANCE($C692, ""price"")), """")"),"")</f>
        <v/>
      </c>
      <c r="M692" s="47" t="str">
        <f t="shared" si="3"/>
        <v/>
      </c>
      <c r="N692" s="47" t="str">
        <f>IFERROR(__xludf.DUMMYFUNCTION("IFERROR(IF(OR(ISBLANK($G692), IFERROR(INDEX(GOOGLEFINANCE($C692, ""price"", WORKDAY(INT($B692), 1)), 2, 2), """")=""""), """", IF($D692=""LONG"", (IFERROR(INDEX(GOOGLEFINANCE($C692, ""price"", WORKDAY(INT($B692), 1)), 2, 2), """")-$G692)/$G692, ($G692-IFE"&amp;"RROR(INDEX(GOOGLEFINANCE($C692, ""price"", WORKDAY(INT($B692), 1)), 2, 2), """"))/$G692)), """")"),"")</f>
        <v/>
      </c>
      <c r="O692" s="47" t="str">
        <f>IFERROR(__xludf.DUMMYFUNCTION("IFERROR(IF(OR(ISBLANK($G692), IFERROR(INDEX(GOOGLEFINANCE($C692, ""price"", WORKDAY(INT($B692), 5)), 2, 2), """")=""""), """", IF($D692=""LONG"", (IFERROR(INDEX(GOOGLEFINANCE($C692, ""price"", WORKDAY(INT($B692), 5)), 2, 2), """")-$G692)/$G692, ($G692-IFE"&amp;"RROR(INDEX(GOOGLEFINANCE($C692, ""price"", WORKDAY(INT($B692), 5)), 2, 2), """"))/$G692)), """")"),"")</f>
        <v/>
      </c>
      <c r="P692" s="47" t="str">
        <f>IFERROR(__xludf.DUMMYFUNCTION("IFERROR(IF(OR(ISBLANK($G692), IFERROR(INDEX(GOOGLEFINANCE($C692, ""price"", WORKDAY(INT($B692), 20)), 2, 2), """")=""""), """", IF($D692=""LONG"", (IFERROR(INDEX(GOOGLEFINANCE($C692, ""price"", WORKDAY(INT($B692), 20)), 2, 2), """")-$G692)/$G692, ($G692-I"&amp;"FERROR(INDEX(GOOGLEFINANCE($C692, ""price"", WORKDAY(INT($B692), 20)), 2, 2), """"))/$G692)), """")"),"")</f>
        <v/>
      </c>
      <c r="Q692" s="44"/>
      <c r="R692" s="44"/>
      <c r="S692" s="44"/>
      <c r="T692" s="44"/>
      <c r="U692" s="44"/>
      <c r="V692" s="44"/>
      <c r="W692" s="44"/>
      <c r="X692" s="44"/>
      <c r="Y692" s="44"/>
      <c r="Z692" s="44"/>
    </row>
    <row r="693">
      <c r="A693" s="44"/>
      <c r="B693" s="45"/>
      <c r="C693" s="44"/>
      <c r="D693" s="44"/>
      <c r="E693" s="44"/>
      <c r="F693" s="44"/>
      <c r="G693" s="46"/>
      <c r="H693" s="44"/>
      <c r="I693" s="44"/>
      <c r="J693" s="44"/>
      <c r="K693" s="44"/>
      <c r="L693" s="46" t="str">
        <f>IFERROR(__xludf.DUMMYFUNCTION("IFERROR(IF(ISBLANK($C693), """", GOOGLEFINANCE($C693, ""price"")), """")"),"")</f>
        <v/>
      </c>
      <c r="M693" s="47" t="str">
        <f t="shared" si="3"/>
        <v/>
      </c>
      <c r="N693" s="47" t="str">
        <f>IFERROR(__xludf.DUMMYFUNCTION("IFERROR(IF(OR(ISBLANK($G693), IFERROR(INDEX(GOOGLEFINANCE($C693, ""price"", WORKDAY(INT($B693), 1)), 2, 2), """")=""""), """", IF($D693=""LONG"", (IFERROR(INDEX(GOOGLEFINANCE($C693, ""price"", WORKDAY(INT($B693), 1)), 2, 2), """")-$G693)/$G693, ($G693-IFE"&amp;"RROR(INDEX(GOOGLEFINANCE($C693, ""price"", WORKDAY(INT($B693), 1)), 2, 2), """"))/$G693)), """")"),"")</f>
        <v/>
      </c>
      <c r="O693" s="47" t="str">
        <f>IFERROR(__xludf.DUMMYFUNCTION("IFERROR(IF(OR(ISBLANK($G693), IFERROR(INDEX(GOOGLEFINANCE($C693, ""price"", WORKDAY(INT($B693), 5)), 2, 2), """")=""""), """", IF($D693=""LONG"", (IFERROR(INDEX(GOOGLEFINANCE($C693, ""price"", WORKDAY(INT($B693), 5)), 2, 2), """")-$G693)/$G693, ($G693-IFE"&amp;"RROR(INDEX(GOOGLEFINANCE($C693, ""price"", WORKDAY(INT($B693), 5)), 2, 2), """"))/$G693)), """")"),"")</f>
        <v/>
      </c>
      <c r="P693" s="47" t="str">
        <f>IFERROR(__xludf.DUMMYFUNCTION("IFERROR(IF(OR(ISBLANK($G693), IFERROR(INDEX(GOOGLEFINANCE($C693, ""price"", WORKDAY(INT($B693), 20)), 2, 2), """")=""""), """", IF($D693=""LONG"", (IFERROR(INDEX(GOOGLEFINANCE($C693, ""price"", WORKDAY(INT($B693), 20)), 2, 2), """")-$G693)/$G693, ($G693-I"&amp;"FERROR(INDEX(GOOGLEFINANCE($C693, ""price"", WORKDAY(INT($B693), 20)), 2, 2), """"))/$G693)), """")"),"")</f>
        <v/>
      </c>
      <c r="Q693" s="44"/>
      <c r="R693" s="44"/>
      <c r="S693" s="44"/>
      <c r="T693" s="44"/>
      <c r="U693" s="44"/>
      <c r="V693" s="44"/>
      <c r="W693" s="44"/>
      <c r="X693" s="44"/>
      <c r="Y693" s="44"/>
      <c r="Z693" s="44"/>
    </row>
    <row r="694">
      <c r="A694" s="44"/>
      <c r="B694" s="45"/>
      <c r="C694" s="44"/>
      <c r="D694" s="44"/>
      <c r="E694" s="44"/>
      <c r="F694" s="44"/>
      <c r="G694" s="46"/>
      <c r="H694" s="44"/>
      <c r="I694" s="44"/>
      <c r="J694" s="44"/>
      <c r="K694" s="44"/>
      <c r="L694" s="46" t="str">
        <f>IFERROR(__xludf.DUMMYFUNCTION("IFERROR(IF(ISBLANK($C694), """", GOOGLEFINANCE($C694, ""price"")), """")"),"")</f>
        <v/>
      </c>
      <c r="M694" s="47" t="str">
        <f t="shared" si="3"/>
        <v/>
      </c>
      <c r="N694" s="47" t="str">
        <f>IFERROR(__xludf.DUMMYFUNCTION("IFERROR(IF(OR(ISBLANK($G694), IFERROR(INDEX(GOOGLEFINANCE($C694, ""price"", WORKDAY(INT($B694), 1)), 2, 2), """")=""""), """", IF($D694=""LONG"", (IFERROR(INDEX(GOOGLEFINANCE($C694, ""price"", WORKDAY(INT($B694), 1)), 2, 2), """")-$G694)/$G694, ($G694-IFE"&amp;"RROR(INDEX(GOOGLEFINANCE($C694, ""price"", WORKDAY(INT($B694), 1)), 2, 2), """"))/$G694)), """")"),"")</f>
        <v/>
      </c>
      <c r="O694" s="47" t="str">
        <f>IFERROR(__xludf.DUMMYFUNCTION("IFERROR(IF(OR(ISBLANK($G694), IFERROR(INDEX(GOOGLEFINANCE($C694, ""price"", WORKDAY(INT($B694), 5)), 2, 2), """")=""""), """", IF($D694=""LONG"", (IFERROR(INDEX(GOOGLEFINANCE($C694, ""price"", WORKDAY(INT($B694), 5)), 2, 2), """")-$G694)/$G694, ($G694-IFE"&amp;"RROR(INDEX(GOOGLEFINANCE($C694, ""price"", WORKDAY(INT($B694), 5)), 2, 2), """"))/$G694)), """")"),"")</f>
        <v/>
      </c>
      <c r="P694" s="47" t="str">
        <f>IFERROR(__xludf.DUMMYFUNCTION("IFERROR(IF(OR(ISBLANK($G694), IFERROR(INDEX(GOOGLEFINANCE($C694, ""price"", WORKDAY(INT($B694), 20)), 2, 2), """")=""""), """", IF($D694=""LONG"", (IFERROR(INDEX(GOOGLEFINANCE($C694, ""price"", WORKDAY(INT($B694), 20)), 2, 2), """")-$G694)/$G694, ($G694-I"&amp;"FERROR(INDEX(GOOGLEFINANCE($C694, ""price"", WORKDAY(INT($B694), 20)), 2, 2), """"))/$G694)), """")"),"")</f>
        <v/>
      </c>
      <c r="Q694" s="44"/>
      <c r="R694" s="44"/>
      <c r="S694" s="44"/>
      <c r="T694" s="44"/>
      <c r="U694" s="44"/>
      <c r="V694" s="44"/>
      <c r="W694" s="44"/>
      <c r="X694" s="44"/>
      <c r="Y694" s="44"/>
      <c r="Z694" s="44"/>
    </row>
    <row r="695">
      <c r="A695" s="44"/>
      <c r="B695" s="45"/>
      <c r="C695" s="44"/>
      <c r="D695" s="44"/>
      <c r="E695" s="44"/>
      <c r="F695" s="44"/>
      <c r="G695" s="46"/>
      <c r="H695" s="44"/>
      <c r="I695" s="44"/>
      <c r="J695" s="44"/>
      <c r="K695" s="44"/>
      <c r="L695" s="46" t="str">
        <f>IFERROR(__xludf.DUMMYFUNCTION("IFERROR(IF(ISBLANK($C695), """", GOOGLEFINANCE($C695, ""price"")), """")"),"")</f>
        <v/>
      </c>
      <c r="M695" s="47" t="str">
        <f t="shared" si="3"/>
        <v/>
      </c>
      <c r="N695" s="47" t="str">
        <f>IFERROR(__xludf.DUMMYFUNCTION("IFERROR(IF(OR(ISBLANK($G695), IFERROR(INDEX(GOOGLEFINANCE($C695, ""price"", WORKDAY(INT($B695), 1)), 2, 2), """")=""""), """", IF($D695=""LONG"", (IFERROR(INDEX(GOOGLEFINANCE($C695, ""price"", WORKDAY(INT($B695), 1)), 2, 2), """")-$G695)/$G695, ($G695-IFE"&amp;"RROR(INDEX(GOOGLEFINANCE($C695, ""price"", WORKDAY(INT($B695), 1)), 2, 2), """"))/$G695)), """")"),"")</f>
        <v/>
      </c>
      <c r="O695" s="47" t="str">
        <f>IFERROR(__xludf.DUMMYFUNCTION("IFERROR(IF(OR(ISBLANK($G695), IFERROR(INDEX(GOOGLEFINANCE($C695, ""price"", WORKDAY(INT($B695), 5)), 2, 2), """")=""""), """", IF($D695=""LONG"", (IFERROR(INDEX(GOOGLEFINANCE($C695, ""price"", WORKDAY(INT($B695), 5)), 2, 2), """")-$G695)/$G695, ($G695-IFE"&amp;"RROR(INDEX(GOOGLEFINANCE($C695, ""price"", WORKDAY(INT($B695), 5)), 2, 2), """"))/$G695)), """")"),"")</f>
        <v/>
      </c>
      <c r="P695" s="47" t="str">
        <f>IFERROR(__xludf.DUMMYFUNCTION("IFERROR(IF(OR(ISBLANK($G695), IFERROR(INDEX(GOOGLEFINANCE($C695, ""price"", WORKDAY(INT($B695), 20)), 2, 2), """")=""""), """", IF($D695=""LONG"", (IFERROR(INDEX(GOOGLEFINANCE($C695, ""price"", WORKDAY(INT($B695), 20)), 2, 2), """")-$G695)/$G695, ($G695-I"&amp;"FERROR(INDEX(GOOGLEFINANCE($C695, ""price"", WORKDAY(INT($B695), 20)), 2, 2), """"))/$G695)), """")"),"")</f>
        <v/>
      </c>
      <c r="Q695" s="44"/>
      <c r="R695" s="44"/>
      <c r="S695" s="44"/>
      <c r="T695" s="44"/>
      <c r="U695" s="44"/>
      <c r="V695" s="44"/>
      <c r="W695" s="44"/>
      <c r="X695" s="44"/>
      <c r="Y695" s="44"/>
      <c r="Z695" s="44"/>
    </row>
    <row r="696">
      <c r="A696" s="44"/>
      <c r="B696" s="45"/>
      <c r="C696" s="44"/>
      <c r="D696" s="44"/>
      <c r="E696" s="44"/>
      <c r="F696" s="44"/>
      <c r="G696" s="46"/>
      <c r="H696" s="44"/>
      <c r="I696" s="44"/>
      <c r="J696" s="44"/>
      <c r="K696" s="44"/>
      <c r="L696" s="46" t="str">
        <f>IFERROR(__xludf.DUMMYFUNCTION("IFERROR(IF(ISBLANK($C696), """", GOOGLEFINANCE($C696, ""price"")), """")"),"")</f>
        <v/>
      </c>
      <c r="M696" s="47" t="str">
        <f t="shared" si="3"/>
        <v/>
      </c>
      <c r="N696" s="47" t="str">
        <f>IFERROR(__xludf.DUMMYFUNCTION("IFERROR(IF(OR(ISBLANK($G696), IFERROR(INDEX(GOOGLEFINANCE($C696, ""price"", WORKDAY(INT($B696), 1)), 2, 2), """")=""""), """", IF($D696=""LONG"", (IFERROR(INDEX(GOOGLEFINANCE($C696, ""price"", WORKDAY(INT($B696), 1)), 2, 2), """")-$G696)/$G696, ($G696-IFE"&amp;"RROR(INDEX(GOOGLEFINANCE($C696, ""price"", WORKDAY(INT($B696), 1)), 2, 2), """"))/$G696)), """")"),"")</f>
        <v/>
      </c>
      <c r="O696" s="47" t="str">
        <f>IFERROR(__xludf.DUMMYFUNCTION("IFERROR(IF(OR(ISBLANK($G696), IFERROR(INDEX(GOOGLEFINANCE($C696, ""price"", WORKDAY(INT($B696), 5)), 2, 2), """")=""""), """", IF($D696=""LONG"", (IFERROR(INDEX(GOOGLEFINANCE($C696, ""price"", WORKDAY(INT($B696), 5)), 2, 2), """")-$G696)/$G696, ($G696-IFE"&amp;"RROR(INDEX(GOOGLEFINANCE($C696, ""price"", WORKDAY(INT($B696), 5)), 2, 2), """"))/$G696)), """")"),"")</f>
        <v/>
      </c>
      <c r="P696" s="47" t="str">
        <f>IFERROR(__xludf.DUMMYFUNCTION("IFERROR(IF(OR(ISBLANK($G696), IFERROR(INDEX(GOOGLEFINANCE($C696, ""price"", WORKDAY(INT($B696), 20)), 2, 2), """")=""""), """", IF($D696=""LONG"", (IFERROR(INDEX(GOOGLEFINANCE($C696, ""price"", WORKDAY(INT($B696), 20)), 2, 2), """")-$G696)/$G696, ($G696-I"&amp;"FERROR(INDEX(GOOGLEFINANCE($C696, ""price"", WORKDAY(INT($B696), 20)), 2, 2), """"))/$G696)), """")"),"")</f>
        <v/>
      </c>
      <c r="Q696" s="44"/>
      <c r="R696" s="44"/>
      <c r="S696" s="44"/>
      <c r="T696" s="44"/>
      <c r="U696" s="44"/>
      <c r="V696" s="44"/>
      <c r="W696" s="44"/>
      <c r="X696" s="44"/>
      <c r="Y696" s="44"/>
      <c r="Z696" s="44"/>
    </row>
    <row r="697">
      <c r="A697" s="44"/>
      <c r="B697" s="45"/>
      <c r="C697" s="44"/>
      <c r="D697" s="44"/>
      <c r="E697" s="44"/>
      <c r="F697" s="44"/>
      <c r="G697" s="46"/>
      <c r="H697" s="44"/>
      <c r="I697" s="44"/>
      <c r="J697" s="44"/>
      <c r="K697" s="44"/>
      <c r="L697" s="46" t="str">
        <f>IFERROR(__xludf.DUMMYFUNCTION("IFERROR(IF(ISBLANK($C697), """", GOOGLEFINANCE($C697, ""price"")), """")"),"")</f>
        <v/>
      </c>
      <c r="M697" s="47" t="str">
        <f t="shared" si="3"/>
        <v/>
      </c>
      <c r="N697" s="47" t="str">
        <f>IFERROR(__xludf.DUMMYFUNCTION("IFERROR(IF(OR(ISBLANK($G697), IFERROR(INDEX(GOOGLEFINANCE($C697, ""price"", WORKDAY(INT($B697), 1)), 2, 2), """")=""""), """", IF($D697=""LONG"", (IFERROR(INDEX(GOOGLEFINANCE($C697, ""price"", WORKDAY(INT($B697), 1)), 2, 2), """")-$G697)/$G697, ($G697-IFE"&amp;"RROR(INDEX(GOOGLEFINANCE($C697, ""price"", WORKDAY(INT($B697), 1)), 2, 2), """"))/$G697)), """")"),"")</f>
        <v/>
      </c>
      <c r="O697" s="47" t="str">
        <f>IFERROR(__xludf.DUMMYFUNCTION("IFERROR(IF(OR(ISBLANK($G697), IFERROR(INDEX(GOOGLEFINANCE($C697, ""price"", WORKDAY(INT($B697), 5)), 2, 2), """")=""""), """", IF($D697=""LONG"", (IFERROR(INDEX(GOOGLEFINANCE($C697, ""price"", WORKDAY(INT($B697), 5)), 2, 2), """")-$G697)/$G697, ($G697-IFE"&amp;"RROR(INDEX(GOOGLEFINANCE($C697, ""price"", WORKDAY(INT($B697), 5)), 2, 2), """"))/$G697)), """")"),"")</f>
        <v/>
      </c>
      <c r="P697" s="47" t="str">
        <f>IFERROR(__xludf.DUMMYFUNCTION("IFERROR(IF(OR(ISBLANK($G697), IFERROR(INDEX(GOOGLEFINANCE($C697, ""price"", WORKDAY(INT($B697), 20)), 2, 2), """")=""""), """", IF($D697=""LONG"", (IFERROR(INDEX(GOOGLEFINANCE($C697, ""price"", WORKDAY(INT($B697), 20)), 2, 2), """")-$G697)/$G697, ($G697-I"&amp;"FERROR(INDEX(GOOGLEFINANCE($C697, ""price"", WORKDAY(INT($B697), 20)), 2, 2), """"))/$G697)), """")"),"")</f>
        <v/>
      </c>
      <c r="Q697" s="44"/>
      <c r="R697" s="44"/>
      <c r="S697" s="44"/>
      <c r="T697" s="44"/>
      <c r="U697" s="44"/>
      <c r="V697" s="44"/>
      <c r="W697" s="44"/>
      <c r="X697" s="44"/>
      <c r="Y697" s="44"/>
      <c r="Z697" s="44"/>
    </row>
    <row r="698">
      <c r="A698" s="44"/>
      <c r="B698" s="45"/>
      <c r="C698" s="44"/>
      <c r="D698" s="44"/>
      <c r="E698" s="44"/>
      <c r="F698" s="44"/>
      <c r="G698" s="46"/>
      <c r="H698" s="44"/>
      <c r="I698" s="44"/>
      <c r="J698" s="44"/>
      <c r="K698" s="44"/>
      <c r="L698" s="46" t="str">
        <f>IFERROR(__xludf.DUMMYFUNCTION("IFERROR(IF(ISBLANK($C698), """", GOOGLEFINANCE($C698, ""price"")), """")"),"")</f>
        <v/>
      </c>
      <c r="M698" s="47" t="str">
        <f t="shared" si="3"/>
        <v/>
      </c>
      <c r="N698" s="47" t="str">
        <f>IFERROR(__xludf.DUMMYFUNCTION("IFERROR(IF(OR(ISBLANK($G698), IFERROR(INDEX(GOOGLEFINANCE($C698, ""price"", WORKDAY(INT($B698), 1)), 2, 2), """")=""""), """", IF($D698=""LONG"", (IFERROR(INDEX(GOOGLEFINANCE($C698, ""price"", WORKDAY(INT($B698), 1)), 2, 2), """")-$G698)/$G698, ($G698-IFE"&amp;"RROR(INDEX(GOOGLEFINANCE($C698, ""price"", WORKDAY(INT($B698), 1)), 2, 2), """"))/$G698)), """")"),"")</f>
        <v/>
      </c>
      <c r="O698" s="47" t="str">
        <f>IFERROR(__xludf.DUMMYFUNCTION("IFERROR(IF(OR(ISBLANK($G698), IFERROR(INDEX(GOOGLEFINANCE($C698, ""price"", WORKDAY(INT($B698), 5)), 2, 2), """")=""""), """", IF($D698=""LONG"", (IFERROR(INDEX(GOOGLEFINANCE($C698, ""price"", WORKDAY(INT($B698), 5)), 2, 2), """")-$G698)/$G698, ($G698-IFE"&amp;"RROR(INDEX(GOOGLEFINANCE($C698, ""price"", WORKDAY(INT($B698), 5)), 2, 2), """"))/$G698)), """")"),"")</f>
        <v/>
      </c>
      <c r="P698" s="47" t="str">
        <f>IFERROR(__xludf.DUMMYFUNCTION("IFERROR(IF(OR(ISBLANK($G698), IFERROR(INDEX(GOOGLEFINANCE($C698, ""price"", WORKDAY(INT($B698), 20)), 2, 2), """")=""""), """", IF($D698=""LONG"", (IFERROR(INDEX(GOOGLEFINANCE($C698, ""price"", WORKDAY(INT($B698), 20)), 2, 2), """")-$G698)/$G698, ($G698-I"&amp;"FERROR(INDEX(GOOGLEFINANCE($C698, ""price"", WORKDAY(INT($B698), 20)), 2, 2), """"))/$G698)), """")"),"")</f>
        <v/>
      </c>
      <c r="Q698" s="44"/>
      <c r="R698" s="44"/>
      <c r="S698" s="44"/>
      <c r="T698" s="44"/>
      <c r="U698" s="44"/>
      <c r="V698" s="44"/>
      <c r="W698" s="44"/>
      <c r="X698" s="44"/>
      <c r="Y698" s="44"/>
      <c r="Z698" s="44"/>
    </row>
    <row r="699">
      <c r="A699" s="44"/>
      <c r="B699" s="45"/>
      <c r="C699" s="44"/>
      <c r="D699" s="44"/>
      <c r="E699" s="44"/>
      <c r="F699" s="44"/>
      <c r="G699" s="46"/>
      <c r="H699" s="44"/>
      <c r="I699" s="44"/>
      <c r="J699" s="44"/>
      <c r="K699" s="44"/>
      <c r="L699" s="46" t="str">
        <f>IFERROR(__xludf.DUMMYFUNCTION("IFERROR(IF(ISBLANK($C699), """", GOOGLEFINANCE($C699, ""price"")), """")"),"")</f>
        <v/>
      </c>
      <c r="M699" s="47" t="str">
        <f t="shared" si="3"/>
        <v/>
      </c>
      <c r="N699" s="47" t="str">
        <f>IFERROR(__xludf.DUMMYFUNCTION("IFERROR(IF(OR(ISBLANK($G699), IFERROR(INDEX(GOOGLEFINANCE($C699, ""price"", WORKDAY(INT($B699), 1)), 2, 2), """")=""""), """", IF($D699=""LONG"", (IFERROR(INDEX(GOOGLEFINANCE($C699, ""price"", WORKDAY(INT($B699), 1)), 2, 2), """")-$G699)/$G699, ($G699-IFE"&amp;"RROR(INDEX(GOOGLEFINANCE($C699, ""price"", WORKDAY(INT($B699), 1)), 2, 2), """"))/$G699)), """")"),"")</f>
        <v/>
      </c>
      <c r="O699" s="47" t="str">
        <f>IFERROR(__xludf.DUMMYFUNCTION("IFERROR(IF(OR(ISBLANK($G699), IFERROR(INDEX(GOOGLEFINANCE($C699, ""price"", WORKDAY(INT($B699), 5)), 2, 2), """")=""""), """", IF($D699=""LONG"", (IFERROR(INDEX(GOOGLEFINANCE($C699, ""price"", WORKDAY(INT($B699), 5)), 2, 2), """")-$G699)/$G699, ($G699-IFE"&amp;"RROR(INDEX(GOOGLEFINANCE($C699, ""price"", WORKDAY(INT($B699), 5)), 2, 2), """"))/$G699)), """")"),"")</f>
        <v/>
      </c>
      <c r="P699" s="47" t="str">
        <f>IFERROR(__xludf.DUMMYFUNCTION("IFERROR(IF(OR(ISBLANK($G699), IFERROR(INDEX(GOOGLEFINANCE($C699, ""price"", WORKDAY(INT($B699), 20)), 2, 2), """")=""""), """", IF($D699=""LONG"", (IFERROR(INDEX(GOOGLEFINANCE($C699, ""price"", WORKDAY(INT($B699), 20)), 2, 2), """")-$G699)/$G699, ($G699-I"&amp;"FERROR(INDEX(GOOGLEFINANCE($C699, ""price"", WORKDAY(INT($B699), 20)), 2, 2), """"))/$G699)), """")"),"")</f>
        <v/>
      </c>
      <c r="Q699" s="44"/>
      <c r="R699" s="44"/>
      <c r="S699" s="44"/>
      <c r="T699" s="44"/>
      <c r="U699" s="44"/>
      <c r="V699" s="44"/>
      <c r="W699" s="44"/>
      <c r="X699" s="44"/>
      <c r="Y699" s="44"/>
      <c r="Z699" s="44"/>
    </row>
    <row r="700">
      <c r="A700" s="44"/>
      <c r="B700" s="45"/>
      <c r="C700" s="44"/>
      <c r="D700" s="44"/>
      <c r="E700" s="44"/>
      <c r="F700" s="44"/>
      <c r="G700" s="46"/>
      <c r="H700" s="44"/>
      <c r="I700" s="44"/>
      <c r="J700" s="44"/>
      <c r="K700" s="44"/>
      <c r="L700" s="46" t="str">
        <f>IFERROR(__xludf.DUMMYFUNCTION("IFERROR(IF(ISBLANK($C700), """", GOOGLEFINANCE($C700, ""price"")), """")"),"")</f>
        <v/>
      </c>
      <c r="M700" s="47" t="str">
        <f t="shared" si="3"/>
        <v/>
      </c>
      <c r="N700" s="47" t="str">
        <f>IFERROR(__xludf.DUMMYFUNCTION("IFERROR(IF(OR(ISBLANK($G700), IFERROR(INDEX(GOOGLEFINANCE($C700, ""price"", WORKDAY(INT($B700), 1)), 2, 2), """")=""""), """", IF($D700=""LONG"", (IFERROR(INDEX(GOOGLEFINANCE($C700, ""price"", WORKDAY(INT($B700), 1)), 2, 2), """")-$G700)/$G700, ($G700-IFE"&amp;"RROR(INDEX(GOOGLEFINANCE($C700, ""price"", WORKDAY(INT($B700), 1)), 2, 2), """"))/$G700)), """")"),"")</f>
        <v/>
      </c>
      <c r="O700" s="47" t="str">
        <f>IFERROR(__xludf.DUMMYFUNCTION("IFERROR(IF(OR(ISBLANK($G700), IFERROR(INDEX(GOOGLEFINANCE($C700, ""price"", WORKDAY(INT($B700), 5)), 2, 2), """")=""""), """", IF($D700=""LONG"", (IFERROR(INDEX(GOOGLEFINANCE($C700, ""price"", WORKDAY(INT($B700), 5)), 2, 2), """")-$G700)/$G700, ($G700-IFE"&amp;"RROR(INDEX(GOOGLEFINANCE($C700, ""price"", WORKDAY(INT($B700), 5)), 2, 2), """"))/$G700)), """")"),"")</f>
        <v/>
      </c>
      <c r="P700" s="47" t="str">
        <f>IFERROR(__xludf.DUMMYFUNCTION("IFERROR(IF(OR(ISBLANK($G700), IFERROR(INDEX(GOOGLEFINANCE($C700, ""price"", WORKDAY(INT($B700), 20)), 2, 2), """")=""""), """", IF($D700=""LONG"", (IFERROR(INDEX(GOOGLEFINANCE($C700, ""price"", WORKDAY(INT($B700), 20)), 2, 2), """")-$G700)/$G700, ($G700-I"&amp;"FERROR(INDEX(GOOGLEFINANCE($C700, ""price"", WORKDAY(INT($B700), 20)), 2, 2), """"))/$G700)), """")"),"")</f>
        <v/>
      </c>
      <c r="Q700" s="44"/>
      <c r="R700" s="44"/>
      <c r="S700" s="44"/>
      <c r="T700" s="44"/>
      <c r="U700" s="44"/>
      <c r="V700" s="44"/>
      <c r="W700" s="44"/>
      <c r="X700" s="44"/>
      <c r="Y700" s="44"/>
      <c r="Z700" s="44"/>
    </row>
    <row r="701">
      <c r="A701" s="44"/>
      <c r="B701" s="45"/>
      <c r="C701" s="44"/>
      <c r="D701" s="44"/>
      <c r="E701" s="44"/>
      <c r="F701" s="44"/>
      <c r="G701" s="46"/>
      <c r="H701" s="44"/>
      <c r="I701" s="44"/>
      <c r="J701" s="44"/>
      <c r="K701" s="44"/>
      <c r="L701" s="46" t="str">
        <f>IFERROR(__xludf.DUMMYFUNCTION("IFERROR(IF(ISBLANK($C701), """", GOOGLEFINANCE($C701, ""price"")), """")"),"")</f>
        <v/>
      </c>
      <c r="M701" s="47" t="str">
        <f t="shared" si="3"/>
        <v/>
      </c>
      <c r="N701" s="47" t="str">
        <f>IFERROR(__xludf.DUMMYFUNCTION("IFERROR(IF(OR(ISBLANK($G701), IFERROR(INDEX(GOOGLEFINANCE($C701, ""price"", WORKDAY(INT($B701), 1)), 2, 2), """")=""""), """", IF($D701=""LONG"", (IFERROR(INDEX(GOOGLEFINANCE($C701, ""price"", WORKDAY(INT($B701), 1)), 2, 2), """")-$G701)/$G701, ($G701-IFE"&amp;"RROR(INDEX(GOOGLEFINANCE($C701, ""price"", WORKDAY(INT($B701), 1)), 2, 2), """"))/$G701)), """")"),"")</f>
        <v/>
      </c>
      <c r="O701" s="47" t="str">
        <f>IFERROR(__xludf.DUMMYFUNCTION("IFERROR(IF(OR(ISBLANK($G701), IFERROR(INDEX(GOOGLEFINANCE($C701, ""price"", WORKDAY(INT($B701), 5)), 2, 2), """")=""""), """", IF($D701=""LONG"", (IFERROR(INDEX(GOOGLEFINANCE($C701, ""price"", WORKDAY(INT($B701), 5)), 2, 2), """")-$G701)/$G701, ($G701-IFE"&amp;"RROR(INDEX(GOOGLEFINANCE($C701, ""price"", WORKDAY(INT($B701), 5)), 2, 2), """"))/$G701)), """")"),"")</f>
        <v/>
      </c>
      <c r="P701" s="47" t="str">
        <f>IFERROR(__xludf.DUMMYFUNCTION("IFERROR(IF(OR(ISBLANK($G701), IFERROR(INDEX(GOOGLEFINANCE($C701, ""price"", WORKDAY(INT($B701), 20)), 2, 2), """")=""""), """", IF($D701=""LONG"", (IFERROR(INDEX(GOOGLEFINANCE($C701, ""price"", WORKDAY(INT($B701), 20)), 2, 2), """")-$G701)/$G701, ($G701-I"&amp;"FERROR(INDEX(GOOGLEFINANCE($C701, ""price"", WORKDAY(INT($B701), 20)), 2, 2), """"))/$G701)), """")"),"")</f>
        <v/>
      </c>
      <c r="Q701" s="44"/>
      <c r="R701" s="44"/>
      <c r="S701" s="44"/>
      <c r="T701" s="44"/>
      <c r="U701" s="44"/>
      <c r="V701" s="44"/>
      <c r="W701" s="44"/>
      <c r="X701" s="44"/>
      <c r="Y701" s="44"/>
      <c r="Z701" s="44"/>
    </row>
    <row r="702">
      <c r="A702" s="44"/>
      <c r="B702" s="45"/>
      <c r="C702" s="44"/>
      <c r="D702" s="44"/>
      <c r="E702" s="44"/>
      <c r="F702" s="44"/>
      <c r="G702" s="46"/>
      <c r="H702" s="44"/>
      <c r="I702" s="44"/>
      <c r="J702" s="44"/>
      <c r="K702" s="44"/>
      <c r="L702" s="46" t="str">
        <f>IFERROR(__xludf.DUMMYFUNCTION("IFERROR(IF(ISBLANK($C702), """", GOOGLEFINANCE($C702, ""price"")), """")"),"")</f>
        <v/>
      </c>
      <c r="M702" s="47" t="str">
        <f t="shared" si="3"/>
        <v/>
      </c>
      <c r="N702" s="47" t="str">
        <f>IFERROR(__xludf.DUMMYFUNCTION("IFERROR(IF(OR(ISBLANK($G702), IFERROR(INDEX(GOOGLEFINANCE($C702, ""price"", WORKDAY(INT($B702), 1)), 2, 2), """")=""""), """", IF($D702=""LONG"", (IFERROR(INDEX(GOOGLEFINANCE($C702, ""price"", WORKDAY(INT($B702), 1)), 2, 2), """")-$G702)/$G702, ($G702-IFE"&amp;"RROR(INDEX(GOOGLEFINANCE($C702, ""price"", WORKDAY(INT($B702), 1)), 2, 2), """"))/$G702)), """")"),"")</f>
        <v/>
      </c>
      <c r="O702" s="47" t="str">
        <f>IFERROR(__xludf.DUMMYFUNCTION("IFERROR(IF(OR(ISBLANK($G702), IFERROR(INDEX(GOOGLEFINANCE($C702, ""price"", WORKDAY(INT($B702), 5)), 2, 2), """")=""""), """", IF($D702=""LONG"", (IFERROR(INDEX(GOOGLEFINANCE($C702, ""price"", WORKDAY(INT($B702), 5)), 2, 2), """")-$G702)/$G702, ($G702-IFE"&amp;"RROR(INDEX(GOOGLEFINANCE($C702, ""price"", WORKDAY(INT($B702), 5)), 2, 2), """"))/$G702)), """")"),"")</f>
        <v/>
      </c>
      <c r="P702" s="47" t="str">
        <f>IFERROR(__xludf.DUMMYFUNCTION("IFERROR(IF(OR(ISBLANK($G702), IFERROR(INDEX(GOOGLEFINANCE($C702, ""price"", WORKDAY(INT($B702), 20)), 2, 2), """")=""""), """", IF($D702=""LONG"", (IFERROR(INDEX(GOOGLEFINANCE($C702, ""price"", WORKDAY(INT($B702), 20)), 2, 2), """")-$G702)/$G702, ($G702-I"&amp;"FERROR(INDEX(GOOGLEFINANCE($C702, ""price"", WORKDAY(INT($B702), 20)), 2, 2), """"))/$G702)), """")"),"")</f>
        <v/>
      </c>
      <c r="Q702" s="44"/>
      <c r="R702" s="44"/>
      <c r="S702" s="44"/>
      <c r="T702" s="44"/>
      <c r="U702" s="44"/>
      <c r="V702" s="44"/>
      <c r="W702" s="44"/>
      <c r="X702" s="44"/>
      <c r="Y702" s="44"/>
      <c r="Z702" s="44"/>
    </row>
    <row r="703">
      <c r="A703" s="44"/>
      <c r="B703" s="45"/>
      <c r="C703" s="44"/>
      <c r="D703" s="44"/>
      <c r="E703" s="44"/>
      <c r="F703" s="44"/>
      <c r="G703" s="46"/>
      <c r="H703" s="44"/>
      <c r="I703" s="44"/>
      <c r="J703" s="44"/>
      <c r="K703" s="44"/>
      <c r="L703" s="46" t="str">
        <f>IFERROR(__xludf.DUMMYFUNCTION("IFERROR(IF(ISBLANK($C703), """", GOOGLEFINANCE($C703, ""price"")), """")"),"")</f>
        <v/>
      </c>
      <c r="M703" s="47" t="str">
        <f t="shared" si="3"/>
        <v/>
      </c>
      <c r="N703" s="47" t="str">
        <f>IFERROR(__xludf.DUMMYFUNCTION("IFERROR(IF(OR(ISBLANK($G703), IFERROR(INDEX(GOOGLEFINANCE($C703, ""price"", WORKDAY(INT($B703), 1)), 2, 2), """")=""""), """", IF($D703=""LONG"", (IFERROR(INDEX(GOOGLEFINANCE($C703, ""price"", WORKDAY(INT($B703), 1)), 2, 2), """")-$G703)/$G703, ($G703-IFE"&amp;"RROR(INDEX(GOOGLEFINANCE($C703, ""price"", WORKDAY(INT($B703), 1)), 2, 2), """"))/$G703)), """")"),"")</f>
        <v/>
      </c>
      <c r="O703" s="47" t="str">
        <f>IFERROR(__xludf.DUMMYFUNCTION("IFERROR(IF(OR(ISBLANK($G703), IFERROR(INDEX(GOOGLEFINANCE($C703, ""price"", WORKDAY(INT($B703), 5)), 2, 2), """")=""""), """", IF($D703=""LONG"", (IFERROR(INDEX(GOOGLEFINANCE($C703, ""price"", WORKDAY(INT($B703), 5)), 2, 2), """")-$G703)/$G703, ($G703-IFE"&amp;"RROR(INDEX(GOOGLEFINANCE($C703, ""price"", WORKDAY(INT($B703), 5)), 2, 2), """"))/$G703)), """")"),"")</f>
        <v/>
      </c>
      <c r="P703" s="47" t="str">
        <f>IFERROR(__xludf.DUMMYFUNCTION("IFERROR(IF(OR(ISBLANK($G703), IFERROR(INDEX(GOOGLEFINANCE($C703, ""price"", WORKDAY(INT($B703), 20)), 2, 2), """")=""""), """", IF($D703=""LONG"", (IFERROR(INDEX(GOOGLEFINANCE($C703, ""price"", WORKDAY(INT($B703), 20)), 2, 2), """")-$G703)/$G703, ($G703-I"&amp;"FERROR(INDEX(GOOGLEFINANCE($C703, ""price"", WORKDAY(INT($B703), 20)), 2, 2), """"))/$G703)), """")"),"")</f>
        <v/>
      </c>
      <c r="Q703" s="44"/>
      <c r="R703" s="44"/>
      <c r="S703" s="44"/>
      <c r="T703" s="44"/>
      <c r="U703" s="44"/>
      <c r="V703" s="44"/>
      <c r="W703" s="44"/>
      <c r="X703" s="44"/>
      <c r="Y703" s="44"/>
      <c r="Z703" s="44"/>
    </row>
    <row r="704">
      <c r="A704" s="44"/>
      <c r="B704" s="45"/>
      <c r="C704" s="44"/>
      <c r="D704" s="44"/>
      <c r="E704" s="44"/>
      <c r="F704" s="44"/>
      <c r="G704" s="46"/>
      <c r="H704" s="44"/>
      <c r="I704" s="44"/>
      <c r="J704" s="44"/>
      <c r="K704" s="44"/>
      <c r="L704" s="46" t="str">
        <f>IFERROR(__xludf.DUMMYFUNCTION("IFERROR(IF(ISBLANK($C704), """", GOOGLEFINANCE($C704, ""price"")), """")"),"")</f>
        <v/>
      </c>
      <c r="M704" s="47" t="str">
        <f t="shared" si="3"/>
        <v/>
      </c>
      <c r="N704" s="47" t="str">
        <f>IFERROR(__xludf.DUMMYFUNCTION("IFERROR(IF(OR(ISBLANK($G704), IFERROR(INDEX(GOOGLEFINANCE($C704, ""price"", WORKDAY(INT($B704), 1)), 2, 2), """")=""""), """", IF($D704=""LONG"", (IFERROR(INDEX(GOOGLEFINANCE($C704, ""price"", WORKDAY(INT($B704), 1)), 2, 2), """")-$G704)/$G704, ($G704-IFE"&amp;"RROR(INDEX(GOOGLEFINANCE($C704, ""price"", WORKDAY(INT($B704), 1)), 2, 2), """"))/$G704)), """")"),"")</f>
        <v/>
      </c>
      <c r="O704" s="47" t="str">
        <f>IFERROR(__xludf.DUMMYFUNCTION("IFERROR(IF(OR(ISBLANK($G704), IFERROR(INDEX(GOOGLEFINANCE($C704, ""price"", WORKDAY(INT($B704), 5)), 2, 2), """")=""""), """", IF($D704=""LONG"", (IFERROR(INDEX(GOOGLEFINANCE($C704, ""price"", WORKDAY(INT($B704), 5)), 2, 2), """")-$G704)/$G704, ($G704-IFE"&amp;"RROR(INDEX(GOOGLEFINANCE($C704, ""price"", WORKDAY(INT($B704), 5)), 2, 2), """"))/$G704)), """")"),"")</f>
        <v/>
      </c>
      <c r="P704" s="47" t="str">
        <f>IFERROR(__xludf.DUMMYFUNCTION("IFERROR(IF(OR(ISBLANK($G704), IFERROR(INDEX(GOOGLEFINANCE($C704, ""price"", WORKDAY(INT($B704), 20)), 2, 2), """")=""""), """", IF($D704=""LONG"", (IFERROR(INDEX(GOOGLEFINANCE($C704, ""price"", WORKDAY(INT($B704), 20)), 2, 2), """")-$G704)/$G704, ($G704-I"&amp;"FERROR(INDEX(GOOGLEFINANCE($C704, ""price"", WORKDAY(INT($B704), 20)), 2, 2), """"))/$G704)), """")"),"")</f>
        <v/>
      </c>
      <c r="Q704" s="44"/>
      <c r="R704" s="44"/>
      <c r="S704" s="44"/>
      <c r="T704" s="44"/>
      <c r="U704" s="44"/>
      <c r="V704" s="44"/>
      <c r="W704" s="44"/>
      <c r="X704" s="44"/>
      <c r="Y704" s="44"/>
      <c r="Z704" s="44"/>
    </row>
    <row r="705">
      <c r="A705" s="44"/>
      <c r="B705" s="45"/>
      <c r="C705" s="44"/>
      <c r="D705" s="44"/>
      <c r="E705" s="44"/>
      <c r="F705" s="44"/>
      <c r="G705" s="46"/>
      <c r="H705" s="44"/>
      <c r="I705" s="44"/>
      <c r="J705" s="44"/>
      <c r="K705" s="44"/>
      <c r="L705" s="46" t="str">
        <f>IFERROR(__xludf.DUMMYFUNCTION("IFERROR(IF(ISBLANK($C705), """", GOOGLEFINANCE($C705, ""price"")), """")"),"")</f>
        <v/>
      </c>
      <c r="M705" s="47" t="str">
        <f t="shared" si="3"/>
        <v/>
      </c>
      <c r="N705" s="47" t="str">
        <f>IFERROR(__xludf.DUMMYFUNCTION("IFERROR(IF(OR(ISBLANK($G705), IFERROR(INDEX(GOOGLEFINANCE($C705, ""price"", WORKDAY(INT($B705), 1)), 2, 2), """")=""""), """", IF($D705=""LONG"", (IFERROR(INDEX(GOOGLEFINANCE($C705, ""price"", WORKDAY(INT($B705), 1)), 2, 2), """")-$G705)/$G705, ($G705-IFE"&amp;"RROR(INDEX(GOOGLEFINANCE($C705, ""price"", WORKDAY(INT($B705), 1)), 2, 2), """"))/$G705)), """")"),"")</f>
        <v/>
      </c>
      <c r="O705" s="47" t="str">
        <f>IFERROR(__xludf.DUMMYFUNCTION("IFERROR(IF(OR(ISBLANK($G705), IFERROR(INDEX(GOOGLEFINANCE($C705, ""price"", WORKDAY(INT($B705), 5)), 2, 2), """")=""""), """", IF($D705=""LONG"", (IFERROR(INDEX(GOOGLEFINANCE($C705, ""price"", WORKDAY(INT($B705), 5)), 2, 2), """")-$G705)/$G705, ($G705-IFE"&amp;"RROR(INDEX(GOOGLEFINANCE($C705, ""price"", WORKDAY(INT($B705), 5)), 2, 2), """"))/$G705)), """")"),"")</f>
        <v/>
      </c>
      <c r="P705" s="47" t="str">
        <f>IFERROR(__xludf.DUMMYFUNCTION("IFERROR(IF(OR(ISBLANK($G705), IFERROR(INDEX(GOOGLEFINANCE($C705, ""price"", WORKDAY(INT($B705), 20)), 2, 2), """")=""""), """", IF($D705=""LONG"", (IFERROR(INDEX(GOOGLEFINANCE($C705, ""price"", WORKDAY(INT($B705), 20)), 2, 2), """")-$G705)/$G705, ($G705-I"&amp;"FERROR(INDEX(GOOGLEFINANCE($C705, ""price"", WORKDAY(INT($B705), 20)), 2, 2), """"))/$G705)), """")"),"")</f>
        <v/>
      </c>
      <c r="Q705" s="44"/>
      <c r="R705" s="44"/>
      <c r="S705" s="44"/>
      <c r="T705" s="44"/>
      <c r="U705" s="44"/>
      <c r="V705" s="44"/>
      <c r="W705" s="44"/>
      <c r="X705" s="44"/>
      <c r="Y705" s="44"/>
      <c r="Z705" s="44"/>
    </row>
    <row r="706">
      <c r="A706" s="44"/>
      <c r="B706" s="45"/>
      <c r="C706" s="44"/>
      <c r="D706" s="44"/>
      <c r="E706" s="44"/>
      <c r="F706" s="44"/>
      <c r="G706" s="46"/>
      <c r="H706" s="44"/>
      <c r="I706" s="44"/>
      <c r="J706" s="44"/>
      <c r="K706" s="44"/>
      <c r="L706" s="46" t="str">
        <f>IFERROR(__xludf.DUMMYFUNCTION("IFERROR(IF(ISBLANK($C706), """", GOOGLEFINANCE($C706, ""price"")), """")"),"")</f>
        <v/>
      </c>
      <c r="M706" s="47" t="str">
        <f t="shared" si="3"/>
        <v/>
      </c>
      <c r="N706" s="47" t="str">
        <f>IFERROR(__xludf.DUMMYFUNCTION("IFERROR(IF(OR(ISBLANK($G706), IFERROR(INDEX(GOOGLEFINANCE($C706, ""price"", WORKDAY(INT($B706), 1)), 2, 2), """")=""""), """", IF($D706=""LONG"", (IFERROR(INDEX(GOOGLEFINANCE($C706, ""price"", WORKDAY(INT($B706), 1)), 2, 2), """")-$G706)/$G706, ($G706-IFE"&amp;"RROR(INDEX(GOOGLEFINANCE($C706, ""price"", WORKDAY(INT($B706), 1)), 2, 2), """"))/$G706)), """")"),"")</f>
        <v/>
      </c>
      <c r="O706" s="47" t="str">
        <f>IFERROR(__xludf.DUMMYFUNCTION("IFERROR(IF(OR(ISBLANK($G706), IFERROR(INDEX(GOOGLEFINANCE($C706, ""price"", WORKDAY(INT($B706), 5)), 2, 2), """")=""""), """", IF($D706=""LONG"", (IFERROR(INDEX(GOOGLEFINANCE($C706, ""price"", WORKDAY(INT($B706), 5)), 2, 2), """")-$G706)/$G706, ($G706-IFE"&amp;"RROR(INDEX(GOOGLEFINANCE($C706, ""price"", WORKDAY(INT($B706), 5)), 2, 2), """"))/$G706)), """")"),"")</f>
        <v/>
      </c>
      <c r="P706" s="47" t="str">
        <f>IFERROR(__xludf.DUMMYFUNCTION("IFERROR(IF(OR(ISBLANK($G706), IFERROR(INDEX(GOOGLEFINANCE($C706, ""price"", WORKDAY(INT($B706), 20)), 2, 2), """")=""""), """", IF($D706=""LONG"", (IFERROR(INDEX(GOOGLEFINANCE($C706, ""price"", WORKDAY(INT($B706), 20)), 2, 2), """")-$G706)/$G706, ($G706-I"&amp;"FERROR(INDEX(GOOGLEFINANCE($C706, ""price"", WORKDAY(INT($B706), 20)), 2, 2), """"))/$G706)), """")"),"")</f>
        <v/>
      </c>
      <c r="Q706" s="44"/>
      <c r="R706" s="44"/>
      <c r="S706" s="44"/>
      <c r="T706" s="44"/>
      <c r="U706" s="44"/>
      <c r="V706" s="44"/>
      <c r="W706" s="44"/>
      <c r="X706" s="44"/>
      <c r="Y706" s="44"/>
      <c r="Z706" s="44"/>
    </row>
    <row r="707">
      <c r="A707" s="44"/>
      <c r="B707" s="45"/>
      <c r="C707" s="44"/>
      <c r="D707" s="44"/>
      <c r="E707" s="44"/>
      <c r="F707" s="44"/>
      <c r="G707" s="46"/>
      <c r="H707" s="44"/>
      <c r="I707" s="44"/>
      <c r="J707" s="44"/>
      <c r="K707" s="44"/>
      <c r="L707" s="46" t="str">
        <f>IFERROR(__xludf.DUMMYFUNCTION("IFERROR(IF(ISBLANK($C707), """", GOOGLEFINANCE($C707, ""price"")), """")"),"")</f>
        <v/>
      </c>
      <c r="M707" s="47" t="str">
        <f t="shared" si="3"/>
        <v/>
      </c>
      <c r="N707" s="47" t="str">
        <f>IFERROR(__xludf.DUMMYFUNCTION("IFERROR(IF(OR(ISBLANK($G707), IFERROR(INDEX(GOOGLEFINANCE($C707, ""price"", WORKDAY(INT($B707), 1)), 2, 2), """")=""""), """", IF($D707=""LONG"", (IFERROR(INDEX(GOOGLEFINANCE($C707, ""price"", WORKDAY(INT($B707), 1)), 2, 2), """")-$G707)/$G707, ($G707-IFE"&amp;"RROR(INDEX(GOOGLEFINANCE($C707, ""price"", WORKDAY(INT($B707), 1)), 2, 2), """"))/$G707)), """")"),"")</f>
        <v/>
      </c>
      <c r="O707" s="47" t="str">
        <f>IFERROR(__xludf.DUMMYFUNCTION("IFERROR(IF(OR(ISBLANK($G707), IFERROR(INDEX(GOOGLEFINANCE($C707, ""price"", WORKDAY(INT($B707), 5)), 2, 2), """")=""""), """", IF($D707=""LONG"", (IFERROR(INDEX(GOOGLEFINANCE($C707, ""price"", WORKDAY(INT($B707), 5)), 2, 2), """")-$G707)/$G707, ($G707-IFE"&amp;"RROR(INDEX(GOOGLEFINANCE($C707, ""price"", WORKDAY(INT($B707), 5)), 2, 2), """"))/$G707)), """")"),"")</f>
        <v/>
      </c>
      <c r="P707" s="47" t="str">
        <f>IFERROR(__xludf.DUMMYFUNCTION("IFERROR(IF(OR(ISBLANK($G707), IFERROR(INDEX(GOOGLEFINANCE($C707, ""price"", WORKDAY(INT($B707), 20)), 2, 2), """")=""""), """", IF($D707=""LONG"", (IFERROR(INDEX(GOOGLEFINANCE($C707, ""price"", WORKDAY(INT($B707), 20)), 2, 2), """")-$G707)/$G707, ($G707-I"&amp;"FERROR(INDEX(GOOGLEFINANCE($C707, ""price"", WORKDAY(INT($B707), 20)), 2, 2), """"))/$G707)), """")"),"")</f>
        <v/>
      </c>
      <c r="Q707" s="44"/>
      <c r="R707" s="44"/>
      <c r="S707" s="44"/>
      <c r="T707" s="44"/>
      <c r="U707" s="44"/>
      <c r="V707" s="44"/>
      <c r="W707" s="44"/>
      <c r="X707" s="44"/>
      <c r="Y707" s="44"/>
      <c r="Z707" s="44"/>
    </row>
    <row r="708">
      <c r="A708" s="44"/>
      <c r="B708" s="45"/>
      <c r="C708" s="44"/>
      <c r="D708" s="44"/>
      <c r="E708" s="44"/>
      <c r="F708" s="44"/>
      <c r="G708" s="46"/>
      <c r="H708" s="44"/>
      <c r="I708" s="44"/>
      <c r="J708" s="44"/>
      <c r="K708" s="44"/>
      <c r="L708" s="46" t="str">
        <f>IFERROR(__xludf.DUMMYFUNCTION("IFERROR(IF(ISBLANK($C708), """", GOOGLEFINANCE($C708, ""price"")), """")"),"")</f>
        <v/>
      </c>
      <c r="M708" s="47" t="str">
        <f t="shared" si="3"/>
        <v/>
      </c>
      <c r="N708" s="47" t="str">
        <f>IFERROR(__xludf.DUMMYFUNCTION("IFERROR(IF(OR(ISBLANK($G708), IFERROR(INDEX(GOOGLEFINANCE($C708, ""price"", WORKDAY(INT($B708), 1)), 2, 2), """")=""""), """", IF($D708=""LONG"", (IFERROR(INDEX(GOOGLEFINANCE($C708, ""price"", WORKDAY(INT($B708), 1)), 2, 2), """")-$G708)/$G708, ($G708-IFE"&amp;"RROR(INDEX(GOOGLEFINANCE($C708, ""price"", WORKDAY(INT($B708), 1)), 2, 2), """"))/$G708)), """")"),"")</f>
        <v/>
      </c>
      <c r="O708" s="47" t="str">
        <f>IFERROR(__xludf.DUMMYFUNCTION("IFERROR(IF(OR(ISBLANK($G708), IFERROR(INDEX(GOOGLEFINANCE($C708, ""price"", WORKDAY(INT($B708), 5)), 2, 2), """")=""""), """", IF($D708=""LONG"", (IFERROR(INDEX(GOOGLEFINANCE($C708, ""price"", WORKDAY(INT($B708), 5)), 2, 2), """")-$G708)/$G708, ($G708-IFE"&amp;"RROR(INDEX(GOOGLEFINANCE($C708, ""price"", WORKDAY(INT($B708), 5)), 2, 2), """"))/$G708)), """")"),"")</f>
        <v/>
      </c>
      <c r="P708" s="47" t="str">
        <f>IFERROR(__xludf.DUMMYFUNCTION("IFERROR(IF(OR(ISBLANK($G708), IFERROR(INDEX(GOOGLEFINANCE($C708, ""price"", WORKDAY(INT($B708), 20)), 2, 2), """")=""""), """", IF($D708=""LONG"", (IFERROR(INDEX(GOOGLEFINANCE($C708, ""price"", WORKDAY(INT($B708), 20)), 2, 2), """")-$G708)/$G708, ($G708-I"&amp;"FERROR(INDEX(GOOGLEFINANCE($C708, ""price"", WORKDAY(INT($B708), 20)), 2, 2), """"))/$G708)), """")"),"")</f>
        <v/>
      </c>
      <c r="Q708" s="44"/>
      <c r="R708" s="44"/>
      <c r="S708" s="44"/>
      <c r="T708" s="44"/>
      <c r="U708" s="44"/>
      <c r="V708" s="44"/>
      <c r="W708" s="44"/>
      <c r="X708" s="44"/>
      <c r="Y708" s="44"/>
      <c r="Z708" s="44"/>
    </row>
    <row r="709">
      <c r="A709" s="44"/>
      <c r="B709" s="45"/>
      <c r="C709" s="44"/>
      <c r="D709" s="44"/>
      <c r="E709" s="44"/>
      <c r="F709" s="44"/>
      <c r="G709" s="46"/>
      <c r="H709" s="44"/>
      <c r="I709" s="44"/>
      <c r="J709" s="44"/>
      <c r="K709" s="44"/>
      <c r="L709" s="46" t="str">
        <f>IFERROR(__xludf.DUMMYFUNCTION("IFERROR(IF(ISBLANK($C709), """", GOOGLEFINANCE($C709, ""price"")), """")"),"")</f>
        <v/>
      </c>
      <c r="M709" s="47" t="str">
        <f t="shared" si="3"/>
        <v/>
      </c>
      <c r="N709" s="47" t="str">
        <f>IFERROR(__xludf.DUMMYFUNCTION("IFERROR(IF(OR(ISBLANK($G709), IFERROR(INDEX(GOOGLEFINANCE($C709, ""price"", WORKDAY(INT($B709), 1)), 2, 2), """")=""""), """", IF($D709=""LONG"", (IFERROR(INDEX(GOOGLEFINANCE($C709, ""price"", WORKDAY(INT($B709), 1)), 2, 2), """")-$G709)/$G709, ($G709-IFE"&amp;"RROR(INDEX(GOOGLEFINANCE($C709, ""price"", WORKDAY(INT($B709), 1)), 2, 2), """"))/$G709)), """")"),"")</f>
        <v/>
      </c>
      <c r="O709" s="47" t="str">
        <f>IFERROR(__xludf.DUMMYFUNCTION("IFERROR(IF(OR(ISBLANK($G709), IFERROR(INDEX(GOOGLEFINANCE($C709, ""price"", WORKDAY(INT($B709), 5)), 2, 2), """")=""""), """", IF($D709=""LONG"", (IFERROR(INDEX(GOOGLEFINANCE($C709, ""price"", WORKDAY(INT($B709), 5)), 2, 2), """")-$G709)/$G709, ($G709-IFE"&amp;"RROR(INDEX(GOOGLEFINANCE($C709, ""price"", WORKDAY(INT($B709), 5)), 2, 2), """"))/$G709)), """")"),"")</f>
        <v/>
      </c>
      <c r="P709" s="47" t="str">
        <f>IFERROR(__xludf.DUMMYFUNCTION("IFERROR(IF(OR(ISBLANK($G709), IFERROR(INDEX(GOOGLEFINANCE($C709, ""price"", WORKDAY(INT($B709), 20)), 2, 2), """")=""""), """", IF($D709=""LONG"", (IFERROR(INDEX(GOOGLEFINANCE($C709, ""price"", WORKDAY(INT($B709), 20)), 2, 2), """")-$G709)/$G709, ($G709-I"&amp;"FERROR(INDEX(GOOGLEFINANCE($C709, ""price"", WORKDAY(INT($B709), 20)), 2, 2), """"))/$G709)), """")"),"")</f>
        <v/>
      </c>
      <c r="Q709" s="44"/>
      <c r="R709" s="44"/>
      <c r="S709" s="44"/>
      <c r="T709" s="44"/>
      <c r="U709" s="44"/>
      <c r="V709" s="44"/>
      <c r="W709" s="44"/>
      <c r="X709" s="44"/>
      <c r="Y709" s="44"/>
      <c r="Z709" s="44"/>
    </row>
    <row r="710">
      <c r="A710" s="44"/>
      <c r="B710" s="45"/>
      <c r="C710" s="44"/>
      <c r="D710" s="44"/>
      <c r="E710" s="44"/>
      <c r="F710" s="44"/>
      <c r="G710" s="46"/>
      <c r="H710" s="44"/>
      <c r="I710" s="44"/>
      <c r="J710" s="44"/>
      <c r="K710" s="44"/>
      <c r="L710" s="46" t="str">
        <f>IFERROR(__xludf.DUMMYFUNCTION("IFERROR(IF(ISBLANK($C710), """", GOOGLEFINANCE($C710, ""price"")), """")"),"")</f>
        <v/>
      </c>
      <c r="M710" s="47" t="str">
        <f t="shared" si="3"/>
        <v/>
      </c>
      <c r="N710" s="47" t="str">
        <f>IFERROR(__xludf.DUMMYFUNCTION("IFERROR(IF(OR(ISBLANK($G710), IFERROR(INDEX(GOOGLEFINANCE($C710, ""price"", WORKDAY(INT($B710), 1)), 2, 2), """")=""""), """", IF($D710=""LONG"", (IFERROR(INDEX(GOOGLEFINANCE($C710, ""price"", WORKDAY(INT($B710), 1)), 2, 2), """")-$G710)/$G710, ($G710-IFE"&amp;"RROR(INDEX(GOOGLEFINANCE($C710, ""price"", WORKDAY(INT($B710), 1)), 2, 2), """"))/$G710)), """")"),"")</f>
        <v/>
      </c>
      <c r="O710" s="47" t="str">
        <f>IFERROR(__xludf.DUMMYFUNCTION("IFERROR(IF(OR(ISBLANK($G710), IFERROR(INDEX(GOOGLEFINANCE($C710, ""price"", WORKDAY(INT($B710), 5)), 2, 2), """")=""""), """", IF($D710=""LONG"", (IFERROR(INDEX(GOOGLEFINANCE($C710, ""price"", WORKDAY(INT($B710), 5)), 2, 2), """")-$G710)/$G710, ($G710-IFE"&amp;"RROR(INDEX(GOOGLEFINANCE($C710, ""price"", WORKDAY(INT($B710), 5)), 2, 2), """"))/$G710)), """")"),"")</f>
        <v/>
      </c>
      <c r="P710" s="47" t="str">
        <f>IFERROR(__xludf.DUMMYFUNCTION("IFERROR(IF(OR(ISBLANK($G710), IFERROR(INDEX(GOOGLEFINANCE($C710, ""price"", WORKDAY(INT($B710), 20)), 2, 2), """")=""""), """", IF($D710=""LONG"", (IFERROR(INDEX(GOOGLEFINANCE($C710, ""price"", WORKDAY(INT($B710), 20)), 2, 2), """")-$G710)/$G710, ($G710-I"&amp;"FERROR(INDEX(GOOGLEFINANCE($C710, ""price"", WORKDAY(INT($B710), 20)), 2, 2), """"))/$G710)), """")"),"")</f>
        <v/>
      </c>
      <c r="Q710" s="44"/>
      <c r="R710" s="44"/>
      <c r="S710" s="44"/>
      <c r="T710" s="44"/>
      <c r="U710" s="44"/>
      <c r="V710" s="44"/>
      <c r="W710" s="44"/>
      <c r="X710" s="44"/>
      <c r="Y710" s="44"/>
      <c r="Z710" s="44"/>
    </row>
    <row r="711">
      <c r="A711" s="44"/>
      <c r="B711" s="45"/>
      <c r="C711" s="44"/>
      <c r="D711" s="44"/>
      <c r="E711" s="44"/>
      <c r="F711" s="44"/>
      <c r="G711" s="46"/>
      <c r="H711" s="44"/>
      <c r="I711" s="44"/>
      <c r="J711" s="44"/>
      <c r="K711" s="44"/>
      <c r="L711" s="46" t="str">
        <f>IFERROR(__xludf.DUMMYFUNCTION("IFERROR(IF(ISBLANK($C711), """", GOOGLEFINANCE($C711, ""price"")), """")"),"")</f>
        <v/>
      </c>
      <c r="M711" s="47" t="str">
        <f t="shared" si="3"/>
        <v/>
      </c>
      <c r="N711" s="47" t="str">
        <f>IFERROR(__xludf.DUMMYFUNCTION("IFERROR(IF(OR(ISBLANK($G711), IFERROR(INDEX(GOOGLEFINANCE($C711, ""price"", WORKDAY(INT($B711), 1)), 2, 2), """")=""""), """", IF($D711=""LONG"", (IFERROR(INDEX(GOOGLEFINANCE($C711, ""price"", WORKDAY(INT($B711), 1)), 2, 2), """")-$G711)/$G711, ($G711-IFE"&amp;"RROR(INDEX(GOOGLEFINANCE($C711, ""price"", WORKDAY(INT($B711), 1)), 2, 2), """"))/$G711)), """")"),"")</f>
        <v/>
      </c>
      <c r="O711" s="47" t="str">
        <f>IFERROR(__xludf.DUMMYFUNCTION("IFERROR(IF(OR(ISBLANK($G711), IFERROR(INDEX(GOOGLEFINANCE($C711, ""price"", WORKDAY(INT($B711), 5)), 2, 2), """")=""""), """", IF($D711=""LONG"", (IFERROR(INDEX(GOOGLEFINANCE($C711, ""price"", WORKDAY(INT($B711), 5)), 2, 2), """")-$G711)/$G711, ($G711-IFE"&amp;"RROR(INDEX(GOOGLEFINANCE($C711, ""price"", WORKDAY(INT($B711), 5)), 2, 2), """"))/$G711)), """")"),"")</f>
        <v/>
      </c>
      <c r="P711" s="47" t="str">
        <f>IFERROR(__xludf.DUMMYFUNCTION("IFERROR(IF(OR(ISBLANK($G711), IFERROR(INDEX(GOOGLEFINANCE($C711, ""price"", WORKDAY(INT($B711), 20)), 2, 2), """")=""""), """", IF($D711=""LONG"", (IFERROR(INDEX(GOOGLEFINANCE($C711, ""price"", WORKDAY(INT($B711), 20)), 2, 2), """")-$G711)/$G711, ($G711-I"&amp;"FERROR(INDEX(GOOGLEFINANCE($C711, ""price"", WORKDAY(INT($B711), 20)), 2, 2), """"))/$G711)), """")"),"")</f>
        <v/>
      </c>
      <c r="Q711" s="44"/>
      <c r="R711" s="44"/>
      <c r="S711" s="44"/>
      <c r="T711" s="44"/>
      <c r="U711" s="44"/>
      <c r="V711" s="44"/>
      <c r="W711" s="44"/>
      <c r="X711" s="44"/>
      <c r="Y711" s="44"/>
      <c r="Z711" s="44"/>
    </row>
    <row r="712">
      <c r="A712" s="44"/>
      <c r="B712" s="45"/>
      <c r="C712" s="44"/>
      <c r="D712" s="44"/>
      <c r="E712" s="44"/>
      <c r="F712" s="44"/>
      <c r="G712" s="46"/>
      <c r="H712" s="44"/>
      <c r="I712" s="44"/>
      <c r="J712" s="44"/>
      <c r="K712" s="44"/>
      <c r="L712" s="46" t="str">
        <f>IFERROR(__xludf.DUMMYFUNCTION("IFERROR(IF(ISBLANK($C712), """", GOOGLEFINANCE($C712, ""price"")), """")"),"")</f>
        <v/>
      </c>
      <c r="M712" s="47" t="str">
        <f t="shared" si="3"/>
        <v/>
      </c>
      <c r="N712" s="47" t="str">
        <f>IFERROR(__xludf.DUMMYFUNCTION("IFERROR(IF(OR(ISBLANK($G712), IFERROR(INDEX(GOOGLEFINANCE($C712, ""price"", WORKDAY(INT($B712), 1)), 2, 2), """")=""""), """", IF($D712=""LONG"", (IFERROR(INDEX(GOOGLEFINANCE($C712, ""price"", WORKDAY(INT($B712), 1)), 2, 2), """")-$G712)/$G712, ($G712-IFE"&amp;"RROR(INDEX(GOOGLEFINANCE($C712, ""price"", WORKDAY(INT($B712), 1)), 2, 2), """"))/$G712)), """")"),"")</f>
        <v/>
      </c>
      <c r="O712" s="47" t="str">
        <f>IFERROR(__xludf.DUMMYFUNCTION("IFERROR(IF(OR(ISBLANK($G712), IFERROR(INDEX(GOOGLEFINANCE($C712, ""price"", WORKDAY(INT($B712), 5)), 2, 2), """")=""""), """", IF($D712=""LONG"", (IFERROR(INDEX(GOOGLEFINANCE($C712, ""price"", WORKDAY(INT($B712), 5)), 2, 2), """")-$G712)/$G712, ($G712-IFE"&amp;"RROR(INDEX(GOOGLEFINANCE($C712, ""price"", WORKDAY(INT($B712), 5)), 2, 2), """"))/$G712)), """")"),"")</f>
        <v/>
      </c>
      <c r="P712" s="47" t="str">
        <f>IFERROR(__xludf.DUMMYFUNCTION("IFERROR(IF(OR(ISBLANK($G712), IFERROR(INDEX(GOOGLEFINANCE($C712, ""price"", WORKDAY(INT($B712), 20)), 2, 2), """")=""""), """", IF($D712=""LONG"", (IFERROR(INDEX(GOOGLEFINANCE($C712, ""price"", WORKDAY(INT($B712), 20)), 2, 2), """")-$G712)/$G712, ($G712-I"&amp;"FERROR(INDEX(GOOGLEFINANCE($C712, ""price"", WORKDAY(INT($B712), 20)), 2, 2), """"))/$G712)), """")"),"")</f>
        <v/>
      </c>
      <c r="Q712" s="44"/>
      <c r="R712" s="44"/>
      <c r="S712" s="44"/>
      <c r="T712" s="44"/>
      <c r="U712" s="44"/>
      <c r="V712" s="44"/>
      <c r="W712" s="44"/>
      <c r="X712" s="44"/>
      <c r="Y712" s="44"/>
      <c r="Z712" s="44"/>
    </row>
    <row r="713">
      <c r="A713" s="44"/>
      <c r="B713" s="45"/>
      <c r="C713" s="44"/>
      <c r="D713" s="44"/>
      <c r="E713" s="44"/>
      <c r="F713" s="44"/>
      <c r="G713" s="46"/>
      <c r="H713" s="44"/>
      <c r="I713" s="44"/>
      <c r="J713" s="44"/>
      <c r="K713" s="44"/>
      <c r="L713" s="46" t="str">
        <f>IFERROR(__xludf.DUMMYFUNCTION("IFERROR(IF(ISBLANK($C713), """", GOOGLEFINANCE($C713, ""price"")), """")"),"")</f>
        <v/>
      </c>
      <c r="M713" s="47" t="str">
        <f t="shared" si="3"/>
        <v/>
      </c>
      <c r="N713" s="47" t="str">
        <f>IFERROR(__xludf.DUMMYFUNCTION("IFERROR(IF(OR(ISBLANK($G713), IFERROR(INDEX(GOOGLEFINANCE($C713, ""price"", WORKDAY(INT($B713), 1)), 2, 2), """")=""""), """", IF($D713=""LONG"", (IFERROR(INDEX(GOOGLEFINANCE($C713, ""price"", WORKDAY(INT($B713), 1)), 2, 2), """")-$G713)/$G713, ($G713-IFE"&amp;"RROR(INDEX(GOOGLEFINANCE($C713, ""price"", WORKDAY(INT($B713), 1)), 2, 2), """"))/$G713)), """")"),"")</f>
        <v/>
      </c>
      <c r="O713" s="47" t="str">
        <f>IFERROR(__xludf.DUMMYFUNCTION("IFERROR(IF(OR(ISBLANK($G713), IFERROR(INDEX(GOOGLEFINANCE($C713, ""price"", WORKDAY(INT($B713), 5)), 2, 2), """")=""""), """", IF($D713=""LONG"", (IFERROR(INDEX(GOOGLEFINANCE($C713, ""price"", WORKDAY(INT($B713), 5)), 2, 2), """")-$G713)/$G713, ($G713-IFE"&amp;"RROR(INDEX(GOOGLEFINANCE($C713, ""price"", WORKDAY(INT($B713), 5)), 2, 2), """"))/$G713)), """")"),"")</f>
        <v/>
      </c>
      <c r="P713" s="47" t="str">
        <f>IFERROR(__xludf.DUMMYFUNCTION("IFERROR(IF(OR(ISBLANK($G713), IFERROR(INDEX(GOOGLEFINANCE($C713, ""price"", WORKDAY(INT($B713), 20)), 2, 2), """")=""""), """", IF($D713=""LONG"", (IFERROR(INDEX(GOOGLEFINANCE($C713, ""price"", WORKDAY(INT($B713), 20)), 2, 2), """")-$G713)/$G713, ($G713-I"&amp;"FERROR(INDEX(GOOGLEFINANCE($C713, ""price"", WORKDAY(INT($B713), 20)), 2, 2), """"))/$G713)), """")"),"")</f>
        <v/>
      </c>
      <c r="Q713" s="44"/>
      <c r="R713" s="44"/>
      <c r="S713" s="44"/>
      <c r="T713" s="44"/>
      <c r="U713" s="44"/>
      <c r="V713" s="44"/>
      <c r="W713" s="44"/>
      <c r="X713" s="44"/>
      <c r="Y713" s="44"/>
      <c r="Z713" s="44"/>
    </row>
    <row r="714">
      <c r="A714" s="44"/>
      <c r="B714" s="45"/>
      <c r="C714" s="44"/>
      <c r="D714" s="44"/>
      <c r="E714" s="44"/>
      <c r="F714" s="44"/>
      <c r="G714" s="46"/>
      <c r="H714" s="44"/>
      <c r="I714" s="44"/>
      <c r="J714" s="44"/>
      <c r="K714" s="44"/>
      <c r="L714" s="46" t="str">
        <f>IFERROR(__xludf.DUMMYFUNCTION("IFERROR(IF(ISBLANK($C714), """", GOOGLEFINANCE($C714, ""price"")), """")"),"")</f>
        <v/>
      </c>
      <c r="M714" s="47" t="str">
        <f t="shared" si="3"/>
        <v/>
      </c>
      <c r="N714" s="47" t="str">
        <f>IFERROR(__xludf.DUMMYFUNCTION("IFERROR(IF(OR(ISBLANK($G714), IFERROR(INDEX(GOOGLEFINANCE($C714, ""price"", WORKDAY(INT($B714), 1)), 2, 2), """")=""""), """", IF($D714=""LONG"", (IFERROR(INDEX(GOOGLEFINANCE($C714, ""price"", WORKDAY(INT($B714), 1)), 2, 2), """")-$G714)/$G714, ($G714-IFE"&amp;"RROR(INDEX(GOOGLEFINANCE($C714, ""price"", WORKDAY(INT($B714), 1)), 2, 2), """"))/$G714)), """")"),"")</f>
        <v/>
      </c>
      <c r="O714" s="47" t="str">
        <f>IFERROR(__xludf.DUMMYFUNCTION("IFERROR(IF(OR(ISBLANK($G714), IFERROR(INDEX(GOOGLEFINANCE($C714, ""price"", WORKDAY(INT($B714), 5)), 2, 2), """")=""""), """", IF($D714=""LONG"", (IFERROR(INDEX(GOOGLEFINANCE($C714, ""price"", WORKDAY(INT($B714), 5)), 2, 2), """")-$G714)/$G714, ($G714-IFE"&amp;"RROR(INDEX(GOOGLEFINANCE($C714, ""price"", WORKDAY(INT($B714), 5)), 2, 2), """"))/$G714)), """")"),"")</f>
        <v/>
      </c>
      <c r="P714" s="47" t="str">
        <f>IFERROR(__xludf.DUMMYFUNCTION("IFERROR(IF(OR(ISBLANK($G714), IFERROR(INDEX(GOOGLEFINANCE($C714, ""price"", WORKDAY(INT($B714), 20)), 2, 2), """")=""""), """", IF($D714=""LONG"", (IFERROR(INDEX(GOOGLEFINANCE($C714, ""price"", WORKDAY(INT($B714), 20)), 2, 2), """")-$G714)/$G714, ($G714-I"&amp;"FERROR(INDEX(GOOGLEFINANCE($C714, ""price"", WORKDAY(INT($B714), 20)), 2, 2), """"))/$G714)), """")"),"")</f>
        <v/>
      </c>
      <c r="Q714" s="44"/>
      <c r="R714" s="44"/>
      <c r="S714" s="44"/>
      <c r="T714" s="44"/>
      <c r="U714" s="44"/>
      <c r="V714" s="44"/>
      <c r="W714" s="44"/>
      <c r="X714" s="44"/>
      <c r="Y714" s="44"/>
      <c r="Z714" s="44"/>
    </row>
    <row r="715">
      <c r="A715" s="44"/>
      <c r="B715" s="45"/>
      <c r="C715" s="44"/>
      <c r="D715" s="44"/>
      <c r="E715" s="44"/>
      <c r="F715" s="44"/>
      <c r="G715" s="46"/>
      <c r="H715" s="44"/>
      <c r="I715" s="44"/>
      <c r="J715" s="44"/>
      <c r="K715" s="44"/>
      <c r="L715" s="46" t="str">
        <f>IFERROR(__xludf.DUMMYFUNCTION("IFERROR(IF(ISBLANK($C715), """", GOOGLEFINANCE($C715, ""price"")), """")"),"")</f>
        <v/>
      </c>
      <c r="M715" s="47" t="str">
        <f t="shared" si="3"/>
        <v/>
      </c>
      <c r="N715" s="47" t="str">
        <f>IFERROR(__xludf.DUMMYFUNCTION("IFERROR(IF(OR(ISBLANK($G715), IFERROR(INDEX(GOOGLEFINANCE($C715, ""price"", WORKDAY(INT($B715), 1)), 2, 2), """")=""""), """", IF($D715=""LONG"", (IFERROR(INDEX(GOOGLEFINANCE($C715, ""price"", WORKDAY(INT($B715), 1)), 2, 2), """")-$G715)/$G715, ($G715-IFE"&amp;"RROR(INDEX(GOOGLEFINANCE($C715, ""price"", WORKDAY(INT($B715), 1)), 2, 2), """"))/$G715)), """")"),"")</f>
        <v/>
      </c>
      <c r="O715" s="47" t="str">
        <f>IFERROR(__xludf.DUMMYFUNCTION("IFERROR(IF(OR(ISBLANK($G715), IFERROR(INDEX(GOOGLEFINANCE($C715, ""price"", WORKDAY(INT($B715), 5)), 2, 2), """")=""""), """", IF($D715=""LONG"", (IFERROR(INDEX(GOOGLEFINANCE($C715, ""price"", WORKDAY(INT($B715), 5)), 2, 2), """")-$G715)/$G715, ($G715-IFE"&amp;"RROR(INDEX(GOOGLEFINANCE($C715, ""price"", WORKDAY(INT($B715), 5)), 2, 2), """"))/$G715)), """")"),"")</f>
        <v/>
      </c>
      <c r="P715" s="47" t="str">
        <f>IFERROR(__xludf.DUMMYFUNCTION("IFERROR(IF(OR(ISBLANK($G715), IFERROR(INDEX(GOOGLEFINANCE($C715, ""price"", WORKDAY(INT($B715), 20)), 2, 2), """")=""""), """", IF($D715=""LONG"", (IFERROR(INDEX(GOOGLEFINANCE($C715, ""price"", WORKDAY(INT($B715), 20)), 2, 2), """")-$G715)/$G715, ($G715-I"&amp;"FERROR(INDEX(GOOGLEFINANCE($C715, ""price"", WORKDAY(INT($B715), 20)), 2, 2), """"))/$G715)), """")"),"")</f>
        <v/>
      </c>
      <c r="Q715" s="44"/>
      <c r="R715" s="44"/>
      <c r="S715" s="44"/>
      <c r="T715" s="44"/>
      <c r="U715" s="44"/>
      <c r="V715" s="44"/>
      <c r="W715" s="44"/>
      <c r="X715" s="44"/>
      <c r="Y715" s="44"/>
      <c r="Z715" s="44"/>
    </row>
    <row r="716">
      <c r="A716" s="44"/>
      <c r="B716" s="45"/>
      <c r="C716" s="44"/>
      <c r="D716" s="44"/>
      <c r="E716" s="44"/>
      <c r="F716" s="44"/>
      <c r="G716" s="46"/>
      <c r="H716" s="44"/>
      <c r="I716" s="44"/>
      <c r="J716" s="44"/>
      <c r="K716" s="44"/>
      <c r="L716" s="46" t="str">
        <f>IFERROR(__xludf.DUMMYFUNCTION("IFERROR(IF(ISBLANK($C716), """", GOOGLEFINANCE($C716, ""price"")), """")"),"")</f>
        <v/>
      </c>
      <c r="M716" s="47" t="str">
        <f t="shared" si="3"/>
        <v/>
      </c>
      <c r="N716" s="47" t="str">
        <f>IFERROR(__xludf.DUMMYFUNCTION("IFERROR(IF(OR(ISBLANK($G716), IFERROR(INDEX(GOOGLEFINANCE($C716, ""price"", WORKDAY(INT($B716), 1)), 2, 2), """")=""""), """", IF($D716=""LONG"", (IFERROR(INDEX(GOOGLEFINANCE($C716, ""price"", WORKDAY(INT($B716), 1)), 2, 2), """")-$G716)/$G716, ($G716-IFE"&amp;"RROR(INDEX(GOOGLEFINANCE($C716, ""price"", WORKDAY(INT($B716), 1)), 2, 2), """"))/$G716)), """")"),"")</f>
        <v/>
      </c>
      <c r="O716" s="47" t="str">
        <f>IFERROR(__xludf.DUMMYFUNCTION("IFERROR(IF(OR(ISBLANK($G716), IFERROR(INDEX(GOOGLEFINANCE($C716, ""price"", WORKDAY(INT($B716), 5)), 2, 2), """")=""""), """", IF($D716=""LONG"", (IFERROR(INDEX(GOOGLEFINANCE($C716, ""price"", WORKDAY(INT($B716), 5)), 2, 2), """")-$G716)/$G716, ($G716-IFE"&amp;"RROR(INDEX(GOOGLEFINANCE($C716, ""price"", WORKDAY(INT($B716), 5)), 2, 2), """"))/$G716)), """")"),"")</f>
        <v/>
      </c>
      <c r="P716" s="47" t="str">
        <f>IFERROR(__xludf.DUMMYFUNCTION("IFERROR(IF(OR(ISBLANK($G716), IFERROR(INDEX(GOOGLEFINANCE($C716, ""price"", WORKDAY(INT($B716), 20)), 2, 2), """")=""""), """", IF($D716=""LONG"", (IFERROR(INDEX(GOOGLEFINANCE($C716, ""price"", WORKDAY(INT($B716), 20)), 2, 2), """")-$G716)/$G716, ($G716-I"&amp;"FERROR(INDEX(GOOGLEFINANCE($C716, ""price"", WORKDAY(INT($B716), 20)), 2, 2), """"))/$G716)), """")"),"")</f>
        <v/>
      </c>
      <c r="Q716" s="44"/>
      <c r="R716" s="44"/>
      <c r="S716" s="44"/>
      <c r="T716" s="44"/>
      <c r="U716" s="44"/>
      <c r="V716" s="44"/>
      <c r="W716" s="44"/>
      <c r="X716" s="44"/>
      <c r="Y716" s="44"/>
      <c r="Z716" s="44"/>
    </row>
    <row r="717">
      <c r="A717" s="44"/>
      <c r="B717" s="45"/>
      <c r="C717" s="44"/>
      <c r="D717" s="44"/>
      <c r="E717" s="44"/>
      <c r="F717" s="44"/>
      <c r="G717" s="46"/>
      <c r="H717" s="44"/>
      <c r="I717" s="44"/>
      <c r="J717" s="44"/>
      <c r="K717" s="44"/>
      <c r="L717" s="46" t="str">
        <f>IFERROR(__xludf.DUMMYFUNCTION("IFERROR(IF(ISBLANK($C717), """", GOOGLEFINANCE($C717, ""price"")), """")"),"")</f>
        <v/>
      </c>
      <c r="M717" s="47" t="str">
        <f t="shared" si="3"/>
        <v/>
      </c>
      <c r="N717" s="47" t="str">
        <f>IFERROR(__xludf.DUMMYFUNCTION("IFERROR(IF(OR(ISBLANK($G717), IFERROR(INDEX(GOOGLEFINANCE($C717, ""price"", WORKDAY(INT($B717), 1)), 2, 2), """")=""""), """", IF($D717=""LONG"", (IFERROR(INDEX(GOOGLEFINANCE($C717, ""price"", WORKDAY(INT($B717), 1)), 2, 2), """")-$G717)/$G717, ($G717-IFE"&amp;"RROR(INDEX(GOOGLEFINANCE($C717, ""price"", WORKDAY(INT($B717), 1)), 2, 2), """"))/$G717)), """")"),"")</f>
        <v/>
      </c>
      <c r="O717" s="47" t="str">
        <f>IFERROR(__xludf.DUMMYFUNCTION("IFERROR(IF(OR(ISBLANK($G717), IFERROR(INDEX(GOOGLEFINANCE($C717, ""price"", WORKDAY(INT($B717), 5)), 2, 2), """")=""""), """", IF($D717=""LONG"", (IFERROR(INDEX(GOOGLEFINANCE($C717, ""price"", WORKDAY(INT($B717), 5)), 2, 2), """")-$G717)/$G717, ($G717-IFE"&amp;"RROR(INDEX(GOOGLEFINANCE($C717, ""price"", WORKDAY(INT($B717), 5)), 2, 2), """"))/$G717)), """")"),"")</f>
        <v/>
      </c>
      <c r="P717" s="47" t="str">
        <f>IFERROR(__xludf.DUMMYFUNCTION("IFERROR(IF(OR(ISBLANK($G717), IFERROR(INDEX(GOOGLEFINANCE($C717, ""price"", WORKDAY(INT($B717), 20)), 2, 2), """")=""""), """", IF($D717=""LONG"", (IFERROR(INDEX(GOOGLEFINANCE($C717, ""price"", WORKDAY(INT($B717), 20)), 2, 2), """")-$G717)/$G717, ($G717-I"&amp;"FERROR(INDEX(GOOGLEFINANCE($C717, ""price"", WORKDAY(INT($B717), 20)), 2, 2), """"))/$G717)), """")"),"")</f>
        <v/>
      </c>
      <c r="Q717" s="44"/>
      <c r="R717" s="44"/>
      <c r="S717" s="44"/>
      <c r="T717" s="44"/>
      <c r="U717" s="44"/>
      <c r="V717" s="44"/>
      <c r="W717" s="44"/>
      <c r="X717" s="44"/>
      <c r="Y717" s="44"/>
      <c r="Z717" s="44"/>
    </row>
    <row r="718">
      <c r="A718" s="44"/>
      <c r="B718" s="45"/>
      <c r="C718" s="44"/>
      <c r="D718" s="44"/>
      <c r="E718" s="44"/>
      <c r="F718" s="44"/>
      <c r="G718" s="46"/>
      <c r="H718" s="44"/>
      <c r="I718" s="44"/>
      <c r="J718" s="44"/>
      <c r="K718" s="44"/>
      <c r="L718" s="46" t="str">
        <f>IFERROR(__xludf.DUMMYFUNCTION("IFERROR(IF(ISBLANK($C718), """", GOOGLEFINANCE($C718, ""price"")), """")"),"")</f>
        <v/>
      </c>
      <c r="M718" s="47" t="str">
        <f t="shared" si="3"/>
        <v/>
      </c>
      <c r="N718" s="47" t="str">
        <f>IFERROR(__xludf.DUMMYFUNCTION("IFERROR(IF(OR(ISBLANK($G718), IFERROR(INDEX(GOOGLEFINANCE($C718, ""price"", WORKDAY(INT($B718), 1)), 2, 2), """")=""""), """", IF($D718=""LONG"", (IFERROR(INDEX(GOOGLEFINANCE($C718, ""price"", WORKDAY(INT($B718), 1)), 2, 2), """")-$G718)/$G718, ($G718-IFE"&amp;"RROR(INDEX(GOOGLEFINANCE($C718, ""price"", WORKDAY(INT($B718), 1)), 2, 2), """"))/$G718)), """")"),"")</f>
        <v/>
      </c>
      <c r="O718" s="47" t="str">
        <f>IFERROR(__xludf.DUMMYFUNCTION("IFERROR(IF(OR(ISBLANK($G718), IFERROR(INDEX(GOOGLEFINANCE($C718, ""price"", WORKDAY(INT($B718), 5)), 2, 2), """")=""""), """", IF($D718=""LONG"", (IFERROR(INDEX(GOOGLEFINANCE($C718, ""price"", WORKDAY(INT($B718), 5)), 2, 2), """")-$G718)/$G718, ($G718-IFE"&amp;"RROR(INDEX(GOOGLEFINANCE($C718, ""price"", WORKDAY(INT($B718), 5)), 2, 2), """"))/$G718)), """")"),"")</f>
        <v/>
      </c>
      <c r="P718" s="47" t="str">
        <f>IFERROR(__xludf.DUMMYFUNCTION("IFERROR(IF(OR(ISBLANK($G718), IFERROR(INDEX(GOOGLEFINANCE($C718, ""price"", WORKDAY(INT($B718), 20)), 2, 2), """")=""""), """", IF($D718=""LONG"", (IFERROR(INDEX(GOOGLEFINANCE($C718, ""price"", WORKDAY(INT($B718), 20)), 2, 2), """")-$G718)/$G718, ($G718-I"&amp;"FERROR(INDEX(GOOGLEFINANCE($C718, ""price"", WORKDAY(INT($B718), 20)), 2, 2), """"))/$G718)), """")"),"")</f>
        <v/>
      </c>
      <c r="Q718" s="44"/>
      <c r="R718" s="44"/>
      <c r="S718" s="44"/>
      <c r="T718" s="44"/>
      <c r="U718" s="44"/>
      <c r="V718" s="44"/>
      <c r="W718" s="44"/>
      <c r="X718" s="44"/>
      <c r="Y718" s="44"/>
      <c r="Z718" s="44"/>
    </row>
    <row r="719">
      <c r="A719" s="44"/>
      <c r="B719" s="45"/>
      <c r="C719" s="44"/>
      <c r="D719" s="44"/>
      <c r="E719" s="44"/>
      <c r="F719" s="44"/>
      <c r="G719" s="46"/>
      <c r="H719" s="44"/>
      <c r="I719" s="44"/>
      <c r="J719" s="44"/>
      <c r="K719" s="44"/>
      <c r="L719" s="46" t="str">
        <f>IFERROR(__xludf.DUMMYFUNCTION("IFERROR(IF(ISBLANK($C719), """", GOOGLEFINANCE($C719, ""price"")), """")"),"")</f>
        <v/>
      </c>
      <c r="M719" s="47" t="str">
        <f t="shared" si="3"/>
        <v/>
      </c>
      <c r="N719" s="47" t="str">
        <f>IFERROR(__xludf.DUMMYFUNCTION("IFERROR(IF(OR(ISBLANK($G719), IFERROR(INDEX(GOOGLEFINANCE($C719, ""price"", WORKDAY(INT($B719), 1)), 2, 2), """")=""""), """", IF($D719=""LONG"", (IFERROR(INDEX(GOOGLEFINANCE($C719, ""price"", WORKDAY(INT($B719), 1)), 2, 2), """")-$G719)/$G719, ($G719-IFE"&amp;"RROR(INDEX(GOOGLEFINANCE($C719, ""price"", WORKDAY(INT($B719), 1)), 2, 2), """"))/$G719)), """")"),"")</f>
        <v/>
      </c>
      <c r="O719" s="47" t="str">
        <f>IFERROR(__xludf.DUMMYFUNCTION("IFERROR(IF(OR(ISBLANK($G719), IFERROR(INDEX(GOOGLEFINANCE($C719, ""price"", WORKDAY(INT($B719), 5)), 2, 2), """")=""""), """", IF($D719=""LONG"", (IFERROR(INDEX(GOOGLEFINANCE($C719, ""price"", WORKDAY(INT($B719), 5)), 2, 2), """")-$G719)/$G719, ($G719-IFE"&amp;"RROR(INDEX(GOOGLEFINANCE($C719, ""price"", WORKDAY(INT($B719), 5)), 2, 2), """"))/$G719)), """")"),"")</f>
        <v/>
      </c>
      <c r="P719" s="47" t="str">
        <f>IFERROR(__xludf.DUMMYFUNCTION("IFERROR(IF(OR(ISBLANK($G719), IFERROR(INDEX(GOOGLEFINANCE($C719, ""price"", WORKDAY(INT($B719), 20)), 2, 2), """")=""""), """", IF($D719=""LONG"", (IFERROR(INDEX(GOOGLEFINANCE($C719, ""price"", WORKDAY(INT($B719), 20)), 2, 2), """")-$G719)/$G719, ($G719-I"&amp;"FERROR(INDEX(GOOGLEFINANCE($C719, ""price"", WORKDAY(INT($B719), 20)), 2, 2), """"))/$G719)), """")"),"")</f>
        <v/>
      </c>
      <c r="Q719" s="44"/>
      <c r="R719" s="44"/>
      <c r="S719" s="44"/>
      <c r="T719" s="44"/>
      <c r="U719" s="44"/>
      <c r="V719" s="44"/>
      <c r="W719" s="44"/>
      <c r="X719" s="44"/>
      <c r="Y719" s="44"/>
      <c r="Z719" s="44"/>
    </row>
    <row r="720">
      <c r="A720" s="44"/>
      <c r="B720" s="45"/>
      <c r="C720" s="44"/>
      <c r="D720" s="44"/>
      <c r="E720" s="44"/>
      <c r="F720" s="44"/>
      <c r="G720" s="46"/>
      <c r="H720" s="44"/>
      <c r="I720" s="44"/>
      <c r="J720" s="44"/>
      <c r="K720" s="44"/>
      <c r="L720" s="46" t="str">
        <f>IFERROR(__xludf.DUMMYFUNCTION("IFERROR(IF(ISBLANK($C720), """", GOOGLEFINANCE($C720, ""price"")), """")"),"")</f>
        <v/>
      </c>
      <c r="M720" s="47" t="str">
        <f t="shared" si="3"/>
        <v/>
      </c>
      <c r="N720" s="47" t="str">
        <f>IFERROR(__xludf.DUMMYFUNCTION("IFERROR(IF(OR(ISBLANK($G720), IFERROR(INDEX(GOOGLEFINANCE($C720, ""price"", WORKDAY(INT($B720), 1)), 2, 2), """")=""""), """", IF($D720=""LONG"", (IFERROR(INDEX(GOOGLEFINANCE($C720, ""price"", WORKDAY(INT($B720), 1)), 2, 2), """")-$G720)/$G720, ($G720-IFE"&amp;"RROR(INDEX(GOOGLEFINANCE($C720, ""price"", WORKDAY(INT($B720), 1)), 2, 2), """"))/$G720)), """")"),"")</f>
        <v/>
      </c>
      <c r="O720" s="47" t="str">
        <f>IFERROR(__xludf.DUMMYFUNCTION("IFERROR(IF(OR(ISBLANK($G720), IFERROR(INDEX(GOOGLEFINANCE($C720, ""price"", WORKDAY(INT($B720), 5)), 2, 2), """")=""""), """", IF($D720=""LONG"", (IFERROR(INDEX(GOOGLEFINANCE($C720, ""price"", WORKDAY(INT($B720), 5)), 2, 2), """")-$G720)/$G720, ($G720-IFE"&amp;"RROR(INDEX(GOOGLEFINANCE($C720, ""price"", WORKDAY(INT($B720), 5)), 2, 2), """"))/$G720)), """")"),"")</f>
        <v/>
      </c>
      <c r="P720" s="47" t="str">
        <f>IFERROR(__xludf.DUMMYFUNCTION("IFERROR(IF(OR(ISBLANK($G720), IFERROR(INDEX(GOOGLEFINANCE($C720, ""price"", WORKDAY(INT($B720), 20)), 2, 2), """")=""""), """", IF($D720=""LONG"", (IFERROR(INDEX(GOOGLEFINANCE($C720, ""price"", WORKDAY(INT($B720), 20)), 2, 2), """")-$G720)/$G720, ($G720-I"&amp;"FERROR(INDEX(GOOGLEFINANCE($C720, ""price"", WORKDAY(INT($B720), 20)), 2, 2), """"))/$G720)), """")"),"")</f>
        <v/>
      </c>
      <c r="Q720" s="44"/>
      <c r="R720" s="44"/>
      <c r="S720" s="44"/>
      <c r="T720" s="44"/>
      <c r="U720" s="44"/>
      <c r="V720" s="44"/>
      <c r="W720" s="44"/>
      <c r="X720" s="44"/>
      <c r="Y720" s="44"/>
      <c r="Z720" s="44"/>
    </row>
    <row r="721">
      <c r="A721" s="44"/>
      <c r="B721" s="45"/>
      <c r="C721" s="44"/>
      <c r="D721" s="44"/>
      <c r="E721" s="44"/>
      <c r="F721" s="44"/>
      <c r="G721" s="46"/>
      <c r="H721" s="44"/>
      <c r="I721" s="44"/>
      <c r="J721" s="44"/>
      <c r="K721" s="44"/>
      <c r="L721" s="46" t="str">
        <f>IFERROR(__xludf.DUMMYFUNCTION("IFERROR(IF(ISBLANK($C721), """", GOOGLEFINANCE($C721, ""price"")), """")"),"")</f>
        <v/>
      </c>
      <c r="M721" s="47" t="str">
        <f t="shared" si="3"/>
        <v/>
      </c>
      <c r="N721" s="47" t="str">
        <f>IFERROR(__xludf.DUMMYFUNCTION("IFERROR(IF(OR(ISBLANK($G721), IFERROR(INDEX(GOOGLEFINANCE($C721, ""price"", WORKDAY(INT($B721), 1)), 2, 2), """")=""""), """", IF($D721=""LONG"", (IFERROR(INDEX(GOOGLEFINANCE($C721, ""price"", WORKDAY(INT($B721), 1)), 2, 2), """")-$G721)/$G721, ($G721-IFE"&amp;"RROR(INDEX(GOOGLEFINANCE($C721, ""price"", WORKDAY(INT($B721), 1)), 2, 2), """"))/$G721)), """")"),"")</f>
        <v/>
      </c>
      <c r="O721" s="47" t="str">
        <f>IFERROR(__xludf.DUMMYFUNCTION("IFERROR(IF(OR(ISBLANK($G721), IFERROR(INDEX(GOOGLEFINANCE($C721, ""price"", WORKDAY(INT($B721), 5)), 2, 2), """")=""""), """", IF($D721=""LONG"", (IFERROR(INDEX(GOOGLEFINANCE($C721, ""price"", WORKDAY(INT($B721), 5)), 2, 2), """")-$G721)/$G721, ($G721-IFE"&amp;"RROR(INDEX(GOOGLEFINANCE($C721, ""price"", WORKDAY(INT($B721), 5)), 2, 2), """"))/$G721)), """")"),"")</f>
        <v/>
      </c>
      <c r="P721" s="47" t="str">
        <f>IFERROR(__xludf.DUMMYFUNCTION("IFERROR(IF(OR(ISBLANK($G721), IFERROR(INDEX(GOOGLEFINANCE($C721, ""price"", WORKDAY(INT($B721), 20)), 2, 2), """")=""""), """", IF($D721=""LONG"", (IFERROR(INDEX(GOOGLEFINANCE($C721, ""price"", WORKDAY(INT($B721), 20)), 2, 2), """")-$G721)/$G721, ($G721-I"&amp;"FERROR(INDEX(GOOGLEFINANCE($C721, ""price"", WORKDAY(INT($B721), 20)), 2, 2), """"))/$G721)), """")"),"")</f>
        <v/>
      </c>
      <c r="Q721" s="44"/>
      <c r="R721" s="44"/>
      <c r="S721" s="44"/>
      <c r="T721" s="44"/>
      <c r="U721" s="44"/>
      <c r="V721" s="44"/>
      <c r="W721" s="44"/>
      <c r="X721" s="44"/>
      <c r="Y721" s="44"/>
      <c r="Z721" s="44"/>
    </row>
    <row r="722">
      <c r="A722" s="44"/>
      <c r="B722" s="45"/>
      <c r="C722" s="44"/>
      <c r="D722" s="44"/>
      <c r="E722" s="44"/>
      <c r="F722" s="44"/>
      <c r="G722" s="46"/>
      <c r="H722" s="44"/>
      <c r="I722" s="44"/>
      <c r="J722" s="44"/>
      <c r="K722" s="44"/>
      <c r="L722" s="46" t="str">
        <f>IFERROR(__xludf.DUMMYFUNCTION("IFERROR(IF(ISBLANK($C722), """", GOOGLEFINANCE($C722, ""price"")), """")"),"")</f>
        <v/>
      </c>
      <c r="M722" s="47" t="str">
        <f t="shared" si="3"/>
        <v/>
      </c>
      <c r="N722" s="47" t="str">
        <f>IFERROR(__xludf.DUMMYFUNCTION("IFERROR(IF(OR(ISBLANK($G722), IFERROR(INDEX(GOOGLEFINANCE($C722, ""price"", WORKDAY(INT($B722), 1)), 2, 2), """")=""""), """", IF($D722=""LONG"", (IFERROR(INDEX(GOOGLEFINANCE($C722, ""price"", WORKDAY(INT($B722), 1)), 2, 2), """")-$G722)/$G722, ($G722-IFE"&amp;"RROR(INDEX(GOOGLEFINANCE($C722, ""price"", WORKDAY(INT($B722), 1)), 2, 2), """"))/$G722)), """")"),"")</f>
        <v/>
      </c>
      <c r="O722" s="47" t="str">
        <f>IFERROR(__xludf.DUMMYFUNCTION("IFERROR(IF(OR(ISBLANK($G722), IFERROR(INDEX(GOOGLEFINANCE($C722, ""price"", WORKDAY(INT($B722), 5)), 2, 2), """")=""""), """", IF($D722=""LONG"", (IFERROR(INDEX(GOOGLEFINANCE($C722, ""price"", WORKDAY(INT($B722), 5)), 2, 2), """")-$G722)/$G722, ($G722-IFE"&amp;"RROR(INDEX(GOOGLEFINANCE($C722, ""price"", WORKDAY(INT($B722), 5)), 2, 2), """"))/$G722)), """")"),"")</f>
        <v/>
      </c>
      <c r="P722" s="47" t="str">
        <f>IFERROR(__xludf.DUMMYFUNCTION("IFERROR(IF(OR(ISBLANK($G722), IFERROR(INDEX(GOOGLEFINANCE($C722, ""price"", WORKDAY(INT($B722), 20)), 2, 2), """")=""""), """", IF($D722=""LONG"", (IFERROR(INDEX(GOOGLEFINANCE($C722, ""price"", WORKDAY(INT($B722), 20)), 2, 2), """")-$G722)/$G722, ($G722-I"&amp;"FERROR(INDEX(GOOGLEFINANCE($C722, ""price"", WORKDAY(INT($B722), 20)), 2, 2), """"))/$G722)), """")"),"")</f>
        <v/>
      </c>
      <c r="Q722" s="44"/>
      <c r="R722" s="44"/>
      <c r="S722" s="44"/>
      <c r="T722" s="44"/>
      <c r="U722" s="44"/>
      <c r="V722" s="44"/>
      <c r="W722" s="44"/>
      <c r="X722" s="44"/>
      <c r="Y722" s="44"/>
      <c r="Z722" s="44"/>
    </row>
    <row r="723">
      <c r="A723" s="44"/>
      <c r="B723" s="45"/>
      <c r="C723" s="44"/>
      <c r="D723" s="44"/>
      <c r="E723" s="44"/>
      <c r="F723" s="44"/>
      <c r="G723" s="46"/>
      <c r="H723" s="44"/>
      <c r="I723" s="44"/>
      <c r="J723" s="44"/>
      <c r="K723" s="44"/>
      <c r="L723" s="46" t="str">
        <f>IFERROR(__xludf.DUMMYFUNCTION("IFERROR(IF(ISBLANK($C723), """", GOOGLEFINANCE($C723, ""price"")), """")"),"")</f>
        <v/>
      </c>
      <c r="M723" s="47" t="str">
        <f t="shared" si="3"/>
        <v/>
      </c>
      <c r="N723" s="47" t="str">
        <f>IFERROR(__xludf.DUMMYFUNCTION("IFERROR(IF(OR(ISBLANK($G723), IFERROR(INDEX(GOOGLEFINANCE($C723, ""price"", WORKDAY(INT($B723), 1)), 2, 2), """")=""""), """", IF($D723=""LONG"", (IFERROR(INDEX(GOOGLEFINANCE($C723, ""price"", WORKDAY(INT($B723), 1)), 2, 2), """")-$G723)/$G723, ($G723-IFE"&amp;"RROR(INDEX(GOOGLEFINANCE($C723, ""price"", WORKDAY(INT($B723), 1)), 2, 2), """"))/$G723)), """")"),"")</f>
        <v/>
      </c>
      <c r="O723" s="47" t="str">
        <f>IFERROR(__xludf.DUMMYFUNCTION("IFERROR(IF(OR(ISBLANK($G723), IFERROR(INDEX(GOOGLEFINANCE($C723, ""price"", WORKDAY(INT($B723), 5)), 2, 2), """")=""""), """", IF($D723=""LONG"", (IFERROR(INDEX(GOOGLEFINANCE($C723, ""price"", WORKDAY(INT($B723), 5)), 2, 2), """")-$G723)/$G723, ($G723-IFE"&amp;"RROR(INDEX(GOOGLEFINANCE($C723, ""price"", WORKDAY(INT($B723), 5)), 2, 2), """"))/$G723)), """")"),"")</f>
        <v/>
      </c>
      <c r="P723" s="47" t="str">
        <f>IFERROR(__xludf.DUMMYFUNCTION("IFERROR(IF(OR(ISBLANK($G723), IFERROR(INDEX(GOOGLEFINANCE($C723, ""price"", WORKDAY(INT($B723), 20)), 2, 2), """")=""""), """", IF($D723=""LONG"", (IFERROR(INDEX(GOOGLEFINANCE($C723, ""price"", WORKDAY(INT($B723), 20)), 2, 2), """")-$G723)/$G723, ($G723-I"&amp;"FERROR(INDEX(GOOGLEFINANCE($C723, ""price"", WORKDAY(INT($B723), 20)), 2, 2), """"))/$G723)), """")"),"")</f>
        <v/>
      </c>
      <c r="Q723" s="44"/>
      <c r="R723" s="44"/>
      <c r="S723" s="44"/>
      <c r="T723" s="44"/>
      <c r="U723" s="44"/>
      <c r="V723" s="44"/>
      <c r="W723" s="44"/>
      <c r="X723" s="44"/>
      <c r="Y723" s="44"/>
      <c r="Z723" s="44"/>
    </row>
    <row r="724">
      <c r="A724" s="44"/>
      <c r="B724" s="45"/>
      <c r="C724" s="44"/>
      <c r="D724" s="44"/>
      <c r="E724" s="44"/>
      <c r="F724" s="44"/>
      <c r="G724" s="46"/>
      <c r="H724" s="44"/>
      <c r="I724" s="44"/>
      <c r="J724" s="44"/>
      <c r="K724" s="44"/>
      <c r="L724" s="46" t="str">
        <f>IFERROR(__xludf.DUMMYFUNCTION("IFERROR(IF(ISBLANK($C724), """", GOOGLEFINANCE($C724, ""price"")), """")"),"")</f>
        <v/>
      </c>
      <c r="M724" s="47" t="str">
        <f t="shared" si="3"/>
        <v/>
      </c>
      <c r="N724" s="47" t="str">
        <f>IFERROR(__xludf.DUMMYFUNCTION("IFERROR(IF(OR(ISBLANK($G724), IFERROR(INDEX(GOOGLEFINANCE($C724, ""price"", WORKDAY(INT($B724), 1)), 2, 2), """")=""""), """", IF($D724=""LONG"", (IFERROR(INDEX(GOOGLEFINANCE($C724, ""price"", WORKDAY(INT($B724), 1)), 2, 2), """")-$G724)/$G724, ($G724-IFE"&amp;"RROR(INDEX(GOOGLEFINANCE($C724, ""price"", WORKDAY(INT($B724), 1)), 2, 2), """"))/$G724)), """")"),"")</f>
        <v/>
      </c>
      <c r="O724" s="47" t="str">
        <f>IFERROR(__xludf.DUMMYFUNCTION("IFERROR(IF(OR(ISBLANK($G724), IFERROR(INDEX(GOOGLEFINANCE($C724, ""price"", WORKDAY(INT($B724), 5)), 2, 2), """")=""""), """", IF($D724=""LONG"", (IFERROR(INDEX(GOOGLEFINANCE($C724, ""price"", WORKDAY(INT($B724), 5)), 2, 2), """")-$G724)/$G724, ($G724-IFE"&amp;"RROR(INDEX(GOOGLEFINANCE($C724, ""price"", WORKDAY(INT($B724), 5)), 2, 2), """"))/$G724)), """")"),"")</f>
        <v/>
      </c>
      <c r="P724" s="47" t="str">
        <f>IFERROR(__xludf.DUMMYFUNCTION("IFERROR(IF(OR(ISBLANK($G724), IFERROR(INDEX(GOOGLEFINANCE($C724, ""price"", WORKDAY(INT($B724), 20)), 2, 2), """")=""""), """", IF($D724=""LONG"", (IFERROR(INDEX(GOOGLEFINANCE($C724, ""price"", WORKDAY(INT($B724), 20)), 2, 2), """")-$G724)/$G724, ($G724-I"&amp;"FERROR(INDEX(GOOGLEFINANCE($C724, ""price"", WORKDAY(INT($B724), 20)), 2, 2), """"))/$G724)), """")"),"")</f>
        <v/>
      </c>
      <c r="Q724" s="44"/>
      <c r="R724" s="44"/>
      <c r="S724" s="44"/>
      <c r="T724" s="44"/>
      <c r="U724" s="44"/>
      <c r="V724" s="44"/>
      <c r="W724" s="44"/>
      <c r="X724" s="44"/>
      <c r="Y724" s="44"/>
      <c r="Z724" s="44"/>
    </row>
    <row r="725">
      <c r="A725" s="44"/>
      <c r="B725" s="45"/>
      <c r="C725" s="44"/>
      <c r="D725" s="44"/>
      <c r="E725" s="44"/>
      <c r="F725" s="44"/>
      <c r="G725" s="46"/>
      <c r="H725" s="44"/>
      <c r="I725" s="44"/>
      <c r="J725" s="44"/>
      <c r="K725" s="44"/>
      <c r="L725" s="46" t="str">
        <f>IFERROR(__xludf.DUMMYFUNCTION("IFERROR(IF(ISBLANK($C725), """", GOOGLEFINANCE($C725, ""price"")), """")"),"")</f>
        <v/>
      </c>
      <c r="M725" s="47" t="str">
        <f t="shared" si="3"/>
        <v/>
      </c>
      <c r="N725" s="47" t="str">
        <f>IFERROR(__xludf.DUMMYFUNCTION("IFERROR(IF(OR(ISBLANK($G725), IFERROR(INDEX(GOOGLEFINANCE($C725, ""price"", WORKDAY(INT($B725), 1)), 2, 2), """")=""""), """", IF($D725=""LONG"", (IFERROR(INDEX(GOOGLEFINANCE($C725, ""price"", WORKDAY(INT($B725), 1)), 2, 2), """")-$G725)/$G725, ($G725-IFE"&amp;"RROR(INDEX(GOOGLEFINANCE($C725, ""price"", WORKDAY(INT($B725), 1)), 2, 2), """"))/$G725)), """")"),"")</f>
        <v/>
      </c>
      <c r="O725" s="47" t="str">
        <f>IFERROR(__xludf.DUMMYFUNCTION("IFERROR(IF(OR(ISBLANK($G725), IFERROR(INDEX(GOOGLEFINANCE($C725, ""price"", WORKDAY(INT($B725), 5)), 2, 2), """")=""""), """", IF($D725=""LONG"", (IFERROR(INDEX(GOOGLEFINANCE($C725, ""price"", WORKDAY(INT($B725), 5)), 2, 2), """")-$G725)/$G725, ($G725-IFE"&amp;"RROR(INDEX(GOOGLEFINANCE($C725, ""price"", WORKDAY(INT($B725), 5)), 2, 2), """"))/$G725)), """")"),"")</f>
        <v/>
      </c>
      <c r="P725" s="47" t="str">
        <f>IFERROR(__xludf.DUMMYFUNCTION("IFERROR(IF(OR(ISBLANK($G725), IFERROR(INDEX(GOOGLEFINANCE($C725, ""price"", WORKDAY(INT($B725), 20)), 2, 2), """")=""""), """", IF($D725=""LONG"", (IFERROR(INDEX(GOOGLEFINANCE($C725, ""price"", WORKDAY(INT($B725), 20)), 2, 2), """")-$G725)/$G725, ($G725-I"&amp;"FERROR(INDEX(GOOGLEFINANCE($C725, ""price"", WORKDAY(INT($B725), 20)), 2, 2), """"))/$G725)), """")"),"")</f>
        <v/>
      </c>
      <c r="Q725" s="44"/>
      <c r="R725" s="44"/>
      <c r="S725" s="44"/>
      <c r="T725" s="44"/>
      <c r="U725" s="44"/>
      <c r="V725" s="44"/>
      <c r="W725" s="44"/>
      <c r="X725" s="44"/>
      <c r="Y725" s="44"/>
      <c r="Z725" s="44"/>
    </row>
    <row r="726">
      <c r="A726" s="44"/>
      <c r="B726" s="45"/>
      <c r="C726" s="44"/>
      <c r="D726" s="44"/>
      <c r="E726" s="44"/>
      <c r="F726" s="44"/>
      <c r="G726" s="46"/>
      <c r="H726" s="44"/>
      <c r="I726" s="44"/>
      <c r="J726" s="44"/>
      <c r="K726" s="44"/>
      <c r="L726" s="46" t="str">
        <f>IFERROR(__xludf.DUMMYFUNCTION("IFERROR(IF(ISBLANK($C726), """", GOOGLEFINANCE($C726, ""price"")), """")"),"")</f>
        <v/>
      </c>
      <c r="M726" s="47" t="str">
        <f t="shared" si="3"/>
        <v/>
      </c>
      <c r="N726" s="47" t="str">
        <f>IFERROR(__xludf.DUMMYFUNCTION("IFERROR(IF(OR(ISBLANK($G726), IFERROR(INDEX(GOOGLEFINANCE($C726, ""price"", WORKDAY(INT($B726), 1)), 2, 2), """")=""""), """", IF($D726=""LONG"", (IFERROR(INDEX(GOOGLEFINANCE($C726, ""price"", WORKDAY(INT($B726), 1)), 2, 2), """")-$G726)/$G726, ($G726-IFE"&amp;"RROR(INDEX(GOOGLEFINANCE($C726, ""price"", WORKDAY(INT($B726), 1)), 2, 2), """"))/$G726)), """")"),"")</f>
        <v/>
      </c>
      <c r="O726" s="47" t="str">
        <f>IFERROR(__xludf.DUMMYFUNCTION("IFERROR(IF(OR(ISBLANK($G726), IFERROR(INDEX(GOOGLEFINANCE($C726, ""price"", WORKDAY(INT($B726), 5)), 2, 2), """")=""""), """", IF($D726=""LONG"", (IFERROR(INDEX(GOOGLEFINANCE($C726, ""price"", WORKDAY(INT($B726), 5)), 2, 2), """")-$G726)/$G726, ($G726-IFE"&amp;"RROR(INDEX(GOOGLEFINANCE($C726, ""price"", WORKDAY(INT($B726), 5)), 2, 2), """"))/$G726)), """")"),"")</f>
        <v/>
      </c>
      <c r="P726" s="47" t="str">
        <f>IFERROR(__xludf.DUMMYFUNCTION("IFERROR(IF(OR(ISBLANK($G726), IFERROR(INDEX(GOOGLEFINANCE($C726, ""price"", WORKDAY(INT($B726), 20)), 2, 2), """")=""""), """", IF($D726=""LONG"", (IFERROR(INDEX(GOOGLEFINANCE($C726, ""price"", WORKDAY(INT($B726), 20)), 2, 2), """")-$G726)/$G726, ($G726-I"&amp;"FERROR(INDEX(GOOGLEFINANCE($C726, ""price"", WORKDAY(INT($B726), 20)), 2, 2), """"))/$G726)), """")"),"")</f>
        <v/>
      </c>
      <c r="Q726" s="44"/>
      <c r="R726" s="44"/>
      <c r="S726" s="44"/>
      <c r="T726" s="44"/>
      <c r="U726" s="44"/>
      <c r="V726" s="44"/>
      <c r="W726" s="44"/>
      <c r="X726" s="44"/>
      <c r="Y726" s="44"/>
      <c r="Z726" s="44"/>
    </row>
    <row r="727">
      <c r="A727" s="44"/>
      <c r="B727" s="45"/>
      <c r="C727" s="44"/>
      <c r="D727" s="44"/>
      <c r="E727" s="44"/>
      <c r="F727" s="44"/>
      <c r="G727" s="46"/>
      <c r="H727" s="44"/>
      <c r="I727" s="44"/>
      <c r="J727" s="44"/>
      <c r="K727" s="44"/>
      <c r="L727" s="46" t="str">
        <f>IFERROR(__xludf.DUMMYFUNCTION("IFERROR(IF(ISBLANK($C727), """", GOOGLEFINANCE($C727, ""price"")), """")"),"")</f>
        <v/>
      </c>
      <c r="M727" s="47" t="str">
        <f t="shared" si="3"/>
        <v/>
      </c>
      <c r="N727" s="47" t="str">
        <f>IFERROR(__xludf.DUMMYFUNCTION("IFERROR(IF(OR(ISBLANK($G727), IFERROR(INDEX(GOOGLEFINANCE($C727, ""price"", WORKDAY(INT($B727), 1)), 2, 2), """")=""""), """", IF($D727=""LONG"", (IFERROR(INDEX(GOOGLEFINANCE($C727, ""price"", WORKDAY(INT($B727), 1)), 2, 2), """")-$G727)/$G727, ($G727-IFE"&amp;"RROR(INDEX(GOOGLEFINANCE($C727, ""price"", WORKDAY(INT($B727), 1)), 2, 2), """"))/$G727)), """")"),"")</f>
        <v/>
      </c>
      <c r="O727" s="47" t="str">
        <f>IFERROR(__xludf.DUMMYFUNCTION("IFERROR(IF(OR(ISBLANK($G727), IFERROR(INDEX(GOOGLEFINANCE($C727, ""price"", WORKDAY(INT($B727), 5)), 2, 2), """")=""""), """", IF($D727=""LONG"", (IFERROR(INDEX(GOOGLEFINANCE($C727, ""price"", WORKDAY(INT($B727), 5)), 2, 2), """")-$G727)/$G727, ($G727-IFE"&amp;"RROR(INDEX(GOOGLEFINANCE($C727, ""price"", WORKDAY(INT($B727), 5)), 2, 2), """"))/$G727)), """")"),"")</f>
        <v/>
      </c>
      <c r="P727" s="47" t="str">
        <f>IFERROR(__xludf.DUMMYFUNCTION("IFERROR(IF(OR(ISBLANK($G727), IFERROR(INDEX(GOOGLEFINANCE($C727, ""price"", WORKDAY(INT($B727), 20)), 2, 2), """")=""""), """", IF($D727=""LONG"", (IFERROR(INDEX(GOOGLEFINANCE($C727, ""price"", WORKDAY(INT($B727), 20)), 2, 2), """")-$G727)/$G727, ($G727-I"&amp;"FERROR(INDEX(GOOGLEFINANCE($C727, ""price"", WORKDAY(INT($B727), 20)), 2, 2), """"))/$G727)), """")"),"")</f>
        <v/>
      </c>
      <c r="Q727" s="44"/>
      <c r="R727" s="44"/>
      <c r="S727" s="44"/>
      <c r="T727" s="44"/>
      <c r="U727" s="44"/>
      <c r="V727" s="44"/>
      <c r="W727" s="44"/>
      <c r="X727" s="44"/>
      <c r="Y727" s="44"/>
      <c r="Z727" s="44"/>
    </row>
    <row r="728">
      <c r="A728" s="44"/>
      <c r="B728" s="45"/>
      <c r="C728" s="44"/>
      <c r="D728" s="44"/>
      <c r="E728" s="44"/>
      <c r="F728" s="44"/>
      <c r="G728" s="46"/>
      <c r="H728" s="44"/>
      <c r="I728" s="44"/>
      <c r="J728" s="44"/>
      <c r="K728" s="44"/>
      <c r="L728" s="46" t="str">
        <f>IFERROR(__xludf.DUMMYFUNCTION("IFERROR(IF(ISBLANK($C728), """", GOOGLEFINANCE($C728, ""price"")), """")"),"")</f>
        <v/>
      </c>
      <c r="M728" s="47" t="str">
        <f t="shared" si="3"/>
        <v/>
      </c>
      <c r="N728" s="47" t="str">
        <f>IFERROR(__xludf.DUMMYFUNCTION("IFERROR(IF(OR(ISBLANK($G728), IFERROR(INDEX(GOOGLEFINANCE($C728, ""price"", WORKDAY(INT($B728), 1)), 2, 2), """")=""""), """", IF($D728=""LONG"", (IFERROR(INDEX(GOOGLEFINANCE($C728, ""price"", WORKDAY(INT($B728), 1)), 2, 2), """")-$G728)/$G728, ($G728-IFE"&amp;"RROR(INDEX(GOOGLEFINANCE($C728, ""price"", WORKDAY(INT($B728), 1)), 2, 2), """"))/$G728)), """")"),"")</f>
        <v/>
      </c>
      <c r="O728" s="47" t="str">
        <f>IFERROR(__xludf.DUMMYFUNCTION("IFERROR(IF(OR(ISBLANK($G728), IFERROR(INDEX(GOOGLEFINANCE($C728, ""price"", WORKDAY(INT($B728), 5)), 2, 2), """")=""""), """", IF($D728=""LONG"", (IFERROR(INDEX(GOOGLEFINANCE($C728, ""price"", WORKDAY(INT($B728), 5)), 2, 2), """")-$G728)/$G728, ($G728-IFE"&amp;"RROR(INDEX(GOOGLEFINANCE($C728, ""price"", WORKDAY(INT($B728), 5)), 2, 2), """"))/$G728)), """")"),"")</f>
        <v/>
      </c>
      <c r="P728" s="47" t="str">
        <f>IFERROR(__xludf.DUMMYFUNCTION("IFERROR(IF(OR(ISBLANK($G728), IFERROR(INDEX(GOOGLEFINANCE($C728, ""price"", WORKDAY(INT($B728), 20)), 2, 2), """")=""""), """", IF($D728=""LONG"", (IFERROR(INDEX(GOOGLEFINANCE($C728, ""price"", WORKDAY(INT($B728), 20)), 2, 2), """")-$G728)/$G728, ($G728-I"&amp;"FERROR(INDEX(GOOGLEFINANCE($C728, ""price"", WORKDAY(INT($B728), 20)), 2, 2), """"))/$G728)), """")"),"")</f>
        <v/>
      </c>
      <c r="Q728" s="44"/>
      <c r="R728" s="44"/>
      <c r="S728" s="44"/>
      <c r="T728" s="44"/>
      <c r="U728" s="44"/>
      <c r="V728" s="44"/>
      <c r="W728" s="44"/>
      <c r="X728" s="44"/>
      <c r="Y728" s="44"/>
      <c r="Z728" s="44"/>
    </row>
    <row r="729">
      <c r="A729" s="44"/>
      <c r="B729" s="45"/>
      <c r="C729" s="44"/>
      <c r="D729" s="44"/>
      <c r="E729" s="44"/>
      <c r="F729" s="44"/>
      <c r="G729" s="46"/>
      <c r="H729" s="44"/>
      <c r="I729" s="44"/>
      <c r="J729" s="44"/>
      <c r="K729" s="44"/>
      <c r="L729" s="46" t="str">
        <f>IFERROR(__xludf.DUMMYFUNCTION("IFERROR(IF(ISBLANK($C729), """", GOOGLEFINANCE($C729, ""price"")), """")"),"")</f>
        <v/>
      </c>
      <c r="M729" s="47" t="str">
        <f t="shared" si="3"/>
        <v/>
      </c>
      <c r="N729" s="47" t="str">
        <f>IFERROR(__xludf.DUMMYFUNCTION("IFERROR(IF(OR(ISBLANK($G729), IFERROR(INDEX(GOOGLEFINANCE($C729, ""price"", WORKDAY(INT($B729), 1)), 2, 2), """")=""""), """", IF($D729=""LONG"", (IFERROR(INDEX(GOOGLEFINANCE($C729, ""price"", WORKDAY(INT($B729), 1)), 2, 2), """")-$G729)/$G729, ($G729-IFE"&amp;"RROR(INDEX(GOOGLEFINANCE($C729, ""price"", WORKDAY(INT($B729), 1)), 2, 2), """"))/$G729)), """")"),"")</f>
        <v/>
      </c>
      <c r="O729" s="47" t="str">
        <f>IFERROR(__xludf.DUMMYFUNCTION("IFERROR(IF(OR(ISBLANK($G729), IFERROR(INDEX(GOOGLEFINANCE($C729, ""price"", WORKDAY(INT($B729), 5)), 2, 2), """")=""""), """", IF($D729=""LONG"", (IFERROR(INDEX(GOOGLEFINANCE($C729, ""price"", WORKDAY(INT($B729), 5)), 2, 2), """")-$G729)/$G729, ($G729-IFE"&amp;"RROR(INDEX(GOOGLEFINANCE($C729, ""price"", WORKDAY(INT($B729), 5)), 2, 2), """"))/$G729)), """")"),"")</f>
        <v/>
      </c>
      <c r="P729" s="47" t="str">
        <f>IFERROR(__xludf.DUMMYFUNCTION("IFERROR(IF(OR(ISBLANK($G729), IFERROR(INDEX(GOOGLEFINANCE($C729, ""price"", WORKDAY(INT($B729), 20)), 2, 2), """")=""""), """", IF($D729=""LONG"", (IFERROR(INDEX(GOOGLEFINANCE($C729, ""price"", WORKDAY(INT($B729), 20)), 2, 2), """")-$G729)/$G729, ($G729-I"&amp;"FERROR(INDEX(GOOGLEFINANCE($C729, ""price"", WORKDAY(INT($B729), 20)), 2, 2), """"))/$G729)), """")"),"")</f>
        <v/>
      </c>
      <c r="Q729" s="44"/>
      <c r="R729" s="44"/>
      <c r="S729" s="44"/>
      <c r="T729" s="44"/>
      <c r="U729" s="44"/>
      <c r="V729" s="44"/>
      <c r="W729" s="44"/>
      <c r="X729" s="44"/>
      <c r="Y729" s="44"/>
      <c r="Z729" s="44"/>
    </row>
    <row r="730">
      <c r="A730" s="44"/>
      <c r="B730" s="45"/>
      <c r="C730" s="44"/>
      <c r="D730" s="44"/>
      <c r="E730" s="44"/>
      <c r="F730" s="44"/>
      <c r="G730" s="46"/>
      <c r="H730" s="44"/>
      <c r="I730" s="44"/>
      <c r="J730" s="44"/>
      <c r="K730" s="44"/>
      <c r="L730" s="46" t="str">
        <f>IFERROR(__xludf.DUMMYFUNCTION("IFERROR(IF(ISBLANK($C730), """", GOOGLEFINANCE($C730, ""price"")), """")"),"")</f>
        <v/>
      </c>
      <c r="M730" s="47" t="str">
        <f t="shared" si="3"/>
        <v/>
      </c>
      <c r="N730" s="47" t="str">
        <f>IFERROR(__xludf.DUMMYFUNCTION("IFERROR(IF(OR(ISBLANK($G730), IFERROR(INDEX(GOOGLEFINANCE($C730, ""price"", WORKDAY(INT($B730), 1)), 2, 2), """")=""""), """", IF($D730=""LONG"", (IFERROR(INDEX(GOOGLEFINANCE($C730, ""price"", WORKDAY(INT($B730), 1)), 2, 2), """")-$G730)/$G730, ($G730-IFE"&amp;"RROR(INDEX(GOOGLEFINANCE($C730, ""price"", WORKDAY(INT($B730), 1)), 2, 2), """"))/$G730)), """")"),"")</f>
        <v/>
      </c>
      <c r="O730" s="47" t="str">
        <f>IFERROR(__xludf.DUMMYFUNCTION("IFERROR(IF(OR(ISBLANK($G730), IFERROR(INDEX(GOOGLEFINANCE($C730, ""price"", WORKDAY(INT($B730), 5)), 2, 2), """")=""""), """", IF($D730=""LONG"", (IFERROR(INDEX(GOOGLEFINANCE($C730, ""price"", WORKDAY(INT($B730), 5)), 2, 2), """")-$G730)/$G730, ($G730-IFE"&amp;"RROR(INDEX(GOOGLEFINANCE($C730, ""price"", WORKDAY(INT($B730), 5)), 2, 2), """"))/$G730)), """")"),"")</f>
        <v/>
      </c>
      <c r="P730" s="47" t="str">
        <f>IFERROR(__xludf.DUMMYFUNCTION("IFERROR(IF(OR(ISBLANK($G730), IFERROR(INDEX(GOOGLEFINANCE($C730, ""price"", WORKDAY(INT($B730), 20)), 2, 2), """")=""""), """", IF($D730=""LONG"", (IFERROR(INDEX(GOOGLEFINANCE($C730, ""price"", WORKDAY(INT($B730), 20)), 2, 2), """")-$G730)/$G730, ($G730-I"&amp;"FERROR(INDEX(GOOGLEFINANCE($C730, ""price"", WORKDAY(INT($B730), 20)), 2, 2), """"))/$G730)), """")"),"")</f>
        <v/>
      </c>
      <c r="Q730" s="44"/>
      <c r="R730" s="44"/>
      <c r="S730" s="44"/>
      <c r="T730" s="44"/>
      <c r="U730" s="44"/>
      <c r="V730" s="44"/>
      <c r="W730" s="44"/>
      <c r="X730" s="44"/>
      <c r="Y730" s="44"/>
      <c r="Z730" s="44"/>
    </row>
    <row r="731">
      <c r="A731" s="44"/>
      <c r="B731" s="45"/>
      <c r="C731" s="44"/>
      <c r="D731" s="44"/>
      <c r="E731" s="44"/>
      <c r="F731" s="44"/>
      <c r="G731" s="46"/>
      <c r="H731" s="44"/>
      <c r="I731" s="44"/>
      <c r="J731" s="44"/>
      <c r="K731" s="44"/>
      <c r="L731" s="46" t="str">
        <f>IFERROR(__xludf.DUMMYFUNCTION("IFERROR(IF(ISBLANK($C731), """", GOOGLEFINANCE($C731, ""price"")), """")"),"")</f>
        <v/>
      </c>
      <c r="M731" s="47" t="str">
        <f t="shared" si="3"/>
        <v/>
      </c>
      <c r="N731" s="47" t="str">
        <f>IFERROR(__xludf.DUMMYFUNCTION("IFERROR(IF(OR(ISBLANK($G731), IFERROR(INDEX(GOOGLEFINANCE($C731, ""price"", WORKDAY(INT($B731), 1)), 2, 2), """")=""""), """", IF($D731=""LONG"", (IFERROR(INDEX(GOOGLEFINANCE($C731, ""price"", WORKDAY(INT($B731), 1)), 2, 2), """")-$G731)/$G731, ($G731-IFE"&amp;"RROR(INDEX(GOOGLEFINANCE($C731, ""price"", WORKDAY(INT($B731), 1)), 2, 2), """"))/$G731)), """")"),"")</f>
        <v/>
      </c>
      <c r="O731" s="47" t="str">
        <f>IFERROR(__xludf.DUMMYFUNCTION("IFERROR(IF(OR(ISBLANK($G731), IFERROR(INDEX(GOOGLEFINANCE($C731, ""price"", WORKDAY(INT($B731), 5)), 2, 2), """")=""""), """", IF($D731=""LONG"", (IFERROR(INDEX(GOOGLEFINANCE($C731, ""price"", WORKDAY(INT($B731), 5)), 2, 2), """")-$G731)/$G731, ($G731-IFE"&amp;"RROR(INDEX(GOOGLEFINANCE($C731, ""price"", WORKDAY(INT($B731), 5)), 2, 2), """"))/$G731)), """")"),"")</f>
        <v/>
      </c>
      <c r="P731" s="47" t="str">
        <f>IFERROR(__xludf.DUMMYFUNCTION("IFERROR(IF(OR(ISBLANK($G731), IFERROR(INDEX(GOOGLEFINANCE($C731, ""price"", WORKDAY(INT($B731), 20)), 2, 2), """")=""""), """", IF($D731=""LONG"", (IFERROR(INDEX(GOOGLEFINANCE($C731, ""price"", WORKDAY(INT($B731), 20)), 2, 2), """")-$G731)/$G731, ($G731-I"&amp;"FERROR(INDEX(GOOGLEFINANCE($C731, ""price"", WORKDAY(INT($B731), 20)), 2, 2), """"))/$G731)), """")"),"")</f>
        <v/>
      </c>
      <c r="Q731" s="44"/>
      <c r="R731" s="44"/>
      <c r="S731" s="44"/>
      <c r="T731" s="44"/>
      <c r="U731" s="44"/>
      <c r="V731" s="44"/>
      <c r="W731" s="44"/>
      <c r="X731" s="44"/>
      <c r="Y731" s="44"/>
      <c r="Z731" s="44"/>
    </row>
    <row r="732">
      <c r="A732" s="44"/>
      <c r="B732" s="45"/>
      <c r="C732" s="44"/>
      <c r="D732" s="44"/>
      <c r="E732" s="44"/>
      <c r="F732" s="44"/>
      <c r="G732" s="46"/>
      <c r="H732" s="44"/>
      <c r="I732" s="44"/>
      <c r="J732" s="44"/>
      <c r="K732" s="44"/>
      <c r="L732" s="46" t="str">
        <f>IFERROR(__xludf.DUMMYFUNCTION("IFERROR(IF(ISBLANK($C732), """", GOOGLEFINANCE($C732, ""price"")), """")"),"")</f>
        <v/>
      </c>
      <c r="M732" s="47" t="str">
        <f t="shared" si="3"/>
        <v/>
      </c>
      <c r="N732" s="47" t="str">
        <f>IFERROR(__xludf.DUMMYFUNCTION("IFERROR(IF(OR(ISBLANK($G732), IFERROR(INDEX(GOOGLEFINANCE($C732, ""price"", WORKDAY(INT($B732), 1)), 2, 2), """")=""""), """", IF($D732=""LONG"", (IFERROR(INDEX(GOOGLEFINANCE($C732, ""price"", WORKDAY(INT($B732), 1)), 2, 2), """")-$G732)/$G732, ($G732-IFE"&amp;"RROR(INDEX(GOOGLEFINANCE($C732, ""price"", WORKDAY(INT($B732), 1)), 2, 2), """"))/$G732)), """")"),"")</f>
        <v/>
      </c>
      <c r="O732" s="47" t="str">
        <f>IFERROR(__xludf.DUMMYFUNCTION("IFERROR(IF(OR(ISBLANK($G732), IFERROR(INDEX(GOOGLEFINANCE($C732, ""price"", WORKDAY(INT($B732), 5)), 2, 2), """")=""""), """", IF($D732=""LONG"", (IFERROR(INDEX(GOOGLEFINANCE($C732, ""price"", WORKDAY(INT($B732), 5)), 2, 2), """")-$G732)/$G732, ($G732-IFE"&amp;"RROR(INDEX(GOOGLEFINANCE($C732, ""price"", WORKDAY(INT($B732), 5)), 2, 2), """"))/$G732)), """")"),"")</f>
        <v/>
      </c>
      <c r="P732" s="47" t="str">
        <f>IFERROR(__xludf.DUMMYFUNCTION("IFERROR(IF(OR(ISBLANK($G732), IFERROR(INDEX(GOOGLEFINANCE($C732, ""price"", WORKDAY(INT($B732), 20)), 2, 2), """")=""""), """", IF($D732=""LONG"", (IFERROR(INDEX(GOOGLEFINANCE($C732, ""price"", WORKDAY(INT($B732), 20)), 2, 2), """")-$G732)/$G732, ($G732-I"&amp;"FERROR(INDEX(GOOGLEFINANCE($C732, ""price"", WORKDAY(INT($B732), 20)), 2, 2), """"))/$G732)), """")"),"")</f>
        <v/>
      </c>
      <c r="Q732" s="44"/>
      <c r="R732" s="44"/>
      <c r="S732" s="44"/>
      <c r="T732" s="44"/>
      <c r="U732" s="44"/>
      <c r="V732" s="44"/>
      <c r="W732" s="44"/>
      <c r="X732" s="44"/>
      <c r="Y732" s="44"/>
      <c r="Z732" s="44"/>
    </row>
    <row r="733">
      <c r="A733" s="44"/>
      <c r="B733" s="45"/>
      <c r="C733" s="44"/>
      <c r="D733" s="44"/>
      <c r="E733" s="44"/>
      <c r="F733" s="44"/>
      <c r="G733" s="46"/>
      <c r="H733" s="44"/>
      <c r="I733" s="44"/>
      <c r="J733" s="44"/>
      <c r="K733" s="44"/>
      <c r="L733" s="46" t="str">
        <f>IFERROR(__xludf.DUMMYFUNCTION("IFERROR(IF(ISBLANK($C733), """", GOOGLEFINANCE($C733, ""price"")), """")"),"")</f>
        <v/>
      </c>
      <c r="M733" s="47" t="str">
        <f t="shared" si="3"/>
        <v/>
      </c>
      <c r="N733" s="47" t="str">
        <f>IFERROR(__xludf.DUMMYFUNCTION("IFERROR(IF(OR(ISBLANK($G733), IFERROR(INDEX(GOOGLEFINANCE($C733, ""price"", WORKDAY(INT($B733), 1)), 2, 2), """")=""""), """", IF($D733=""LONG"", (IFERROR(INDEX(GOOGLEFINANCE($C733, ""price"", WORKDAY(INT($B733), 1)), 2, 2), """")-$G733)/$G733, ($G733-IFE"&amp;"RROR(INDEX(GOOGLEFINANCE($C733, ""price"", WORKDAY(INT($B733), 1)), 2, 2), """"))/$G733)), """")"),"")</f>
        <v/>
      </c>
      <c r="O733" s="47" t="str">
        <f>IFERROR(__xludf.DUMMYFUNCTION("IFERROR(IF(OR(ISBLANK($G733), IFERROR(INDEX(GOOGLEFINANCE($C733, ""price"", WORKDAY(INT($B733), 5)), 2, 2), """")=""""), """", IF($D733=""LONG"", (IFERROR(INDEX(GOOGLEFINANCE($C733, ""price"", WORKDAY(INT($B733), 5)), 2, 2), """")-$G733)/$G733, ($G733-IFE"&amp;"RROR(INDEX(GOOGLEFINANCE($C733, ""price"", WORKDAY(INT($B733), 5)), 2, 2), """"))/$G733)), """")"),"")</f>
        <v/>
      </c>
      <c r="P733" s="47" t="str">
        <f>IFERROR(__xludf.DUMMYFUNCTION("IFERROR(IF(OR(ISBLANK($G733), IFERROR(INDEX(GOOGLEFINANCE($C733, ""price"", WORKDAY(INT($B733), 20)), 2, 2), """")=""""), """", IF($D733=""LONG"", (IFERROR(INDEX(GOOGLEFINANCE($C733, ""price"", WORKDAY(INT($B733), 20)), 2, 2), """")-$G733)/$G733, ($G733-I"&amp;"FERROR(INDEX(GOOGLEFINANCE($C733, ""price"", WORKDAY(INT($B733), 20)), 2, 2), """"))/$G733)), """")"),"")</f>
        <v/>
      </c>
      <c r="Q733" s="44"/>
      <c r="R733" s="44"/>
      <c r="S733" s="44"/>
      <c r="T733" s="44"/>
      <c r="U733" s="44"/>
      <c r="V733" s="44"/>
      <c r="W733" s="44"/>
      <c r="X733" s="44"/>
      <c r="Y733" s="44"/>
      <c r="Z733" s="44"/>
    </row>
    <row r="734">
      <c r="A734" s="44"/>
      <c r="B734" s="45"/>
      <c r="C734" s="44"/>
      <c r="D734" s="44"/>
      <c r="E734" s="44"/>
      <c r="F734" s="44"/>
      <c r="G734" s="46"/>
      <c r="H734" s="44"/>
      <c r="I734" s="44"/>
      <c r="J734" s="44"/>
      <c r="K734" s="44"/>
      <c r="L734" s="46" t="str">
        <f>IFERROR(__xludf.DUMMYFUNCTION("IFERROR(IF(ISBLANK($C734), """", GOOGLEFINANCE($C734, ""price"")), """")"),"")</f>
        <v/>
      </c>
      <c r="M734" s="47" t="str">
        <f t="shared" si="3"/>
        <v/>
      </c>
      <c r="N734" s="47" t="str">
        <f>IFERROR(__xludf.DUMMYFUNCTION("IFERROR(IF(OR(ISBLANK($G734), IFERROR(INDEX(GOOGLEFINANCE($C734, ""price"", WORKDAY(INT($B734), 1)), 2, 2), """")=""""), """", IF($D734=""LONG"", (IFERROR(INDEX(GOOGLEFINANCE($C734, ""price"", WORKDAY(INT($B734), 1)), 2, 2), """")-$G734)/$G734, ($G734-IFE"&amp;"RROR(INDEX(GOOGLEFINANCE($C734, ""price"", WORKDAY(INT($B734), 1)), 2, 2), """"))/$G734)), """")"),"")</f>
        <v/>
      </c>
      <c r="O734" s="47" t="str">
        <f>IFERROR(__xludf.DUMMYFUNCTION("IFERROR(IF(OR(ISBLANK($G734), IFERROR(INDEX(GOOGLEFINANCE($C734, ""price"", WORKDAY(INT($B734), 5)), 2, 2), """")=""""), """", IF($D734=""LONG"", (IFERROR(INDEX(GOOGLEFINANCE($C734, ""price"", WORKDAY(INT($B734), 5)), 2, 2), """")-$G734)/$G734, ($G734-IFE"&amp;"RROR(INDEX(GOOGLEFINANCE($C734, ""price"", WORKDAY(INT($B734), 5)), 2, 2), """"))/$G734)), """")"),"")</f>
        <v/>
      </c>
      <c r="P734" s="47" t="str">
        <f>IFERROR(__xludf.DUMMYFUNCTION("IFERROR(IF(OR(ISBLANK($G734), IFERROR(INDEX(GOOGLEFINANCE($C734, ""price"", WORKDAY(INT($B734), 20)), 2, 2), """")=""""), """", IF($D734=""LONG"", (IFERROR(INDEX(GOOGLEFINANCE($C734, ""price"", WORKDAY(INT($B734), 20)), 2, 2), """")-$G734)/$G734, ($G734-I"&amp;"FERROR(INDEX(GOOGLEFINANCE($C734, ""price"", WORKDAY(INT($B734), 20)), 2, 2), """"))/$G734)), """")"),"")</f>
        <v/>
      </c>
      <c r="Q734" s="44"/>
      <c r="R734" s="44"/>
      <c r="S734" s="44"/>
      <c r="T734" s="44"/>
      <c r="U734" s="44"/>
      <c r="V734" s="44"/>
      <c r="W734" s="44"/>
      <c r="X734" s="44"/>
      <c r="Y734" s="44"/>
      <c r="Z734" s="44"/>
    </row>
    <row r="735">
      <c r="A735" s="44"/>
      <c r="B735" s="45"/>
      <c r="C735" s="44"/>
      <c r="D735" s="44"/>
      <c r="E735" s="44"/>
      <c r="F735" s="44"/>
      <c r="G735" s="46"/>
      <c r="H735" s="44"/>
      <c r="I735" s="44"/>
      <c r="J735" s="44"/>
      <c r="K735" s="44"/>
      <c r="L735" s="46" t="str">
        <f>IFERROR(__xludf.DUMMYFUNCTION("IFERROR(IF(ISBLANK($C735), """", GOOGLEFINANCE($C735, ""price"")), """")"),"")</f>
        <v/>
      </c>
      <c r="M735" s="47" t="str">
        <f t="shared" si="3"/>
        <v/>
      </c>
      <c r="N735" s="47" t="str">
        <f>IFERROR(__xludf.DUMMYFUNCTION("IFERROR(IF(OR(ISBLANK($G735), IFERROR(INDEX(GOOGLEFINANCE($C735, ""price"", WORKDAY(INT($B735), 1)), 2, 2), """")=""""), """", IF($D735=""LONG"", (IFERROR(INDEX(GOOGLEFINANCE($C735, ""price"", WORKDAY(INT($B735), 1)), 2, 2), """")-$G735)/$G735, ($G735-IFE"&amp;"RROR(INDEX(GOOGLEFINANCE($C735, ""price"", WORKDAY(INT($B735), 1)), 2, 2), """"))/$G735)), """")"),"")</f>
        <v/>
      </c>
      <c r="O735" s="47" t="str">
        <f>IFERROR(__xludf.DUMMYFUNCTION("IFERROR(IF(OR(ISBLANK($G735), IFERROR(INDEX(GOOGLEFINANCE($C735, ""price"", WORKDAY(INT($B735), 5)), 2, 2), """")=""""), """", IF($D735=""LONG"", (IFERROR(INDEX(GOOGLEFINANCE($C735, ""price"", WORKDAY(INT($B735), 5)), 2, 2), """")-$G735)/$G735, ($G735-IFE"&amp;"RROR(INDEX(GOOGLEFINANCE($C735, ""price"", WORKDAY(INT($B735), 5)), 2, 2), """"))/$G735)), """")"),"")</f>
        <v/>
      </c>
      <c r="P735" s="47" t="str">
        <f>IFERROR(__xludf.DUMMYFUNCTION("IFERROR(IF(OR(ISBLANK($G735), IFERROR(INDEX(GOOGLEFINANCE($C735, ""price"", WORKDAY(INT($B735), 20)), 2, 2), """")=""""), """", IF($D735=""LONG"", (IFERROR(INDEX(GOOGLEFINANCE($C735, ""price"", WORKDAY(INT($B735), 20)), 2, 2), """")-$G735)/$G735, ($G735-I"&amp;"FERROR(INDEX(GOOGLEFINANCE($C735, ""price"", WORKDAY(INT($B735), 20)), 2, 2), """"))/$G735)), """")"),"")</f>
        <v/>
      </c>
      <c r="Q735" s="44"/>
      <c r="R735" s="44"/>
      <c r="S735" s="44"/>
      <c r="T735" s="44"/>
      <c r="U735" s="44"/>
      <c r="V735" s="44"/>
      <c r="W735" s="44"/>
      <c r="X735" s="44"/>
      <c r="Y735" s="44"/>
      <c r="Z735" s="44"/>
    </row>
    <row r="736">
      <c r="A736" s="44"/>
      <c r="B736" s="45"/>
      <c r="C736" s="44"/>
      <c r="D736" s="44"/>
      <c r="E736" s="44"/>
      <c r="F736" s="44"/>
      <c r="G736" s="46"/>
      <c r="H736" s="44"/>
      <c r="I736" s="44"/>
      <c r="J736" s="44"/>
      <c r="K736" s="44"/>
      <c r="L736" s="46" t="str">
        <f>IFERROR(__xludf.DUMMYFUNCTION("IFERROR(IF(ISBLANK($C736), """", GOOGLEFINANCE($C736, ""price"")), """")"),"")</f>
        <v/>
      </c>
      <c r="M736" s="47" t="str">
        <f t="shared" si="3"/>
        <v/>
      </c>
      <c r="N736" s="47" t="str">
        <f>IFERROR(__xludf.DUMMYFUNCTION("IFERROR(IF(OR(ISBLANK($G736), IFERROR(INDEX(GOOGLEFINANCE($C736, ""price"", WORKDAY(INT($B736), 1)), 2, 2), """")=""""), """", IF($D736=""LONG"", (IFERROR(INDEX(GOOGLEFINANCE($C736, ""price"", WORKDAY(INT($B736), 1)), 2, 2), """")-$G736)/$G736, ($G736-IFE"&amp;"RROR(INDEX(GOOGLEFINANCE($C736, ""price"", WORKDAY(INT($B736), 1)), 2, 2), """"))/$G736)), """")"),"")</f>
        <v/>
      </c>
      <c r="O736" s="47" t="str">
        <f>IFERROR(__xludf.DUMMYFUNCTION("IFERROR(IF(OR(ISBLANK($G736), IFERROR(INDEX(GOOGLEFINANCE($C736, ""price"", WORKDAY(INT($B736), 5)), 2, 2), """")=""""), """", IF($D736=""LONG"", (IFERROR(INDEX(GOOGLEFINANCE($C736, ""price"", WORKDAY(INT($B736), 5)), 2, 2), """")-$G736)/$G736, ($G736-IFE"&amp;"RROR(INDEX(GOOGLEFINANCE($C736, ""price"", WORKDAY(INT($B736), 5)), 2, 2), """"))/$G736)), """")"),"")</f>
        <v/>
      </c>
      <c r="P736" s="47" t="str">
        <f>IFERROR(__xludf.DUMMYFUNCTION("IFERROR(IF(OR(ISBLANK($G736), IFERROR(INDEX(GOOGLEFINANCE($C736, ""price"", WORKDAY(INT($B736), 20)), 2, 2), """")=""""), """", IF($D736=""LONG"", (IFERROR(INDEX(GOOGLEFINANCE($C736, ""price"", WORKDAY(INT($B736), 20)), 2, 2), """")-$G736)/$G736, ($G736-I"&amp;"FERROR(INDEX(GOOGLEFINANCE($C736, ""price"", WORKDAY(INT($B736), 20)), 2, 2), """"))/$G736)), """")"),"")</f>
        <v/>
      </c>
      <c r="Q736" s="44"/>
      <c r="R736" s="44"/>
      <c r="S736" s="44"/>
      <c r="T736" s="44"/>
      <c r="U736" s="44"/>
      <c r="V736" s="44"/>
      <c r="W736" s="44"/>
      <c r="X736" s="44"/>
      <c r="Y736" s="44"/>
      <c r="Z736" s="44"/>
    </row>
    <row r="737">
      <c r="A737" s="44"/>
      <c r="B737" s="45"/>
      <c r="C737" s="44"/>
      <c r="D737" s="44"/>
      <c r="E737" s="44"/>
      <c r="F737" s="44"/>
      <c r="G737" s="46"/>
      <c r="H737" s="44"/>
      <c r="I737" s="44"/>
      <c r="J737" s="44"/>
      <c r="K737" s="44"/>
      <c r="L737" s="46" t="str">
        <f>IFERROR(__xludf.DUMMYFUNCTION("IFERROR(IF(ISBLANK($C737), """", GOOGLEFINANCE($C737, ""price"")), """")"),"")</f>
        <v/>
      </c>
      <c r="M737" s="47" t="str">
        <f t="shared" si="3"/>
        <v/>
      </c>
      <c r="N737" s="47" t="str">
        <f>IFERROR(__xludf.DUMMYFUNCTION("IFERROR(IF(OR(ISBLANK($G737), IFERROR(INDEX(GOOGLEFINANCE($C737, ""price"", WORKDAY(INT($B737), 1)), 2, 2), """")=""""), """", IF($D737=""LONG"", (IFERROR(INDEX(GOOGLEFINANCE($C737, ""price"", WORKDAY(INT($B737), 1)), 2, 2), """")-$G737)/$G737, ($G737-IFE"&amp;"RROR(INDEX(GOOGLEFINANCE($C737, ""price"", WORKDAY(INT($B737), 1)), 2, 2), """"))/$G737)), """")"),"")</f>
        <v/>
      </c>
      <c r="O737" s="47" t="str">
        <f>IFERROR(__xludf.DUMMYFUNCTION("IFERROR(IF(OR(ISBLANK($G737), IFERROR(INDEX(GOOGLEFINANCE($C737, ""price"", WORKDAY(INT($B737), 5)), 2, 2), """")=""""), """", IF($D737=""LONG"", (IFERROR(INDEX(GOOGLEFINANCE($C737, ""price"", WORKDAY(INT($B737), 5)), 2, 2), """")-$G737)/$G737, ($G737-IFE"&amp;"RROR(INDEX(GOOGLEFINANCE($C737, ""price"", WORKDAY(INT($B737), 5)), 2, 2), """"))/$G737)), """")"),"")</f>
        <v/>
      </c>
      <c r="P737" s="47" t="str">
        <f>IFERROR(__xludf.DUMMYFUNCTION("IFERROR(IF(OR(ISBLANK($G737), IFERROR(INDEX(GOOGLEFINANCE($C737, ""price"", WORKDAY(INT($B737), 20)), 2, 2), """")=""""), """", IF($D737=""LONG"", (IFERROR(INDEX(GOOGLEFINANCE($C737, ""price"", WORKDAY(INT($B737), 20)), 2, 2), """")-$G737)/$G737, ($G737-I"&amp;"FERROR(INDEX(GOOGLEFINANCE($C737, ""price"", WORKDAY(INT($B737), 20)), 2, 2), """"))/$G737)), """")"),"")</f>
        <v/>
      </c>
      <c r="Q737" s="44"/>
      <c r="R737" s="44"/>
      <c r="S737" s="44"/>
      <c r="T737" s="44"/>
      <c r="U737" s="44"/>
      <c r="V737" s="44"/>
      <c r="W737" s="44"/>
      <c r="X737" s="44"/>
      <c r="Y737" s="44"/>
      <c r="Z737" s="44"/>
    </row>
    <row r="738">
      <c r="A738" s="44"/>
      <c r="B738" s="45"/>
      <c r="C738" s="44"/>
      <c r="D738" s="44"/>
      <c r="E738" s="44"/>
      <c r="F738" s="44"/>
      <c r="G738" s="46"/>
      <c r="H738" s="44"/>
      <c r="I738" s="44"/>
      <c r="J738" s="44"/>
      <c r="K738" s="44"/>
      <c r="L738" s="46" t="str">
        <f>IFERROR(__xludf.DUMMYFUNCTION("IFERROR(IF(ISBLANK($C738), """", GOOGLEFINANCE($C738, ""price"")), """")"),"")</f>
        <v/>
      </c>
      <c r="M738" s="47" t="str">
        <f t="shared" si="3"/>
        <v/>
      </c>
      <c r="N738" s="47" t="str">
        <f>IFERROR(__xludf.DUMMYFUNCTION("IFERROR(IF(OR(ISBLANK($G738), IFERROR(INDEX(GOOGLEFINANCE($C738, ""price"", WORKDAY(INT($B738), 1)), 2, 2), """")=""""), """", IF($D738=""LONG"", (IFERROR(INDEX(GOOGLEFINANCE($C738, ""price"", WORKDAY(INT($B738), 1)), 2, 2), """")-$G738)/$G738, ($G738-IFE"&amp;"RROR(INDEX(GOOGLEFINANCE($C738, ""price"", WORKDAY(INT($B738), 1)), 2, 2), """"))/$G738)), """")"),"")</f>
        <v/>
      </c>
      <c r="O738" s="47" t="str">
        <f>IFERROR(__xludf.DUMMYFUNCTION("IFERROR(IF(OR(ISBLANK($G738), IFERROR(INDEX(GOOGLEFINANCE($C738, ""price"", WORKDAY(INT($B738), 5)), 2, 2), """")=""""), """", IF($D738=""LONG"", (IFERROR(INDEX(GOOGLEFINANCE($C738, ""price"", WORKDAY(INT($B738), 5)), 2, 2), """")-$G738)/$G738, ($G738-IFE"&amp;"RROR(INDEX(GOOGLEFINANCE($C738, ""price"", WORKDAY(INT($B738), 5)), 2, 2), """"))/$G738)), """")"),"")</f>
        <v/>
      </c>
      <c r="P738" s="47" t="str">
        <f>IFERROR(__xludf.DUMMYFUNCTION("IFERROR(IF(OR(ISBLANK($G738), IFERROR(INDEX(GOOGLEFINANCE($C738, ""price"", WORKDAY(INT($B738), 20)), 2, 2), """")=""""), """", IF($D738=""LONG"", (IFERROR(INDEX(GOOGLEFINANCE($C738, ""price"", WORKDAY(INT($B738), 20)), 2, 2), """")-$G738)/$G738, ($G738-I"&amp;"FERROR(INDEX(GOOGLEFINANCE($C738, ""price"", WORKDAY(INT($B738), 20)), 2, 2), """"))/$G738)), """")"),"")</f>
        <v/>
      </c>
      <c r="Q738" s="44"/>
      <c r="R738" s="44"/>
      <c r="S738" s="44"/>
      <c r="T738" s="44"/>
      <c r="U738" s="44"/>
      <c r="V738" s="44"/>
      <c r="W738" s="44"/>
      <c r="X738" s="44"/>
      <c r="Y738" s="44"/>
      <c r="Z738" s="44"/>
    </row>
    <row r="739">
      <c r="A739" s="44"/>
      <c r="B739" s="45"/>
      <c r="C739" s="44"/>
      <c r="D739" s="44"/>
      <c r="E739" s="44"/>
      <c r="F739" s="44"/>
      <c r="G739" s="46"/>
      <c r="H739" s="44"/>
      <c r="I739" s="44"/>
      <c r="J739" s="44"/>
      <c r="K739" s="44"/>
      <c r="L739" s="46" t="str">
        <f>IFERROR(__xludf.DUMMYFUNCTION("IFERROR(IF(ISBLANK($C739), """", GOOGLEFINANCE($C739, ""price"")), """")"),"")</f>
        <v/>
      </c>
      <c r="M739" s="47" t="str">
        <f t="shared" si="3"/>
        <v/>
      </c>
      <c r="N739" s="47" t="str">
        <f>IFERROR(__xludf.DUMMYFUNCTION("IFERROR(IF(OR(ISBLANK($G739), IFERROR(INDEX(GOOGLEFINANCE($C739, ""price"", WORKDAY(INT($B739), 1)), 2, 2), """")=""""), """", IF($D739=""LONG"", (IFERROR(INDEX(GOOGLEFINANCE($C739, ""price"", WORKDAY(INT($B739), 1)), 2, 2), """")-$G739)/$G739, ($G739-IFE"&amp;"RROR(INDEX(GOOGLEFINANCE($C739, ""price"", WORKDAY(INT($B739), 1)), 2, 2), """"))/$G739)), """")"),"")</f>
        <v/>
      </c>
      <c r="O739" s="47" t="str">
        <f>IFERROR(__xludf.DUMMYFUNCTION("IFERROR(IF(OR(ISBLANK($G739), IFERROR(INDEX(GOOGLEFINANCE($C739, ""price"", WORKDAY(INT($B739), 5)), 2, 2), """")=""""), """", IF($D739=""LONG"", (IFERROR(INDEX(GOOGLEFINANCE($C739, ""price"", WORKDAY(INT($B739), 5)), 2, 2), """")-$G739)/$G739, ($G739-IFE"&amp;"RROR(INDEX(GOOGLEFINANCE($C739, ""price"", WORKDAY(INT($B739), 5)), 2, 2), """"))/$G739)), """")"),"")</f>
        <v/>
      </c>
      <c r="P739" s="47" t="str">
        <f>IFERROR(__xludf.DUMMYFUNCTION("IFERROR(IF(OR(ISBLANK($G739), IFERROR(INDEX(GOOGLEFINANCE($C739, ""price"", WORKDAY(INT($B739), 20)), 2, 2), """")=""""), """", IF($D739=""LONG"", (IFERROR(INDEX(GOOGLEFINANCE($C739, ""price"", WORKDAY(INT($B739), 20)), 2, 2), """")-$G739)/$G739, ($G739-I"&amp;"FERROR(INDEX(GOOGLEFINANCE($C739, ""price"", WORKDAY(INT($B739), 20)), 2, 2), """"))/$G739)), """")"),"")</f>
        <v/>
      </c>
      <c r="Q739" s="44"/>
      <c r="R739" s="44"/>
      <c r="S739" s="44"/>
      <c r="T739" s="44"/>
      <c r="U739" s="44"/>
      <c r="V739" s="44"/>
      <c r="W739" s="44"/>
      <c r="X739" s="44"/>
      <c r="Y739" s="44"/>
      <c r="Z739" s="44"/>
    </row>
    <row r="740">
      <c r="A740" s="44"/>
      <c r="B740" s="45"/>
      <c r="C740" s="44"/>
      <c r="D740" s="44"/>
      <c r="E740" s="44"/>
      <c r="F740" s="44"/>
      <c r="G740" s="46"/>
      <c r="H740" s="44"/>
      <c r="I740" s="44"/>
      <c r="J740" s="44"/>
      <c r="K740" s="44"/>
      <c r="L740" s="46" t="str">
        <f>IFERROR(__xludf.DUMMYFUNCTION("IFERROR(IF(ISBLANK($C740), """", GOOGLEFINANCE($C740, ""price"")), """")"),"")</f>
        <v/>
      </c>
      <c r="M740" s="47" t="str">
        <f t="shared" si="3"/>
        <v/>
      </c>
      <c r="N740" s="47" t="str">
        <f>IFERROR(__xludf.DUMMYFUNCTION("IFERROR(IF(OR(ISBLANK($G740), IFERROR(INDEX(GOOGLEFINANCE($C740, ""price"", WORKDAY(INT($B740), 1)), 2, 2), """")=""""), """", IF($D740=""LONG"", (IFERROR(INDEX(GOOGLEFINANCE($C740, ""price"", WORKDAY(INT($B740), 1)), 2, 2), """")-$G740)/$G740, ($G740-IFE"&amp;"RROR(INDEX(GOOGLEFINANCE($C740, ""price"", WORKDAY(INT($B740), 1)), 2, 2), """"))/$G740)), """")"),"")</f>
        <v/>
      </c>
      <c r="O740" s="47" t="str">
        <f>IFERROR(__xludf.DUMMYFUNCTION("IFERROR(IF(OR(ISBLANK($G740), IFERROR(INDEX(GOOGLEFINANCE($C740, ""price"", WORKDAY(INT($B740), 5)), 2, 2), """")=""""), """", IF($D740=""LONG"", (IFERROR(INDEX(GOOGLEFINANCE($C740, ""price"", WORKDAY(INT($B740), 5)), 2, 2), """")-$G740)/$G740, ($G740-IFE"&amp;"RROR(INDEX(GOOGLEFINANCE($C740, ""price"", WORKDAY(INT($B740), 5)), 2, 2), """"))/$G740)), """")"),"")</f>
        <v/>
      </c>
      <c r="P740" s="47" t="str">
        <f>IFERROR(__xludf.DUMMYFUNCTION("IFERROR(IF(OR(ISBLANK($G740), IFERROR(INDEX(GOOGLEFINANCE($C740, ""price"", WORKDAY(INT($B740), 20)), 2, 2), """")=""""), """", IF($D740=""LONG"", (IFERROR(INDEX(GOOGLEFINANCE($C740, ""price"", WORKDAY(INT($B740), 20)), 2, 2), """")-$G740)/$G740, ($G740-I"&amp;"FERROR(INDEX(GOOGLEFINANCE($C740, ""price"", WORKDAY(INT($B740), 20)), 2, 2), """"))/$G740)), """")"),"")</f>
        <v/>
      </c>
      <c r="Q740" s="44"/>
      <c r="R740" s="44"/>
      <c r="S740" s="44"/>
      <c r="T740" s="44"/>
      <c r="U740" s="44"/>
      <c r="V740" s="44"/>
      <c r="W740" s="44"/>
      <c r="X740" s="44"/>
      <c r="Y740" s="44"/>
      <c r="Z740" s="44"/>
    </row>
    <row r="741">
      <c r="A741" s="44"/>
      <c r="B741" s="45"/>
      <c r="C741" s="44"/>
      <c r="D741" s="44"/>
      <c r="E741" s="44"/>
      <c r="F741" s="44"/>
      <c r="G741" s="46"/>
      <c r="H741" s="44"/>
      <c r="I741" s="44"/>
      <c r="J741" s="44"/>
      <c r="K741" s="44"/>
      <c r="L741" s="46" t="str">
        <f>IFERROR(__xludf.DUMMYFUNCTION("IFERROR(IF(ISBLANK($C741), """", GOOGLEFINANCE($C741, ""price"")), """")"),"")</f>
        <v/>
      </c>
      <c r="M741" s="47" t="str">
        <f t="shared" si="3"/>
        <v/>
      </c>
      <c r="N741" s="47" t="str">
        <f>IFERROR(__xludf.DUMMYFUNCTION("IFERROR(IF(OR(ISBLANK($G741), IFERROR(INDEX(GOOGLEFINANCE($C741, ""price"", WORKDAY(INT($B741), 1)), 2, 2), """")=""""), """", IF($D741=""LONG"", (IFERROR(INDEX(GOOGLEFINANCE($C741, ""price"", WORKDAY(INT($B741), 1)), 2, 2), """")-$G741)/$G741, ($G741-IFE"&amp;"RROR(INDEX(GOOGLEFINANCE($C741, ""price"", WORKDAY(INT($B741), 1)), 2, 2), """"))/$G741)), """")"),"")</f>
        <v/>
      </c>
      <c r="O741" s="47" t="str">
        <f>IFERROR(__xludf.DUMMYFUNCTION("IFERROR(IF(OR(ISBLANK($G741), IFERROR(INDEX(GOOGLEFINANCE($C741, ""price"", WORKDAY(INT($B741), 5)), 2, 2), """")=""""), """", IF($D741=""LONG"", (IFERROR(INDEX(GOOGLEFINANCE($C741, ""price"", WORKDAY(INT($B741), 5)), 2, 2), """")-$G741)/$G741, ($G741-IFE"&amp;"RROR(INDEX(GOOGLEFINANCE($C741, ""price"", WORKDAY(INT($B741), 5)), 2, 2), """"))/$G741)), """")"),"")</f>
        <v/>
      </c>
      <c r="P741" s="47" t="str">
        <f>IFERROR(__xludf.DUMMYFUNCTION("IFERROR(IF(OR(ISBLANK($G741), IFERROR(INDEX(GOOGLEFINANCE($C741, ""price"", WORKDAY(INT($B741), 20)), 2, 2), """")=""""), """", IF($D741=""LONG"", (IFERROR(INDEX(GOOGLEFINANCE($C741, ""price"", WORKDAY(INT($B741), 20)), 2, 2), """")-$G741)/$G741, ($G741-I"&amp;"FERROR(INDEX(GOOGLEFINANCE($C741, ""price"", WORKDAY(INT($B741), 20)), 2, 2), """"))/$G741)), """")"),"")</f>
        <v/>
      </c>
      <c r="Q741" s="44"/>
      <c r="R741" s="44"/>
      <c r="S741" s="44"/>
      <c r="T741" s="44"/>
      <c r="U741" s="44"/>
      <c r="V741" s="44"/>
      <c r="W741" s="44"/>
      <c r="X741" s="44"/>
      <c r="Y741" s="44"/>
      <c r="Z741" s="44"/>
    </row>
    <row r="742">
      <c r="A742" s="44"/>
      <c r="B742" s="45"/>
      <c r="C742" s="44"/>
      <c r="D742" s="44"/>
      <c r="E742" s="44"/>
      <c r="F742" s="44"/>
      <c r="G742" s="46"/>
      <c r="H742" s="44"/>
      <c r="I742" s="44"/>
      <c r="J742" s="44"/>
      <c r="K742" s="44"/>
      <c r="L742" s="46" t="str">
        <f>IFERROR(__xludf.DUMMYFUNCTION("IFERROR(IF(ISBLANK($C742), """", GOOGLEFINANCE($C742, ""price"")), """")"),"")</f>
        <v/>
      </c>
      <c r="M742" s="47" t="str">
        <f t="shared" si="3"/>
        <v/>
      </c>
      <c r="N742" s="47" t="str">
        <f>IFERROR(__xludf.DUMMYFUNCTION("IFERROR(IF(OR(ISBLANK($G742), IFERROR(INDEX(GOOGLEFINANCE($C742, ""price"", WORKDAY(INT($B742), 1)), 2, 2), """")=""""), """", IF($D742=""LONG"", (IFERROR(INDEX(GOOGLEFINANCE($C742, ""price"", WORKDAY(INT($B742), 1)), 2, 2), """")-$G742)/$G742, ($G742-IFE"&amp;"RROR(INDEX(GOOGLEFINANCE($C742, ""price"", WORKDAY(INT($B742), 1)), 2, 2), """"))/$G742)), """")"),"")</f>
        <v/>
      </c>
      <c r="O742" s="47" t="str">
        <f>IFERROR(__xludf.DUMMYFUNCTION("IFERROR(IF(OR(ISBLANK($G742), IFERROR(INDEX(GOOGLEFINANCE($C742, ""price"", WORKDAY(INT($B742), 5)), 2, 2), """")=""""), """", IF($D742=""LONG"", (IFERROR(INDEX(GOOGLEFINANCE($C742, ""price"", WORKDAY(INT($B742), 5)), 2, 2), """")-$G742)/$G742, ($G742-IFE"&amp;"RROR(INDEX(GOOGLEFINANCE($C742, ""price"", WORKDAY(INT($B742), 5)), 2, 2), """"))/$G742)), """")"),"")</f>
        <v/>
      </c>
      <c r="P742" s="47" t="str">
        <f>IFERROR(__xludf.DUMMYFUNCTION("IFERROR(IF(OR(ISBLANK($G742), IFERROR(INDEX(GOOGLEFINANCE($C742, ""price"", WORKDAY(INT($B742), 20)), 2, 2), """")=""""), """", IF($D742=""LONG"", (IFERROR(INDEX(GOOGLEFINANCE($C742, ""price"", WORKDAY(INT($B742), 20)), 2, 2), """")-$G742)/$G742, ($G742-I"&amp;"FERROR(INDEX(GOOGLEFINANCE($C742, ""price"", WORKDAY(INT($B742), 20)), 2, 2), """"))/$G742)), """")"),"")</f>
        <v/>
      </c>
      <c r="Q742" s="44"/>
      <c r="R742" s="44"/>
      <c r="S742" s="44"/>
      <c r="T742" s="44"/>
      <c r="U742" s="44"/>
      <c r="V742" s="44"/>
      <c r="W742" s="44"/>
      <c r="X742" s="44"/>
      <c r="Y742" s="44"/>
      <c r="Z742" s="44"/>
    </row>
    <row r="743">
      <c r="A743" s="44"/>
      <c r="B743" s="45"/>
      <c r="C743" s="44"/>
      <c r="D743" s="44"/>
      <c r="E743" s="44"/>
      <c r="F743" s="44"/>
      <c r="G743" s="46"/>
      <c r="H743" s="44"/>
      <c r="I743" s="44"/>
      <c r="J743" s="44"/>
      <c r="K743" s="44"/>
      <c r="L743" s="46" t="str">
        <f>IFERROR(__xludf.DUMMYFUNCTION("IFERROR(IF(ISBLANK($C743), """", GOOGLEFINANCE($C743, ""price"")), """")"),"")</f>
        <v/>
      </c>
      <c r="M743" s="47" t="str">
        <f t="shared" si="3"/>
        <v/>
      </c>
      <c r="N743" s="47" t="str">
        <f>IFERROR(__xludf.DUMMYFUNCTION("IFERROR(IF(OR(ISBLANK($G743), IFERROR(INDEX(GOOGLEFINANCE($C743, ""price"", WORKDAY(INT($B743), 1)), 2, 2), """")=""""), """", IF($D743=""LONG"", (IFERROR(INDEX(GOOGLEFINANCE($C743, ""price"", WORKDAY(INT($B743), 1)), 2, 2), """")-$G743)/$G743, ($G743-IFE"&amp;"RROR(INDEX(GOOGLEFINANCE($C743, ""price"", WORKDAY(INT($B743), 1)), 2, 2), """"))/$G743)), """")"),"")</f>
        <v/>
      </c>
      <c r="O743" s="47" t="str">
        <f>IFERROR(__xludf.DUMMYFUNCTION("IFERROR(IF(OR(ISBLANK($G743), IFERROR(INDEX(GOOGLEFINANCE($C743, ""price"", WORKDAY(INT($B743), 5)), 2, 2), """")=""""), """", IF($D743=""LONG"", (IFERROR(INDEX(GOOGLEFINANCE($C743, ""price"", WORKDAY(INT($B743), 5)), 2, 2), """")-$G743)/$G743, ($G743-IFE"&amp;"RROR(INDEX(GOOGLEFINANCE($C743, ""price"", WORKDAY(INT($B743), 5)), 2, 2), """"))/$G743)), """")"),"")</f>
        <v/>
      </c>
      <c r="P743" s="47" t="str">
        <f>IFERROR(__xludf.DUMMYFUNCTION("IFERROR(IF(OR(ISBLANK($G743), IFERROR(INDEX(GOOGLEFINANCE($C743, ""price"", WORKDAY(INT($B743), 20)), 2, 2), """")=""""), """", IF($D743=""LONG"", (IFERROR(INDEX(GOOGLEFINANCE($C743, ""price"", WORKDAY(INT($B743), 20)), 2, 2), """")-$G743)/$G743, ($G743-I"&amp;"FERROR(INDEX(GOOGLEFINANCE($C743, ""price"", WORKDAY(INT($B743), 20)), 2, 2), """"))/$G743)), """")"),"")</f>
        <v/>
      </c>
      <c r="Q743" s="44"/>
      <c r="R743" s="44"/>
      <c r="S743" s="44"/>
      <c r="T743" s="44"/>
      <c r="U743" s="44"/>
      <c r="V743" s="44"/>
      <c r="W743" s="44"/>
      <c r="X743" s="44"/>
      <c r="Y743" s="44"/>
      <c r="Z743" s="44"/>
    </row>
    <row r="744">
      <c r="A744" s="44"/>
      <c r="B744" s="45"/>
      <c r="C744" s="44"/>
      <c r="D744" s="44"/>
      <c r="E744" s="44"/>
      <c r="F744" s="44"/>
      <c r="G744" s="46"/>
      <c r="H744" s="44"/>
      <c r="I744" s="44"/>
      <c r="J744" s="44"/>
      <c r="K744" s="44"/>
      <c r="L744" s="46" t="str">
        <f>IFERROR(__xludf.DUMMYFUNCTION("IFERROR(IF(ISBLANK($C744), """", GOOGLEFINANCE($C744, ""price"")), """")"),"")</f>
        <v/>
      </c>
      <c r="M744" s="47" t="str">
        <f t="shared" si="3"/>
        <v/>
      </c>
      <c r="N744" s="47" t="str">
        <f>IFERROR(__xludf.DUMMYFUNCTION("IFERROR(IF(OR(ISBLANK($G744), IFERROR(INDEX(GOOGLEFINANCE($C744, ""price"", WORKDAY(INT($B744), 1)), 2, 2), """")=""""), """", IF($D744=""LONG"", (IFERROR(INDEX(GOOGLEFINANCE($C744, ""price"", WORKDAY(INT($B744), 1)), 2, 2), """")-$G744)/$G744, ($G744-IFE"&amp;"RROR(INDEX(GOOGLEFINANCE($C744, ""price"", WORKDAY(INT($B744), 1)), 2, 2), """"))/$G744)), """")"),"")</f>
        <v/>
      </c>
      <c r="O744" s="47" t="str">
        <f>IFERROR(__xludf.DUMMYFUNCTION("IFERROR(IF(OR(ISBLANK($G744), IFERROR(INDEX(GOOGLEFINANCE($C744, ""price"", WORKDAY(INT($B744), 5)), 2, 2), """")=""""), """", IF($D744=""LONG"", (IFERROR(INDEX(GOOGLEFINANCE($C744, ""price"", WORKDAY(INT($B744), 5)), 2, 2), """")-$G744)/$G744, ($G744-IFE"&amp;"RROR(INDEX(GOOGLEFINANCE($C744, ""price"", WORKDAY(INT($B744), 5)), 2, 2), """"))/$G744)), """")"),"")</f>
        <v/>
      </c>
      <c r="P744" s="47" t="str">
        <f>IFERROR(__xludf.DUMMYFUNCTION("IFERROR(IF(OR(ISBLANK($G744), IFERROR(INDEX(GOOGLEFINANCE($C744, ""price"", WORKDAY(INT($B744), 20)), 2, 2), """")=""""), """", IF($D744=""LONG"", (IFERROR(INDEX(GOOGLEFINANCE($C744, ""price"", WORKDAY(INT($B744), 20)), 2, 2), """")-$G744)/$G744, ($G744-I"&amp;"FERROR(INDEX(GOOGLEFINANCE($C744, ""price"", WORKDAY(INT($B744), 20)), 2, 2), """"))/$G744)), """")"),"")</f>
        <v/>
      </c>
      <c r="Q744" s="44"/>
      <c r="R744" s="44"/>
      <c r="S744" s="44"/>
      <c r="T744" s="44"/>
      <c r="U744" s="44"/>
      <c r="V744" s="44"/>
      <c r="W744" s="44"/>
      <c r="X744" s="44"/>
      <c r="Y744" s="44"/>
      <c r="Z744" s="44"/>
    </row>
    <row r="745">
      <c r="A745" s="44"/>
      <c r="B745" s="45"/>
      <c r="C745" s="44"/>
      <c r="D745" s="44"/>
      <c r="E745" s="44"/>
      <c r="F745" s="44"/>
      <c r="G745" s="46"/>
      <c r="H745" s="44"/>
      <c r="I745" s="44"/>
      <c r="J745" s="44"/>
      <c r="K745" s="44"/>
      <c r="L745" s="46" t="str">
        <f>IFERROR(__xludf.DUMMYFUNCTION("IFERROR(IF(ISBLANK($C745), """", GOOGLEFINANCE($C745, ""price"")), """")"),"")</f>
        <v/>
      </c>
      <c r="M745" s="47" t="str">
        <f t="shared" si="3"/>
        <v/>
      </c>
      <c r="N745" s="47" t="str">
        <f>IFERROR(__xludf.DUMMYFUNCTION("IFERROR(IF(OR(ISBLANK($G745), IFERROR(INDEX(GOOGLEFINANCE($C745, ""price"", WORKDAY(INT($B745), 1)), 2, 2), """")=""""), """", IF($D745=""LONG"", (IFERROR(INDEX(GOOGLEFINANCE($C745, ""price"", WORKDAY(INT($B745), 1)), 2, 2), """")-$G745)/$G745, ($G745-IFE"&amp;"RROR(INDEX(GOOGLEFINANCE($C745, ""price"", WORKDAY(INT($B745), 1)), 2, 2), """"))/$G745)), """")"),"")</f>
        <v/>
      </c>
      <c r="O745" s="47" t="str">
        <f>IFERROR(__xludf.DUMMYFUNCTION("IFERROR(IF(OR(ISBLANK($G745), IFERROR(INDEX(GOOGLEFINANCE($C745, ""price"", WORKDAY(INT($B745), 5)), 2, 2), """")=""""), """", IF($D745=""LONG"", (IFERROR(INDEX(GOOGLEFINANCE($C745, ""price"", WORKDAY(INT($B745), 5)), 2, 2), """")-$G745)/$G745, ($G745-IFE"&amp;"RROR(INDEX(GOOGLEFINANCE($C745, ""price"", WORKDAY(INT($B745), 5)), 2, 2), """"))/$G745)), """")"),"")</f>
        <v/>
      </c>
      <c r="P745" s="47" t="str">
        <f>IFERROR(__xludf.DUMMYFUNCTION("IFERROR(IF(OR(ISBLANK($G745), IFERROR(INDEX(GOOGLEFINANCE($C745, ""price"", WORKDAY(INT($B745), 20)), 2, 2), """")=""""), """", IF($D745=""LONG"", (IFERROR(INDEX(GOOGLEFINANCE($C745, ""price"", WORKDAY(INT($B745), 20)), 2, 2), """")-$G745)/$G745, ($G745-I"&amp;"FERROR(INDEX(GOOGLEFINANCE($C745, ""price"", WORKDAY(INT($B745), 20)), 2, 2), """"))/$G745)), """")"),"")</f>
        <v/>
      </c>
      <c r="Q745" s="44"/>
      <c r="R745" s="44"/>
      <c r="S745" s="44"/>
      <c r="T745" s="44"/>
      <c r="U745" s="44"/>
      <c r="V745" s="44"/>
      <c r="W745" s="44"/>
      <c r="X745" s="44"/>
      <c r="Y745" s="44"/>
      <c r="Z745" s="44"/>
    </row>
    <row r="746">
      <c r="A746" s="44"/>
      <c r="B746" s="45"/>
      <c r="C746" s="44"/>
      <c r="D746" s="44"/>
      <c r="E746" s="44"/>
      <c r="F746" s="44"/>
      <c r="G746" s="46"/>
      <c r="H746" s="44"/>
      <c r="I746" s="44"/>
      <c r="J746" s="44"/>
      <c r="K746" s="44"/>
      <c r="L746" s="46" t="str">
        <f>IFERROR(__xludf.DUMMYFUNCTION("IFERROR(IF(ISBLANK($C746), """", GOOGLEFINANCE($C746, ""price"")), """")"),"")</f>
        <v/>
      </c>
      <c r="M746" s="47" t="str">
        <f t="shared" si="3"/>
        <v/>
      </c>
      <c r="N746" s="47" t="str">
        <f>IFERROR(__xludf.DUMMYFUNCTION("IFERROR(IF(OR(ISBLANK($G746), IFERROR(INDEX(GOOGLEFINANCE($C746, ""price"", WORKDAY(INT($B746), 1)), 2, 2), """")=""""), """", IF($D746=""LONG"", (IFERROR(INDEX(GOOGLEFINANCE($C746, ""price"", WORKDAY(INT($B746), 1)), 2, 2), """")-$G746)/$G746, ($G746-IFE"&amp;"RROR(INDEX(GOOGLEFINANCE($C746, ""price"", WORKDAY(INT($B746), 1)), 2, 2), """"))/$G746)), """")"),"")</f>
        <v/>
      </c>
      <c r="O746" s="47" t="str">
        <f>IFERROR(__xludf.DUMMYFUNCTION("IFERROR(IF(OR(ISBLANK($G746), IFERROR(INDEX(GOOGLEFINANCE($C746, ""price"", WORKDAY(INT($B746), 5)), 2, 2), """")=""""), """", IF($D746=""LONG"", (IFERROR(INDEX(GOOGLEFINANCE($C746, ""price"", WORKDAY(INT($B746), 5)), 2, 2), """")-$G746)/$G746, ($G746-IFE"&amp;"RROR(INDEX(GOOGLEFINANCE($C746, ""price"", WORKDAY(INT($B746), 5)), 2, 2), """"))/$G746)), """")"),"")</f>
        <v/>
      </c>
      <c r="P746" s="47" t="str">
        <f>IFERROR(__xludf.DUMMYFUNCTION("IFERROR(IF(OR(ISBLANK($G746), IFERROR(INDEX(GOOGLEFINANCE($C746, ""price"", WORKDAY(INT($B746), 20)), 2, 2), """")=""""), """", IF($D746=""LONG"", (IFERROR(INDEX(GOOGLEFINANCE($C746, ""price"", WORKDAY(INT($B746), 20)), 2, 2), """")-$G746)/$G746, ($G746-I"&amp;"FERROR(INDEX(GOOGLEFINANCE($C746, ""price"", WORKDAY(INT($B746), 20)), 2, 2), """"))/$G746)), """")"),"")</f>
        <v/>
      </c>
      <c r="Q746" s="44"/>
      <c r="R746" s="44"/>
      <c r="S746" s="44"/>
      <c r="T746" s="44"/>
      <c r="U746" s="44"/>
      <c r="V746" s="44"/>
      <c r="W746" s="44"/>
      <c r="X746" s="44"/>
      <c r="Y746" s="44"/>
      <c r="Z746" s="44"/>
    </row>
    <row r="747">
      <c r="A747" s="44"/>
      <c r="B747" s="45"/>
      <c r="C747" s="44"/>
      <c r="D747" s="44"/>
      <c r="E747" s="44"/>
      <c r="F747" s="44"/>
      <c r="G747" s="46"/>
      <c r="H747" s="44"/>
      <c r="I747" s="44"/>
      <c r="J747" s="44"/>
      <c r="K747" s="44"/>
      <c r="L747" s="46" t="str">
        <f>IFERROR(__xludf.DUMMYFUNCTION("IFERROR(IF(ISBLANK($C747), """", GOOGLEFINANCE($C747, ""price"")), """")"),"")</f>
        <v/>
      </c>
      <c r="M747" s="47" t="str">
        <f t="shared" si="3"/>
        <v/>
      </c>
      <c r="N747" s="47" t="str">
        <f>IFERROR(__xludf.DUMMYFUNCTION("IFERROR(IF(OR(ISBLANK($G747), IFERROR(INDEX(GOOGLEFINANCE($C747, ""price"", WORKDAY(INT($B747), 1)), 2, 2), """")=""""), """", IF($D747=""LONG"", (IFERROR(INDEX(GOOGLEFINANCE($C747, ""price"", WORKDAY(INT($B747), 1)), 2, 2), """")-$G747)/$G747, ($G747-IFE"&amp;"RROR(INDEX(GOOGLEFINANCE($C747, ""price"", WORKDAY(INT($B747), 1)), 2, 2), """"))/$G747)), """")"),"")</f>
        <v/>
      </c>
      <c r="O747" s="47" t="str">
        <f>IFERROR(__xludf.DUMMYFUNCTION("IFERROR(IF(OR(ISBLANK($G747), IFERROR(INDEX(GOOGLEFINANCE($C747, ""price"", WORKDAY(INT($B747), 5)), 2, 2), """")=""""), """", IF($D747=""LONG"", (IFERROR(INDEX(GOOGLEFINANCE($C747, ""price"", WORKDAY(INT($B747), 5)), 2, 2), """")-$G747)/$G747, ($G747-IFE"&amp;"RROR(INDEX(GOOGLEFINANCE($C747, ""price"", WORKDAY(INT($B747), 5)), 2, 2), """"))/$G747)), """")"),"")</f>
        <v/>
      </c>
      <c r="P747" s="47" t="str">
        <f>IFERROR(__xludf.DUMMYFUNCTION("IFERROR(IF(OR(ISBLANK($G747), IFERROR(INDEX(GOOGLEFINANCE($C747, ""price"", WORKDAY(INT($B747), 20)), 2, 2), """")=""""), """", IF($D747=""LONG"", (IFERROR(INDEX(GOOGLEFINANCE($C747, ""price"", WORKDAY(INT($B747), 20)), 2, 2), """")-$G747)/$G747, ($G747-I"&amp;"FERROR(INDEX(GOOGLEFINANCE($C747, ""price"", WORKDAY(INT($B747), 20)), 2, 2), """"))/$G747)), """")"),"")</f>
        <v/>
      </c>
      <c r="Q747" s="44"/>
      <c r="R747" s="44"/>
      <c r="S747" s="44"/>
      <c r="T747" s="44"/>
      <c r="U747" s="44"/>
      <c r="V747" s="44"/>
      <c r="W747" s="44"/>
      <c r="X747" s="44"/>
      <c r="Y747" s="44"/>
      <c r="Z747" s="44"/>
    </row>
    <row r="748">
      <c r="A748" s="44"/>
      <c r="B748" s="45"/>
      <c r="C748" s="44"/>
      <c r="D748" s="44"/>
      <c r="E748" s="44"/>
      <c r="F748" s="44"/>
      <c r="G748" s="46"/>
      <c r="H748" s="44"/>
      <c r="I748" s="44"/>
      <c r="J748" s="44"/>
      <c r="K748" s="44"/>
      <c r="L748" s="46" t="str">
        <f>IFERROR(__xludf.DUMMYFUNCTION("IFERROR(IF(ISBLANK($C748), """", GOOGLEFINANCE($C748, ""price"")), """")"),"")</f>
        <v/>
      </c>
      <c r="M748" s="47" t="str">
        <f t="shared" si="3"/>
        <v/>
      </c>
      <c r="N748" s="47" t="str">
        <f>IFERROR(__xludf.DUMMYFUNCTION("IFERROR(IF(OR(ISBLANK($G748), IFERROR(INDEX(GOOGLEFINANCE($C748, ""price"", WORKDAY(INT($B748), 1)), 2, 2), """")=""""), """", IF($D748=""LONG"", (IFERROR(INDEX(GOOGLEFINANCE($C748, ""price"", WORKDAY(INT($B748), 1)), 2, 2), """")-$G748)/$G748, ($G748-IFE"&amp;"RROR(INDEX(GOOGLEFINANCE($C748, ""price"", WORKDAY(INT($B748), 1)), 2, 2), """"))/$G748)), """")"),"")</f>
        <v/>
      </c>
      <c r="O748" s="47" t="str">
        <f>IFERROR(__xludf.DUMMYFUNCTION("IFERROR(IF(OR(ISBLANK($G748), IFERROR(INDEX(GOOGLEFINANCE($C748, ""price"", WORKDAY(INT($B748), 5)), 2, 2), """")=""""), """", IF($D748=""LONG"", (IFERROR(INDEX(GOOGLEFINANCE($C748, ""price"", WORKDAY(INT($B748), 5)), 2, 2), """")-$G748)/$G748, ($G748-IFE"&amp;"RROR(INDEX(GOOGLEFINANCE($C748, ""price"", WORKDAY(INT($B748), 5)), 2, 2), """"))/$G748)), """")"),"")</f>
        <v/>
      </c>
      <c r="P748" s="47" t="str">
        <f>IFERROR(__xludf.DUMMYFUNCTION("IFERROR(IF(OR(ISBLANK($G748), IFERROR(INDEX(GOOGLEFINANCE($C748, ""price"", WORKDAY(INT($B748), 20)), 2, 2), """")=""""), """", IF($D748=""LONG"", (IFERROR(INDEX(GOOGLEFINANCE($C748, ""price"", WORKDAY(INT($B748), 20)), 2, 2), """")-$G748)/$G748, ($G748-I"&amp;"FERROR(INDEX(GOOGLEFINANCE($C748, ""price"", WORKDAY(INT($B748), 20)), 2, 2), """"))/$G748)), """")"),"")</f>
        <v/>
      </c>
      <c r="Q748" s="44"/>
      <c r="R748" s="44"/>
      <c r="S748" s="44"/>
      <c r="T748" s="44"/>
      <c r="U748" s="44"/>
      <c r="V748" s="44"/>
      <c r="W748" s="44"/>
      <c r="X748" s="44"/>
      <c r="Y748" s="44"/>
      <c r="Z748" s="44"/>
    </row>
    <row r="749">
      <c r="A749" s="44"/>
      <c r="B749" s="45"/>
      <c r="C749" s="44"/>
      <c r="D749" s="44"/>
      <c r="E749" s="44"/>
      <c r="F749" s="44"/>
      <c r="G749" s="46"/>
      <c r="H749" s="44"/>
      <c r="I749" s="44"/>
      <c r="J749" s="44"/>
      <c r="K749" s="44"/>
      <c r="L749" s="46" t="str">
        <f>IFERROR(__xludf.DUMMYFUNCTION("IFERROR(IF(ISBLANK($C749), """", GOOGLEFINANCE($C749, ""price"")), """")"),"")</f>
        <v/>
      </c>
      <c r="M749" s="47" t="str">
        <f t="shared" si="3"/>
        <v/>
      </c>
      <c r="N749" s="47" t="str">
        <f>IFERROR(__xludf.DUMMYFUNCTION("IFERROR(IF(OR(ISBLANK($G749), IFERROR(INDEX(GOOGLEFINANCE($C749, ""price"", WORKDAY(INT($B749), 1)), 2, 2), """")=""""), """", IF($D749=""LONG"", (IFERROR(INDEX(GOOGLEFINANCE($C749, ""price"", WORKDAY(INT($B749), 1)), 2, 2), """")-$G749)/$G749, ($G749-IFE"&amp;"RROR(INDEX(GOOGLEFINANCE($C749, ""price"", WORKDAY(INT($B749), 1)), 2, 2), """"))/$G749)), """")"),"")</f>
        <v/>
      </c>
      <c r="O749" s="47" t="str">
        <f>IFERROR(__xludf.DUMMYFUNCTION("IFERROR(IF(OR(ISBLANK($G749), IFERROR(INDEX(GOOGLEFINANCE($C749, ""price"", WORKDAY(INT($B749), 5)), 2, 2), """")=""""), """", IF($D749=""LONG"", (IFERROR(INDEX(GOOGLEFINANCE($C749, ""price"", WORKDAY(INT($B749), 5)), 2, 2), """")-$G749)/$G749, ($G749-IFE"&amp;"RROR(INDEX(GOOGLEFINANCE($C749, ""price"", WORKDAY(INT($B749), 5)), 2, 2), """"))/$G749)), """")"),"")</f>
        <v/>
      </c>
      <c r="P749" s="47" t="str">
        <f>IFERROR(__xludf.DUMMYFUNCTION("IFERROR(IF(OR(ISBLANK($G749), IFERROR(INDEX(GOOGLEFINANCE($C749, ""price"", WORKDAY(INT($B749), 20)), 2, 2), """")=""""), """", IF($D749=""LONG"", (IFERROR(INDEX(GOOGLEFINANCE($C749, ""price"", WORKDAY(INT($B749), 20)), 2, 2), """")-$G749)/$G749, ($G749-I"&amp;"FERROR(INDEX(GOOGLEFINANCE($C749, ""price"", WORKDAY(INT($B749), 20)), 2, 2), """"))/$G749)), """")"),"")</f>
        <v/>
      </c>
      <c r="Q749" s="44"/>
      <c r="R749" s="44"/>
      <c r="S749" s="44"/>
      <c r="T749" s="44"/>
      <c r="U749" s="44"/>
      <c r="V749" s="44"/>
      <c r="W749" s="44"/>
      <c r="X749" s="44"/>
      <c r="Y749" s="44"/>
      <c r="Z749" s="44"/>
    </row>
    <row r="750">
      <c r="A750" s="44"/>
      <c r="B750" s="45"/>
      <c r="C750" s="44"/>
      <c r="D750" s="44"/>
      <c r="E750" s="44"/>
      <c r="F750" s="44"/>
      <c r="G750" s="46"/>
      <c r="H750" s="44"/>
      <c r="I750" s="44"/>
      <c r="J750" s="44"/>
      <c r="K750" s="44"/>
      <c r="L750" s="46" t="str">
        <f>IFERROR(__xludf.DUMMYFUNCTION("IFERROR(IF(ISBLANK($C750), """", GOOGLEFINANCE($C750, ""price"")), """")"),"")</f>
        <v/>
      </c>
      <c r="M750" s="47" t="str">
        <f t="shared" si="3"/>
        <v/>
      </c>
      <c r="N750" s="47" t="str">
        <f>IFERROR(__xludf.DUMMYFUNCTION("IFERROR(IF(OR(ISBLANK($G750), IFERROR(INDEX(GOOGLEFINANCE($C750, ""price"", WORKDAY(INT($B750), 1)), 2, 2), """")=""""), """", IF($D750=""LONG"", (IFERROR(INDEX(GOOGLEFINANCE($C750, ""price"", WORKDAY(INT($B750), 1)), 2, 2), """")-$G750)/$G750, ($G750-IFE"&amp;"RROR(INDEX(GOOGLEFINANCE($C750, ""price"", WORKDAY(INT($B750), 1)), 2, 2), """"))/$G750)), """")"),"")</f>
        <v/>
      </c>
      <c r="O750" s="47" t="str">
        <f>IFERROR(__xludf.DUMMYFUNCTION("IFERROR(IF(OR(ISBLANK($G750), IFERROR(INDEX(GOOGLEFINANCE($C750, ""price"", WORKDAY(INT($B750), 5)), 2, 2), """")=""""), """", IF($D750=""LONG"", (IFERROR(INDEX(GOOGLEFINANCE($C750, ""price"", WORKDAY(INT($B750), 5)), 2, 2), """")-$G750)/$G750, ($G750-IFE"&amp;"RROR(INDEX(GOOGLEFINANCE($C750, ""price"", WORKDAY(INT($B750), 5)), 2, 2), """"))/$G750)), """")"),"")</f>
        <v/>
      </c>
      <c r="P750" s="47" t="str">
        <f>IFERROR(__xludf.DUMMYFUNCTION("IFERROR(IF(OR(ISBLANK($G750), IFERROR(INDEX(GOOGLEFINANCE($C750, ""price"", WORKDAY(INT($B750), 20)), 2, 2), """")=""""), """", IF($D750=""LONG"", (IFERROR(INDEX(GOOGLEFINANCE($C750, ""price"", WORKDAY(INT($B750), 20)), 2, 2), """")-$G750)/$G750, ($G750-I"&amp;"FERROR(INDEX(GOOGLEFINANCE($C750, ""price"", WORKDAY(INT($B750), 20)), 2, 2), """"))/$G750)), """")"),"")</f>
        <v/>
      </c>
      <c r="Q750" s="44"/>
      <c r="R750" s="44"/>
      <c r="S750" s="44"/>
      <c r="T750" s="44"/>
      <c r="U750" s="44"/>
      <c r="V750" s="44"/>
      <c r="W750" s="44"/>
      <c r="X750" s="44"/>
      <c r="Y750" s="44"/>
      <c r="Z750" s="44"/>
    </row>
    <row r="751">
      <c r="A751" s="44"/>
      <c r="B751" s="45"/>
      <c r="C751" s="44"/>
      <c r="D751" s="44"/>
      <c r="E751" s="44"/>
      <c r="F751" s="44"/>
      <c r="G751" s="46"/>
      <c r="H751" s="44"/>
      <c r="I751" s="44"/>
      <c r="J751" s="44"/>
      <c r="K751" s="44"/>
      <c r="L751" s="46" t="str">
        <f>IFERROR(__xludf.DUMMYFUNCTION("IFERROR(IF(ISBLANK($C751), """", GOOGLEFINANCE($C751, ""price"")), """")"),"")</f>
        <v/>
      </c>
      <c r="M751" s="47" t="str">
        <f t="shared" si="3"/>
        <v/>
      </c>
      <c r="N751" s="47" t="str">
        <f>IFERROR(__xludf.DUMMYFUNCTION("IFERROR(IF(OR(ISBLANK($G751), IFERROR(INDEX(GOOGLEFINANCE($C751, ""price"", WORKDAY(INT($B751), 1)), 2, 2), """")=""""), """", IF($D751=""LONG"", (IFERROR(INDEX(GOOGLEFINANCE($C751, ""price"", WORKDAY(INT($B751), 1)), 2, 2), """")-$G751)/$G751, ($G751-IFE"&amp;"RROR(INDEX(GOOGLEFINANCE($C751, ""price"", WORKDAY(INT($B751), 1)), 2, 2), """"))/$G751)), """")"),"")</f>
        <v/>
      </c>
      <c r="O751" s="47" t="str">
        <f>IFERROR(__xludf.DUMMYFUNCTION("IFERROR(IF(OR(ISBLANK($G751), IFERROR(INDEX(GOOGLEFINANCE($C751, ""price"", WORKDAY(INT($B751), 5)), 2, 2), """")=""""), """", IF($D751=""LONG"", (IFERROR(INDEX(GOOGLEFINANCE($C751, ""price"", WORKDAY(INT($B751), 5)), 2, 2), """")-$G751)/$G751, ($G751-IFE"&amp;"RROR(INDEX(GOOGLEFINANCE($C751, ""price"", WORKDAY(INT($B751), 5)), 2, 2), """"))/$G751)), """")"),"")</f>
        <v/>
      </c>
      <c r="P751" s="47" t="str">
        <f>IFERROR(__xludf.DUMMYFUNCTION("IFERROR(IF(OR(ISBLANK($G751), IFERROR(INDEX(GOOGLEFINANCE($C751, ""price"", WORKDAY(INT($B751), 20)), 2, 2), """")=""""), """", IF($D751=""LONG"", (IFERROR(INDEX(GOOGLEFINANCE($C751, ""price"", WORKDAY(INT($B751), 20)), 2, 2), """")-$G751)/$G751, ($G751-I"&amp;"FERROR(INDEX(GOOGLEFINANCE($C751, ""price"", WORKDAY(INT($B751), 20)), 2, 2), """"))/$G751)), """")"),"")</f>
        <v/>
      </c>
      <c r="Q751" s="44"/>
      <c r="R751" s="44"/>
      <c r="S751" s="44"/>
      <c r="T751" s="44"/>
      <c r="U751" s="44"/>
      <c r="V751" s="44"/>
      <c r="W751" s="44"/>
      <c r="X751" s="44"/>
      <c r="Y751" s="44"/>
      <c r="Z751" s="44"/>
    </row>
    <row r="752">
      <c r="A752" s="44"/>
      <c r="B752" s="45"/>
      <c r="C752" s="44"/>
      <c r="D752" s="44"/>
      <c r="E752" s="44"/>
      <c r="F752" s="44"/>
      <c r="G752" s="46"/>
      <c r="H752" s="44"/>
      <c r="I752" s="44"/>
      <c r="J752" s="44"/>
      <c r="K752" s="44"/>
      <c r="L752" s="46" t="str">
        <f>IFERROR(__xludf.DUMMYFUNCTION("IFERROR(IF(ISBLANK($C752), """", GOOGLEFINANCE($C752, ""price"")), """")"),"")</f>
        <v/>
      </c>
      <c r="M752" s="47" t="str">
        <f t="shared" si="3"/>
        <v/>
      </c>
      <c r="N752" s="47" t="str">
        <f>IFERROR(__xludf.DUMMYFUNCTION("IFERROR(IF(OR(ISBLANK($G752), IFERROR(INDEX(GOOGLEFINANCE($C752, ""price"", WORKDAY(INT($B752), 1)), 2, 2), """")=""""), """", IF($D752=""LONG"", (IFERROR(INDEX(GOOGLEFINANCE($C752, ""price"", WORKDAY(INT($B752), 1)), 2, 2), """")-$G752)/$G752, ($G752-IFE"&amp;"RROR(INDEX(GOOGLEFINANCE($C752, ""price"", WORKDAY(INT($B752), 1)), 2, 2), """"))/$G752)), """")"),"")</f>
        <v/>
      </c>
      <c r="O752" s="47" t="str">
        <f>IFERROR(__xludf.DUMMYFUNCTION("IFERROR(IF(OR(ISBLANK($G752), IFERROR(INDEX(GOOGLEFINANCE($C752, ""price"", WORKDAY(INT($B752), 5)), 2, 2), """")=""""), """", IF($D752=""LONG"", (IFERROR(INDEX(GOOGLEFINANCE($C752, ""price"", WORKDAY(INT($B752), 5)), 2, 2), """")-$G752)/$G752, ($G752-IFE"&amp;"RROR(INDEX(GOOGLEFINANCE($C752, ""price"", WORKDAY(INT($B752), 5)), 2, 2), """"))/$G752)), """")"),"")</f>
        <v/>
      </c>
      <c r="P752" s="47" t="str">
        <f>IFERROR(__xludf.DUMMYFUNCTION("IFERROR(IF(OR(ISBLANK($G752), IFERROR(INDEX(GOOGLEFINANCE($C752, ""price"", WORKDAY(INT($B752), 20)), 2, 2), """")=""""), """", IF($D752=""LONG"", (IFERROR(INDEX(GOOGLEFINANCE($C752, ""price"", WORKDAY(INT($B752), 20)), 2, 2), """")-$G752)/$G752, ($G752-I"&amp;"FERROR(INDEX(GOOGLEFINANCE($C752, ""price"", WORKDAY(INT($B752), 20)), 2, 2), """"))/$G752)), """")"),"")</f>
        <v/>
      </c>
      <c r="Q752" s="44"/>
      <c r="R752" s="44"/>
      <c r="S752" s="44"/>
      <c r="T752" s="44"/>
      <c r="U752" s="44"/>
      <c r="V752" s="44"/>
      <c r="W752" s="44"/>
      <c r="X752" s="44"/>
      <c r="Y752" s="44"/>
      <c r="Z752" s="44"/>
    </row>
    <row r="753">
      <c r="A753" s="44"/>
      <c r="B753" s="45"/>
      <c r="C753" s="44"/>
      <c r="D753" s="44"/>
      <c r="E753" s="44"/>
      <c r="F753" s="44"/>
      <c r="G753" s="46"/>
      <c r="H753" s="44"/>
      <c r="I753" s="44"/>
      <c r="J753" s="44"/>
      <c r="K753" s="44"/>
      <c r="L753" s="46" t="str">
        <f>IFERROR(__xludf.DUMMYFUNCTION("IFERROR(IF(ISBLANK($C753), """", GOOGLEFINANCE($C753, ""price"")), """")"),"")</f>
        <v/>
      </c>
      <c r="M753" s="47" t="str">
        <f t="shared" si="3"/>
        <v/>
      </c>
      <c r="N753" s="47" t="str">
        <f>IFERROR(__xludf.DUMMYFUNCTION("IFERROR(IF(OR(ISBLANK($G753), IFERROR(INDEX(GOOGLEFINANCE($C753, ""price"", WORKDAY(INT($B753), 1)), 2, 2), """")=""""), """", IF($D753=""LONG"", (IFERROR(INDEX(GOOGLEFINANCE($C753, ""price"", WORKDAY(INT($B753), 1)), 2, 2), """")-$G753)/$G753, ($G753-IFE"&amp;"RROR(INDEX(GOOGLEFINANCE($C753, ""price"", WORKDAY(INT($B753), 1)), 2, 2), """"))/$G753)), """")"),"")</f>
        <v/>
      </c>
      <c r="O753" s="47" t="str">
        <f>IFERROR(__xludf.DUMMYFUNCTION("IFERROR(IF(OR(ISBLANK($G753), IFERROR(INDEX(GOOGLEFINANCE($C753, ""price"", WORKDAY(INT($B753), 5)), 2, 2), """")=""""), """", IF($D753=""LONG"", (IFERROR(INDEX(GOOGLEFINANCE($C753, ""price"", WORKDAY(INT($B753), 5)), 2, 2), """")-$G753)/$G753, ($G753-IFE"&amp;"RROR(INDEX(GOOGLEFINANCE($C753, ""price"", WORKDAY(INT($B753), 5)), 2, 2), """"))/$G753)), """")"),"")</f>
        <v/>
      </c>
      <c r="P753" s="47" t="str">
        <f>IFERROR(__xludf.DUMMYFUNCTION("IFERROR(IF(OR(ISBLANK($G753), IFERROR(INDEX(GOOGLEFINANCE($C753, ""price"", WORKDAY(INT($B753), 20)), 2, 2), """")=""""), """", IF($D753=""LONG"", (IFERROR(INDEX(GOOGLEFINANCE($C753, ""price"", WORKDAY(INT($B753), 20)), 2, 2), """")-$G753)/$G753, ($G753-I"&amp;"FERROR(INDEX(GOOGLEFINANCE($C753, ""price"", WORKDAY(INT($B753), 20)), 2, 2), """"))/$G753)), """")"),"")</f>
        <v/>
      </c>
      <c r="Q753" s="44"/>
      <c r="R753" s="44"/>
      <c r="S753" s="44"/>
      <c r="T753" s="44"/>
      <c r="U753" s="44"/>
      <c r="V753" s="44"/>
      <c r="W753" s="44"/>
      <c r="X753" s="44"/>
      <c r="Y753" s="44"/>
      <c r="Z753" s="44"/>
    </row>
    <row r="754">
      <c r="A754" s="44"/>
      <c r="B754" s="45"/>
      <c r="C754" s="44"/>
      <c r="D754" s="44"/>
      <c r="E754" s="44"/>
      <c r="F754" s="44"/>
      <c r="G754" s="46"/>
      <c r="H754" s="44"/>
      <c r="I754" s="44"/>
      <c r="J754" s="44"/>
      <c r="K754" s="44"/>
      <c r="L754" s="46" t="str">
        <f>IFERROR(__xludf.DUMMYFUNCTION("IFERROR(IF(ISBLANK($C754), """", GOOGLEFINANCE($C754, ""price"")), """")"),"")</f>
        <v/>
      </c>
      <c r="M754" s="47" t="str">
        <f t="shared" si="3"/>
        <v/>
      </c>
      <c r="N754" s="47" t="str">
        <f>IFERROR(__xludf.DUMMYFUNCTION("IFERROR(IF(OR(ISBLANK($G754), IFERROR(INDEX(GOOGLEFINANCE($C754, ""price"", WORKDAY(INT($B754), 1)), 2, 2), """")=""""), """", IF($D754=""LONG"", (IFERROR(INDEX(GOOGLEFINANCE($C754, ""price"", WORKDAY(INT($B754), 1)), 2, 2), """")-$G754)/$G754, ($G754-IFE"&amp;"RROR(INDEX(GOOGLEFINANCE($C754, ""price"", WORKDAY(INT($B754), 1)), 2, 2), """"))/$G754)), """")"),"")</f>
        <v/>
      </c>
      <c r="O754" s="47" t="str">
        <f>IFERROR(__xludf.DUMMYFUNCTION("IFERROR(IF(OR(ISBLANK($G754), IFERROR(INDEX(GOOGLEFINANCE($C754, ""price"", WORKDAY(INT($B754), 5)), 2, 2), """")=""""), """", IF($D754=""LONG"", (IFERROR(INDEX(GOOGLEFINANCE($C754, ""price"", WORKDAY(INT($B754), 5)), 2, 2), """")-$G754)/$G754, ($G754-IFE"&amp;"RROR(INDEX(GOOGLEFINANCE($C754, ""price"", WORKDAY(INT($B754), 5)), 2, 2), """"))/$G754)), """")"),"")</f>
        <v/>
      </c>
      <c r="P754" s="47" t="str">
        <f>IFERROR(__xludf.DUMMYFUNCTION("IFERROR(IF(OR(ISBLANK($G754), IFERROR(INDEX(GOOGLEFINANCE($C754, ""price"", WORKDAY(INT($B754), 20)), 2, 2), """")=""""), """", IF($D754=""LONG"", (IFERROR(INDEX(GOOGLEFINANCE($C754, ""price"", WORKDAY(INT($B754), 20)), 2, 2), """")-$G754)/$G754, ($G754-I"&amp;"FERROR(INDEX(GOOGLEFINANCE($C754, ""price"", WORKDAY(INT($B754), 20)), 2, 2), """"))/$G754)), """")"),"")</f>
        <v/>
      </c>
      <c r="Q754" s="44"/>
      <c r="R754" s="44"/>
      <c r="S754" s="44"/>
      <c r="T754" s="44"/>
      <c r="U754" s="44"/>
      <c r="V754" s="44"/>
      <c r="W754" s="44"/>
      <c r="X754" s="44"/>
      <c r="Y754" s="44"/>
      <c r="Z754" s="44"/>
    </row>
    <row r="755">
      <c r="A755" s="44"/>
      <c r="B755" s="45"/>
      <c r="C755" s="44"/>
      <c r="D755" s="44"/>
      <c r="E755" s="44"/>
      <c r="F755" s="44"/>
      <c r="G755" s="46"/>
      <c r="H755" s="44"/>
      <c r="I755" s="44"/>
      <c r="J755" s="44"/>
      <c r="K755" s="44"/>
      <c r="L755" s="46" t="str">
        <f>IFERROR(__xludf.DUMMYFUNCTION("IFERROR(IF(ISBLANK($C755), """", GOOGLEFINANCE($C755, ""price"")), """")"),"")</f>
        <v/>
      </c>
      <c r="M755" s="47" t="str">
        <f t="shared" si="3"/>
        <v/>
      </c>
      <c r="N755" s="47" t="str">
        <f>IFERROR(__xludf.DUMMYFUNCTION("IFERROR(IF(OR(ISBLANK($G755), IFERROR(INDEX(GOOGLEFINANCE($C755, ""price"", WORKDAY(INT($B755), 1)), 2, 2), """")=""""), """", IF($D755=""LONG"", (IFERROR(INDEX(GOOGLEFINANCE($C755, ""price"", WORKDAY(INT($B755), 1)), 2, 2), """")-$G755)/$G755, ($G755-IFE"&amp;"RROR(INDEX(GOOGLEFINANCE($C755, ""price"", WORKDAY(INT($B755), 1)), 2, 2), """"))/$G755)), """")"),"")</f>
        <v/>
      </c>
      <c r="O755" s="47" t="str">
        <f>IFERROR(__xludf.DUMMYFUNCTION("IFERROR(IF(OR(ISBLANK($G755), IFERROR(INDEX(GOOGLEFINANCE($C755, ""price"", WORKDAY(INT($B755), 5)), 2, 2), """")=""""), """", IF($D755=""LONG"", (IFERROR(INDEX(GOOGLEFINANCE($C755, ""price"", WORKDAY(INT($B755), 5)), 2, 2), """")-$G755)/$G755, ($G755-IFE"&amp;"RROR(INDEX(GOOGLEFINANCE($C755, ""price"", WORKDAY(INT($B755), 5)), 2, 2), """"))/$G755)), """")"),"")</f>
        <v/>
      </c>
      <c r="P755" s="47" t="str">
        <f>IFERROR(__xludf.DUMMYFUNCTION("IFERROR(IF(OR(ISBLANK($G755), IFERROR(INDEX(GOOGLEFINANCE($C755, ""price"", WORKDAY(INT($B755), 20)), 2, 2), """")=""""), """", IF($D755=""LONG"", (IFERROR(INDEX(GOOGLEFINANCE($C755, ""price"", WORKDAY(INT($B755), 20)), 2, 2), """")-$G755)/$G755, ($G755-I"&amp;"FERROR(INDEX(GOOGLEFINANCE($C755, ""price"", WORKDAY(INT($B755), 20)), 2, 2), """"))/$G755)), """")"),"")</f>
        <v/>
      </c>
      <c r="Q755" s="44"/>
      <c r="R755" s="44"/>
      <c r="S755" s="44"/>
      <c r="T755" s="44"/>
      <c r="U755" s="44"/>
      <c r="V755" s="44"/>
      <c r="W755" s="44"/>
      <c r="X755" s="44"/>
      <c r="Y755" s="44"/>
      <c r="Z755" s="44"/>
    </row>
    <row r="756">
      <c r="A756" s="44"/>
      <c r="B756" s="45"/>
      <c r="C756" s="44"/>
      <c r="D756" s="44"/>
      <c r="E756" s="44"/>
      <c r="F756" s="44"/>
      <c r="G756" s="46"/>
      <c r="H756" s="44"/>
      <c r="I756" s="44"/>
      <c r="J756" s="44"/>
      <c r="K756" s="44"/>
      <c r="L756" s="46" t="str">
        <f>IFERROR(__xludf.DUMMYFUNCTION("IFERROR(IF(ISBLANK($C756), """", GOOGLEFINANCE($C756, ""price"")), """")"),"")</f>
        <v/>
      </c>
      <c r="M756" s="47" t="str">
        <f t="shared" si="3"/>
        <v/>
      </c>
      <c r="N756" s="47" t="str">
        <f>IFERROR(__xludf.DUMMYFUNCTION("IFERROR(IF(OR(ISBLANK($G756), IFERROR(INDEX(GOOGLEFINANCE($C756, ""price"", WORKDAY(INT($B756), 1)), 2, 2), """")=""""), """", IF($D756=""LONG"", (IFERROR(INDEX(GOOGLEFINANCE($C756, ""price"", WORKDAY(INT($B756), 1)), 2, 2), """")-$G756)/$G756, ($G756-IFE"&amp;"RROR(INDEX(GOOGLEFINANCE($C756, ""price"", WORKDAY(INT($B756), 1)), 2, 2), """"))/$G756)), """")"),"")</f>
        <v/>
      </c>
      <c r="O756" s="47" t="str">
        <f>IFERROR(__xludf.DUMMYFUNCTION("IFERROR(IF(OR(ISBLANK($G756), IFERROR(INDEX(GOOGLEFINANCE($C756, ""price"", WORKDAY(INT($B756), 5)), 2, 2), """")=""""), """", IF($D756=""LONG"", (IFERROR(INDEX(GOOGLEFINANCE($C756, ""price"", WORKDAY(INT($B756), 5)), 2, 2), """")-$G756)/$G756, ($G756-IFE"&amp;"RROR(INDEX(GOOGLEFINANCE($C756, ""price"", WORKDAY(INT($B756), 5)), 2, 2), """"))/$G756)), """")"),"")</f>
        <v/>
      </c>
      <c r="P756" s="47" t="str">
        <f>IFERROR(__xludf.DUMMYFUNCTION("IFERROR(IF(OR(ISBLANK($G756), IFERROR(INDEX(GOOGLEFINANCE($C756, ""price"", WORKDAY(INT($B756), 20)), 2, 2), """")=""""), """", IF($D756=""LONG"", (IFERROR(INDEX(GOOGLEFINANCE($C756, ""price"", WORKDAY(INT($B756), 20)), 2, 2), """")-$G756)/$G756, ($G756-I"&amp;"FERROR(INDEX(GOOGLEFINANCE($C756, ""price"", WORKDAY(INT($B756), 20)), 2, 2), """"))/$G756)), """")"),"")</f>
        <v/>
      </c>
      <c r="Q756" s="44"/>
      <c r="R756" s="44"/>
      <c r="S756" s="44"/>
      <c r="T756" s="44"/>
      <c r="U756" s="44"/>
      <c r="V756" s="44"/>
      <c r="W756" s="44"/>
      <c r="X756" s="44"/>
      <c r="Y756" s="44"/>
      <c r="Z756" s="44"/>
    </row>
    <row r="757">
      <c r="A757" s="44"/>
      <c r="B757" s="45"/>
      <c r="C757" s="44"/>
      <c r="D757" s="44"/>
      <c r="E757" s="44"/>
      <c r="F757" s="44"/>
      <c r="G757" s="46"/>
      <c r="H757" s="44"/>
      <c r="I757" s="44"/>
      <c r="J757" s="44"/>
      <c r="K757" s="44"/>
      <c r="L757" s="46" t="str">
        <f>IFERROR(__xludf.DUMMYFUNCTION("IFERROR(IF(ISBLANK($C757), """", GOOGLEFINANCE($C757, ""price"")), """")"),"")</f>
        <v/>
      </c>
      <c r="M757" s="47" t="str">
        <f t="shared" si="3"/>
        <v/>
      </c>
      <c r="N757" s="47" t="str">
        <f>IFERROR(__xludf.DUMMYFUNCTION("IFERROR(IF(OR(ISBLANK($G757), IFERROR(INDEX(GOOGLEFINANCE($C757, ""price"", WORKDAY(INT($B757), 1)), 2, 2), """")=""""), """", IF($D757=""LONG"", (IFERROR(INDEX(GOOGLEFINANCE($C757, ""price"", WORKDAY(INT($B757), 1)), 2, 2), """")-$G757)/$G757, ($G757-IFE"&amp;"RROR(INDEX(GOOGLEFINANCE($C757, ""price"", WORKDAY(INT($B757), 1)), 2, 2), """"))/$G757)), """")"),"")</f>
        <v/>
      </c>
      <c r="O757" s="47" t="str">
        <f>IFERROR(__xludf.DUMMYFUNCTION("IFERROR(IF(OR(ISBLANK($G757), IFERROR(INDEX(GOOGLEFINANCE($C757, ""price"", WORKDAY(INT($B757), 5)), 2, 2), """")=""""), """", IF($D757=""LONG"", (IFERROR(INDEX(GOOGLEFINANCE($C757, ""price"", WORKDAY(INT($B757), 5)), 2, 2), """")-$G757)/$G757, ($G757-IFE"&amp;"RROR(INDEX(GOOGLEFINANCE($C757, ""price"", WORKDAY(INT($B757), 5)), 2, 2), """"))/$G757)), """")"),"")</f>
        <v/>
      </c>
      <c r="P757" s="47" t="str">
        <f>IFERROR(__xludf.DUMMYFUNCTION("IFERROR(IF(OR(ISBLANK($G757), IFERROR(INDEX(GOOGLEFINANCE($C757, ""price"", WORKDAY(INT($B757), 20)), 2, 2), """")=""""), """", IF($D757=""LONG"", (IFERROR(INDEX(GOOGLEFINANCE($C757, ""price"", WORKDAY(INT($B757), 20)), 2, 2), """")-$G757)/$G757, ($G757-I"&amp;"FERROR(INDEX(GOOGLEFINANCE($C757, ""price"", WORKDAY(INT($B757), 20)), 2, 2), """"))/$G757)), """")"),"")</f>
        <v/>
      </c>
      <c r="Q757" s="44"/>
      <c r="R757" s="44"/>
      <c r="S757" s="44"/>
      <c r="T757" s="44"/>
      <c r="U757" s="44"/>
      <c r="V757" s="44"/>
      <c r="W757" s="44"/>
      <c r="X757" s="44"/>
      <c r="Y757" s="44"/>
      <c r="Z757" s="44"/>
    </row>
    <row r="758">
      <c r="A758" s="44"/>
      <c r="B758" s="45"/>
      <c r="C758" s="44"/>
      <c r="D758" s="44"/>
      <c r="E758" s="44"/>
      <c r="F758" s="44"/>
      <c r="G758" s="46"/>
      <c r="H758" s="44"/>
      <c r="I758" s="44"/>
      <c r="J758" s="44"/>
      <c r="K758" s="44"/>
      <c r="L758" s="46" t="str">
        <f>IFERROR(__xludf.DUMMYFUNCTION("IFERROR(IF(ISBLANK($C758), """", GOOGLEFINANCE($C758, ""price"")), """")"),"")</f>
        <v/>
      </c>
      <c r="M758" s="47" t="str">
        <f t="shared" si="3"/>
        <v/>
      </c>
      <c r="N758" s="47" t="str">
        <f>IFERROR(__xludf.DUMMYFUNCTION("IFERROR(IF(OR(ISBLANK($G758), IFERROR(INDEX(GOOGLEFINANCE($C758, ""price"", WORKDAY(INT($B758), 1)), 2, 2), """")=""""), """", IF($D758=""LONG"", (IFERROR(INDEX(GOOGLEFINANCE($C758, ""price"", WORKDAY(INT($B758), 1)), 2, 2), """")-$G758)/$G758, ($G758-IFE"&amp;"RROR(INDEX(GOOGLEFINANCE($C758, ""price"", WORKDAY(INT($B758), 1)), 2, 2), """"))/$G758)), """")"),"")</f>
        <v/>
      </c>
      <c r="O758" s="47" t="str">
        <f>IFERROR(__xludf.DUMMYFUNCTION("IFERROR(IF(OR(ISBLANK($G758), IFERROR(INDEX(GOOGLEFINANCE($C758, ""price"", WORKDAY(INT($B758), 5)), 2, 2), """")=""""), """", IF($D758=""LONG"", (IFERROR(INDEX(GOOGLEFINANCE($C758, ""price"", WORKDAY(INT($B758), 5)), 2, 2), """")-$G758)/$G758, ($G758-IFE"&amp;"RROR(INDEX(GOOGLEFINANCE($C758, ""price"", WORKDAY(INT($B758), 5)), 2, 2), """"))/$G758)), """")"),"")</f>
        <v/>
      </c>
      <c r="P758" s="47" t="str">
        <f>IFERROR(__xludf.DUMMYFUNCTION("IFERROR(IF(OR(ISBLANK($G758), IFERROR(INDEX(GOOGLEFINANCE($C758, ""price"", WORKDAY(INT($B758), 20)), 2, 2), """")=""""), """", IF($D758=""LONG"", (IFERROR(INDEX(GOOGLEFINANCE($C758, ""price"", WORKDAY(INT($B758), 20)), 2, 2), """")-$G758)/$G758, ($G758-I"&amp;"FERROR(INDEX(GOOGLEFINANCE($C758, ""price"", WORKDAY(INT($B758), 20)), 2, 2), """"))/$G758)), """")"),"")</f>
        <v/>
      </c>
      <c r="Q758" s="44"/>
      <c r="R758" s="44"/>
      <c r="S758" s="44"/>
      <c r="T758" s="44"/>
      <c r="U758" s="44"/>
      <c r="V758" s="44"/>
      <c r="W758" s="44"/>
      <c r="X758" s="44"/>
      <c r="Y758" s="44"/>
      <c r="Z758" s="44"/>
    </row>
    <row r="759">
      <c r="A759" s="44"/>
      <c r="B759" s="45"/>
      <c r="C759" s="44"/>
      <c r="D759" s="44"/>
      <c r="E759" s="44"/>
      <c r="F759" s="44"/>
      <c r="G759" s="46"/>
      <c r="H759" s="44"/>
      <c r="I759" s="44"/>
      <c r="J759" s="44"/>
      <c r="K759" s="44"/>
      <c r="L759" s="46" t="str">
        <f>IFERROR(__xludf.DUMMYFUNCTION("IFERROR(IF(ISBLANK($C759), """", GOOGLEFINANCE($C759, ""price"")), """")"),"")</f>
        <v/>
      </c>
      <c r="M759" s="47" t="str">
        <f t="shared" si="3"/>
        <v/>
      </c>
      <c r="N759" s="47" t="str">
        <f>IFERROR(__xludf.DUMMYFUNCTION("IFERROR(IF(OR(ISBLANK($G759), IFERROR(INDEX(GOOGLEFINANCE($C759, ""price"", WORKDAY(INT($B759), 1)), 2, 2), """")=""""), """", IF($D759=""LONG"", (IFERROR(INDEX(GOOGLEFINANCE($C759, ""price"", WORKDAY(INT($B759), 1)), 2, 2), """")-$G759)/$G759, ($G759-IFE"&amp;"RROR(INDEX(GOOGLEFINANCE($C759, ""price"", WORKDAY(INT($B759), 1)), 2, 2), """"))/$G759)), """")"),"")</f>
        <v/>
      </c>
      <c r="O759" s="47" t="str">
        <f>IFERROR(__xludf.DUMMYFUNCTION("IFERROR(IF(OR(ISBLANK($G759), IFERROR(INDEX(GOOGLEFINANCE($C759, ""price"", WORKDAY(INT($B759), 5)), 2, 2), """")=""""), """", IF($D759=""LONG"", (IFERROR(INDEX(GOOGLEFINANCE($C759, ""price"", WORKDAY(INT($B759), 5)), 2, 2), """")-$G759)/$G759, ($G759-IFE"&amp;"RROR(INDEX(GOOGLEFINANCE($C759, ""price"", WORKDAY(INT($B759), 5)), 2, 2), """"))/$G759)), """")"),"")</f>
        <v/>
      </c>
      <c r="P759" s="47" t="str">
        <f>IFERROR(__xludf.DUMMYFUNCTION("IFERROR(IF(OR(ISBLANK($G759), IFERROR(INDEX(GOOGLEFINANCE($C759, ""price"", WORKDAY(INT($B759), 20)), 2, 2), """")=""""), """", IF($D759=""LONG"", (IFERROR(INDEX(GOOGLEFINANCE($C759, ""price"", WORKDAY(INT($B759), 20)), 2, 2), """")-$G759)/$G759, ($G759-I"&amp;"FERROR(INDEX(GOOGLEFINANCE($C759, ""price"", WORKDAY(INT($B759), 20)), 2, 2), """"))/$G759)), """")"),"")</f>
        <v/>
      </c>
      <c r="Q759" s="44"/>
      <c r="R759" s="44"/>
      <c r="S759" s="44"/>
      <c r="T759" s="44"/>
      <c r="U759" s="44"/>
      <c r="V759" s="44"/>
      <c r="W759" s="44"/>
      <c r="X759" s="44"/>
      <c r="Y759" s="44"/>
      <c r="Z759" s="44"/>
    </row>
    <row r="760">
      <c r="A760" s="44"/>
      <c r="B760" s="45"/>
      <c r="C760" s="44"/>
      <c r="D760" s="44"/>
      <c r="E760" s="44"/>
      <c r="F760" s="44"/>
      <c r="G760" s="46"/>
      <c r="H760" s="44"/>
      <c r="I760" s="44"/>
      <c r="J760" s="44"/>
      <c r="K760" s="44"/>
      <c r="L760" s="46" t="str">
        <f>IFERROR(__xludf.DUMMYFUNCTION("IFERROR(IF(ISBLANK($C760), """", GOOGLEFINANCE($C760, ""price"")), """")"),"")</f>
        <v/>
      </c>
      <c r="M760" s="47" t="str">
        <f t="shared" si="3"/>
        <v/>
      </c>
      <c r="N760" s="47" t="str">
        <f>IFERROR(__xludf.DUMMYFUNCTION("IFERROR(IF(OR(ISBLANK($G760), IFERROR(INDEX(GOOGLEFINANCE($C760, ""price"", WORKDAY(INT($B760), 1)), 2, 2), """")=""""), """", IF($D760=""LONG"", (IFERROR(INDEX(GOOGLEFINANCE($C760, ""price"", WORKDAY(INT($B760), 1)), 2, 2), """")-$G760)/$G760, ($G760-IFE"&amp;"RROR(INDEX(GOOGLEFINANCE($C760, ""price"", WORKDAY(INT($B760), 1)), 2, 2), """"))/$G760)), """")"),"")</f>
        <v/>
      </c>
      <c r="O760" s="47" t="str">
        <f>IFERROR(__xludf.DUMMYFUNCTION("IFERROR(IF(OR(ISBLANK($G760), IFERROR(INDEX(GOOGLEFINANCE($C760, ""price"", WORKDAY(INT($B760), 5)), 2, 2), """")=""""), """", IF($D760=""LONG"", (IFERROR(INDEX(GOOGLEFINANCE($C760, ""price"", WORKDAY(INT($B760), 5)), 2, 2), """")-$G760)/$G760, ($G760-IFE"&amp;"RROR(INDEX(GOOGLEFINANCE($C760, ""price"", WORKDAY(INT($B760), 5)), 2, 2), """"))/$G760)), """")"),"")</f>
        <v/>
      </c>
      <c r="P760" s="47" t="str">
        <f>IFERROR(__xludf.DUMMYFUNCTION("IFERROR(IF(OR(ISBLANK($G760), IFERROR(INDEX(GOOGLEFINANCE($C760, ""price"", WORKDAY(INT($B760), 20)), 2, 2), """")=""""), """", IF($D760=""LONG"", (IFERROR(INDEX(GOOGLEFINANCE($C760, ""price"", WORKDAY(INT($B760), 20)), 2, 2), """")-$G760)/$G760, ($G760-I"&amp;"FERROR(INDEX(GOOGLEFINANCE($C760, ""price"", WORKDAY(INT($B760), 20)), 2, 2), """"))/$G760)), """")"),"")</f>
        <v/>
      </c>
      <c r="Q760" s="44"/>
      <c r="R760" s="44"/>
      <c r="S760" s="44"/>
      <c r="T760" s="44"/>
      <c r="U760" s="44"/>
      <c r="V760" s="44"/>
      <c r="W760" s="44"/>
      <c r="X760" s="44"/>
      <c r="Y760" s="44"/>
      <c r="Z760" s="44"/>
    </row>
    <row r="761">
      <c r="A761" s="44"/>
      <c r="B761" s="45"/>
      <c r="C761" s="44"/>
      <c r="D761" s="44"/>
      <c r="E761" s="44"/>
      <c r="F761" s="44"/>
      <c r="G761" s="46"/>
      <c r="H761" s="44"/>
      <c r="I761" s="44"/>
      <c r="J761" s="44"/>
      <c r="K761" s="44"/>
      <c r="L761" s="46" t="str">
        <f>IFERROR(__xludf.DUMMYFUNCTION("IFERROR(IF(ISBLANK($C761), """", GOOGLEFINANCE($C761, ""price"")), """")"),"")</f>
        <v/>
      </c>
      <c r="M761" s="47" t="str">
        <f t="shared" si="3"/>
        <v/>
      </c>
      <c r="N761" s="47" t="str">
        <f>IFERROR(__xludf.DUMMYFUNCTION("IFERROR(IF(OR(ISBLANK($G761), IFERROR(INDEX(GOOGLEFINANCE($C761, ""price"", WORKDAY(INT($B761), 1)), 2, 2), """")=""""), """", IF($D761=""LONG"", (IFERROR(INDEX(GOOGLEFINANCE($C761, ""price"", WORKDAY(INT($B761), 1)), 2, 2), """")-$G761)/$G761, ($G761-IFE"&amp;"RROR(INDEX(GOOGLEFINANCE($C761, ""price"", WORKDAY(INT($B761), 1)), 2, 2), """"))/$G761)), """")"),"")</f>
        <v/>
      </c>
      <c r="O761" s="47" t="str">
        <f>IFERROR(__xludf.DUMMYFUNCTION("IFERROR(IF(OR(ISBLANK($G761), IFERROR(INDEX(GOOGLEFINANCE($C761, ""price"", WORKDAY(INT($B761), 5)), 2, 2), """")=""""), """", IF($D761=""LONG"", (IFERROR(INDEX(GOOGLEFINANCE($C761, ""price"", WORKDAY(INT($B761), 5)), 2, 2), """")-$G761)/$G761, ($G761-IFE"&amp;"RROR(INDEX(GOOGLEFINANCE($C761, ""price"", WORKDAY(INT($B761), 5)), 2, 2), """"))/$G761)), """")"),"")</f>
        <v/>
      </c>
      <c r="P761" s="47" t="str">
        <f>IFERROR(__xludf.DUMMYFUNCTION("IFERROR(IF(OR(ISBLANK($G761), IFERROR(INDEX(GOOGLEFINANCE($C761, ""price"", WORKDAY(INT($B761), 20)), 2, 2), """")=""""), """", IF($D761=""LONG"", (IFERROR(INDEX(GOOGLEFINANCE($C761, ""price"", WORKDAY(INT($B761), 20)), 2, 2), """")-$G761)/$G761, ($G761-I"&amp;"FERROR(INDEX(GOOGLEFINANCE($C761, ""price"", WORKDAY(INT($B761), 20)), 2, 2), """"))/$G761)), """")"),"")</f>
        <v/>
      </c>
      <c r="Q761" s="44"/>
      <c r="R761" s="44"/>
      <c r="S761" s="44"/>
      <c r="T761" s="44"/>
      <c r="U761" s="44"/>
      <c r="V761" s="44"/>
      <c r="W761" s="44"/>
      <c r="X761" s="44"/>
      <c r="Y761" s="44"/>
      <c r="Z761" s="44"/>
    </row>
    <row r="762">
      <c r="A762" s="44"/>
      <c r="B762" s="45"/>
      <c r="C762" s="44"/>
      <c r="D762" s="44"/>
      <c r="E762" s="44"/>
      <c r="F762" s="44"/>
      <c r="G762" s="46"/>
      <c r="H762" s="44"/>
      <c r="I762" s="44"/>
      <c r="J762" s="44"/>
      <c r="K762" s="44"/>
      <c r="L762" s="46" t="str">
        <f>IFERROR(__xludf.DUMMYFUNCTION("IFERROR(IF(ISBLANK($C762), """", GOOGLEFINANCE($C762, ""price"")), """")"),"")</f>
        <v/>
      </c>
      <c r="M762" s="47" t="str">
        <f t="shared" si="3"/>
        <v/>
      </c>
      <c r="N762" s="47" t="str">
        <f>IFERROR(__xludf.DUMMYFUNCTION("IFERROR(IF(OR(ISBLANK($G762), IFERROR(INDEX(GOOGLEFINANCE($C762, ""price"", WORKDAY(INT($B762), 1)), 2, 2), """")=""""), """", IF($D762=""LONG"", (IFERROR(INDEX(GOOGLEFINANCE($C762, ""price"", WORKDAY(INT($B762), 1)), 2, 2), """")-$G762)/$G762, ($G762-IFE"&amp;"RROR(INDEX(GOOGLEFINANCE($C762, ""price"", WORKDAY(INT($B762), 1)), 2, 2), """"))/$G762)), """")"),"")</f>
        <v/>
      </c>
      <c r="O762" s="47" t="str">
        <f>IFERROR(__xludf.DUMMYFUNCTION("IFERROR(IF(OR(ISBLANK($G762), IFERROR(INDEX(GOOGLEFINANCE($C762, ""price"", WORKDAY(INT($B762), 5)), 2, 2), """")=""""), """", IF($D762=""LONG"", (IFERROR(INDEX(GOOGLEFINANCE($C762, ""price"", WORKDAY(INT($B762), 5)), 2, 2), """")-$G762)/$G762, ($G762-IFE"&amp;"RROR(INDEX(GOOGLEFINANCE($C762, ""price"", WORKDAY(INT($B762), 5)), 2, 2), """"))/$G762)), """")"),"")</f>
        <v/>
      </c>
      <c r="P762" s="47" t="str">
        <f>IFERROR(__xludf.DUMMYFUNCTION("IFERROR(IF(OR(ISBLANK($G762), IFERROR(INDEX(GOOGLEFINANCE($C762, ""price"", WORKDAY(INT($B762), 20)), 2, 2), """")=""""), """", IF($D762=""LONG"", (IFERROR(INDEX(GOOGLEFINANCE($C762, ""price"", WORKDAY(INT($B762), 20)), 2, 2), """")-$G762)/$G762, ($G762-I"&amp;"FERROR(INDEX(GOOGLEFINANCE($C762, ""price"", WORKDAY(INT($B762), 20)), 2, 2), """"))/$G762)), """")"),"")</f>
        <v/>
      </c>
      <c r="Q762" s="44"/>
      <c r="R762" s="44"/>
      <c r="S762" s="44"/>
      <c r="T762" s="44"/>
      <c r="U762" s="44"/>
      <c r="V762" s="44"/>
      <c r="W762" s="44"/>
      <c r="X762" s="44"/>
      <c r="Y762" s="44"/>
      <c r="Z762" s="44"/>
    </row>
    <row r="763">
      <c r="A763" s="44"/>
      <c r="B763" s="45"/>
      <c r="C763" s="44"/>
      <c r="D763" s="44"/>
      <c r="E763" s="44"/>
      <c r="F763" s="44"/>
      <c r="G763" s="46"/>
      <c r="H763" s="44"/>
      <c r="I763" s="44"/>
      <c r="J763" s="44"/>
      <c r="K763" s="44"/>
      <c r="L763" s="46" t="str">
        <f>IFERROR(__xludf.DUMMYFUNCTION("IFERROR(IF(ISBLANK($C763), """", GOOGLEFINANCE($C763, ""price"")), """")"),"")</f>
        <v/>
      </c>
      <c r="M763" s="47" t="str">
        <f t="shared" si="3"/>
        <v/>
      </c>
      <c r="N763" s="47" t="str">
        <f>IFERROR(__xludf.DUMMYFUNCTION("IFERROR(IF(OR(ISBLANK($G763), IFERROR(INDEX(GOOGLEFINANCE($C763, ""price"", WORKDAY(INT($B763), 1)), 2, 2), """")=""""), """", IF($D763=""LONG"", (IFERROR(INDEX(GOOGLEFINANCE($C763, ""price"", WORKDAY(INT($B763), 1)), 2, 2), """")-$G763)/$G763, ($G763-IFE"&amp;"RROR(INDEX(GOOGLEFINANCE($C763, ""price"", WORKDAY(INT($B763), 1)), 2, 2), """"))/$G763)), """")"),"")</f>
        <v/>
      </c>
      <c r="O763" s="47" t="str">
        <f>IFERROR(__xludf.DUMMYFUNCTION("IFERROR(IF(OR(ISBLANK($G763), IFERROR(INDEX(GOOGLEFINANCE($C763, ""price"", WORKDAY(INT($B763), 5)), 2, 2), """")=""""), """", IF($D763=""LONG"", (IFERROR(INDEX(GOOGLEFINANCE($C763, ""price"", WORKDAY(INT($B763), 5)), 2, 2), """")-$G763)/$G763, ($G763-IFE"&amp;"RROR(INDEX(GOOGLEFINANCE($C763, ""price"", WORKDAY(INT($B763), 5)), 2, 2), """"))/$G763)), """")"),"")</f>
        <v/>
      </c>
      <c r="P763" s="47" t="str">
        <f>IFERROR(__xludf.DUMMYFUNCTION("IFERROR(IF(OR(ISBLANK($G763), IFERROR(INDEX(GOOGLEFINANCE($C763, ""price"", WORKDAY(INT($B763), 20)), 2, 2), """")=""""), """", IF($D763=""LONG"", (IFERROR(INDEX(GOOGLEFINANCE($C763, ""price"", WORKDAY(INT($B763), 20)), 2, 2), """")-$G763)/$G763, ($G763-I"&amp;"FERROR(INDEX(GOOGLEFINANCE($C763, ""price"", WORKDAY(INT($B763), 20)), 2, 2), """"))/$G763)), """")"),"")</f>
        <v/>
      </c>
      <c r="Q763" s="44"/>
      <c r="R763" s="44"/>
      <c r="S763" s="44"/>
      <c r="T763" s="44"/>
      <c r="U763" s="44"/>
      <c r="V763" s="44"/>
      <c r="W763" s="44"/>
      <c r="X763" s="44"/>
      <c r="Y763" s="44"/>
      <c r="Z763" s="44"/>
    </row>
    <row r="764">
      <c r="A764" s="44"/>
      <c r="B764" s="45"/>
      <c r="C764" s="44"/>
      <c r="D764" s="44"/>
      <c r="E764" s="44"/>
      <c r="F764" s="44"/>
      <c r="G764" s="46"/>
      <c r="H764" s="44"/>
      <c r="I764" s="44"/>
      <c r="J764" s="44"/>
      <c r="K764" s="44"/>
      <c r="L764" s="46" t="str">
        <f>IFERROR(__xludf.DUMMYFUNCTION("IFERROR(IF(ISBLANK($C764), """", GOOGLEFINANCE($C764, ""price"")), """")"),"")</f>
        <v/>
      </c>
      <c r="M764" s="47" t="str">
        <f t="shared" si="3"/>
        <v/>
      </c>
      <c r="N764" s="47" t="str">
        <f>IFERROR(__xludf.DUMMYFUNCTION("IFERROR(IF(OR(ISBLANK($G764), IFERROR(INDEX(GOOGLEFINANCE($C764, ""price"", WORKDAY(INT($B764), 1)), 2, 2), """")=""""), """", IF($D764=""LONG"", (IFERROR(INDEX(GOOGLEFINANCE($C764, ""price"", WORKDAY(INT($B764), 1)), 2, 2), """")-$G764)/$G764, ($G764-IFE"&amp;"RROR(INDEX(GOOGLEFINANCE($C764, ""price"", WORKDAY(INT($B764), 1)), 2, 2), """"))/$G764)), """")"),"")</f>
        <v/>
      </c>
      <c r="O764" s="47" t="str">
        <f>IFERROR(__xludf.DUMMYFUNCTION("IFERROR(IF(OR(ISBLANK($G764), IFERROR(INDEX(GOOGLEFINANCE($C764, ""price"", WORKDAY(INT($B764), 5)), 2, 2), """")=""""), """", IF($D764=""LONG"", (IFERROR(INDEX(GOOGLEFINANCE($C764, ""price"", WORKDAY(INT($B764), 5)), 2, 2), """")-$G764)/$G764, ($G764-IFE"&amp;"RROR(INDEX(GOOGLEFINANCE($C764, ""price"", WORKDAY(INT($B764), 5)), 2, 2), """"))/$G764)), """")"),"")</f>
        <v/>
      </c>
      <c r="P764" s="47" t="str">
        <f>IFERROR(__xludf.DUMMYFUNCTION("IFERROR(IF(OR(ISBLANK($G764), IFERROR(INDEX(GOOGLEFINANCE($C764, ""price"", WORKDAY(INT($B764), 20)), 2, 2), """")=""""), """", IF($D764=""LONG"", (IFERROR(INDEX(GOOGLEFINANCE($C764, ""price"", WORKDAY(INT($B764), 20)), 2, 2), """")-$G764)/$G764, ($G764-I"&amp;"FERROR(INDEX(GOOGLEFINANCE($C764, ""price"", WORKDAY(INT($B764), 20)), 2, 2), """"))/$G764)), """")"),"")</f>
        <v/>
      </c>
      <c r="Q764" s="44"/>
      <c r="R764" s="44"/>
      <c r="S764" s="44"/>
      <c r="T764" s="44"/>
      <c r="U764" s="44"/>
      <c r="V764" s="44"/>
      <c r="W764" s="44"/>
      <c r="X764" s="44"/>
      <c r="Y764" s="44"/>
      <c r="Z764" s="44"/>
    </row>
    <row r="765">
      <c r="A765" s="44"/>
      <c r="B765" s="45"/>
      <c r="C765" s="44"/>
      <c r="D765" s="44"/>
      <c r="E765" s="44"/>
      <c r="F765" s="44"/>
      <c r="G765" s="46"/>
      <c r="H765" s="44"/>
      <c r="I765" s="44"/>
      <c r="J765" s="44"/>
      <c r="K765" s="44"/>
      <c r="L765" s="46" t="str">
        <f>IFERROR(__xludf.DUMMYFUNCTION("IFERROR(IF(ISBLANK($C765), """", GOOGLEFINANCE($C765, ""price"")), """")"),"")</f>
        <v/>
      </c>
      <c r="M765" s="47" t="str">
        <f t="shared" si="3"/>
        <v/>
      </c>
      <c r="N765" s="47" t="str">
        <f>IFERROR(__xludf.DUMMYFUNCTION("IFERROR(IF(OR(ISBLANK($G765), IFERROR(INDEX(GOOGLEFINANCE($C765, ""price"", WORKDAY(INT($B765), 1)), 2, 2), """")=""""), """", IF($D765=""LONG"", (IFERROR(INDEX(GOOGLEFINANCE($C765, ""price"", WORKDAY(INT($B765), 1)), 2, 2), """")-$G765)/$G765, ($G765-IFE"&amp;"RROR(INDEX(GOOGLEFINANCE($C765, ""price"", WORKDAY(INT($B765), 1)), 2, 2), """"))/$G765)), """")"),"")</f>
        <v/>
      </c>
      <c r="O765" s="47" t="str">
        <f>IFERROR(__xludf.DUMMYFUNCTION("IFERROR(IF(OR(ISBLANK($G765), IFERROR(INDEX(GOOGLEFINANCE($C765, ""price"", WORKDAY(INT($B765), 5)), 2, 2), """")=""""), """", IF($D765=""LONG"", (IFERROR(INDEX(GOOGLEFINANCE($C765, ""price"", WORKDAY(INT($B765), 5)), 2, 2), """")-$G765)/$G765, ($G765-IFE"&amp;"RROR(INDEX(GOOGLEFINANCE($C765, ""price"", WORKDAY(INT($B765), 5)), 2, 2), """"))/$G765)), """")"),"")</f>
        <v/>
      </c>
      <c r="P765" s="47" t="str">
        <f>IFERROR(__xludf.DUMMYFUNCTION("IFERROR(IF(OR(ISBLANK($G765), IFERROR(INDEX(GOOGLEFINANCE($C765, ""price"", WORKDAY(INT($B765), 20)), 2, 2), """")=""""), """", IF($D765=""LONG"", (IFERROR(INDEX(GOOGLEFINANCE($C765, ""price"", WORKDAY(INT($B765), 20)), 2, 2), """")-$G765)/$G765, ($G765-I"&amp;"FERROR(INDEX(GOOGLEFINANCE($C765, ""price"", WORKDAY(INT($B765), 20)), 2, 2), """"))/$G765)), """")"),"")</f>
        <v/>
      </c>
      <c r="Q765" s="44"/>
      <c r="R765" s="44"/>
      <c r="S765" s="44"/>
      <c r="T765" s="44"/>
      <c r="U765" s="44"/>
      <c r="V765" s="44"/>
      <c r="W765" s="44"/>
      <c r="X765" s="44"/>
      <c r="Y765" s="44"/>
      <c r="Z765" s="44"/>
    </row>
    <row r="766">
      <c r="A766" s="44"/>
      <c r="B766" s="45"/>
      <c r="C766" s="44"/>
      <c r="D766" s="44"/>
      <c r="E766" s="44"/>
      <c r="F766" s="44"/>
      <c r="G766" s="46"/>
      <c r="H766" s="44"/>
      <c r="I766" s="44"/>
      <c r="J766" s="44"/>
      <c r="K766" s="44"/>
      <c r="L766" s="46" t="str">
        <f>IFERROR(__xludf.DUMMYFUNCTION("IFERROR(IF(ISBLANK($C766), """", GOOGLEFINANCE($C766, ""price"")), """")"),"")</f>
        <v/>
      </c>
      <c r="M766" s="47" t="str">
        <f t="shared" si="3"/>
        <v/>
      </c>
      <c r="N766" s="47" t="str">
        <f>IFERROR(__xludf.DUMMYFUNCTION("IFERROR(IF(OR(ISBLANK($G766), IFERROR(INDEX(GOOGLEFINANCE($C766, ""price"", WORKDAY(INT($B766), 1)), 2, 2), """")=""""), """", IF($D766=""LONG"", (IFERROR(INDEX(GOOGLEFINANCE($C766, ""price"", WORKDAY(INT($B766), 1)), 2, 2), """")-$G766)/$G766, ($G766-IFE"&amp;"RROR(INDEX(GOOGLEFINANCE($C766, ""price"", WORKDAY(INT($B766), 1)), 2, 2), """"))/$G766)), """")"),"")</f>
        <v/>
      </c>
      <c r="O766" s="47" t="str">
        <f>IFERROR(__xludf.DUMMYFUNCTION("IFERROR(IF(OR(ISBLANK($G766), IFERROR(INDEX(GOOGLEFINANCE($C766, ""price"", WORKDAY(INT($B766), 5)), 2, 2), """")=""""), """", IF($D766=""LONG"", (IFERROR(INDEX(GOOGLEFINANCE($C766, ""price"", WORKDAY(INT($B766), 5)), 2, 2), """")-$G766)/$G766, ($G766-IFE"&amp;"RROR(INDEX(GOOGLEFINANCE($C766, ""price"", WORKDAY(INT($B766), 5)), 2, 2), """"))/$G766)), """")"),"")</f>
        <v/>
      </c>
      <c r="P766" s="47" t="str">
        <f>IFERROR(__xludf.DUMMYFUNCTION("IFERROR(IF(OR(ISBLANK($G766), IFERROR(INDEX(GOOGLEFINANCE($C766, ""price"", WORKDAY(INT($B766), 20)), 2, 2), """")=""""), """", IF($D766=""LONG"", (IFERROR(INDEX(GOOGLEFINANCE($C766, ""price"", WORKDAY(INT($B766), 20)), 2, 2), """")-$G766)/$G766, ($G766-I"&amp;"FERROR(INDEX(GOOGLEFINANCE($C766, ""price"", WORKDAY(INT($B766), 20)), 2, 2), """"))/$G766)), """")"),"")</f>
        <v/>
      </c>
      <c r="Q766" s="44"/>
      <c r="R766" s="44"/>
      <c r="S766" s="44"/>
      <c r="T766" s="44"/>
      <c r="U766" s="44"/>
      <c r="V766" s="44"/>
      <c r="W766" s="44"/>
      <c r="X766" s="44"/>
      <c r="Y766" s="44"/>
      <c r="Z766" s="44"/>
    </row>
    <row r="767">
      <c r="A767" s="44"/>
      <c r="B767" s="45"/>
      <c r="C767" s="44"/>
      <c r="D767" s="44"/>
      <c r="E767" s="44"/>
      <c r="F767" s="44"/>
      <c r="G767" s="46"/>
      <c r="H767" s="44"/>
      <c r="I767" s="44"/>
      <c r="J767" s="44"/>
      <c r="K767" s="44"/>
      <c r="L767" s="46" t="str">
        <f>IFERROR(__xludf.DUMMYFUNCTION("IFERROR(IF(ISBLANK($C767), """", GOOGLEFINANCE($C767, ""price"")), """")"),"")</f>
        <v/>
      </c>
      <c r="M767" s="47" t="str">
        <f t="shared" si="3"/>
        <v/>
      </c>
      <c r="N767" s="47" t="str">
        <f>IFERROR(__xludf.DUMMYFUNCTION("IFERROR(IF(OR(ISBLANK($G767), IFERROR(INDEX(GOOGLEFINANCE($C767, ""price"", WORKDAY(INT($B767), 1)), 2, 2), """")=""""), """", IF($D767=""LONG"", (IFERROR(INDEX(GOOGLEFINANCE($C767, ""price"", WORKDAY(INT($B767), 1)), 2, 2), """")-$G767)/$G767, ($G767-IFE"&amp;"RROR(INDEX(GOOGLEFINANCE($C767, ""price"", WORKDAY(INT($B767), 1)), 2, 2), """"))/$G767)), """")"),"")</f>
        <v/>
      </c>
      <c r="O767" s="47" t="str">
        <f>IFERROR(__xludf.DUMMYFUNCTION("IFERROR(IF(OR(ISBLANK($G767), IFERROR(INDEX(GOOGLEFINANCE($C767, ""price"", WORKDAY(INT($B767), 5)), 2, 2), """")=""""), """", IF($D767=""LONG"", (IFERROR(INDEX(GOOGLEFINANCE($C767, ""price"", WORKDAY(INT($B767), 5)), 2, 2), """")-$G767)/$G767, ($G767-IFE"&amp;"RROR(INDEX(GOOGLEFINANCE($C767, ""price"", WORKDAY(INT($B767), 5)), 2, 2), """"))/$G767)), """")"),"")</f>
        <v/>
      </c>
      <c r="P767" s="47" t="str">
        <f>IFERROR(__xludf.DUMMYFUNCTION("IFERROR(IF(OR(ISBLANK($G767), IFERROR(INDEX(GOOGLEFINANCE($C767, ""price"", WORKDAY(INT($B767), 20)), 2, 2), """")=""""), """", IF($D767=""LONG"", (IFERROR(INDEX(GOOGLEFINANCE($C767, ""price"", WORKDAY(INT($B767), 20)), 2, 2), """")-$G767)/$G767, ($G767-I"&amp;"FERROR(INDEX(GOOGLEFINANCE($C767, ""price"", WORKDAY(INT($B767), 20)), 2, 2), """"))/$G767)), """")"),"")</f>
        <v/>
      </c>
      <c r="Q767" s="44"/>
      <c r="R767" s="44"/>
      <c r="S767" s="44"/>
      <c r="T767" s="44"/>
      <c r="U767" s="44"/>
      <c r="V767" s="44"/>
      <c r="W767" s="44"/>
      <c r="X767" s="44"/>
      <c r="Y767" s="44"/>
      <c r="Z767" s="44"/>
    </row>
    <row r="768">
      <c r="A768" s="44"/>
      <c r="B768" s="45"/>
      <c r="C768" s="44"/>
      <c r="D768" s="44"/>
      <c r="E768" s="44"/>
      <c r="F768" s="44"/>
      <c r="G768" s="46"/>
      <c r="H768" s="44"/>
      <c r="I768" s="44"/>
      <c r="J768" s="44"/>
      <c r="K768" s="44"/>
      <c r="L768" s="46" t="str">
        <f>IFERROR(__xludf.DUMMYFUNCTION("IFERROR(IF(ISBLANK($C768), """", GOOGLEFINANCE($C768, ""price"")), """")"),"")</f>
        <v/>
      </c>
      <c r="M768" s="47" t="str">
        <f t="shared" si="3"/>
        <v/>
      </c>
      <c r="N768" s="47" t="str">
        <f>IFERROR(__xludf.DUMMYFUNCTION("IFERROR(IF(OR(ISBLANK($G768), IFERROR(INDEX(GOOGLEFINANCE($C768, ""price"", WORKDAY(INT($B768), 1)), 2, 2), """")=""""), """", IF($D768=""LONG"", (IFERROR(INDEX(GOOGLEFINANCE($C768, ""price"", WORKDAY(INT($B768), 1)), 2, 2), """")-$G768)/$G768, ($G768-IFE"&amp;"RROR(INDEX(GOOGLEFINANCE($C768, ""price"", WORKDAY(INT($B768), 1)), 2, 2), """"))/$G768)), """")"),"")</f>
        <v/>
      </c>
      <c r="O768" s="47" t="str">
        <f>IFERROR(__xludf.DUMMYFUNCTION("IFERROR(IF(OR(ISBLANK($G768), IFERROR(INDEX(GOOGLEFINANCE($C768, ""price"", WORKDAY(INT($B768), 5)), 2, 2), """")=""""), """", IF($D768=""LONG"", (IFERROR(INDEX(GOOGLEFINANCE($C768, ""price"", WORKDAY(INT($B768), 5)), 2, 2), """")-$G768)/$G768, ($G768-IFE"&amp;"RROR(INDEX(GOOGLEFINANCE($C768, ""price"", WORKDAY(INT($B768), 5)), 2, 2), """"))/$G768)), """")"),"")</f>
        <v/>
      </c>
      <c r="P768" s="47" t="str">
        <f>IFERROR(__xludf.DUMMYFUNCTION("IFERROR(IF(OR(ISBLANK($G768), IFERROR(INDEX(GOOGLEFINANCE($C768, ""price"", WORKDAY(INT($B768), 20)), 2, 2), """")=""""), """", IF($D768=""LONG"", (IFERROR(INDEX(GOOGLEFINANCE($C768, ""price"", WORKDAY(INT($B768), 20)), 2, 2), """")-$G768)/$G768, ($G768-I"&amp;"FERROR(INDEX(GOOGLEFINANCE($C768, ""price"", WORKDAY(INT($B768), 20)), 2, 2), """"))/$G768)), """")"),"")</f>
        <v/>
      </c>
      <c r="Q768" s="44"/>
      <c r="R768" s="44"/>
      <c r="S768" s="44"/>
      <c r="T768" s="44"/>
      <c r="U768" s="44"/>
      <c r="V768" s="44"/>
      <c r="W768" s="44"/>
      <c r="X768" s="44"/>
      <c r="Y768" s="44"/>
      <c r="Z768" s="44"/>
    </row>
    <row r="769">
      <c r="A769" s="44"/>
      <c r="B769" s="45"/>
      <c r="C769" s="44"/>
      <c r="D769" s="44"/>
      <c r="E769" s="44"/>
      <c r="F769" s="44"/>
      <c r="G769" s="46"/>
      <c r="H769" s="44"/>
      <c r="I769" s="44"/>
      <c r="J769" s="44"/>
      <c r="K769" s="44"/>
      <c r="L769" s="46" t="str">
        <f>IFERROR(__xludf.DUMMYFUNCTION("IFERROR(IF(ISBLANK($C769), """", GOOGLEFINANCE($C769, ""price"")), """")"),"")</f>
        <v/>
      </c>
      <c r="M769" s="47" t="str">
        <f t="shared" si="3"/>
        <v/>
      </c>
      <c r="N769" s="47" t="str">
        <f>IFERROR(__xludf.DUMMYFUNCTION("IFERROR(IF(OR(ISBLANK($G769), IFERROR(INDEX(GOOGLEFINANCE($C769, ""price"", WORKDAY(INT($B769), 1)), 2, 2), """")=""""), """", IF($D769=""LONG"", (IFERROR(INDEX(GOOGLEFINANCE($C769, ""price"", WORKDAY(INT($B769), 1)), 2, 2), """")-$G769)/$G769, ($G769-IFE"&amp;"RROR(INDEX(GOOGLEFINANCE($C769, ""price"", WORKDAY(INT($B769), 1)), 2, 2), """"))/$G769)), """")"),"")</f>
        <v/>
      </c>
      <c r="O769" s="47" t="str">
        <f>IFERROR(__xludf.DUMMYFUNCTION("IFERROR(IF(OR(ISBLANK($G769), IFERROR(INDEX(GOOGLEFINANCE($C769, ""price"", WORKDAY(INT($B769), 5)), 2, 2), """")=""""), """", IF($D769=""LONG"", (IFERROR(INDEX(GOOGLEFINANCE($C769, ""price"", WORKDAY(INT($B769), 5)), 2, 2), """")-$G769)/$G769, ($G769-IFE"&amp;"RROR(INDEX(GOOGLEFINANCE($C769, ""price"", WORKDAY(INT($B769), 5)), 2, 2), """"))/$G769)), """")"),"")</f>
        <v/>
      </c>
      <c r="P769" s="47" t="str">
        <f>IFERROR(__xludf.DUMMYFUNCTION("IFERROR(IF(OR(ISBLANK($G769), IFERROR(INDEX(GOOGLEFINANCE($C769, ""price"", WORKDAY(INT($B769), 20)), 2, 2), """")=""""), """", IF($D769=""LONG"", (IFERROR(INDEX(GOOGLEFINANCE($C769, ""price"", WORKDAY(INT($B769), 20)), 2, 2), """")-$G769)/$G769, ($G769-I"&amp;"FERROR(INDEX(GOOGLEFINANCE($C769, ""price"", WORKDAY(INT($B769), 20)), 2, 2), """"))/$G769)), """")"),"")</f>
        <v/>
      </c>
      <c r="Q769" s="44"/>
      <c r="R769" s="44"/>
      <c r="S769" s="44"/>
      <c r="T769" s="44"/>
      <c r="U769" s="44"/>
      <c r="V769" s="44"/>
      <c r="W769" s="44"/>
      <c r="X769" s="44"/>
      <c r="Y769" s="44"/>
      <c r="Z769" s="44"/>
    </row>
    <row r="770">
      <c r="A770" s="44"/>
      <c r="B770" s="45"/>
      <c r="C770" s="44"/>
      <c r="D770" s="44"/>
      <c r="E770" s="44"/>
      <c r="F770" s="44"/>
      <c r="G770" s="46"/>
      <c r="H770" s="44"/>
      <c r="I770" s="44"/>
      <c r="J770" s="44"/>
      <c r="K770" s="44"/>
      <c r="L770" s="46" t="str">
        <f>IFERROR(__xludf.DUMMYFUNCTION("IFERROR(IF(ISBLANK($C770), """", GOOGLEFINANCE($C770, ""price"")), """")"),"")</f>
        <v/>
      </c>
      <c r="M770" s="47" t="str">
        <f t="shared" si="3"/>
        <v/>
      </c>
      <c r="N770" s="47" t="str">
        <f>IFERROR(__xludf.DUMMYFUNCTION("IFERROR(IF(OR(ISBLANK($G770), IFERROR(INDEX(GOOGLEFINANCE($C770, ""price"", WORKDAY(INT($B770), 1)), 2, 2), """")=""""), """", IF($D770=""LONG"", (IFERROR(INDEX(GOOGLEFINANCE($C770, ""price"", WORKDAY(INT($B770), 1)), 2, 2), """")-$G770)/$G770, ($G770-IFE"&amp;"RROR(INDEX(GOOGLEFINANCE($C770, ""price"", WORKDAY(INT($B770), 1)), 2, 2), """"))/$G770)), """")"),"")</f>
        <v/>
      </c>
      <c r="O770" s="47" t="str">
        <f>IFERROR(__xludf.DUMMYFUNCTION("IFERROR(IF(OR(ISBLANK($G770), IFERROR(INDEX(GOOGLEFINANCE($C770, ""price"", WORKDAY(INT($B770), 5)), 2, 2), """")=""""), """", IF($D770=""LONG"", (IFERROR(INDEX(GOOGLEFINANCE($C770, ""price"", WORKDAY(INT($B770), 5)), 2, 2), """")-$G770)/$G770, ($G770-IFE"&amp;"RROR(INDEX(GOOGLEFINANCE($C770, ""price"", WORKDAY(INT($B770), 5)), 2, 2), """"))/$G770)), """")"),"")</f>
        <v/>
      </c>
      <c r="P770" s="47" t="str">
        <f>IFERROR(__xludf.DUMMYFUNCTION("IFERROR(IF(OR(ISBLANK($G770), IFERROR(INDEX(GOOGLEFINANCE($C770, ""price"", WORKDAY(INT($B770), 20)), 2, 2), """")=""""), """", IF($D770=""LONG"", (IFERROR(INDEX(GOOGLEFINANCE($C770, ""price"", WORKDAY(INT($B770), 20)), 2, 2), """")-$G770)/$G770, ($G770-I"&amp;"FERROR(INDEX(GOOGLEFINANCE($C770, ""price"", WORKDAY(INT($B770), 20)), 2, 2), """"))/$G770)), """")"),"")</f>
        <v/>
      </c>
      <c r="Q770" s="44"/>
      <c r="R770" s="44"/>
      <c r="S770" s="44"/>
      <c r="T770" s="44"/>
      <c r="U770" s="44"/>
      <c r="V770" s="44"/>
      <c r="W770" s="44"/>
      <c r="X770" s="44"/>
      <c r="Y770" s="44"/>
      <c r="Z770" s="44"/>
    </row>
    <row r="771">
      <c r="A771" s="44"/>
      <c r="B771" s="45"/>
      <c r="C771" s="44"/>
      <c r="D771" s="44"/>
      <c r="E771" s="44"/>
      <c r="F771" s="44"/>
      <c r="G771" s="46"/>
      <c r="H771" s="44"/>
      <c r="I771" s="44"/>
      <c r="J771" s="44"/>
      <c r="K771" s="44"/>
      <c r="L771" s="46" t="str">
        <f>IFERROR(__xludf.DUMMYFUNCTION("IFERROR(IF(ISBLANK($C771), """", GOOGLEFINANCE($C771, ""price"")), """")"),"")</f>
        <v/>
      </c>
      <c r="M771" s="47" t="str">
        <f t="shared" si="3"/>
        <v/>
      </c>
      <c r="N771" s="47" t="str">
        <f>IFERROR(__xludf.DUMMYFUNCTION("IFERROR(IF(OR(ISBLANK($G771), IFERROR(INDEX(GOOGLEFINANCE($C771, ""price"", WORKDAY(INT($B771), 1)), 2, 2), """")=""""), """", IF($D771=""LONG"", (IFERROR(INDEX(GOOGLEFINANCE($C771, ""price"", WORKDAY(INT($B771), 1)), 2, 2), """")-$G771)/$G771, ($G771-IFE"&amp;"RROR(INDEX(GOOGLEFINANCE($C771, ""price"", WORKDAY(INT($B771), 1)), 2, 2), """"))/$G771)), """")"),"")</f>
        <v/>
      </c>
      <c r="O771" s="47" t="str">
        <f>IFERROR(__xludf.DUMMYFUNCTION("IFERROR(IF(OR(ISBLANK($G771), IFERROR(INDEX(GOOGLEFINANCE($C771, ""price"", WORKDAY(INT($B771), 5)), 2, 2), """")=""""), """", IF($D771=""LONG"", (IFERROR(INDEX(GOOGLEFINANCE($C771, ""price"", WORKDAY(INT($B771), 5)), 2, 2), """")-$G771)/$G771, ($G771-IFE"&amp;"RROR(INDEX(GOOGLEFINANCE($C771, ""price"", WORKDAY(INT($B771), 5)), 2, 2), """"))/$G771)), """")"),"")</f>
        <v/>
      </c>
      <c r="P771" s="47" t="str">
        <f>IFERROR(__xludf.DUMMYFUNCTION("IFERROR(IF(OR(ISBLANK($G771), IFERROR(INDEX(GOOGLEFINANCE($C771, ""price"", WORKDAY(INT($B771), 20)), 2, 2), """")=""""), """", IF($D771=""LONG"", (IFERROR(INDEX(GOOGLEFINANCE($C771, ""price"", WORKDAY(INT($B771), 20)), 2, 2), """")-$G771)/$G771, ($G771-I"&amp;"FERROR(INDEX(GOOGLEFINANCE($C771, ""price"", WORKDAY(INT($B771), 20)), 2, 2), """"))/$G771)), """")"),"")</f>
        <v/>
      </c>
      <c r="Q771" s="44"/>
      <c r="R771" s="44"/>
      <c r="S771" s="44"/>
      <c r="T771" s="44"/>
      <c r="U771" s="44"/>
      <c r="V771" s="44"/>
      <c r="W771" s="44"/>
      <c r="X771" s="44"/>
      <c r="Y771" s="44"/>
      <c r="Z771" s="44"/>
    </row>
    <row r="772">
      <c r="A772" s="44"/>
      <c r="B772" s="45"/>
      <c r="C772" s="44"/>
      <c r="D772" s="44"/>
      <c r="E772" s="44"/>
      <c r="F772" s="44"/>
      <c r="G772" s="46"/>
      <c r="H772" s="44"/>
      <c r="I772" s="44"/>
      <c r="J772" s="44"/>
      <c r="K772" s="44"/>
      <c r="L772" s="46" t="str">
        <f>IFERROR(__xludf.DUMMYFUNCTION("IFERROR(IF(ISBLANK($C772), """", GOOGLEFINANCE($C772, ""price"")), """")"),"")</f>
        <v/>
      </c>
      <c r="M772" s="47" t="str">
        <f t="shared" si="3"/>
        <v/>
      </c>
      <c r="N772" s="47" t="str">
        <f>IFERROR(__xludf.DUMMYFUNCTION("IFERROR(IF(OR(ISBLANK($G772), IFERROR(INDEX(GOOGLEFINANCE($C772, ""price"", WORKDAY(INT($B772), 1)), 2, 2), """")=""""), """", IF($D772=""LONG"", (IFERROR(INDEX(GOOGLEFINANCE($C772, ""price"", WORKDAY(INT($B772), 1)), 2, 2), """")-$G772)/$G772, ($G772-IFE"&amp;"RROR(INDEX(GOOGLEFINANCE($C772, ""price"", WORKDAY(INT($B772), 1)), 2, 2), """"))/$G772)), """")"),"")</f>
        <v/>
      </c>
      <c r="O772" s="47" t="str">
        <f>IFERROR(__xludf.DUMMYFUNCTION("IFERROR(IF(OR(ISBLANK($G772), IFERROR(INDEX(GOOGLEFINANCE($C772, ""price"", WORKDAY(INT($B772), 5)), 2, 2), """")=""""), """", IF($D772=""LONG"", (IFERROR(INDEX(GOOGLEFINANCE($C772, ""price"", WORKDAY(INT($B772), 5)), 2, 2), """")-$G772)/$G772, ($G772-IFE"&amp;"RROR(INDEX(GOOGLEFINANCE($C772, ""price"", WORKDAY(INT($B772), 5)), 2, 2), """"))/$G772)), """")"),"")</f>
        <v/>
      </c>
      <c r="P772" s="47" t="str">
        <f>IFERROR(__xludf.DUMMYFUNCTION("IFERROR(IF(OR(ISBLANK($G772), IFERROR(INDEX(GOOGLEFINANCE($C772, ""price"", WORKDAY(INT($B772), 20)), 2, 2), """")=""""), """", IF($D772=""LONG"", (IFERROR(INDEX(GOOGLEFINANCE($C772, ""price"", WORKDAY(INT($B772), 20)), 2, 2), """")-$G772)/$G772, ($G772-I"&amp;"FERROR(INDEX(GOOGLEFINANCE($C772, ""price"", WORKDAY(INT($B772), 20)), 2, 2), """"))/$G772)), """")"),"")</f>
        <v/>
      </c>
      <c r="Q772" s="44"/>
      <c r="R772" s="44"/>
      <c r="S772" s="44"/>
      <c r="T772" s="44"/>
      <c r="U772" s="44"/>
      <c r="V772" s="44"/>
      <c r="W772" s="44"/>
      <c r="X772" s="44"/>
      <c r="Y772" s="44"/>
      <c r="Z772" s="44"/>
    </row>
    <row r="773">
      <c r="A773" s="44"/>
      <c r="B773" s="45"/>
      <c r="C773" s="44"/>
      <c r="D773" s="44"/>
      <c r="E773" s="44"/>
      <c r="F773" s="44"/>
      <c r="G773" s="46"/>
      <c r="H773" s="44"/>
      <c r="I773" s="44"/>
      <c r="J773" s="44"/>
      <c r="K773" s="44"/>
      <c r="L773" s="46" t="str">
        <f>IFERROR(__xludf.DUMMYFUNCTION("IFERROR(IF(ISBLANK($C773), """", GOOGLEFINANCE($C773, ""price"")), """")"),"")</f>
        <v/>
      </c>
      <c r="M773" s="47" t="str">
        <f t="shared" si="3"/>
        <v/>
      </c>
      <c r="N773" s="47" t="str">
        <f>IFERROR(__xludf.DUMMYFUNCTION("IFERROR(IF(OR(ISBLANK($G773), IFERROR(INDEX(GOOGLEFINANCE($C773, ""price"", WORKDAY(INT($B773), 1)), 2, 2), """")=""""), """", IF($D773=""LONG"", (IFERROR(INDEX(GOOGLEFINANCE($C773, ""price"", WORKDAY(INT($B773), 1)), 2, 2), """")-$G773)/$G773, ($G773-IFE"&amp;"RROR(INDEX(GOOGLEFINANCE($C773, ""price"", WORKDAY(INT($B773), 1)), 2, 2), """"))/$G773)), """")"),"")</f>
        <v/>
      </c>
      <c r="O773" s="47" t="str">
        <f>IFERROR(__xludf.DUMMYFUNCTION("IFERROR(IF(OR(ISBLANK($G773), IFERROR(INDEX(GOOGLEFINANCE($C773, ""price"", WORKDAY(INT($B773), 5)), 2, 2), """")=""""), """", IF($D773=""LONG"", (IFERROR(INDEX(GOOGLEFINANCE($C773, ""price"", WORKDAY(INT($B773), 5)), 2, 2), """")-$G773)/$G773, ($G773-IFE"&amp;"RROR(INDEX(GOOGLEFINANCE($C773, ""price"", WORKDAY(INT($B773), 5)), 2, 2), """"))/$G773)), """")"),"")</f>
        <v/>
      </c>
      <c r="P773" s="47" t="str">
        <f>IFERROR(__xludf.DUMMYFUNCTION("IFERROR(IF(OR(ISBLANK($G773), IFERROR(INDEX(GOOGLEFINANCE($C773, ""price"", WORKDAY(INT($B773), 20)), 2, 2), """")=""""), """", IF($D773=""LONG"", (IFERROR(INDEX(GOOGLEFINANCE($C773, ""price"", WORKDAY(INT($B773), 20)), 2, 2), """")-$G773)/$G773, ($G773-I"&amp;"FERROR(INDEX(GOOGLEFINANCE($C773, ""price"", WORKDAY(INT($B773), 20)), 2, 2), """"))/$G773)), """")"),"")</f>
        <v/>
      </c>
      <c r="Q773" s="44"/>
      <c r="R773" s="44"/>
      <c r="S773" s="44"/>
      <c r="T773" s="44"/>
      <c r="U773" s="44"/>
      <c r="V773" s="44"/>
      <c r="W773" s="44"/>
      <c r="X773" s="44"/>
      <c r="Y773" s="44"/>
      <c r="Z773" s="44"/>
    </row>
    <row r="774">
      <c r="A774" s="44"/>
      <c r="B774" s="45"/>
      <c r="C774" s="44"/>
      <c r="D774" s="44"/>
      <c r="E774" s="44"/>
      <c r="F774" s="44"/>
      <c r="G774" s="46"/>
      <c r="H774" s="44"/>
      <c r="I774" s="44"/>
      <c r="J774" s="44"/>
      <c r="K774" s="44"/>
      <c r="L774" s="46" t="str">
        <f>IFERROR(__xludf.DUMMYFUNCTION("IFERROR(IF(ISBLANK($C774), """", GOOGLEFINANCE($C774, ""price"")), """")"),"")</f>
        <v/>
      </c>
      <c r="M774" s="47" t="str">
        <f t="shared" si="3"/>
        <v/>
      </c>
      <c r="N774" s="47" t="str">
        <f>IFERROR(__xludf.DUMMYFUNCTION("IFERROR(IF(OR(ISBLANK($G774), IFERROR(INDEX(GOOGLEFINANCE($C774, ""price"", WORKDAY(INT($B774), 1)), 2, 2), """")=""""), """", IF($D774=""LONG"", (IFERROR(INDEX(GOOGLEFINANCE($C774, ""price"", WORKDAY(INT($B774), 1)), 2, 2), """")-$G774)/$G774, ($G774-IFE"&amp;"RROR(INDEX(GOOGLEFINANCE($C774, ""price"", WORKDAY(INT($B774), 1)), 2, 2), """"))/$G774)), """")"),"")</f>
        <v/>
      </c>
      <c r="O774" s="47" t="str">
        <f>IFERROR(__xludf.DUMMYFUNCTION("IFERROR(IF(OR(ISBLANK($G774), IFERROR(INDEX(GOOGLEFINANCE($C774, ""price"", WORKDAY(INT($B774), 5)), 2, 2), """")=""""), """", IF($D774=""LONG"", (IFERROR(INDEX(GOOGLEFINANCE($C774, ""price"", WORKDAY(INT($B774), 5)), 2, 2), """")-$G774)/$G774, ($G774-IFE"&amp;"RROR(INDEX(GOOGLEFINANCE($C774, ""price"", WORKDAY(INT($B774), 5)), 2, 2), """"))/$G774)), """")"),"")</f>
        <v/>
      </c>
      <c r="P774" s="47" t="str">
        <f>IFERROR(__xludf.DUMMYFUNCTION("IFERROR(IF(OR(ISBLANK($G774), IFERROR(INDEX(GOOGLEFINANCE($C774, ""price"", WORKDAY(INT($B774), 20)), 2, 2), """")=""""), """", IF($D774=""LONG"", (IFERROR(INDEX(GOOGLEFINANCE($C774, ""price"", WORKDAY(INT($B774), 20)), 2, 2), """")-$G774)/$G774, ($G774-I"&amp;"FERROR(INDEX(GOOGLEFINANCE($C774, ""price"", WORKDAY(INT($B774), 20)), 2, 2), """"))/$G774)), """")"),"")</f>
        <v/>
      </c>
      <c r="Q774" s="44"/>
      <c r="R774" s="44"/>
      <c r="S774" s="44"/>
      <c r="T774" s="44"/>
      <c r="U774" s="44"/>
      <c r="V774" s="44"/>
      <c r="W774" s="44"/>
      <c r="X774" s="44"/>
      <c r="Y774" s="44"/>
      <c r="Z774" s="44"/>
    </row>
    <row r="775">
      <c r="A775" s="44"/>
      <c r="B775" s="45"/>
      <c r="C775" s="44"/>
      <c r="D775" s="44"/>
      <c r="E775" s="44"/>
      <c r="F775" s="44"/>
      <c r="G775" s="46"/>
      <c r="H775" s="44"/>
      <c r="I775" s="44"/>
      <c r="J775" s="44"/>
      <c r="K775" s="44"/>
      <c r="L775" s="46" t="str">
        <f>IFERROR(__xludf.DUMMYFUNCTION("IFERROR(IF(ISBLANK($C775), """", GOOGLEFINANCE($C775, ""price"")), """")"),"")</f>
        <v/>
      </c>
      <c r="M775" s="47" t="str">
        <f t="shared" si="3"/>
        <v/>
      </c>
      <c r="N775" s="47" t="str">
        <f>IFERROR(__xludf.DUMMYFUNCTION("IFERROR(IF(OR(ISBLANK($G775), IFERROR(INDEX(GOOGLEFINANCE($C775, ""price"", WORKDAY(INT($B775), 1)), 2, 2), """")=""""), """", IF($D775=""LONG"", (IFERROR(INDEX(GOOGLEFINANCE($C775, ""price"", WORKDAY(INT($B775), 1)), 2, 2), """")-$G775)/$G775, ($G775-IFE"&amp;"RROR(INDEX(GOOGLEFINANCE($C775, ""price"", WORKDAY(INT($B775), 1)), 2, 2), """"))/$G775)), """")"),"")</f>
        <v/>
      </c>
      <c r="O775" s="47" t="str">
        <f>IFERROR(__xludf.DUMMYFUNCTION("IFERROR(IF(OR(ISBLANK($G775), IFERROR(INDEX(GOOGLEFINANCE($C775, ""price"", WORKDAY(INT($B775), 5)), 2, 2), """")=""""), """", IF($D775=""LONG"", (IFERROR(INDEX(GOOGLEFINANCE($C775, ""price"", WORKDAY(INT($B775), 5)), 2, 2), """")-$G775)/$G775, ($G775-IFE"&amp;"RROR(INDEX(GOOGLEFINANCE($C775, ""price"", WORKDAY(INT($B775), 5)), 2, 2), """"))/$G775)), """")"),"")</f>
        <v/>
      </c>
      <c r="P775" s="47" t="str">
        <f>IFERROR(__xludf.DUMMYFUNCTION("IFERROR(IF(OR(ISBLANK($G775), IFERROR(INDEX(GOOGLEFINANCE($C775, ""price"", WORKDAY(INT($B775), 20)), 2, 2), """")=""""), """", IF($D775=""LONG"", (IFERROR(INDEX(GOOGLEFINANCE($C775, ""price"", WORKDAY(INT($B775), 20)), 2, 2), """")-$G775)/$G775, ($G775-I"&amp;"FERROR(INDEX(GOOGLEFINANCE($C775, ""price"", WORKDAY(INT($B775), 20)), 2, 2), """"))/$G775)), """")"),"")</f>
        <v/>
      </c>
      <c r="Q775" s="44"/>
      <c r="R775" s="44"/>
      <c r="S775" s="44"/>
      <c r="T775" s="44"/>
      <c r="U775" s="44"/>
      <c r="V775" s="44"/>
      <c r="W775" s="44"/>
      <c r="X775" s="44"/>
      <c r="Y775" s="44"/>
      <c r="Z775" s="44"/>
    </row>
    <row r="776">
      <c r="A776" s="44"/>
      <c r="B776" s="45"/>
      <c r="C776" s="44"/>
      <c r="D776" s="44"/>
      <c r="E776" s="44"/>
      <c r="F776" s="44"/>
      <c r="G776" s="46"/>
      <c r="H776" s="44"/>
      <c r="I776" s="44"/>
      <c r="J776" s="44"/>
      <c r="K776" s="44"/>
      <c r="L776" s="46" t="str">
        <f>IFERROR(__xludf.DUMMYFUNCTION("IFERROR(IF(ISBLANK($C776), """", GOOGLEFINANCE($C776, ""price"")), """")"),"")</f>
        <v/>
      </c>
      <c r="M776" s="47" t="str">
        <f t="shared" si="3"/>
        <v/>
      </c>
      <c r="N776" s="47" t="str">
        <f>IFERROR(__xludf.DUMMYFUNCTION("IFERROR(IF(OR(ISBLANK($G776), IFERROR(INDEX(GOOGLEFINANCE($C776, ""price"", WORKDAY(INT($B776), 1)), 2, 2), """")=""""), """", IF($D776=""LONG"", (IFERROR(INDEX(GOOGLEFINANCE($C776, ""price"", WORKDAY(INT($B776), 1)), 2, 2), """")-$G776)/$G776, ($G776-IFE"&amp;"RROR(INDEX(GOOGLEFINANCE($C776, ""price"", WORKDAY(INT($B776), 1)), 2, 2), """"))/$G776)), """")"),"")</f>
        <v/>
      </c>
      <c r="O776" s="47" t="str">
        <f>IFERROR(__xludf.DUMMYFUNCTION("IFERROR(IF(OR(ISBLANK($G776), IFERROR(INDEX(GOOGLEFINANCE($C776, ""price"", WORKDAY(INT($B776), 5)), 2, 2), """")=""""), """", IF($D776=""LONG"", (IFERROR(INDEX(GOOGLEFINANCE($C776, ""price"", WORKDAY(INT($B776), 5)), 2, 2), """")-$G776)/$G776, ($G776-IFE"&amp;"RROR(INDEX(GOOGLEFINANCE($C776, ""price"", WORKDAY(INT($B776), 5)), 2, 2), """"))/$G776)), """")"),"")</f>
        <v/>
      </c>
      <c r="P776" s="47" t="str">
        <f>IFERROR(__xludf.DUMMYFUNCTION("IFERROR(IF(OR(ISBLANK($G776), IFERROR(INDEX(GOOGLEFINANCE($C776, ""price"", WORKDAY(INT($B776), 20)), 2, 2), """")=""""), """", IF($D776=""LONG"", (IFERROR(INDEX(GOOGLEFINANCE($C776, ""price"", WORKDAY(INT($B776), 20)), 2, 2), """")-$G776)/$G776, ($G776-I"&amp;"FERROR(INDEX(GOOGLEFINANCE($C776, ""price"", WORKDAY(INT($B776), 20)), 2, 2), """"))/$G776)), """")"),"")</f>
        <v/>
      </c>
      <c r="Q776" s="44"/>
      <c r="R776" s="44"/>
      <c r="S776" s="44"/>
      <c r="T776" s="44"/>
      <c r="U776" s="44"/>
      <c r="V776" s="44"/>
      <c r="W776" s="44"/>
      <c r="X776" s="44"/>
      <c r="Y776" s="44"/>
      <c r="Z776" s="44"/>
    </row>
    <row r="777">
      <c r="A777" s="44"/>
      <c r="B777" s="45"/>
      <c r="C777" s="44"/>
      <c r="D777" s="44"/>
      <c r="E777" s="44"/>
      <c r="F777" s="44"/>
      <c r="G777" s="46"/>
      <c r="H777" s="44"/>
      <c r="I777" s="44"/>
      <c r="J777" s="44"/>
      <c r="K777" s="44"/>
      <c r="L777" s="46" t="str">
        <f>IFERROR(__xludf.DUMMYFUNCTION("IFERROR(IF(ISBLANK($C777), """", GOOGLEFINANCE($C777, ""price"")), """")"),"")</f>
        <v/>
      </c>
      <c r="M777" s="47" t="str">
        <f t="shared" si="3"/>
        <v/>
      </c>
      <c r="N777" s="47" t="str">
        <f>IFERROR(__xludf.DUMMYFUNCTION("IFERROR(IF(OR(ISBLANK($G777), IFERROR(INDEX(GOOGLEFINANCE($C777, ""price"", WORKDAY(INT($B777), 1)), 2, 2), """")=""""), """", IF($D777=""LONG"", (IFERROR(INDEX(GOOGLEFINANCE($C777, ""price"", WORKDAY(INT($B777), 1)), 2, 2), """")-$G777)/$G777, ($G777-IFE"&amp;"RROR(INDEX(GOOGLEFINANCE($C777, ""price"", WORKDAY(INT($B777), 1)), 2, 2), """"))/$G777)), """")"),"")</f>
        <v/>
      </c>
      <c r="O777" s="47" t="str">
        <f>IFERROR(__xludf.DUMMYFUNCTION("IFERROR(IF(OR(ISBLANK($G777), IFERROR(INDEX(GOOGLEFINANCE($C777, ""price"", WORKDAY(INT($B777), 5)), 2, 2), """")=""""), """", IF($D777=""LONG"", (IFERROR(INDEX(GOOGLEFINANCE($C777, ""price"", WORKDAY(INT($B777), 5)), 2, 2), """")-$G777)/$G777, ($G777-IFE"&amp;"RROR(INDEX(GOOGLEFINANCE($C777, ""price"", WORKDAY(INT($B777), 5)), 2, 2), """"))/$G777)), """")"),"")</f>
        <v/>
      </c>
      <c r="P777" s="47" t="str">
        <f>IFERROR(__xludf.DUMMYFUNCTION("IFERROR(IF(OR(ISBLANK($G777), IFERROR(INDEX(GOOGLEFINANCE($C777, ""price"", WORKDAY(INT($B777), 20)), 2, 2), """")=""""), """", IF($D777=""LONG"", (IFERROR(INDEX(GOOGLEFINANCE($C777, ""price"", WORKDAY(INT($B777), 20)), 2, 2), """")-$G777)/$G777, ($G777-I"&amp;"FERROR(INDEX(GOOGLEFINANCE($C777, ""price"", WORKDAY(INT($B777), 20)), 2, 2), """"))/$G777)), """")"),"")</f>
        <v/>
      </c>
      <c r="Q777" s="44"/>
      <c r="R777" s="44"/>
      <c r="S777" s="44"/>
      <c r="T777" s="44"/>
      <c r="U777" s="44"/>
      <c r="V777" s="44"/>
      <c r="W777" s="44"/>
      <c r="X777" s="44"/>
      <c r="Y777" s="44"/>
      <c r="Z777" s="44"/>
    </row>
    <row r="778">
      <c r="A778" s="44"/>
      <c r="B778" s="45"/>
      <c r="C778" s="44"/>
      <c r="D778" s="44"/>
      <c r="E778" s="44"/>
      <c r="F778" s="44"/>
      <c r="G778" s="46"/>
      <c r="H778" s="44"/>
      <c r="I778" s="44"/>
      <c r="J778" s="44"/>
      <c r="K778" s="44"/>
      <c r="L778" s="46" t="str">
        <f>IFERROR(__xludf.DUMMYFUNCTION("IFERROR(IF(ISBLANK($C778), """", GOOGLEFINANCE($C778, ""price"")), """")"),"")</f>
        <v/>
      </c>
      <c r="M778" s="47" t="str">
        <f t="shared" si="3"/>
        <v/>
      </c>
      <c r="N778" s="47" t="str">
        <f>IFERROR(__xludf.DUMMYFUNCTION("IFERROR(IF(OR(ISBLANK($G778), IFERROR(INDEX(GOOGLEFINANCE($C778, ""price"", WORKDAY(INT($B778), 1)), 2, 2), """")=""""), """", IF($D778=""LONG"", (IFERROR(INDEX(GOOGLEFINANCE($C778, ""price"", WORKDAY(INT($B778), 1)), 2, 2), """")-$G778)/$G778, ($G778-IFE"&amp;"RROR(INDEX(GOOGLEFINANCE($C778, ""price"", WORKDAY(INT($B778), 1)), 2, 2), """"))/$G778)), """")"),"")</f>
        <v/>
      </c>
      <c r="O778" s="47" t="str">
        <f>IFERROR(__xludf.DUMMYFUNCTION("IFERROR(IF(OR(ISBLANK($G778), IFERROR(INDEX(GOOGLEFINANCE($C778, ""price"", WORKDAY(INT($B778), 5)), 2, 2), """")=""""), """", IF($D778=""LONG"", (IFERROR(INDEX(GOOGLEFINANCE($C778, ""price"", WORKDAY(INT($B778), 5)), 2, 2), """")-$G778)/$G778, ($G778-IFE"&amp;"RROR(INDEX(GOOGLEFINANCE($C778, ""price"", WORKDAY(INT($B778), 5)), 2, 2), """"))/$G778)), """")"),"")</f>
        <v/>
      </c>
      <c r="P778" s="47" t="str">
        <f>IFERROR(__xludf.DUMMYFUNCTION("IFERROR(IF(OR(ISBLANK($G778), IFERROR(INDEX(GOOGLEFINANCE($C778, ""price"", WORKDAY(INT($B778), 20)), 2, 2), """")=""""), """", IF($D778=""LONG"", (IFERROR(INDEX(GOOGLEFINANCE($C778, ""price"", WORKDAY(INT($B778), 20)), 2, 2), """")-$G778)/$G778, ($G778-I"&amp;"FERROR(INDEX(GOOGLEFINANCE($C778, ""price"", WORKDAY(INT($B778), 20)), 2, 2), """"))/$G778)), """")"),"")</f>
        <v/>
      </c>
      <c r="Q778" s="44"/>
      <c r="R778" s="44"/>
      <c r="S778" s="44"/>
      <c r="T778" s="44"/>
      <c r="U778" s="44"/>
      <c r="V778" s="44"/>
      <c r="W778" s="44"/>
      <c r="X778" s="44"/>
      <c r="Y778" s="44"/>
      <c r="Z778" s="44"/>
    </row>
    <row r="779">
      <c r="A779" s="44"/>
      <c r="B779" s="45"/>
      <c r="C779" s="44"/>
      <c r="D779" s="44"/>
      <c r="E779" s="44"/>
      <c r="F779" s="44"/>
      <c r="G779" s="46"/>
      <c r="H779" s="44"/>
      <c r="I779" s="44"/>
      <c r="J779" s="44"/>
      <c r="K779" s="44"/>
      <c r="L779" s="46" t="str">
        <f>IFERROR(__xludf.DUMMYFUNCTION("IFERROR(IF(ISBLANK($C779), """", GOOGLEFINANCE($C779, ""price"")), """")"),"")</f>
        <v/>
      </c>
      <c r="M779" s="47" t="str">
        <f t="shared" si="3"/>
        <v/>
      </c>
      <c r="N779" s="47" t="str">
        <f>IFERROR(__xludf.DUMMYFUNCTION("IFERROR(IF(OR(ISBLANK($G779), IFERROR(INDEX(GOOGLEFINANCE($C779, ""price"", WORKDAY(INT($B779), 1)), 2, 2), """")=""""), """", IF($D779=""LONG"", (IFERROR(INDEX(GOOGLEFINANCE($C779, ""price"", WORKDAY(INT($B779), 1)), 2, 2), """")-$G779)/$G779, ($G779-IFE"&amp;"RROR(INDEX(GOOGLEFINANCE($C779, ""price"", WORKDAY(INT($B779), 1)), 2, 2), """"))/$G779)), """")"),"")</f>
        <v/>
      </c>
      <c r="O779" s="47" t="str">
        <f>IFERROR(__xludf.DUMMYFUNCTION("IFERROR(IF(OR(ISBLANK($G779), IFERROR(INDEX(GOOGLEFINANCE($C779, ""price"", WORKDAY(INT($B779), 5)), 2, 2), """")=""""), """", IF($D779=""LONG"", (IFERROR(INDEX(GOOGLEFINANCE($C779, ""price"", WORKDAY(INT($B779), 5)), 2, 2), """")-$G779)/$G779, ($G779-IFE"&amp;"RROR(INDEX(GOOGLEFINANCE($C779, ""price"", WORKDAY(INT($B779), 5)), 2, 2), """"))/$G779)), """")"),"")</f>
        <v/>
      </c>
      <c r="P779" s="47" t="str">
        <f>IFERROR(__xludf.DUMMYFUNCTION("IFERROR(IF(OR(ISBLANK($G779), IFERROR(INDEX(GOOGLEFINANCE($C779, ""price"", WORKDAY(INT($B779), 20)), 2, 2), """")=""""), """", IF($D779=""LONG"", (IFERROR(INDEX(GOOGLEFINANCE($C779, ""price"", WORKDAY(INT($B779), 20)), 2, 2), """")-$G779)/$G779, ($G779-I"&amp;"FERROR(INDEX(GOOGLEFINANCE($C779, ""price"", WORKDAY(INT($B779), 20)), 2, 2), """"))/$G779)), """")"),"")</f>
        <v/>
      </c>
      <c r="Q779" s="44"/>
      <c r="R779" s="44"/>
      <c r="S779" s="44"/>
      <c r="T779" s="44"/>
      <c r="U779" s="44"/>
      <c r="V779" s="44"/>
      <c r="W779" s="44"/>
      <c r="X779" s="44"/>
      <c r="Y779" s="44"/>
      <c r="Z779" s="44"/>
    </row>
    <row r="780">
      <c r="A780" s="44"/>
      <c r="B780" s="45"/>
      <c r="C780" s="44"/>
      <c r="D780" s="44"/>
      <c r="E780" s="44"/>
      <c r="F780" s="44"/>
      <c r="G780" s="46"/>
      <c r="H780" s="44"/>
      <c r="I780" s="44"/>
      <c r="J780" s="44"/>
      <c r="K780" s="44"/>
      <c r="L780" s="46" t="str">
        <f>IFERROR(__xludf.DUMMYFUNCTION("IFERROR(IF(ISBLANK($C780), """", GOOGLEFINANCE($C780, ""price"")), """")"),"")</f>
        <v/>
      </c>
      <c r="M780" s="47" t="str">
        <f t="shared" si="3"/>
        <v/>
      </c>
      <c r="N780" s="47" t="str">
        <f>IFERROR(__xludf.DUMMYFUNCTION("IFERROR(IF(OR(ISBLANK($G780), IFERROR(INDEX(GOOGLEFINANCE($C780, ""price"", WORKDAY(INT($B780), 1)), 2, 2), """")=""""), """", IF($D780=""LONG"", (IFERROR(INDEX(GOOGLEFINANCE($C780, ""price"", WORKDAY(INT($B780), 1)), 2, 2), """")-$G780)/$G780, ($G780-IFE"&amp;"RROR(INDEX(GOOGLEFINANCE($C780, ""price"", WORKDAY(INT($B780), 1)), 2, 2), """"))/$G780)), """")"),"")</f>
        <v/>
      </c>
      <c r="O780" s="47" t="str">
        <f>IFERROR(__xludf.DUMMYFUNCTION("IFERROR(IF(OR(ISBLANK($G780), IFERROR(INDEX(GOOGLEFINANCE($C780, ""price"", WORKDAY(INT($B780), 5)), 2, 2), """")=""""), """", IF($D780=""LONG"", (IFERROR(INDEX(GOOGLEFINANCE($C780, ""price"", WORKDAY(INT($B780), 5)), 2, 2), """")-$G780)/$G780, ($G780-IFE"&amp;"RROR(INDEX(GOOGLEFINANCE($C780, ""price"", WORKDAY(INT($B780), 5)), 2, 2), """"))/$G780)), """")"),"")</f>
        <v/>
      </c>
      <c r="P780" s="47" t="str">
        <f>IFERROR(__xludf.DUMMYFUNCTION("IFERROR(IF(OR(ISBLANK($G780), IFERROR(INDEX(GOOGLEFINANCE($C780, ""price"", WORKDAY(INT($B780), 20)), 2, 2), """")=""""), """", IF($D780=""LONG"", (IFERROR(INDEX(GOOGLEFINANCE($C780, ""price"", WORKDAY(INT($B780), 20)), 2, 2), """")-$G780)/$G780, ($G780-I"&amp;"FERROR(INDEX(GOOGLEFINANCE($C780, ""price"", WORKDAY(INT($B780), 20)), 2, 2), """"))/$G780)), """")"),"")</f>
        <v/>
      </c>
      <c r="Q780" s="44"/>
      <c r="R780" s="44"/>
      <c r="S780" s="44"/>
      <c r="T780" s="44"/>
      <c r="U780" s="44"/>
      <c r="V780" s="44"/>
      <c r="W780" s="44"/>
      <c r="X780" s="44"/>
      <c r="Y780" s="44"/>
      <c r="Z780" s="44"/>
    </row>
    <row r="781">
      <c r="A781" s="44"/>
      <c r="B781" s="45"/>
      <c r="C781" s="44"/>
      <c r="D781" s="44"/>
      <c r="E781" s="44"/>
      <c r="F781" s="44"/>
      <c r="G781" s="46"/>
      <c r="H781" s="44"/>
      <c r="I781" s="44"/>
      <c r="J781" s="44"/>
      <c r="K781" s="44"/>
      <c r="L781" s="46" t="str">
        <f>IFERROR(__xludf.DUMMYFUNCTION("IFERROR(IF(ISBLANK($C781), """", GOOGLEFINANCE($C781, ""price"")), """")"),"")</f>
        <v/>
      </c>
      <c r="M781" s="47" t="str">
        <f t="shared" si="3"/>
        <v/>
      </c>
      <c r="N781" s="47" t="str">
        <f>IFERROR(__xludf.DUMMYFUNCTION("IFERROR(IF(OR(ISBLANK($G781), IFERROR(INDEX(GOOGLEFINANCE($C781, ""price"", WORKDAY(INT($B781), 1)), 2, 2), """")=""""), """", IF($D781=""LONG"", (IFERROR(INDEX(GOOGLEFINANCE($C781, ""price"", WORKDAY(INT($B781), 1)), 2, 2), """")-$G781)/$G781, ($G781-IFE"&amp;"RROR(INDEX(GOOGLEFINANCE($C781, ""price"", WORKDAY(INT($B781), 1)), 2, 2), """"))/$G781)), """")"),"")</f>
        <v/>
      </c>
      <c r="O781" s="47" t="str">
        <f>IFERROR(__xludf.DUMMYFUNCTION("IFERROR(IF(OR(ISBLANK($G781), IFERROR(INDEX(GOOGLEFINANCE($C781, ""price"", WORKDAY(INT($B781), 5)), 2, 2), """")=""""), """", IF($D781=""LONG"", (IFERROR(INDEX(GOOGLEFINANCE($C781, ""price"", WORKDAY(INT($B781), 5)), 2, 2), """")-$G781)/$G781, ($G781-IFE"&amp;"RROR(INDEX(GOOGLEFINANCE($C781, ""price"", WORKDAY(INT($B781), 5)), 2, 2), """"))/$G781)), """")"),"")</f>
        <v/>
      </c>
      <c r="P781" s="47" t="str">
        <f>IFERROR(__xludf.DUMMYFUNCTION("IFERROR(IF(OR(ISBLANK($G781), IFERROR(INDEX(GOOGLEFINANCE($C781, ""price"", WORKDAY(INT($B781), 20)), 2, 2), """")=""""), """", IF($D781=""LONG"", (IFERROR(INDEX(GOOGLEFINANCE($C781, ""price"", WORKDAY(INT($B781), 20)), 2, 2), """")-$G781)/$G781, ($G781-I"&amp;"FERROR(INDEX(GOOGLEFINANCE($C781, ""price"", WORKDAY(INT($B781), 20)), 2, 2), """"))/$G781)), """")"),"")</f>
        <v/>
      </c>
      <c r="Q781" s="44"/>
      <c r="R781" s="44"/>
      <c r="S781" s="44"/>
      <c r="T781" s="44"/>
      <c r="U781" s="44"/>
      <c r="V781" s="44"/>
      <c r="W781" s="44"/>
      <c r="X781" s="44"/>
      <c r="Y781" s="44"/>
      <c r="Z781" s="44"/>
    </row>
    <row r="782">
      <c r="A782" s="44"/>
      <c r="B782" s="45"/>
      <c r="C782" s="44"/>
      <c r="D782" s="44"/>
      <c r="E782" s="44"/>
      <c r="F782" s="44"/>
      <c r="G782" s="46"/>
      <c r="H782" s="44"/>
      <c r="I782" s="44"/>
      <c r="J782" s="44"/>
      <c r="K782" s="44"/>
      <c r="L782" s="46" t="str">
        <f>IFERROR(__xludf.DUMMYFUNCTION("IFERROR(IF(ISBLANK($C782), """", GOOGLEFINANCE($C782, ""price"")), """")"),"")</f>
        <v/>
      </c>
      <c r="M782" s="47" t="str">
        <f t="shared" si="3"/>
        <v/>
      </c>
      <c r="N782" s="47" t="str">
        <f>IFERROR(__xludf.DUMMYFUNCTION("IFERROR(IF(OR(ISBLANK($G782), IFERROR(INDEX(GOOGLEFINANCE($C782, ""price"", WORKDAY(INT($B782), 1)), 2, 2), """")=""""), """", IF($D782=""LONG"", (IFERROR(INDEX(GOOGLEFINANCE($C782, ""price"", WORKDAY(INT($B782), 1)), 2, 2), """")-$G782)/$G782, ($G782-IFE"&amp;"RROR(INDEX(GOOGLEFINANCE($C782, ""price"", WORKDAY(INT($B782), 1)), 2, 2), """"))/$G782)), """")"),"")</f>
        <v/>
      </c>
      <c r="O782" s="47" t="str">
        <f>IFERROR(__xludf.DUMMYFUNCTION("IFERROR(IF(OR(ISBLANK($G782), IFERROR(INDEX(GOOGLEFINANCE($C782, ""price"", WORKDAY(INT($B782), 5)), 2, 2), """")=""""), """", IF($D782=""LONG"", (IFERROR(INDEX(GOOGLEFINANCE($C782, ""price"", WORKDAY(INT($B782), 5)), 2, 2), """")-$G782)/$G782, ($G782-IFE"&amp;"RROR(INDEX(GOOGLEFINANCE($C782, ""price"", WORKDAY(INT($B782), 5)), 2, 2), """"))/$G782)), """")"),"")</f>
        <v/>
      </c>
      <c r="P782" s="47" t="str">
        <f>IFERROR(__xludf.DUMMYFUNCTION("IFERROR(IF(OR(ISBLANK($G782), IFERROR(INDEX(GOOGLEFINANCE($C782, ""price"", WORKDAY(INT($B782), 20)), 2, 2), """")=""""), """", IF($D782=""LONG"", (IFERROR(INDEX(GOOGLEFINANCE($C782, ""price"", WORKDAY(INT($B782), 20)), 2, 2), """")-$G782)/$G782, ($G782-I"&amp;"FERROR(INDEX(GOOGLEFINANCE($C782, ""price"", WORKDAY(INT($B782), 20)), 2, 2), """"))/$G782)), """")"),"")</f>
        <v/>
      </c>
      <c r="Q782" s="44"/>
      <c r="R782" s="44"/>
      <c r="S782" s="44"/>
      <c r="T782" s="44"/>
      <c r="U782" s="44"/>
      <c r="V782" s="44"/>
      <c r="W782" s="44"/>
      <c r="X782" s="44"/>
      <c r="Y782" s="44"/>
      <c r="Z782" s="44"/>
    </row>
    <row r="783">
      <c r="A783" s="44"/>
      <c r="B783" s="45"/>
      <c r="C783" s="44"/>
      <c r="D783" s="44"/>
      <c r="E783" s="44"/>
      <c r="F783" s="44"/>
      <c r="G783" s="46"/>
      <c r="H783" s="44"/>
      <c r="I783" s="44"/>
      <c r="J783" s="44"/>
      <c r="K783" s="44"/>
      <c r="L783" s="46" t="str">
        <f>IFERROR(__xludf.DUMMYFUNCTION("IFERROR(IF(ISBLANK($C783), """", GOOGLEFINANCE($C783, ""price"")), """")"),"")</f>
        <v/>
      </c>
      <c r="M783" s="47" t="str">
        <f t="shared" si="3"/>
        <v/>
      </c>
      <c r="N783" s="47" t="str">
        <f>IFERROR(__xludf.DUMMYFUNCTION("IFERROR(IF(OR(ISBLANK($G783), IFERROR(INDEX(GOOGLEFINANCE($C783, ""price"", WORKDAY(INT($B783), 1)), 2, 2), """")=""""), """", IF($D783=""LONG"", (IFERROR(INDEX(GOOGLEFINANCE($C783, ""price"", WORKDAY(INT($B783), 1)), 2, 2), """")-$G783)/$G783, ($G783-IFE"&amp;"RROR(INDEX(GOOGLEFINANCE($C783, ""price"", WORKDAY(INT($B783), 1)), 2, 2), """"))/$G783)), """")"),"")</f>
        <v/>
      </c>
      <c r="O783" s="47" t="str">
        <f>IFERROR(__xludf.DUMMYFUNCTION("IFERROR(IF(OR(ISBLANK($G783), IFERROR(INDEX(GOOGLEFINANCE($C783, ""price"", WORKDAY(INT($B783), 5)), 2, 2), """")=""""), """", IF($D783=""LONG"", (IFERROR(INDEX(GOOGLEFINANCE($C783, ""price"", WORKDAY(INT($B783), 5)), 2, 2), """")-$G783)/$G783, ($G783-IFE"&amp;"RROR(INDEX(GOOGLEFINANCE($C783, ""price"", WORKDAY(INT($B783), 5)), 2, 2), """"))/$G783)), """")"),"")</f>
        <v/>
      </c>
      <c r="P783" s="47" t="str">
        <f>IFERROR(__xludf.DUMMYFUNCTION("IFERROR(IF(OR(ISBLANK($G783), IFERROR(INDEX(GOOGLEFINANCE($C783, ""price"", WORKDAY(INT($B783), 20)), 2, 2), """")=""""), """", IF($D783=""LONG"", (IFERROR(INDEX(GOOGLEFINANCE($C783, ""price"", WORKDAY(INT($B783), 20)), 2, 2), """")-$G783)/$G783, ($G783-I"&amp;"FERROR(INDEX(GOOGLEFINANCE($C783, ""price"", WORKDAY(INT($B783), 20)), 2, 2), """"))/$G783)), """")"),"")</f>
        <v/>
      </c>
      <c r="Q783" s="44"/>
      <c r="R783" s="44"/>
      <c r="S783" s="44"/>
      <c r="T783" s="44"/>
      <c r="U783" s="44"/>
      <c r="V783" s="44"/>
      <c r="W783" s="44"/>
      <c r="X783" s="44"/>
      <c r="Y783" s="44"/>
      <c r="Z783" s="44"/>
    </row>
    <row r="784">
      <c r="A784" s="44"/>
      <c r="B784" s="45"/>
      <c r="C784" s="44"/>
      <c r="D784" s="44"/>
      <c r="E784" s="44"/>
      <c r="F784" s="44"/>
      <c r="G784" s="46"/>
      <c r="H784" s="44"/>
      <c r="I784" s="44"/>
      <c r="J784" s="44"/>
      <c r="K784" s="44"/>
      <c r="L784" s="46" t="str">
        <f>IFERROR(__xludf.DUMMYFUNCTION("IFERROR(IF(ISBLANK($C784), """", GOOGLEFINANCE($C784, ""price"")), """")"),"")</f>
        <v/>
      </c>
      <c r="M784" s="47" t="str">
        <f t="shared" si="3"/>
        <v/>
      </c>
      <c r="N784" s="47" t="str">
        <f>IFERROR(__xludf.DUMMYFUNCTION("IFERROR(IF(OR(ISBLANK($G784), IFERROR(INDEX(GOOGLEFINANCE($C784, ""price"", WORKDAY(INT($B784), 1)), 2, 2), """")=""""), """", IF($D784=""LONG"", (IFERROR(INDEX(GOOGLEFINANCE($C784, ""price"", WORKDAY(INT($B784), 1)), 2, 2), """")-$G784)/$G784, ($G784-IFE"&amp;"RROR(INDEX(GOOGLEFINANCE($C784, ""price"", WORKDAY(INT($B784), 1)), 2, 2), """"))/$G784)), """")"),"")</f>
        <v/>
      </c>
      <c r="O784" s="47" t="str">
        <f>IFERROR(__xludf.DUMMYFUNCTION("IFERROR(IF(OR(ISBLANK($G784), IFERROR(INDEX(GOOGLEFINANCE($C784, ""price"", WORKDAY(INT($B784), 5)), 2, 2), """")=""""), """", IF($D784=""LONG"", (IFERROR(INDEX(GOOGLEFINANCE($C784, ""price"", WORKDAY(INT($B784), 5)), 2, 2), """")-$G784)/$G784, ($G784-IFE"&amp;"RROR(INDEX(GOOGLEFINANCE($C784, ""price"", WORKDAY(INT($B784), 5)), 2, 2), """"))/$G784)), """")"),"")</f>
        <v/>
      </c>
      <c r="P784" s="47" t="str">
        <f>IFERROR(__xludf.DUMMYFUNCTION("IFERROR(IF(OR(ISBLANK($G784), IFERROR(INDEX(GOOGLEFINANCE($C784, ""price"", WORKDAY(INT($B784), 20)), 2, 2), """")=""""), """", IF($D784=""LONG"", (IFERROR(INDEX(GOOGLEFINANCE($C784, ""price"", WORKDAY(INT($B784), 20)), 2, 2), """")-$G784)/$G784, ($G784-I"&amp;"FERROR(INDEX(GOOGLEFINANCE($C784, ""price"", WORKDAY(INT($B784), 20)), 2, 2), """"))/$G784)), """")"),"")</f>
        <v/>
      </c>
      <c r="Q784" s="44"/>
      <c r="R784" s="44"/>
      <c r="S784" s="44"/>
      <c r="T784" s="44"/>
      <c r="U784" s="44"/>
      <c r="V784" s="44"/>
      <c r="W784" s="44"/>
      <c r="X784" s="44"/>
      <c r="Y784" s="44"/>
      <c r="Z784" s="44"/>
    </row>
    <row r="785">
      <c r="A785" s="44"/>
      <c r="B785" s="45"/>
      <c r="C785" s="44"/>
      <c r="D785" s="44"/>
      <c r="E785" s="44"/>
      <c r="F785" s="44"/>
      <c r="G785" s="46"/>
      <c r="H785" s="44"/>
      <c r="I785" s="44"/>
      <c r="J785" s="44"/>
      <c r="K785" s="44"/>
      <c r="L785" s="46" t="str">
        <f>IFERROR(__xludf.DUMMYFUNCTION("IFERROR(IF(ISBLANK($C785), """", GOOGLEFINANCE($C785, ""price"")), """")"),"")</f>
        <v/>
      </c>
      <c r="M785" s="47" t="str">
        <f t="shared" si="3"/>
        <v/>
      </c>
      <c r="N785" s="47" t="str">
        <f>IFERROR(__xludf.DUMMYFUNCTION("IFERROR(IF(OR(ISBLANK($G785), IFERROR(INDEX(GOOGLEFINANCE($C785, ""price"", WORKDAY(INT($B785), 1)), 2, 2), """")=""""), """", IF($D785=""LONG"", (IFERROR(INDEX(GOOGLEFINANCE($C785, ""price"", WORKDAY(INT($B785), 1)), 2, 2), """")-$G785)/$G785, ($G785-IFE"&amp;"RROR(INDEX(GOOGLEFINANCE($C785, ""price"", WORKDAY(INT($B785), 1)), 2, 2), """"))/$G785)), """")"),"")</f>
        <v/>
      </c>
      <c r="O785" s="47" t="str">
        <f>IFERROR(__xludf.DUMMYFUNCTION("IFERROR(IF(OR(ISBLANK($G785), IFERROR(INDEX(GOOGLEFINANCE($C785, ""price"", WORKDAY(INT($B785), 5)), 2, 2), """")=""""), """", IF($D785=""LONG"", (IFERROR(INDEX(GOOGLEFINANCE($C785, ""price"", WORKDAY(INT($B785), 5)), 2, 2), """")-$G785)/$G785, ($G785-IFE"&amp;"RROR(INDEX(GOOGLEFINANCE($C785, ""price"", WORKDAY(INT($B785), 5)), 2, 2), """"))/$G785)), """")"),"")</f>
        <v/>
      </c>
      <c r="P785" s="47" t="str">
        <f>IFERROR(__xludf.DUMMYFUNCTION("IFERROR(IF(OR(ISBLANK($G785), IFERROR(INDEX(GOOGLEFINANCE($C785, ""price"", WORKDAY(INT($B785), 20)), 2, 2), """")=""""), """", IF($D785=""LONG"", (IFERROR(INDEX(GOOGLEFINANCE($C785, ""price"", WORKDAY(INT($B785), 20)), 2, 2), """")-$G785)/$G785, ($G785-I"&amp;"FERROR(INDEX(GOOGLEFINANCE($C785, ""price"", WORKDAY(INT($B785), 20)), 2, 2), """"))/$G785)), """")"),"")</f>
        <v/>
      </c>
      <c r="Q785" s="44"/>
      <c r="R785" s="44"/>
      <c r="S785" s="44"/>
      <c r="T785" s="44"/>
      <c r="U785" s="44"/>
      <c r="V785" s="44"/>
      <c r="W785" s="44"/>
      <c r="X785" s="44"/>
      <c r="Y785" s="44"/>
      <c r="Z785" s="44"/>
    </row>
    <row r="786">
      <c r="A786" s="44"/>
      <c r="B786" s="45"/>
      <c r="C786" s="44"/>
      <c r="D786" s="44"/>
      <c r="E786" s="44"/>
      <c r="F786" s="44"/>
      <c r="G786" s="46"/>
      <c r="H786" s="44"/>
      <c r="I786" s="44"/>
      <c r="J786" s="44"/>
      <c r="K786" s="44"/>
      <c r="L786" s="46" t="str">
        <f>IFERROR(__xludf.DUMMYFUNCTION("IFERROR(IF(ISBLANK($C786), """", GOOGLEFINANCE($C786, ""price"")), """")"),"")</f>
        <v/>
      </c>
      <c r="M786" s="47" t="str">
        <f t="shared" si="3"/>
        <v/>
      </c>
      <c r="N786" s="47" t="str">
        <f>IFERROR(__xludf.DUMMYFUNCTION("IFERROR(IF(OR(ISBLANK($G786), IFERROR(INDEX(GOOGLEFINANCE($C786, ""price"", WORKDAY(INT($B786), 1)), 2, 2), """")=""""), """", IF($D786=""LONG"", (IFERROR(INDEX(GOOGLEFINANCE($C786, ""price"", WORKDAY(INT($B786), 1)), 2, 2), """")-$G786)/$G786, ($G786-IFE"&amp;"RROR(INDEX(GOOGLEFINANCE($C786, ""price"", WORKDAY(INT($B786), 1)), 2, 2), """"))/$G786)), """")"),"")</f>
        <v/>
      </c>
      <c r="O786" s="47" t="str">
        <f>IFERROR(__xludf.DUMMYFUNCTION("IFERROR(IF(OR(ISBLANK($G786), IFERROR(INDEX(GOOGLEFINANCE($C786, ""price"", WORKDAY(INT($B786), 5)), 2, 2), """")=""""), """", IF($D786=""LONG"", (IFERROR(INDEX(GOOGLEFINANCE($C786, ""price"", WORKDAY(INT($B786), 5)), 2, 2), """")-$G786)/$G786, ($G786-IFE"&amp;"RROR(INDEX(GOOGLEFINANCE($C786, ""price"", WORKDAY(INT($B786), 5)), 2, 2), """"))/$G786)), """")"),"")</f>
        <v/>
      </c>
      <c r="P786" s="47" t="str">
        <f>IFERROR(__xludf.DUMMYFUNCTION("IFERROR(IF(OR(ISBLANK($G786), IFERROR(INDEX(GOOGLEFINANCE($C786, ""price"", WORKDAY(INT($B786), 20)), 2, 2), """")=""""), """", IF($D786=""LONG"", (IFERROR(INDEX(GOOGLEFINANCE($C786, ""price"", WORKDAY(INT($B786), 20)), 2, 2), """")-$G786)/$G786, ($G786-I"&amp;"FERROR(INDEX(GOOGLEFINANCE($C786, ""price"", WORKDAY(INT($B786), 20)), 2, 2), """"))/$G786)), """")"),"")</f>
        <v/>
      </c>
      <c r="Q786" s="44"/>
      <c r="R786" s="44"/>
      <c r="S786" s="44"/>
      <c r="T786" s="44"/>
      <c r="U786" s="44"/>
      <c r="V786" s="44"/>
      <c r="W786" s="44"/>
      <c r="X786" s="44"/>
      <c r="Y786" s="44"/>
      <c r="Z786" s="44"/>
    </row>
    <row r="787">
      <c r="A787" s="44"/>
      <c r="B787" s="45"/>
      <c r="C787" s="44"/>
      <c r="D787" s="44"/>
      <c r="E787" s="44"/>
      <c r="F787" s="44"/>
      <c r="G787" s="46"/>
      <c r="H787" s="44"/>
      <c r="I787" s="44"/>
      <c r="J787" s="44"/>
      <c r="K787" s="44"/>
      <c r="L787" s="46" t="str">
        <f>IFERROR(__xludf.DUMMYFUNCTION("IFERROR(IF(ISBLANK($C787), """", GOOGLEFINANCE($C787, ""price"")), """")"),"")</f>
        <v/>
      </c>
      <c r="M787" s="47" t="str">
        <f t="shared" si="3"/>
        <v/>
      </c>
      <c r="N787" s="47" t="str">
        <f>IFERROR(__xludf.DUMMYFUNCTION("IFERROR(IF(OR(ISBLANK($G787), IFERROR(INDEX(GOOGLEFINANCE($C787, ""price"", WORKDAY(INT($B787), 1)), 2, 2), """")=""""), """", IF($D787=""LONG"", (IFERROR(INDEX(GOOGLEFINANCE($C787, ""price"", WORKDAY(INT($B787), 1)), 2, 2), """")-$G787)/$G787, ($G787-IFE"&amp;"RROR(INDEX(GOOGLEFINANCE($C787, ""price"", WORKDAY(INT($B787), 1)), 2, 2), """"))/$G787)), """")"),"")</f>
        <v/>
      </c>
      <c r="O787" s="47" t="str">
        <f>IFERROR(__xludf.DUMMYFUNCTION("IFERROR(IF(OR(ISBLANK($G787), IFERROR(INDEX(GOOGLEFINANCE($C787, ""price"", WORKDAY(INT($B787), 5)), 2, 2), """")=""""), """", IF($D787=""LONG"", (IFERROR(INDEX(GOOGLEFINANCE($C787, ""price"", WORKDAY(INT($B787), 5)), 2, 2), """")-$G787)/$G787, ($G787-IFE"&amp;"RROR(INDEX(GOOGLEFINANCE($C787, ""price"", WORKDAY(INT($B787), 5)), 2, 2), """"))/$G787)), """")"),"")</f>
        <v/>
      </c>
      <c r="P787" s="47" t="str">
        <f>IFERROR(__xludf.DUMMYFUNCTION("IFERROR(IF(OR(ISBLANK($G787), IFERROR(INDEX(GOOGLEFINANCE($C787, ""price"", WORKDAY(INT($B787), 20)), 2, 2), """")=""""), """", IF($D787=""LONG"", (IFERROR(INDEX(GOOGLEFINANCE($C787, ""price"", WORKDAY(INT($B787), 20)), 2, 2), """")-$G787)/$G787, ($G787-I"&amp;"FERROR(INDEX(GOOGLEFINANCE($C787, ""price"", WORKDAY(INT($B787), 20)), 2, 2), """"))/$G787)), """")"),"")</f>
        <v/>
      </c>
      <c r="Q787" s="44"/>
      <c r="R787" s="44"/>
      <c r="S787" s="44"/>
      <c r="T787" s="44"/>
      <c r="U787" s="44"/>
      <c r="V787" s="44"/>
      <c r="W787" s="44"/>
      <c r="X787" s="44"/>
      <c r="Y787" s="44"/>
      <c r="Z787" s="44"/>
    </row>
    <row r="788">
      <c r="A788" s="44"/>
      <c r="B788" s="45"/>
      <c r="C788" s="44"/>
      <c r="D788" s="44"/>
      <c r="E788" s="44"/>
      <c r="F788" s="44"/>
      <c r="G788" s="46"/>
      <c r="H788" s="44"/>
      <c r="I788" s="44"/>
      <c r="J788" s="44"/>
      <c r="K788" s="44"/>
      <c r="L788" s="46" t="str">
        <f>IFERROR(__xludf.DUMMYFUNCTION("IFERROR(IF(ISBLANK($C788), """", GOOGLEFINANCE($C788, ""price"")), """")"),"")</f>
        <v/>
      </c>
      <c r="M788" s="47" t="str">
        <f t="shared" si="3"/>
        <v/>
      </c>
      <c r="N788" s="47" t="str">
        <f>IFERROR(__xludf.DUMMYFUNCTION("IFERROR(IF(OR(ISBLANK($G788), IFERROR(INDEX(GOOGLEFINANCE($C788, ""price"", WORKDAY(INT($B788), 1)), 2, 2), """")=""""), """", IF($D788=""LONG"", (IFERROR(INDEX(GOOGLEFINANCE($C788, ""price"", WORKDAY(INT($B788), 1)), 2, 2), """")-$G788)/$G788, ($G788-IFE"&amp;"RROR(INDEX(GOOGLEFINANCE($C788, ""price"", WORKDAY(INT($B788), 1)), 2, 2), """"))/$G788)), """")"),"")</f>
        <v/>
      </c>
      <c r="O788" s="47" t="str">
        <f>IFERROR(__xludf.DUMMYFUNCTION("IFERROR(IF(OR(ISBLANK($G788), IFERROR(INDEX(GOOGLEFINANCE($C788, ""price"", WORKDAY(INT($B788), 5)), 2, 2), """")=""""), """", IF($D788=""LONG"", (IFERROR(INDEX(GOOGLEFINANCE($C788, ""price"", WORKDAY(INT($B788), 5)), 2, 2), """")-$G788)/$G788, ($G788-IFE"&amp;"RROR(INDEX(GOOGLEFINANCE($C788, ""price"", WORKDAY(INT($B788), 5)), 2, 2), """"))/$G788)), """")"),"")</f>
        <v/>
      </c>
      <c r="P788" s="47" t="str">
        <f>IFERROR(__xludf.DUMMYFUNCTION("IFERROR(IF(OR(ISBLANK($G788), IFERROR(INDEX(GOOGLEFINANCE($C788, ""price"", WORKDAY(INT($B788), 20)), 2, 2), """")=""""), """", IF($D788=""LONG"", (IFERROR(INDEX(GOOGLEFINANCE($C788, ""price"", WORKDAY(INT($B788), 20)), 2, 2), """")-$G788)/$G788, ($G788-I"&amp;"FERROR(INDEX(GOOGLEFINANCE($C788, ""price"", WORKDAY(INT($B788), 20)), 2, 2), """"))/$G788)), """")"),"")</f>
        <v/>
      </c>
      <c r="Q788" s="44"/>
      <c r="R788" s="44"/>
      <c r="S788" s="44"/>
      <c r="T788" s="44"/>
      <c r="U788" s="44"/>
      <c r="V788" s="44"/>
      <c r="W788" s="44"/>
      <c r="X788" s="44"/>
      <c r="Y788" s="44"/>
      <c r="Z788" s="44"/>
    </row>
    <row r="789">
      <c r="A789" s="44"/>
      <c r="B789" s="45"/>
      <c r="C789" s="44"/>
      <c r="D789" s="44"/>
      <c r="E789" s="44"/>
      <c r="F789" s="44"/>
      <c r="G789" s="46"/>
      <c r="H789" s="44"/>
      <c r="I789" s="44"/>
      <c r="J789" s="44"/>
      <c r="K789" s="44"/>
      <c r="L789" s="46" t="str">
        <f>IFERROR(__xludf.DUMMYFUNCTION("IFERROR(IF(ISBLANK($C789), """", GOOGLEFINANCE($C789, ""price"")), """")"),"")</f>
        <v/>
      </c>
      <c r="M789" s="47" t="str">
        <f t="shared" si="3"/>
        <v/>
      </c>
      <c r="N789" s="47" t="str">
        <f>IFERROR(__xludf.DUMMYFUNCTION("IFERROR(IF(OR(ISBLANK($G789), IFERROR(INDEX(GOOGLEFINANCE($C789, ""price"", WORKDAY(INT($B789), 1)), 2, 2), """")=""""), """", IF($D789=""LONG"", (IFERROR(INDEX(GOOGLEFINANCE($C789, ""price"", WORKDAY(INT($B789), 1)), 2, 2), """")-$G789)/$G789, ($G789-IFE"&amp;"RROR(INDEX(GOOGLEFINANCE($C789, ""price"", WORKDAY(INT($B789), 1)), 2, 2), """"))/$G789)), """")"),"")</f>
        <v/>
      </c>
      <c r="O789" s="47" t="str">
        <f>IFERROR(__xludf.DUMMYFUNCTION("IFERROR(IF(OR(ISBLANK($G789), IFERROR(INDEX(GOOGLEFINANCE($C789, ""price"", WORKDAY(INT($B789), 5)), 2, 2), """")=""""), """", IF($D789=""LONG"", (IFERROR(INDEX(GOOGLEFINANCE($C789, ""price"", WORKDAY(INT($B789), 5)), 2, 2), """")-$G789)/$G789, ($G789-IFE"&amp;"RROR(INDEX(GOOGLEFINANCE($C789, ""price"", WORKDAY(INT($B789), 5)), 2, 2), """"))/$G789)), """")"),"")</f>
        <v/>
      </c>
      <c r="P789" s="47" t="str">
        <f>IFERROR(__xludf.DUMMYFUNCTION("IFERROR(IF(OR(ISBLANK($G789), IFERROR(INDEX(GOOGLEFINANCE($C789, ""price"", WORKDAY(INT($B789), 20)), 2, 2), """")=""""), """", IF($D789=""LONG"", (IFERROR(INDEX(GOOGLEFINANCE($C789, ""price"", WORKDAY(INT($B789), 20)), 2, 2), """")-$G789)/$G789, ($G789-I"&amp;"FERROR(INDEX(GOOGLEFINANCE($C789, ""price"", WORKDAY(INT($B789), 20)), 2, 2), """"))/$G789)), """")"),"")</f>
        <v/>
      </c>
      <c r="Q789" s="44"/>
      <c r="R789" s="44"/>
      <c r="S789" s="44"/>
      <c r="T789" s="44"/>
      <c r="U789" s="44"/>
      <c r="V789" s="44"/>
      <c r="W789" s="44"/>
      <c r="X789" s="44"/>
      <c r="Y789" s="44"/>
      <c r="Z789" s="44"/>
    </row>
    <row r="790">
      <c r="A790" s="44"/>
      <c r="B790" s="45"/>
      <c r="C790" s="44"/>
      <c r="D790" s="44"/>
      <c r="E790" s="44"/>
      <c r="F790" s="44"/>
      <c r="G790" s="46"/>
      <c r="H790" s="44"/>
      <c r="I790" s="44"/>
      <c r="J790" s="44"/>
      <c r="K790" s="44"/>
      <c r="L790" s="46" t="str">
        <f>IFERROR(__xludf.DUMMYFUNCTION("IFERROR(IF(ISBLANK($C790), """", GOOGLEFINANCE($C790, ""price"")), """")"),"")</f>
        <v/>
      </c>
      <c r="M790" s="47" t="str">
        <f t="shared" si="3"/>
        <v/>
      </c>
      <c r="N790" s="47" t="str">
        <f>IFERROR(__xludf.DUMMYFUNCTION("IFERROR(IF(OR(ISBLANK($G790), IFERROR(INDEX(GOOGLEFINANCE($C790, ""price"", WORKDAY(INT($B790), 1)), 2, 2), """")=""""), """", IF($D790=""LONG"", (IFERROR(INDEX(GOOGLEFINANCE($C790, ""price"", WORKDAY(INT($B790), 1)), 2, 2), """")-$G790)/$G790, ($G790-IFE"&amp;"RROR(INDEX(GOOGLEFINANCE($C790, ""price"", WORKDAY(INT($B790), 1)), 2, 2), """"))/$G790)), """")"),"")</f>
        <v/>
      </c>
      <c r="O790" s="47" t="str">
        <f>IFERROR(__xludf.DUMMYFUNCTION("IFERROR(IF(OR(ISBLANK($G790), IFERROR(INDEX(GOOGLEFINANCE($C790, ""price"", WORKDAY(INT($B790), 5)), 2, 2), """")=""""), """", IF($D790=""LONG"", (IFERROR(INDEX(GOOGLEFINANCE($C790, ""price"", WORKDAY(INT($B790), 5)), 2, 2), """")-$G790)/$G790, ($G790-IFE"&amp;"RROR(INDEX(GOOGLEFINANCE($C790, ""price"", WORKDAY(INT($B790), 5)), 2, 2), """"))/$G790)), """")"),"")</f>
        <v/>
      </c>
      <c r="P790" s="47" t="str">
        <f>IFERROR(__xludf.DUMMYFUNCTION("IFERROR(IF(OR(ISBLANK($G790), IFERROR(INDEX(GOOGLEFINANCE($C790, ""price"", WORKDAY(INT($B790), 20)), 2, 2), """")=""""), """", IF($D790=""LONG"", (IFERROR(INDEX(GOOGLEFINANCE($C790, ""price"", WORKDAY(INT($B790), 20)), 2, 2), """")-$G790)/$G790, ($G790-I"&amp;"FERROR(INDEX(GOOGLEFINANCE($C790, ""price"", WORKDAY(INT($B790), 20)), 2, 2), """"))/$G790)), """")"),"")</f>
        <v/>
      </c>
      <c r="Q790" s="44"/>
      <c r="R790" s="44"/>
      <c r="S790" s="44"/>
      <c r="T790" s="44"/>
      <c r="U790" s="44"/>
      <c r="V790" s="44"/>
      <c r="W790" s="44"/>
      <c r="X790" s="44"/>
      <c r="Y790" s="44"/>
      <c r="Z790" s="44"/>
    </row>
    <row r="791">
      <c r="A791" s="44"/>
      <c r="B791" s="45"/>
      <c r="C791" s="44"/>
      <c r="D791" s="44"/>
      <c r="E791" s="44"/>
      <c r="F791" s="44"/>
      <c r="G791" s="46"/>
      <c r="H791" s="44"/>
      <c r="I791" s="44"/>
      <c r="J791" s="44"/>
      <c r="K791" s="44"/>
      <c r="L791" s="46" t="str">
        <f>IFERROR(__xludf.DUMMYFUNCTION("IFERROR(IF(ISBLANK($C791), """", GOOGLEFINANCE($C791, ""price"")), """")"),"")</f>
        <v/>
      </c>
      <c r="M791" s="47" t="str">
        <f t="shared" si="3"/>
        <v/>
      </c>
      <c r="N791" s="47" t="str">
        <f>IFERROR(__xludf.DUMMYFUNCTION("IFERROR(IF(OR(ISBLANK($G791), IFERROR(INDEX(GOOGLEFINANCE($C791, ""price"", WORKDAY(INT($B791), 1)), 2, 2), """")=""""), """", IF($D791=""LONG"", (IFERROR(INDEX(GOOGLEFINANCE($C791, ""price"", WORKDAY(INT($B791), 1)), 2, 2), """")-$G791)/$G791, ($G791-IFE"&amp;"RROR(INDEX(GOOGLEFINANCE($C791, ""price"", WORKDAY(INT($B791), 1)), 2, 2), """"))/$G791)), """")"),"")</f>
        <v/>
      </c>
      <c r="O791" s="47" t="str">
        <f>IFERROR(__xludf.DUMMYFUNCTION("IFERROR(IF(OR(ISBLANK($G791), IFERROR(INDEX(GOOGLEFINANCE($C791, ""price"", WORKDAY(INT($B791), 5)), 2, 2), """")=""""), """", IF($D791=""LONG"", (IFERROR(INDEX(GOOGLEFINANCE($C791, ""price"", WORKDAY(INT($B791), 5)), 2, 2), """")-$G791)/$G791, ($G791-IFE"&amp;"RROR(INDEX(GOOGLEFINANCE($C791, ""price"", WORKDAY(INT($B791), 5)), 2, 2), """"))/$G791)), """")"),"")</f>
        <v/>
      </c>
      <c r="P791" s="47" t="str">
        <f>IFERROR(__xludf.DUMMYFUNCTION("IFERROR(IF(OR(ISBLANK($G791), IFERROR(INDEX(GOOGLEFINANCE($C791, ""price"", WORKDAY(INT($B791), 20)), 2, 2), """")=""""), """", IF($D791=""LONG"", (IFERROR(INDEX(GOOGLEFINANCE($C791, ""price"", WORKDAY(INT($B791), 20)), 2, 2), """")-$G791)/$G791, ($G791-I"&amp;"FERROR(INDEX(GOOGLEFINANCE($C791, ""price"", WORKDAY(INT($B791), 20)), 2, 2), """"))/$G791)), """")"),"")</f>
        <v/>
      </c>
      <c r="Q791" s="44"/>
      <c r="R791" s="44"/>
      <c r="S791" s="44"/>
      <c r="T791" s="44"/>
      <c r="U791" s="44"/>
      <c r="V791" s="44"/>
      <c r="W791" s="44"/>
      <c r="X791" s="44"/>
      <c r="Y791" s="44"/>
      <c r="Z791" s="44"/>
    </row>
    <row r="792">
      <c r="A792" s="44"/>
      <c r="B792" s="45"/>
      <c r="C792" s="44"/>
      <c r="D792" s="44"/>
      <c r="E792" s="44"/>
      <c r="F792" s="44"/>
      <c r="G792" s="46"/>
      <c r="H792" s="44"/>
      <c r="I792" s="44"/>
      <c r="J792" s="44"/>
      <c r="K792" s="44"/>
      <c r="L792" s="46" t="str">
        <f>IFERROR(__xludf.DUMMYFUNCTION("IFERROR(IF(ISBLANK($C792), """", GOOGLEFINANCE($C792, ""price"")), """")"),"")</f>
        <v/>
      </c>
      <c r="M792" s="47" t="str">
        <f t="shared" si="3"/>
        <v/>
      </c>
      <c r="N792" s="47" t="str">
        <f>IFERROR(__xludf.DUMMYFUNCTION("IFERROR(IF(OR(ISBLANK($G792), IFERROR(INDEX(GOOGLEFINANCE($C792, ""price"", WORKDAY(INT($B792), 1)), 2, 2), """")=""""), """", IF($D792=""LONG"", (IFERROR(INDEX(GOOGLEFINANCE($C792, ""price"", WORKDAY(INT($B792), 1)), 2, 2), """")-$G792)/$G792, ($G792-IFE"&amp;"RROR(INDEX(GOOGLEFINANCE($C792, ""price"", WORKDAY(INT($B792), 1)), 2, 2), """"))/$G792)), """")"),"")</f>
        <v/>
      </c>
      <c r="O792" s="47" t="str">
        <f>IFERROR(__xludf.DUMMYFUNCTION("IFERROR(IF(OR(ISBLANK($G792), IFERROR(INDEX(GOOGLEFINANCE($C792, ""price"", WORKDAY(INT($B792), 5)), 2, 2), """")=""""), """", IF($D792=""LONG"", (IFERROR(INDEX(GOOGLEFINANCE($C792, ""price"", WORKDAY(INT($B792), 5)), 2, 2), """")-$G792)/$G792, ($G792-IFE"&amp;"RROR(INDEX(GOOGLEFINANCE($C792, ""price"", WORKDAY(INT($B792), 5)), 2, 2), """"))/$G792)), """")"),"")</f>
        <v/>
      </c>
      <c r="P792" s="47" t="str">
        <f>IFERROR(__xludf.DUMMYFUNCTION("IFERROR(IF(OR(ISBLANK($G792), IFERROR(INDEX(GOOGLEFINANCE($C792, ""price"", WORKDAY(INT($B792), 20)), 2, 2), """")=""""), """", IF($D792=""LONG"", (IFERROR(INDEX(GOOGLEFINANCE($C792, ""price"", WORKDAY(INT($B792), 20)), 2, 2), """")-$G792)/$G792, ($G792-I"&amp;"FERROR(INDEX(GOOGLEFINANCE($C792, ""price"", WORKDAY(INT($B792), 20)), 2, 2), """"))/$G792)), """")"),"")</f>
        <v/>
      </c>
      <c r="Q792" s="44"/>
      <c r="R792" s="44"/>
      <c r="S792" s="44"/>
      <c r="T792" s="44"/>
      <c r="U792" s="44"/>
      <c r="V792" s="44"/>
      <c r="W792" s="44"/>
      <c r="X792" s="44"/>
      <c r="Y792" s="44"/>
      <c r="Z792" s="44"/>
    </row>
    <row r="793">
      <c r="A793" s="44"/>
      <c r="B793" s="45"/>
      <c r="C793" s="44"/>
      <c r="D793" s="44"/>
      <c r="E793" s="44"/>
      <c r="F793" s="44"/>
      <c r="G793" s="46"/>
      <c r="H793" s="44"/>
      <c r="I793" s="44"/>
      <c r="J793" s="44"/>
      <c r="K793" s="44"/>
      <c r="L793" s="46" t="str">
        <f>IFERROR(__xludf.DUMMYFUNCTION("IFERROR(IF(ISBLANK($C793), """", GOOGLEFINANCE($C793, ""price"")), """")"),"")</f>
        <v/>
      </c>
      <c r="M793" s="47" t="str">
        <f t="shared" si="3"/>
        <v/>
      </c>
      <c r="N793" s="47" t="str">
        <f>IFERROR(__xludf.DUMMYFUNCTION("IFERROR(IF(OR(ISBLANK($G793), IFERROR(INDEX(GOOGLEFINANCE($C793, ""price"", WORKDAY(INT($B793), 1)), 2, 2), """")=""""), """", IF($D793=""LONG"", (IFERROR(INDEX(GOOGLEFINANCE($C793, ""price"", WORKDAY(INT($B793), 1)), 2, 2), """")-$G793)/$G793, ($G793-IFE"&amp;"RROR(INDEX(GOOGLEFINANCE($C793, ""price"", WORKDAY(INT($B793), 1)), 2, 2), """"))/$G793)), """")"),"")</f>
        <v/>
      </c>
      <c r="O793" s="47" t="str">
        <f>IFERROR(__xludf.DUMMYFUNCTION("IFERROR(IF(OR(ISBLANK($G793), IFERROR(INDEX(GOOGLEFINANCE($C793, ""price"", WORKDAY(INT($B793), 5)), 2, 2), """")=""""), """", IF($D793=""LONG"", (IFERROR(INDEX(GOOGLEFINANCE($C793, ""price"", WORKDAY(INT($B793), 5)), 2, 2), """")-$G793)/$G793, ($G793-IFE"&amp;"RROR(INDEX(GOOGLEFINANCE($C793, ""price"", WORKDAY(INT($B793), 5)), 2, 2), """"))/$G793)), """")"),"")</f>
        <v/>
      </c>
      <c r="P793" s="47" t="str">
        <f>IFERROR(__xludf.DUMMYFUNCTION("IFERROR(IF(OR(ISBLANK($G793), IFERROR(INDEX(GOOGLEFINANCE($C793, ""price"", WORKDAY(INT($B793), 20)), 2, 2), """")=""""), """", IF($D793=""LONG"", (IFERROR(INDEX(GOOGLEFINANCE($C793, ""price"", WORKDAY(INT($B793), 20)), 2, 2), """")-$G793)/$G793, ($G793-I"&amp;"FERROR(INDEX(GOOGLEFINANCE($C793, ""price"", WORKDAY(INT($B793), 20)), 2, 2), """"))/$G793)), """")"),"")</f>
        <v/>
      </c>
      <c r="Q793" s="44"/>
      <c r="R793" s="44"/>
      <c r="S793" s="44"/>
      <c r="T793" s="44"/>
      <c r="U793" s="44"/>
      <c r="V793" s="44"/>
      <c r="W793" s="44"/>
      <c r="X793" s="44"/>
      <c r="Y793" s="44"/>
      <c r="Z793" s="44"/>
    </row>
    <row r="794">
      <c r="A794" s="44"/>
      <c r="B794" s="45"/>
      <c r="C794" s="44"/>
      <c r="D794" s="44"/>
      <c r="E794" s="44"/>
      <c r="F794" s="44"/>
      <c r="G794" s="46"/>
      <c r="H794" s="44"/>
      <c r="I794" s="44"/>
      <c r="J794" s="44"/>
      <c r="K794" s="44"/>
      <c r="L794" s="46" t="str">
        <f>IFERROR(__xludf.DUMMYFUNCTION("IFERROR(IF(ISBLANK($C794), """", GOOGLEFINANCE($C794, ""price"")), """")"),"")</f>
        <v/>
      </c>
      <c r="M794" s="47" t="str">
        <f t="shared" si="3"/>
        <v/>
      </c>
      <c r="N794" s="47" t="str">
        <f>IFERROR(__xludf.DUMMYFUNCTION("IFERROR(IF(OR(ISBLANK($G794), IFERROR(INDEX(GOOGLEFINANCE($C794, ""price"", WORKDAY(INT($B794), 1)), 2, 2), """")=""""), """", IF($D794=""LONG"", (IFERROR(INDEX(GOOGLEFINANCE($C794, ""price"", WORKDAY(INT($B794), 1)), 2, 2), """")-$G794)/$G794, ($G794-IFE"&amp;"RROR(INDEX(GOOGLEFINANCE($C794, ""price"", WORKDAY(INT($B794), 1)), 2, 2), """"))/$G794)), """")"),"")</f>
        <v/>
      </c>
      <c r="O794" s="47" t="str">
        <f>IFERROR(__xludf.DUMMYFUNCTION("IFERROR(IF(OR(ISBLANK($G794), IFERROR(INDEX(GOOGLEFINANCE($C794, ""price"", WORKDAY(INT($B794), 5)), 2, 2), """")=""""), """", IF($D794=""LONG"", (IFERROR(INDEX(GOOGLEFINANCE($C794, ""price"", WORKDAY(INT($B794), 5)), 2, 2), """")-$G794)/$G794, ($G794-IFE"&amp;"RROR(INDEX(GOOGLEFINANCE($C794, ""price"", WORKDAY(INT($B794), 5)), 2, 2), """"))/$G794)), """")"),"")</f>
        <v/>
      </c>
      <c r="P794" s="47" t="str">
        <f>IFERROR(__xludf.DUMMYFUNCTION("IFERROR(IF(OR(ISBLANK($G794), IFERROR(INDEX(GOOGLEFINANCE($C794, ""price"", WORKDAY(INT($B794), 20)), 2, 2), """")=""""), """", IF($D794=""LONG"", (IFERROR(INDEX(GOOGLEFINANCE($C794, ""price"", WORKDAY(INT($B794), 20)), 2, 2), """")-$G794)/$G794, ($G794-I"&amp;"FERROR(INDEX(GOOGLEFINANCE($C794, ""price"", WORKDAY(INT($B794), 20)), 2, 2), """"))/$G794)), """")"),"")</f>
        <v/>
      </c>
      <c r="Q794" s="44"/>
      <c r="R794" s="44"/>
      <c r="S794" s="44"/>
      <c r="T794" s="44"/>
      <c r="U794" s="44"/>
      <c r="V794" s="44"/>
      <c r="W794" s="44"/>
      <c r="X794" s="44"/>
      <c r="Y794" s="44"/>
      <c r="Z794" s="44"/>
    </row>
    <row r="795">
      <c r="A795" s="44"/>
      <c r="B795" s="45"/>
      <c r="C795" s="44"/>
      <c r="D795" s="44"/>
      <c r="E795" s="44"/>
      <c r="F795" s="44"/>
      <c r="G795" s="46"/>
      <c r="H795" s="44"/>
      <c r="I795" s="44"/>
      <c r="J795" s="44"/>
      <c r="K795" s="44"/>
      <c r="L795" s="46" t="str">
        <f>IFERROR(__xludf.DUMMYFUNCTION("IFERROR(IF(ISBLANK($C795), """", GOOGLEFINANCE($C795, ""price"")), """")"),"")</f>
        <v/>
      </c>
      <c r="M795" s="47" t="str">
        <f t="shared" si="3"/>
        <v/>
      </c>
      <c r="N795" s="47" t="str">
        <f>IFERROR(__xludf.DUMMYFUNCTION("IFERROR(IF(OR(ISBLANK($G795), IFERROR(INDEX(GOOGLEFINANCE($C795, ""price"", WORKDAY(INT($B795), 1)), 2, 2), """")=""""), """", IF($D795=""LONG"", (IFERROR(INDEX(GOOGLEFINANCE($C795, ""price"", WORKDAY(INT($B795), 1)), 2, 2), """")-$G795)/$G795, ($G795-IFE"&amp;"RROR(INDEX(GOOGLEFINANCE($C795, ""price"", WORKDAY(INT($B795), 1)), 2, 2), """"))/$G795)), """")"),"")</f>
        <v/>
      </c>
      <c r="O795" s="47" t="str">
        <f>IFERROR(__xludf.DUMMYFUNCTION("IFERROR(IF(OR(ISBLANK($G795), IFERROR(INDEX(GOOGLEFINANCE($C795, ""price"", WORKDAY(INT($B795), 5)), 2, 2), """")=""""), """", IF($D795=""LONG"", (IFERROR(INDEX(GOOGLEFINANCE($C795, ""price"", WORKDAY(INT($B795), 5)), 2, 2), """")-$G795)/$G795, ($G795-IFE"&amp;"RROR(INDEX(GOOGLEFINANCE($C795, ""price"", WORKDAY(INT($B795), 5)), 2, 2), """"))/$G795)), """")"),"")</f>
        <v/>
      </c>
      <c r="P795" s="47" t="str">
        <f>IFERROR(__xludf.DUMMYFUNCTION("IFERROR(IF(OR(ISBLANK($G795), IFERROR(INDEX(GOOGLEFINANCE($C795, ""price"", WORKDAY(INT($B795), 20)), 2, 2), """")=""""), """", IF($D795=""LONG"", (IFERROR(INDEX(GOOGLEFINANCE($C795, ""price"", WORKDAY(INT($B795), 20)), 2, 2), """")-$G795)/$G795, ($G795-I"&amp;"FERROR(INDEX(GOOGLEFINANCE($C795, ""price"", WORKDAY(INT($B795), 20)), 2, 2), """"))/$G795)), """")"),"")</f>
        <v/>
      </c>
      <c r="Q795" s="44"/>
      <c r="R795" s="44"/>
      <c r="S795" s="44"/>
      <c r="T795" s="44"/>
      <c r="U795" s="44"/>
      <c r="V795" s="44"/>
      <c r="W795" s="44"/>
      <c r="X795" s="44"/>
      <c r="Y795" s="44"/>
      <c r="Z795" s="44"/>
    </row>
    <row r="796">
      <c r="A796" s="44"/>
      <c r="B796" s="45"/>
      <c r="C796" s="44"/>
      <c r="D796" s="44"/>
      <c r="E796" s="44"/>
      <c r="F796" s="44"/>
      <c r="G796" s="46"/>
      <c r="H796" s="44"/>
      <c r="I796" s="44"/>
      <c r="J796" s="44"/>
      <c r="K796" s="44"/>
      <c r="L796" s="46" t="str">
        <f>IFERROR(__xludf.DUMMYFUNCTION("IFERROR(IF(ISBLANK($C796), """", GOOGLEFINANCE($C796, ""price"")), """")"),"")</f>
        <v/>
      </c>
      <c r="M796" s="47" t="str">
        <f t="shared" si="3"/>
        <v/>
      </c>
      <c r="N796" s="47" t="str">
        <f>IFERROR(__xludf.DUMMYFUNCTION("IFERROR(IF(OR(ISBLANK($G796), IFERROR(INDEX(GOOGLEFINANCE($C796, ""price"", WORKDAY(INT($B796), 1)), 2, 2), """")=""""), """", IF($D796=""LONG"", (IFERROR(INDEX(GOOGLEFINANCE($C796, ""price"", WORKDAY(INT($B796), 1)), 2, 2), """")-$G796)/$G796, ($G796-IFE"&amp;"RROR(INDEX(GOOGLEFINANCE($C796, ""price"", WORKDAY(INT($B796), 1)), 2, 2), """"))/$G796)), """")"),"")</f>
        <v/>
      </c>
      <c r="O796" s="47" t="str">
        <f>IFERROR(__xludf.DUMMYFUNCTION("IFERROR(IF(OR(ISBLANK($G796), IFERROR(INDEX(GOOGLEFINANCE($C796, ""price"", WORKDAY(INT($B796), 5)), 2, 2), """")=""""), """", IF($D796=""LONG"", (IFERROR(INDEX(GOOGLEFINANCE($C796, ""price"", WORKDAY(INT($B796), 5)), 2, 2), """")-$G796)/$G796, ($G796-IFE"&amp;"RROR(INDEX(GOOGLEFINANCE($C796, ""price"", WORKDAY(INT($B796), 5)), 2, 2), """"))/$G796)), """")"),"")</f>
        <v/>
      </c>
      <c r="P796" s="47" t="str">
        <f>IFERROR(__xludf.DUMMYFUNCTION("IFERROR(IF(OR(ISBLANK($G796), IFERROR(INDEX(GOOGLEFINANCE($C796, ""price"", WORKDAY(INT($B796), 20)), 2, 2), """")=""""), """", IF($D796=""LONG"", (IFERROR(INDEX(GOOGLEFINANCE($C796, ""price"", WORKDAY(INT($B796), 20)), 2, 2), """")-$G796)/$G796, ($G796-I"&amp;"FERROR(INDEX(GOOGLEFINANCE($C796, ""price"", WORKDAY(INT($B796), 20)), 2, 2), """"))/$G796)), """")"),"")</f>
        <v/>
      </c>
      <c r="Q796" s="44"/>
      <c r="R796" s="44"/>
      <c r="S796" s="44"/>
      <c r="T796" s="44"/>
      <c r="U796" s="44"/>
      <c r="V796" s="44"/>
      <c r="W796" s="44"/>
      <c r="X796" s="44"/>
      <c r="Y796" s="44"/>
      <c r="Z796" s="44"/>
    </row>
    <row r="797">
      <c r="A797" s="44"/>
      <c r="B797" s="45"/>
      <c r="C797" s="44"/>
      <c r="D797" s="44"/>
      <c r="E797" s="44"/>
      <c r="F797" s="44"/>
      <c r="G797" s="46"/>
      <c r="H797" s="44"/>
      <c r="I797" s="44"/>
      <c r="J797" s="44"/>
      <c r="K797" s="44"/>
      <c r="L797" s="46" t="str">
        <f>IFERROR(__xludf.DUMMYFUNCTION("IFERROR(IF(ISBLANK($C797), """", GOOGLEFINANCE($C797, ""price"")), """")"),"")</f>
        <v/>
      </c>
      <c r="M797" s="47" t="str">
        <f t="shared" si="3"/>
        <v/>
      </c>
      <c r="N797" s="47" t="str">
        <f>IFERROR(__xludf.DUMMYFUNCTION("IFERROR(IF(OR(ISBLANK($G797), IFERROR(INDEX(GOOGLEFINANCE($C797, ""price"", WORKDAY(INT($B797), 1)), 2, 2), """")=""""), """", IF($D797=""LONG"", (IFERROR(INDEX(GOOGLEFINANCE($C797, ""price"", WORKDAY(INT($B797), 1)), 2, 2), """")-$G797)/$G797, ($G797-IFE"&amp;"RROR(INDEX(GOOGLEFINANCE($C797, ""price"", WORKDAY(INT($B797), 1)), 2, 2), """"))/$G797)), """")"),"")</f>
        <v/>
      </c>
      <c r="O797" s="47" t="str">
        <f>IFERROR(__xludf.DUMMYFUNCTION("IFERROR(IF(OR(ISBLANK($G797), IFERROR(INDEX(GOOGLEFINANCE($C797, ""price"", WORKDAY(INT($B797), 5)), 2, 2), """")=""""), """", IF($D797=""LONG"", (IFERROR(INDEX(GOOGLEFINANCE($C797, ""price"", WORKDAY(INT($B797), 5)), 2, 2), """")-$G797)/$G797, ($G797-IFE"&amp;"RROR(INDEX(GOOGLEFINANCE($C797, ""price"", WORKDAY(INT($B797), 5)), 2, 2), """"))/$G797)), """")"),"")</f>
        <v/>
      </c>
      <c r="P797" s="47" t="str">
        <f>IFERROR(__xludf.DUMMYFUNCTION("IFERROR(IF(OR(ISBLANK($G797), IFERROR(INDEX(GOOGLEFINANCE($C797, ""price"", WORKDAY(INT($B797), 20)), 2, 2), """")=""""), """", IF($D797=""LONG"", (IFERROR(INDEX(GOOGLEFINANCE($C797, ""price"", WORKDAY(INT($B797), 20)), 2, 2), """")-$G797)/$G797, ($G797-I"&amp;"FERROR(INDEX(GOOGLEFINANCE($C797, ""price"", WORKDAY(INT($B797), 20)), 2, 2), """"))/$G797)), """")"),"")</f>
        <v/>
      </c>
      <c r="Q797" s="44"/>
      <c r="R797" s="44"/>
      <c r="S797" s="44"/>
      <c r="T797" s="44"/>
      <c r="U797" s="44"/>
      <c r="V797" s="44"/>
      <c r="W797" s="44"/>
      <c r="X797" s="44"/>
      <c r="Y797" s="44"/>
      <c r="Z797" s="44"/>
    </row>
    <row r="798">
      <c r="A798" s="44"/>
      <c r="B798" s="45"/>
      <c r="C798" s="44"/>
      <c r="D798" s="44"/>
      <c r="E798" s="44"/>
      <c r="F798" s="44"/>
      <c r="G798" s="46"/>
      <c r="H798" s="44"/>
      <c r="I798" s="44"/>
      <c r="J798" s="44"/>
      <c r="K798" s="44"/>
      <c r="L798" s="46" t="str">
        <f>IFERROR(__xludf.DUMMYFUNCTION("IFERROR(IF(ISBLANK($C798), """", GOOGLEFINANCE($C798, ""price"")), """")"),"")</f>
        <v/>
      </c>
      <c r="M798" s="47" t="str">
        <f t="shared" si="3"/>
        <v/>
      </c>
      <c r="N798" s="47" t="str">
        <f>IFERROR(__xludf.DUMMYFUNCTION("IFERROR(IF(OR(ISBLANK($G798), IFERROR(INDEX(GOOGLEFINANCE($C798, ""price"", WORKDAY(INT($B798), 1)), 2, 2), """")=""""), """", IF($D798=""LONG"", (IFERROR(INDEX(GOOGLEFINANCE($C798, ""price"", WORKDAY(INT($B798), 1)), 2, 2), """")-$G798)/$G798, ($G798-IFE"&amp;"RROR(INDEX(GOOGLEFINANCE($C798, ""price"", WORKDAY(INT($B798), 1)), 2, 2), """"))/$G798)), """")"),"")</f>
        <v/>
      </c>
      <c r="O798" s="47" t="str">
        <f>IFERROR(__xludf.DUMMYFUNCTION("IFERROR(IF(OR(ISBLANK($G798), IFERROR(INDEX(GOOGLEFINANCE($C798, ""price"", WORKDAY(INT($B798), 5)), 2, 2), """")=""""), """", IF($D798=""LONG"", (IFERROR(INDEX(GOOGLEFINANCE($C798, ""price"", WORKDAY(INT($B798), 5)), 2, 2), """")-$G798)/$G798, ($G798-IFE"&amp;"RROR(INDEX(GOOGLEFINANCE($C798, ""price"", WORKDAY(INT($B798), 5)), 2, 2), """"))/$G798)), """")"),"")</f>
        <v/>
      </c>
      <c r="P798" s="47" t="str">
        <f>IFERROR(__xludf.DUMMYFUNCTION("IFERROR(IF(OR(ISBLANK($G798), IFERROR(INDEX(GOOGLEFINANCE($C798, ""price"", WORKDAY(INT($B798), 20)), 2, 2), """")=""""), """", IF($D798=""LONG"", (IFERROR(INDEX(GOOGLEFINANCE($C798, ""price"", WORKDAY(INT($B798), 20)), 2, 2), """")-$G798)/$G798, ($G798-I"&amp;"FERROR(INDEX(GOOGLEFINANCE($C798, ""price"", WORKDAY(INT($B798), 20)), 2, 2), """"))/$G798)), """")"),"")</f>
        <v/>
      </c>
      <c r="Q798" s="44"/>
      <c r="R798" s="44"/>
      <c r="S798" s="44"/>
      <c r="T798" s="44"/>
      <c r="U798" s="44"/>
      <c r="V798" s="44"/>
      <c r="W798" s="44"/>
      <c r="X798" s="44"/>
      <c r="Y798" s="44"/>
      <c r="Z798" s="44"/>
    </row>
    <row r="799">
      <c r="A799" s="44"/>
      <c r="B799" s="45"/>
      <c r="C799" s="44"/>
      <c r="D799" s="44"/>
      <c r="E799" s="44"/>
      <c r="F799" s="44"/>
      <c r="G799" s="46"/>
      <c r="H799" s="44"/>
      <c r="I799" s="44"/>
      <c r="J799" s="44"/>
      <c r="K799" s="44"/>
      <c r="L799" s="46" t="str">
        <f>IFERROR(__xludf.DUMMYFUNCTION("IFERROR(IF(ISBLANK($C799), """", GOOGLEFINANCE($C799, ""price"")), """")"),"")</f>
        <v/>
      </c>
      <c r="M799" s="47" t="str">
        <f t="shared" si="3"/>
        <v/>
      </c>
      <c r="N799" s="47" t="str">
        <f>IFERROR(__xludf.DUMMYFUNCTION("IFERROR(IF(OR(ISBLANK($G799), IFERROR(INDEX(GOOGLEFINANCE($C799, ""price"", WORKDAY(INT($B799), 1)), 2, 2), """")=""""), """", IF($D799=""LONG"", (IFERROR(INDEX(GOOGLEFINANCE($C799, ""price"", WORKDAY(INT($B799), 1)), 2, 2), """")-$G799)/$G799, ($G799-IFE"&amp;"RROR(INDEX(GOOGLEFINANCE($C799, ""price"", WORKDAY(INT($B799), 1)), 2, 2), """"))/$G799)), """")"),"")</f>
        <v/>
      </c>
      <c r="O799" s="47" t="str">
        <f>IFERROR(__xludf.DUMMYFUNCTION("IFERROR(IF(OR(ISBLANK($G799), IFERROR(INDEX(GOOGLEFINANCE($C799, ""price"", WORKDAY(INT($B799), 5)), 2, 2), """")=""""), """", IF($D799=""LONG"", (IFERROR(INDEX(GOOGLEFINANCE($C799, ""price"", WORKDAY(INT($B799), 5)), 2, 2), """")-$G799)/$G799, ($G799-IFE"&amp;"RROR(INDEX(GOOGLEFINANCE($C799, ""price"", WORKDAY(INT($B799), 5)), 2, 2), """"))/$G799)), """")"),"")</f>
        <v/>
      </c>
      <c r="P799" s="47" t="str">
        <f>IFERROR(__xludf.DUMMYFUNCTION("IFERROR(IF(OR(ISBLANK($G799), IFERROR(INDEX(GOOGLEFINANCE($C799, ""price"", WORKDAY(INT($B799), 20)), 2, 2), """")=""""), """", IF($D799=""LONG"", (IFERROR(INDEX(GOOGLEFINANCE($C799, ""price"", WORKDAY(INT($B799), 20)), 2, 2), """")-$G799)/$G799, ($G799-I"&amp;"FERROR(INDEX(GOOGLEFINANCE($C799, ""price"", WORKDAY(INT($B799), 20)), 2, 2), """"))/$G799)), """")"),"")</f>
        <v/>
      </c>
      <c r="Q799" s="44"/>
      <c r="R799" s="44"/>
      <c r="S799" s="44"/>
      <c r="T799" s="44"/>
      <c r="U799" s="44"/>
      <c r="V799" s="44"/>
      <c r="W799" s="44"/>
      <c r="X799" s="44"/>
      <c r="Y799" s="44"/>
      <c r="Z799" s="44"/>
    </row>
    <row r="800">
      <c r="A800" s="44"/>
      <c r="B800" s="45"/>
      <c r="C800" s="44"/>
      <c r="D800" s="44"/>
      <c r="E800" s="44"/>
      <c r="F800" s="44"/>
      <c r="G800" s="46"/>
      <c r="H800" s="44"/>
      <c r="I800" s="44"/>
      <c r="J800" s="44"/>
      <c r="K800" s="44"/>
      <c r="L800" s="46" t="str">
        <f>IFERROR(__xludf.DUMMYFUNCTION("IFERROR(IF(ISBLANK($C800), """", GOOGLEFINANCE($C800, ""price"")), """")"),"")</f>
        <v/>
      </c>
      <c r="M800" s="47" t="str">
        <f t="shared" si="3"/>
        <v/>
      </c>
      <c r="N800" s="47" t="str">
        <f>IFERROR(__xludf.DUMMYFUNCTION("IFERROR(IF(OR(ISBLANK($G800), IFERROR(INDEX(GOOGLEFINANCE($C800, ""price"", WORKDAY(INT($B800), 1)), 2, 2), """")=""""), """", IF($D800=""LONG"", (IFERROR(INDEX(GOOGLEFINANCE($C800, ""price"", WORKDAY(INT($B800), 1)), 2, 2), """")-$G800)/$G800, ($G800-IFE"&amp;"RROR(INDEX(GOOGLEFINANCE($C800, ""price"", WORKDAY(INT($B800), 1)), 2, 2), """"))/$G800)), """")"),"")</f>
        <v/>
      </c>
      <c r="O800" s="47" t="str">
        <f>IFERROR(__xludf.DUMMYFUNCTION("IFERROR(IF(OR(ISBLANK($G800), IFERROR(INDEX(GOOGLEFINANCE($C800, ""price"", WORKDAY(INT($B800), 5)), 2, 2), """")=""""), """", IF($D800=""LONG"", (IFERROR(INDEX(GOOGLEFINANCE($C800, ""price"", WORKDAY(INT($B800), 5)), 2, 2), """")-$G800)/$G800, ($G800-IFE"&amp;"RROR(INDEX(GOOGLEFINANCE($C800, ""price"", WORKDAY(INT($B800), 5)), 2, 2), """"))/$G800)), """")"),"")</f>
        <v/>
      </c>
      <c r="P800" s="47" t="str">
        <f>IFERROR(__xludf.DUMMYFUNCTION("IFERROR(IF(OR(ISBLANK($G800), IFERROR(INDEX(GOOGLEFINANCE($C800, ""price"", WORKDAY(INT($B800), 20)), 2, 2), """")=""""), """", IF($D800=""LONG"", (IFERROR(INDEX(GOOGLEFINANCE($C800, ""price"", WORKDAY(INT($B800), 20)), 2, 2), """")-$G800)/$G800, ($G800-I"&amp;"FERROR(INDEX(GOOGLEFINANCE($C800, ""price"", WORKDAY(INT($B800), 20)), 2, 2), """"))/$G800)), """")"),"")</f>
        <v/>
      </c>
      <c r="Q800" s="44"/>
      <c r="R800" s="44"/>
      <c r="S800" s="44"/>
      <c r="T800" s="44"/>
      <c r="U800" s="44"/>
      <c r="V800" s="44"/>
      <c r="W800" s="44"/>
      <c r="X800" s="44"/>
      <c r="Y800" s="44"/>
      <c r="Z800" s="44"/>
    </row>
    <row r="801">
      <c r="A801" s="44"/>
      <c r="B801" s="45"/>
      <c r="C801" s="44"/>
      <c r="D801" s="44"/>
      <c r="E801" s="44"/>
      <c r="F801" s="44"/>
      <c r="G801" s="46"/>
      <c r="H801" s="44"/>
      <c r="I801" s="44"/>
      <c r="J801" s="44"/>
      <c r="K801" s="44"/>
      <c r="L801" s="46" t="str">
        <f>IFERROR(__xludf.DUMMYFUNCTION("IFERROR(IF(ISBLANK($C801), """", GOOGLEFINANCE($C801, ""price"")), """")"),"")</f>
        <v/>
      </c>
      <c r="M801" s="47" t="str">
        <f t="shared" si="3"/>
        <v/>
      </c>
      <c r="N801" s="47" t="str">
        <f>IFERROR(__xludf.DUMMYFUNCTION("IFERROR(IF(OR(ISBLANK($G801), IFERROR(INDEX(GOOGLEFINANCE($C801, ""price"", WORKDAY(INT($B801), 1)), 2, 2), """")=""""), """", IF($D801=""LONG"", (IFERROR(INDEX(GOOGLEFINANCE($C801, ""price"", WORKDAY(INT($B801), 1)), 2, 2), """")-$G801)/$G801, ($G801-IFE"&amp;"RROR(INDEX(GOOGLEFINANCE($C801, ""price"", WORKDAY(INT($B801), 1)), 2, 2), """"))/$G801)), """")"),"")</f>
        <v/>
      </c>
      <c r="O801" s="47" t="str">
        <f>IFERROR(__xludf.DUMMYFUNCTION("IFERROR(IF(OR(ISBLANK($G801), IFERROR(INDEX(GOOGLEFINANCE($C801, ""price"", WORKDAY(INT($B801), 5)), 2, 2), """")=""""), """", IF($D801=""LONG"", (IFERROR(INDEX(GOOGLEFINANCE($C801, ""price"", WORKDAY(INT($B801), 5)), 2, 2), """")-$G801)/$G801, ($G801-IFE"&amp;"RROR(INDEX(GOOGLEFINANCE($C801, ""price"", WORKDAY(INT($B801), 5)), 2, 2), """"))/$G801)), """")"),"")</f>
        <v/>
      </c>
      <c r="P801" s="47" t="str">
        <f>IFERROR(__xludf.DUMMYFUNCTION("IFERROR(IF(OR(ISBLANK($G801), IFERROR(INDEX(GOOGLEFINANCE($C801, ""price"", WORKDAY(INT($B801), 20)), 2, 2), """")=""""), """", IF($D801=""LONG"", (IFERROR(INDEX(GOOGLEFINANCE($C801, ""price"", WORKDAY(INT($B801), 20)), 2, 2), """")-$G801)/$G801, ($G801-I"&amp;"FERROR(INDEX(GOOGLEFINANCE($C801, ""price"", WORKDAY(INT($B801), 20)), 2, 2), """"))/$G801)), """")"),"")</f>
        <v/>
      </c>
      <c r="Q801" s="44"/>
      <c r="R801" s="44"/>
      <c r="S801" s="44"/>
      <c r="T801" s="44"/>
      <c r="U801" s="44"/>
      <c r="V801" s="44"/>
      <c r="W801" s="44"/>
      <c r="X801" s="44"/>
      <c r="Y801" s="44"/>
      <c r="Z801" s="44"/>
    </row>
    <row r="802">
      <c r="A802" s="44"/>
      <c r="B802" s="45"/>
      <c r="C802" s="44"/>
      <c r="D802" s="44"/>
      <c r="E802" s="44"/>
      <c r="F802" s="44"/>
      <c r="G802" s="46"/>
      <c r="H802" s="44"/>
      <c r="I802" s="44"/>
      <c r="J802" s="44"/>
      <c r="K802" s="44"/>
      <c r="L802" s="46" t="str">
        <f>IFERROR(__xludf.DUMMYFUNCTION("IFERROR(IF(ISBLANK($C802), """", GOOGLEFINANCE($C802, ""price"")), """")"),"")</f>
        <v/>
      </c>
      <c r="M802" s="47" t="str">
        <f t="shared" si="3"/>
        <v/>
      </c>
      <c r="N802" s="47" t="str">
        <f>IFERROR(__xludf.DUMMYFUNCTION("IFERROR(IF(OR(ISBLANK($G802), IFERROR(INDEX(GOOGLEFINANCE($C802, ""price"", WORKDAY(INT($B802), 1)), 2, 2), """")=""""), """", IF($D802=""LONG"", (IFERROR(INDEX(GOOGLEFINANCE($C802, ""price"", WORKDAY(INT($B802), 1)), 2, 2), """")-$G802)/$G802, ($G802-IFE"&amp;"RROR(INDEX(GOOGLEFINANCE($C802, ""price"", WORKDAY(INT($B802), 1)), 2, 2), """"))/$G802)), """")"),"")</f>
        <v/>
      </c>
      <c r="O802" s="47" t="str">
        <f>IFERROR(__xludf.DUMMYFUNCTION("IFERROR(IF(OR(ISBLANK($G802), IFERROR(INDEX(GOOGLEFINANCE($C802, ""price"", WORKDAY(INT($B802), 5)), 2, 2), """")=""""), """", IF($D802=""LONG"", (IFERROR(INDEX(GOOGLEFINANCE($C802, ""price"", WORKDAY(INT($B802), 5)), 2, 2), """")-$G802)/$G802, ($G802-IFE"&amp;"RROR(INDEX(GOOGLEFINANCE($C802, ""price"", WORKDAY(INT($B802), 5)), 2, 2), """"))/$G802)), """")"),"")</f>
        <v/>
      </c>
      <c r="P802" s="47" t="str">
        <f>IFERROR(__xludf.DUMMYFUNCTION("IFERROR(IF(OR(ISBLANK($G802), IFERROR(INDEX(GOOGLEFINANCE($C802, ""price"", WORKDAY(INT($B802), 20)), 2, 2), """")=""""), """", IF($D802=""LONG"", (IFERROR(INDEX(GOOGLEFINANCE($C802, ""price"", WORKDAY(INT($B802), 20)), 2, 2), """")-$G802)/$G802, ($G802-I"&amp;"FERROR(INDEX(GOOGLEFINANCE($C802, ""price"", WORKDAY(INT($B802), 20)), 2, 2), """"))/$G802)), """")"),"")</f>
        <v/>
      </c>
      <c r="Q802" s="44"/>
      <c r="R802" s="44"/>
      <c r="S802" s="44"/>
      <c r="T802" s="44"/>
      <c r="U802" s="44"/>
      <c r="V802" s="44"/>
      <c r="W802" s="44"/>
      <c r="X802" s="44"/>
      <c r="Y802" s="44"/>
      <c r="Z802" s="44"/>
    </row>
    <row r="803">
      <c r="A803" s="44"/>
      <c r="B803" s="45"/>
      <c r="C803" s="44"/>
      <c r="D803" s="44"/>
      <c r="E803" s="44"/>
      <c r="F803" s="44"/>
      <c r="G803" s="46"/>
      <c r="H803" s="44"/>
      <c r="I803" s="44"/>
      <c r="J803" s="44"/>
      <c r="K803" s="44"/>
      <c r="L803" s="46" t="str">
        <f>IFERROR(__xludf.DUMMYFUNCTION("IFERROR(IF(ISBLANK($C803), """", GOOGLEFINANCE($C803, ""price"")), """")"),"")</f>
        <v/>
      </c>
      <c r="M803" s="47" t="str">
        <f t="shared" si="3"/>
        <v/>
      </c>
      <c r="N803" s="47" t="str">
        <f>IFERROR(__xludf.DUMMYFUNCTION("IFERROR(IF(OR(ISBLANK($G803), IFERROR(INDEX(GOOGLEFINANCE($C803, ""price"", WORKDAY(INT($B803), 1)), 2, 2), """")=""""), """", IF($D803=""LONG"", (IFERROR(INDEX(GOOGLEFINANCE($C803, ""price"", WORKDAY(INT($B803), 1)), 2, 2), """")-$G803)/$G803, ($G803-IFE"&amp;"RROR(INDEX(GOOGLEFINANCE($C803, ""price"", WORKDAY(INT($B803), 1)), 2, 2), """"))/$G803)), """")"),"")</f>
        <v/>
      </c>
      <c r="O803" s="47" t="str">
        <f>IFERROR(__xludf.DUMMYFUNCTION("IFERROR(IF(OR(ISBLANK($G803), IFERROR(INDEX(GOOGLEFINANCE($C803, ""price"", WORKDAY(INT($B803), 5)), 2, 2), """")=""""), """", IF($D803=""LONG"", (IFERROR(INDEX(GOOGLEFINANCE($C803, ""price"", WORKDAY(INT($B803), 5)), 2, 2), """")-$G803)/$G803, ($G803-IFE"&amp;"RROR(INDEX(GOOGLEFINANCE($C803, ""price"", WORKDAY(INT($B803), 5)), 2, 2), """"))/$G803)), """")"),"")</f>
        <v/>
      </c>
      <c r="P803" s="47" t="str">
        <f>IFERROR(__xludf.DUMMYFUNCTION("IFERROR(IF(OR(ISBLANK($G803), IFERROR(INDEX(GOOGLEFINANCE($C803, ""price"", WORKDAY(INT($B803), 20)), 2, 2), """")=""""), """", IF($D803=""LONG"", (IFERROR(INDEX(GOOGLEFINANCE($C803, ""price"", WORKDAY(INT($B803), 20)), 2, 2), """")-$G803)/$G803, ($G803-I"&amp;"FERROR(INDEX(GOOGLEFINANCE($C803, ""price"", WORKDAY(INT($B803), 20)), 2, 2), """"))/$G803)), """")"),"")</f>
        <v/>
      </c>
      <c r="Q803" s="44"/>
      <c r="R803" s="44"/>
      <c r="S803" s="44"/>
      <c r="T803" s="44"/>
      <c r="U803" s="44"/>
      <c r="V803" s="44"/>
      <c r="W803" s="44"/>
      <c r="X803" s="44"/>
      <c r="Y803" s="44"/>
      <c r="Z803" s="44"/>
    </row>
    <row r="804">
      <c r="A804" s="44"/>
      <c r="B804" s="45"/>
      <c r="C804" s="44"/>
      <c r="D804" s="44"/>
      <c r="E804" s="44"/>
      <c r="F804" s="44"/>
      <c r="G804" s="46"/>
      <c r="H804" s="44"/>
      <c r="I804" s="44"/>
      <c r="J804" s="44"/>
      <c r="K804" s="44"/>
      <c r="L804" s="46" t="str">
        <f>IFERROR(__xludf.DUMMYFUNCTION("IFERROR(IF(ISBLANK($C804), """", GOOGLEFINANCE($C804, ""price"")), """")"),"")</f>
        <v/>
      </c>
      <c r="M804" s="47" t="str">
        <f t="shared" si="3"/>
        <v/>
      </c>
      <c r="N804" s="47" t="str">
        <f>IFERROR(__xludf.DUMMYFUNCTION("IFERROR(IF(OR(ISBLANK($G804), IFERROR(INDEX(GOOGLEFINANCE($C804, ""price"", WORKDAY(INT($B804), 1)), 2, 2), """")=""""), """", IF($D804=""LONG"", (IFERROR(INDEX(GOOGLEFINANCE($C804, ""price"", WORKDAY(INT($B804), 1)), 2, 2), """")-$G804)/$G804, ($G804-IFE"&amp;"RROR(INDEX(GOOGLEFINANCE($C804, ""price"", WORKDAY(INT($B804), 1)), 2, 2), """"))/$G804)), """")"),"")</f>
        <v/>
      </c>
      <c r="O804" s="47" t="str">
        <f>IFERROR(__xludf.DUMMYFUNCTION("IFERROR(IF(OR(ISBLANK($G804), IFERROR(INDEX(GOOGLEFINANCE($C804, ""price"", WORKDAY(INT($B804), 5)), 2, 2), """")=""""), """", IF($D804=""LONG"", (IFERROR(INDEX(GOOGLEFINANCE($C804, ""price"", WORKDAY(INT($B804), 5)), 2, 2), """")-$G804)/$G804, ($G804-IFE"&amp;"RROR(INDEX(GOOGLEFINANCE($C804, ""price"", WORKDAY(INT($B804), 5)), 2, 2), """"))/$G804)), """")"),"")</f>
        <v/>
      </c>
      <c r="P804" s="47" t="str">
        <f>IFERROR(__xludf.DUMMYFUNCTION("IFERROR(IF(OR(ISBLANK($G804), IFERROR(INDEX(GOOGLEFINANCE($C804, ""price"", WORKDAY(INT($B804), 20)), 2, 2), """")=""""), """", IF($D804=""LONG"", (IFERROR(INDEX(GOOGLEFINANCE($C804, ""price"", WORKDAY(INT($B804), 20)), 2, 2), """")-$G804)/$G804, ($G804-I"&amp;"FERROR(INDEX(GOOGLEFINANCE($C804, ""price"", WORKDAY(INT($B804), 20)), 2, 2), """"))/$G804)), """")"),"")</f>
        <v/>
      </c>
      <c r="Q804" s="44"/>
      <c r="R804" s="44"/>
      <c r="S804" s="44"/>
      <c r="T804" s="44"/>
      <c r="U804" s="44"/>
      <c r="V804" s="44"/>
      <c r="W804" s="44"/>
      <c r="X804" s="44"/>
      <c r="Y804" s="44"/>
      <c r="Z804" s="44"/>
    </row>
    <row r="805">
      <c r="A805" s="44"/>
      <c r="B805" s="45"/>
      <c r="C805" s="44"/>
      <c r="D805" s="44"/>
      <c r="E805" s="44"/>
      <c r="F805" s="44"/>
      <c r="G805" s="46"/>
      <c r="H805" s="44"/>
      <c r="I805" s="44"/>
      <c r="J805" s="44"/>
      <c r="K805" s="44"/>
      <c r="L805" s="46" t="str">
        <f>IFERROR(__xludf.DUMMYFUNCTION("IFERROR(IF(ISBLANK($C805), """", GOOGLEFINANCE($C805, ""price"")), """")"),"")</f>
        <v/>
      </c>
      <c r="M805" s="47" t="str">
        <f t="shared" si="3"/>
        <v/>
      </c>
      <c r="N805" s="47" t="str">
        <f>IFERROR(__xludf.DUMMYFUNCTION("IFERROR(IF(OR(ISBLANK($G805), IFERROR(INDEX(GOOGLEFINANCE($C805, ""price"", WORKDAY(INT($B805), 1)), 2, 2), """")=""""), """", IF($D805=""LONG"", (IFERROR(INDEX(GOOGLEFINANCE($C805, ""price"", WORKDAY(INT($B805), 1)), 2, 2), """")-$G805)/$G805, ($G805-IFE"&amp;"RROR(INDEX(GOOGLEFINANCE($C805, ""price"", WORKDAY(INT($B805), 1)), 2, 2), """"))/$G805)), """")"),"")</f>
        <v/>
      </c>
      <c r="O805" s="47" t="str">
        <f>IFERROR(__xludf.DUMMYFUNCTION("IFERROR(IF(OR(ISBLANK($G805), IFERROR(INDEX(GOOGLEFINANCE($C805, ""price"", WORKDAY(INT($B805), 5)), 2, 2), """")=""""), """", IF($D805=""LONG"", (IFERROR(INDEX(GOOGLEFINANCE($C805, ""price"", WORKDAY(INT($B805), 5)), 2, 2), """")-$G805)/$G805, ($G805-IFE"&amp;"RROR(INDEX(GOOGLEFINANCE($C805, ""price"", WORKDAY(INT($B805), 5)), 2, 2), """"))/$G805)), """")"),"")</f>
        <v/>
      </c>
      <c r="P805" s="47" t="str">
        <f>IFERROR(__xludf.DUMMYFUNCTION("IFERROR(IF(OR(ISBLANK($G805), IFERROR(INDEX(GOOGLEFINANCE($C805, ""price"", WORKDAY(INT($B805), 20)), 2, 2), """")=""""), """", IF($D805=""LONG"", (IFERROR(INDEX(GOOGLEFINANCE($C805, ""price"", WORKDAY(INT($B805), 20)), 2, 2), """")-$G805)/$G805, ($G805-I"&amp;"FERROR(INDEX(GOOGLEFINANCE($C805, ""price"", WORKDAY(INT($B805), 20)), 2, 2), """"))/$G805)), """")"),"")</f>
        <v/>
      </c>
      <c r="Q805" s="44"/>
      <c r="R805" s="44"/>
      <c r="S805" s="44"/>
      <c r="T805" s="44"/>
      <c r="U805" s="44"/>
      <c r="V805" s="44"/>
      <c r="W805" s="44"/>
      <c r="X805" s="44"/>
      <c r="Y805" s="44"/>
      <c r="Z805" s="44"/>
    </row>
    <row r="806">
      <c r="A806" s="44"/>
      <c r="B806" s="45"/>
      <c r="C806" s="44"/>
      <c r="D806" s="44"/>
      <c r="E806" s="44"/>
      <c r="F806" s="44"/>
      <c r="G806" s="46"/>
      <c r="H806" s="44"/>
      <c r="I806" s="44"/>
      <c r="J806" s="44"/>
      <c r="K806" s="44"/>
      <c r="L806" s="46" t="str">
        <f>IFERROR(__xludf.DUMMYFUNCTION("IFERROR(IF(ISBLANK($C806), """", GOOGLEFINANCE($C806, ""price"")), """")"),"")</f>
        <v/>
      </c>
      <c r="M806" s="47" t="str">
        <f t="shared" si="3"/>
        <v/>
      </c>
      <c r="N806" s="47" t="str">
        <f>IFERROR(__xludf.DUMMYFUNCTION("IFERROR(IF(OR(ISBLANK($G806), IFERROR(INDEX(GOOGLEFINANCE($C806, ""price"", WORKDAY(INT($B806), 1)), 2, 2), """")=""""), """", IF($D806=""LONG"", (IFERROR(INDEX(GOOGLEFINANCE($C806, ""price"", WORKDAY(INT($B806), 1)), 2, 2), """")-$G806)/$G806, ($G806-IFE"&amp;"RROR(INDEX(GOOGLEFINANCE($C806, ""price"", WORKDAY(INT($B806), 1)), 2, 2), """"))/$G806)), """")"),"")</f>
        <v/>
      </c>
      <c r="O806" s="47" t="str">
        <f>IFERROR(__xludf.DUMMYFUNCTION("IFERROR(IF(OR(ISBLANK($G806), IFERROR(INDEX(GOOGLEFINANCE($C806, ""price"", WORKDAY(INT($B806), 5)), 2, 2), """")=""""), """", IF($D806=""LONG"", (IFERROR(INDEX(GOOGLEFINANCE($C806, ""price"", WORKDAY(INT($B806), 5)), 2, 2), """")-$G806)/$G806, ($G806-IFE"&amp;"RROR(INDEX(GOOGLEFINANCE($C806, ""price"", WORKDAY(INT($B806), 5)), 2, 2), """"))/$G806)), """")"),"")</f>
        <v/>
      </c>
      <c r="P806" s="47" t="str">
        <f>IFERROR(__xludf.DUMMYFUNCTION("IFERROR(IF(OR(ISBLANK($G806), IFERROR(INDEX(GOOGLEFINANCE($C806, ""price"", WORKDAY(INT($B806), 20)), 2, 2), """")=""""), """", IF($D806=""LONG"", (IFERROR(INDEX(GOOGLEFINANCE($C806, ""price"", WORKDAY(INT($B806), 20)), 2, 2), """")-$G806)/$G806, ($G806-I"&amp;"FERROR(INDEX(GOOGLEFINANCE($C806, ""price"", WORKDAY(INT($B806), 20)), 2, 2), """"))/$G806)), """")"),"")</f>
        <v/>
      </c>
      <c r="Q806" s="44"/>
      <c r="R806" s="44"/>
      <c r="S806" s="44"/>
      <c r="T806" s="44"/>
      <c r="U806" s="44"/>
      <c r="V806" s="44"/>
      <c r="W806" s="44"/>
      <c r="X806" s="44"/>
      <c r="Y806" s="44"/>
      <c r="Z806" s="44"/>
    </row>
    <row r="807">
      <c r="A807" s="44"/>
      <c r="B807" s="45"/>
      <c r="C807" s="44"/>
      <c r="D807" s="44"/>
      <c r="E807" s="44"/>
      <c r="F807" s="44"/>
      <c r="G807" s="46"/>
      <c r="H807" s="44"/>
      <c r="I807" s="44"/>
      <c r="J807" s="44"/>
      <c r="K807" s="44"/>
      <c r="L807" s="46" t="str">
        <f>IFERROR(__xludf.DUMMYFUNCTION("IFERROR(IF(ISBLANK($C807), """", GOOGLEFINANCE($C807, ""price"")), """")"),"")</f>
        <v/>
      </c>
      <c r="M807" s="47" t="str">
        <f t="shared" si="3"/>
        <v/>
      </c>
      <c r="N807" s="47" t="str">
        <f>IFERROR(__xludf.DUMMYFUNCTION("IFERROR(IF(OR(ISBLANK($G807), IFERROR(INDEX(GOOGLEFINANCE($C807, ""price"", WORKDAY(INT($B807), 1)), 2, 2), """")=""""), """", IF($D807=""LONG"", (IFERROR(INDEX(GOOGLEFINANCE($C807, ""price"", WORKDAY(INT($B807), 1)), 2, 2), """")-$G807)/$G807, ($G807-IFE"&amp;"RROR(INDEX(GOOGLEFINANCE($C807, ""price"", WORKDAY(INT($B807), 1)), 2, 2), """"))/$G807)), """")"),"")</f>
        <v/>
      </c>
      <c r="O807" s="47" t="str">
        <f>IFERROR(__xludf.DUMMYFUNCTION("IFERROR(IF(OR(ISBLANK($G807), IFERROR(INDEX(GOOGLEFINANCE($C807, ""price"", WORKDAY(INT($B807), 5)), 2, 2), """")=""""), """", IF($D807=""LONG"", (IFERROR(INDEX(GOOGLEFINANCE($C807, ""price"", WORKDAY(INT($B807), 5)), 2, 2), """")-$G807)/$G807, ($G807-IFE"&amp;"RROR(INDEX(GOOGLEFINANCE($C807, ""price"", WORKDAY(INT($B807), 5)), 2, 2), """"))/$G807)), """")"),"")</f>
        <v/>
      </c>
      <c r="P807" s="47" t="str">
        <f>IFERROR(__xludf.DUMMYFUNCTION("IFERROR(IF(OR(ISBLANK($G807), IFERROR(INDEX(GOOGLEFINANCE($C807, ""price"", WORKDAY(INT($B807), 20)), 2, 2), """")=""""), """", IF($D807=""LONG"", (IFERROR(INDEX(GOOGLEFINANCE($C807, ""price"", WORKDAY(INT($B807), 20)), 2, 2), """")-$G807)/$G807, ($G807-I"&amp;"FERROR(INDEX(GOOGLEFINANCE($C807, ""price"", WORKDAY(INT($B807), 20)), 2, 2), """"))/$G807)), """")"),"")</f>
        <v/>
      </c>
      <c r="Q807" s="44"/>
      <c r="R807" s="44"/>
      <c r="S807" s="44"/>
      <c r="T807" s="44"/>
      <c r="U807" s="44"/>
      <c r="V807" s="44"/>
      <c r="W807" s="44"/>
      <c r="X807" s="44"/>
      <c r="Y807" s="44"/>
      <c r="Z807" s="44"/>
    </row>
    <row r="808">
      <c r="A808" s="44"/>
      <c r="B808" s="45"/>
      <c r="C808" s="44"/>
      <c r="D808" s="44"/>
      <c r="E808" s="44"/>
      <c r="F808" s="44"/>
      <c r="G808" s="46"/>
      <c r="H808" s="44"/>
      <c r="I808" s="44"/>
      <c r="J808" s="44"/>
      <c r="K808" s="44"/>
      <c r="L808" s="46" t="str">
        <f>IFERROR(__xludf.DUMMYFUNCTION("IFERROR(IF(ISBLANK($C808), """", GOOGLEFINANCE($C808, ""price"")), """")"),"")</f>
        <v/>
      </c>
      <c r="M808" s="47" t="str">
        <f t="shared" si="3"/>
        <v/>
      </c>
      <c r="N808" s="47" t="str">
        <f>IFERROR(__xludf.DUMMYFUNCTION("IFERROR(IF(OR(ISBLANK($G808), IFERROR(INDEX(GOOGLEFINANCE($C808, ""price"", WORKDAY(INT($B808), 1)), 2, 2), """")=""""), """", IF($D808=""LONG"", (IFERROR(INDEX(GOOGLEFINANCE($C808, ""price"", WORKDAY(INT($B808), 1)), 2, 2), """")-$G808)/$G808, ($G808-IFE"&amp;"RROR(INDEX(GOOGLEFINANCE($C808, ""price"", WORKDAY(INT($B808), 1)), 2, 2), """"))/$G808)), """")"),"")</f>
        <v/>
      </c>
      <c r="O808" s="47" t="str">
        <f>IFERROR(__xludf.DUMMYFUNCTION("IFERROR(IF(OR(ISBLANK($G808), IFERROR(INDEX(GOOGLEFINANCE($C808, ""price"", WORKDAY(INT($B808), 5)), 2, 2), """")=""""), """", IF($D808=""LONG"", (IFERROR(INDEX(GOOGLEFINANCE($C808, ""price"", WORKDAY(INT($B808), 5)), 2, 2), """")-$G808)/$G808, ($G808-IFE"&amp;"RROR(INDEX(GOOGLEFINANCE($C808, ""price"", WORKDAY(INT($B808), 5)), 2, 2), """"))/$G808)), """")"),"")</f>
        <v/>
      </c>
      <c r="P808" s="47" t="str">
        <f>IFERROR(__xludf.DUMMYFUNCTION("IFERROR(IF(OR(ISBLANK($G808), IFERROR(INDEX(GOOGLEFINANCE($C808, ""price"", WORKDAY(INT($B808), 20)), 2, 2), """")=""""), """", IF($D808=""LONG"", (IFERROR(INDEX(GOOGLEFINANCE($C808, ""price"", WORKDAY(INT($B808), 20)), 2, 2), """")-$G808)/$G808, ($G808-I"&amp;"FERROR(INDEX(GOOGLEFINANCE($C808, ""price"", WORKDAY(INT($B808), 20)), 2, 2), """"))/$G808)), """")"),"")</f>
        <v/>
      </c>
      <c r="Q808" s="44"/>
      <c r="R808" s="44"/>
      <c r="S808" s="44"/>
      <c r="T808" s="44"/>
      <c r="U808" s="44"/>
      <c r="V808" s="44"/>
      <c r="W808" s="44"/>
      <c r="X808" s="44"/>
      <c r="Y808" s="44"/>
      <c r="Z808" s="44"/>
    </row>
    <row r="809">
      <c r="A809" s="44"/>
      <c r="B809" s="45"/>
      <c r="C809" s="44"/>
      <c r="D809" s="44"/>
      <c r="E809" s="44"/>
      <c r="F809" s="44"/>
      <c r="G809" s="46"/>
      <c r="H809" s="44"/>
      <c r="I809" s="44"/>
      <c r="J809" s="44"/>
      <c r="K809" s="44"/>
      <c r="L809" s="46" t="str">
        <f>IFERROR(__xludf.DUMMYFUNCTION("IFERROR(IF(ISBLANK($C809), """", GOOGLEFINANCE($C809, ""price"")), """")"),"")</f>
        <v/>
      </c>
      <c r="M809" s="47" t="str">
        <f t="shared" si="3"/>
        <v/>
      </c>
      <c r="N809" s="47" t="str">
        <f>IFERROR(__xludf.DUMMYFUNCTION("IFERROR(IF(OR(ISBLANK($G809), IFERROR(INDEX(GOOGLEFINANCE($C809, ""price"", WORKDAY(INT($B809), 1)), 2, 2), """")=""""), """", IF($D809=""LONG"", (IFERROR(INDEX(GOOGLEFINANCE($C809, ""price"", WORKDAY(INT($B809), 1)), 2, 2), """")-$G809)/$G809, ($G809-IFE"&amp;"RROR(INDEX(GOOGLEFINANCE($C809, ""price"", WORKDAY(INT($B809), 1)), 2, 2), """"))/$G809)), """")"),"")</f>
        <v/>
      </c>
      <c r="O809" s="47" t="str">
        <f>IFERROR(__xludf.DUMMYFUNCTION("IFERROR(IF(OR(ISBLANK($G809), IFERROR(INDEX(GOOGLEFINANCE($C809, ""price"", WORKDAY(INT($B809), 5)), 2, 2), """")=""""), """", IF($D809=""LONG"", (IFERROR(INDEX(GOOGLEFINANCE($C809, ""price"", WORKDAY(INT($B809), 5)), 2, 2), """")-$G809)/$G809, ($G809-IFE"&amp;"RROR(INDEX(GOOGLEFINANCE($C809, ""price"", WORKDAY(INT($B809), 5)), 2, 2), """"))/$G809)), """")"),"")</f>
        <v/>
      </c>
      <c r="P809" s="47" t="str">
        <f>IFERROR(__xludf.DUMMYFUNCTION("IFERROR(IF(OR(ISBLANK($G809), IFERROR(INDEX(GOOGLEFINANCE($C809, ""price"", WORKDAY(INT($B809), 20)), 2, 2), """")=""""), """", IF($D809=""LONG"", (IFERROR(INDEX(GOOGLEFINANCE($C809, ""price"", WORKDAY(INT($B809), 20)), 2, 2), """")-$G809)/$G809, ($G809-I"&amp;"FERROR(INDEX(GOOGLEFINANCE($C809, ""price"", WORKDAY(INT($B809), 20)), 2, 2), """"))/$G809)), """")"),"")</f>
        <v/>
      </c>
      <c r="Q809" s="44"/>
      <c r="R809" s="44"/>
      <c r="S809" s="44"/>
      <c r="T809" s="44"/>
      <c r="U809" s="44"/>
      <c r="V809" s="44"/>
      <c r="W809" s="44"/>
      <c r="X809" s="44"/>
      <c r="Y809" s="44"/>
      <c r="Z809" s="44"/>
    </row>
    <row r="810">
      <c r="A810" s="44"/>
      <c r="B810" s="45"/>
      <c r="C810" s="44"/>
      <c r="D810" s="44"/>
      <c r="E810" s="44"/>
      <c r="F810" s="44"/>
      <c r="G810" s="46"/>
      <c r="H810" s="44"/>
      <c r="I810" s="44"/>
      <c r="J810" s="44"/>
      <c r="K810" s="44"/>
      <c r="L810" s="46" t="str">
        <f>IFERROR(__xludf.DUMMYFUNCTION("IFERROR(IF(ISBLANK($C810), """", GOOGLEFINANCE($C810, ""price"")), """")"),"")</f>
        <v/>
      </c>
      <c r="M810" s="47" t="str">
        <f t="shared" si="3"/>
        <v/>
      </c>
      <c r="N810" s="47" t="str">
        <f>IFERROR(__xludf.DUMMYFUNCTION("IFERROR(IF(OR(ISBLANK($G810), IFERROR(INDEX(GOOGLEFINANCE($C810, ""price"", WORKDAY(INT($B810), 1)), 2, 2), """")=""""), """", IF($D810=""LONG"", (IFERROR(INDEX(GOOGLEFINANCE($C810, ""price"", WORKDAY(INT($B810), 1)), 2, 2), """")-$G810)/$G810, ($G810-IFE"&amp;"RROR(INDEX(GOOGLEFINANCE($C810, ""price"", WORKDAY(INT($B810), 1)), 2, 2), """"))/$G810)), """")"),"")</f>
        <v/>
      </c>
      <c r="O810" s="47" t="str">
        <f>IFERROR(__xludf.DUMMYFUNCTION("IFERROR(IF(OR(ISBLANK($G810), IFERROR(INDEX(GOOGLEFINANCE($C810, ""price"", WORKDAY(INT($B810), 5)), 2, 2), """")=""""), """", IF($D810=""LONG"", (IFERROR(INDEX(GOOGLEFINANCE($C810, ""price"", WORKDAY(INT($B810), 5)), 2, 2), """")-$G810)/$G810, ($G810-IFE"&amp;"RROR(INDEX(GOOGLEFINANCE($C810, ""price"", WORKDAY(INT($B810), 5)), 2, 2), """"))/$G810)), """")"),"")</f>
        <v/>
      </c>
      <c r="P810" s="47" t="str">
        <f>IFERROR(__xludf.DUMMYFUNCTION("IFERROR(IF(OR(ISBLANK($G810), IFERROR(INDEX(GOOGLEFINANCE($C810, ""price"", WORKDAY(INT($B810), 20)), 2, 2), """")=""""), """", IF($D810=""LONG"", (IFERROR(INDEX(GOOGLEFINANCE($C810, ""price"", WORKDAY(INT($B810), 20)), 2, 2), """")-$G810)/$G810, ($G810-I"&amp;"FERROR(INDEX(GOOGLEFINANCE($C810, ""price"", WORKDAY(INT($B810), 20)), 2, 2), """"))/$G810)), """")"),"")</f>
        <v/>
      </c>
      <c r="Q810" s="44"/>
      <c r="R810" s="44"/>
      <c r="S810" s="44"/>
      <c r="T810" s="44"/>
      <c r="U810" s="44"/>
      <c r="V810" s="44"/>
      <c r="W810" s="44"/>
      <c r="X810" s="44"/>
      <c r="Y810" s="44"/>
      <c r="Z810" s="44"/>
    </row>
    <row r="811">
      <c r="A811" s="44"/>
      <c r="B811" s="45"/>
      <c r="C811" s="44"/>
      <c r="D811" s="44"/>
      <c r="E811" s="44"/>
      <c r="F811" s="44"/>
      <c r="G811" s="46"/>
      <c r="H811" s="44"/>
      <c r="I811" s="44"/>
      <c r="J811" s="44"/>
      <c r="K811" s="44"/>
      <c r="L811" s="46" t="str">
        <f>IFERROR(__xludf.DUMMYFUNCTION("IFERROR(IF(ISBLANK($C811), """", GOOGLEFINANCE($C811, ""price"")), """")"),"")</f>
        <v/>
      </c>
      <c r="M811" s="47" t="str">
        <f t="shared" si="3"/>
        <v/>
      </c>
      <c r="N811" s="47" t="str">
        <f>IFERROR(__xludf.DUMMYFUNCTION("IFERROR(IF(OR(ISBLANK($G811), IFERROR(INDEX(GOOGLEFINANCE($C811, ""price"", WORKDAY(INT($B811), 1)), 2, 2), """")=""""), """", IF($D811=""LONG"", (IFERROR(INDEX(GOOGLEFINANCE($C811, ""price"", WORKDAY(INT($B811), 1)), 2, 2), """")-$G811)/$G811, ($G811-IFE"&amp;"RROR(INDEX(GOOGLEFINANCE($C811, ""price"", WORKDAY(INT($B811), 1)), 2, 2), """"))/$G811)), """")"),"")</f>
        <v/>
      </c>
      <c r="O811" s="47" t="str">
        <f>IFERROR(__xludf.DUMMYFUNCTION("IFERROR(IF(OR(ISBLANK($G811), IFERROR(INDEX(GOOGLEFINANCE($C811, ""price"", WORKDAY(INT($B811), 5)), 2, 2), """")=""""), """", IF($D811=""LONG"", (IFERROR(INDEX(GOOGLEFINANCE($C811, ""price"", WORKDAY(INT($B811), 5)), 2, 2), """")-$G811)/$G811, ($G811-IFE"&amp;"RROR(INDEX(GOOGLEFINANCE($C811, ""price"", WORKDAY(INT($B811), 5)), 2, 2), """"))/$G811)), """")"),"")</f>
        <v/>
      </c>
      <c r="P811" s="47" t="str">
        <f>IFERROR(__xludf.DUMMYFUNCTION("IFERROR(IF(OR(ISBLANK($G811), IFERROR(INDEX(GOOGLEFINANCE($C811, ""price"", WORKDAY(INT($B811), 20)), 2, 2), """")=""""), """", IF($D811=""LONG"", (IFERROR(INDEX(GOOGLEFINANCE($C811, ""price"", WORKDAY(INT($B811), 20)), 2, 2), """")-$G811)/$G811, ($G811-I"&amp;"FERROR(INDEX(GOOGLEFINANCE($C811, ""price"", WORKDAY(INT($B811), 20)), 2, 2), """"))/$G811)), """")"),"")</f>
        <v/>
      </c>
      <c r="Q811" s="44"/>
      <c r="R811" s="44"/>
      <c r="S811" s="44"/>
      <c r="T811" s="44"/>
      <c r="U811" s="44"/>
      <c r="V811" s="44"/>
      <c r="W811" s="44"/>
      <c r="X811" s="44"/>
      <c r="Y811" s="44"/>
      <c r="Z811" s="44"/>
    </row>
    <row r="812">
      <c r="A812" s="44"/>
      <c r="B812" s="45"/>
      <c r="C812" s="44"/>
      <c r="D812" s="44"/>
      <c r="E812" s="44"/>
      <c r="F812" s="44"/>
      <c r="G812" s="46"/>
      <c r="H812" s="44"/>
      <c r="I812" s="44"/>
      <c r="J812" s="44"/>
      <c r="K812" s="44"/>
      <c r="L812" s="46" t="str">
        <f>IFERROR(__xludf.DUMMYFUNCTION("IFERROR(IF(ISBLANK($C812), """", GOOGLEFINANCE($C812, ""price"")), """")"),"")</f>
        <v/>
      </c>
      <c r="M812" s="47" t="str">
        <f t="shared" si="3"/>
        <v/>
      </c>
      <c r="N812" s="47" t="str">
        <f>IFERROR(__xludf.DUMMYFUNCTION("IFERROR(IF(OR(ISBLANK($G812), IFERROR(INDEX(GOOGLEFINANCE($C812, ""price"", WORKDAY(INT($B812), 1)), 2, 2), """")=""""), """", IF($D812=""LONG"", (IFERROR(INDEX(GOOGLEFINANCE($C812, ""price"", WORKDAY(INT($B812), 1)), 2, 2), """")-$G812)/$G812, ($G812-IFE"&amp;"RROR(INDEX(GOOGLEFINANCE($C812, ""price"", WORKDAY(INT($B812), 1)), 2, 2), """"))/$G812)), """")"),"")</f>
        <v/>
      </c>
      <c r="O812" s="47" t="str">
        <f>IFERROR(__xludf.DUMMYFUNCTION("IFERROR(IF(OR(ISBLANK($G812), IFERROR(INDEX(GOOGLEFINANCE($C812, ""price"", WORKDAY(INT($B812), 5)), 2, 2), """")=""""), """", IF($D812=""LONG"", (IFERROR(INDEX(GOOGLEFINANCE($C812, ""price"", WORKDAY(INT($B812), 5)), 2, 2), """")-$G812)/$G812, ($G812-IFE"&amp;"RROR(INDEX(GOOGLEFINANCE($C812, ""price"", WORKDAY(INT($B812), 5)), 2, 2), """"))/$G812)), """")"),"")</f>
        <v/>
      </c>
      <c r="P812" s="47" t="str">
        <f>IFERROR(__xludf.DUMMYFUNCTION("IFERROR(IF(OR(ISBLANK($G812), IFERROR(INDEX(GOOGLEFINANCE($C812, ""price"", WORKDAY(INT($B812), 20)), 2, 2), """")=""""), """", IF($D812=""LONG"", (IFERROR(INDEX(GOOGLEFINANCE($C812, ""price"", WORKDAY(INT($B812), 20)), 2, 2), """")-$G812)/$G812, ($G812-I"&amp;"FERROR(INDEX(GOOGLEFINANCE($C812, ""price"", WORKDAY(INT($B812), 20)), 2, 2), """"))/$G812)), """")"),"")</f>
        <v/>
      </c>
      <c r="Q812" s="44"/>
      <c r="R812" s="44"/>
      <c r="S812" s="44"/>
      <c r="T812" s="44"/>
      <c r="U812" s="44"/>
      <c r="V812" s="44"/>
      <c r="W812" s="44"/>
      <c r="X812" s="44"/>
      <c r="Y812" s="44"/>
      <c r="Z812" s="44"/>
    </row>
    <row r="813">
      <c r="A813" s="44"/>
      <c r="B813" s="45"/>
      <c r="C813" s="44"/>
      <c r="D813" s="44"/>
      <c r="E813" s="44"/>
      <c r="F813" s="44"/>
      <c r="G813" s="46"/>
      <c r="H813" s="44"/>
      <c r="I813" s="44"/>
      <c r="J813" s="44"/>
      <c r="K813" s="44"/>
      <c r="L813" s="46" t="str">
        <f>IFERROR(__xludf.DUMMYFUNCTION("IFERROR(IF(ISBLANK($C813), """", GOOGLEFINANCE($C813, ""price"")), """")"),"")</f>
        <v/>
      </c>
      <c r="M813" s="47" t="str">
        <f t="shared" si="3"/>
        <v/>
      </c>
      <c r="N813" s="47" t="str">
        <f>IFERROR(__xludf.DUMMYFUNCTION("IFERROR(IF(OR(ISBLANK($G813), IFERROR(INDEX(GOOGLEFINANCE($C813, ""price"", WORKDAY(INT($B813), 1)), 2, 2), """")=""""), """", IF($D813=""LONG"", (IFERROR(INDEX(GOOGLEFINANCE($C813, ""price"", WORKDAY(INT($B813), 1)), 2, 2), """")-$G813)/$G813, ($G813-IFE"&amp;"RROR(INDEX(GOOGLEFINANCE($C813, ""price"", WORKDAY(INT($B813), 1)), 2, 2), """"))/$G813)), """")"),"")</f>
        <v/>
      </c>
      <c r="O813" s="47" t="str">
        <f>IFERROR(__xludf.DUMMYFUNCTION("IFERROR(IF(OR(ISBLANK($G813), IFERROR(INDEX(GOOGLEFINANCE($C813, ""price"", WORKDAY(INT($B813), 5)), 2, 2), """")=""""), """", IF($D813=""LONG"", (IFERROR(INDEX(GOOGLEFINANCE($C813, ""price"", WORKDAY(INT($B813), 5)), 2, 2), """")-$G813)/$G813, ($G813-IFE"&amp;"RROR(INDEX(GOOGLEFINANCE($C813, ""price"", WORKDAY(INT($B813), 5)), 2, 2), """"))/$G813)), """")"),"")</f>
        <v/>
      </c>
      <c r="P813" s="47" t="str">
        <f>IFERROR(__xludf.DUMMYFUNCTION("IFERROR(IF(OR(ISBLANK($G813), IFERROR(INDEX(GOOGLEFINANCE($C813, ""price"", WORKDAY(INT($B813), 20)), 2, 2), """")=""""), """", IF($D813=""LONG"", (IFERROR(INDEX(GOOGLEFINANCE($C813, ""price"", WORKDAY(INT($B813), 20)), 2, 2), """")-$G813)/$G813, ($G813-I"&amp;"FERROR(INDEX(GOOGLEFINANCE($C813, ""price"", WORKDAY(INT($B813), 20)), 2, 2), """"))/$G813)), """")"),"")</f>
        <v/>
      </c>
      <c r="Q813" s="44"/>
      <c r="R813" s="44"/>
      <c r="S813" s="44"/>
      <c r="T813" s="44"/>
      <c r="U813" s="44"/>
      <c r="V813" s="44"/>
      <c r="W813" s="44"/>
      <c r="X813" s="44"/>
      <c r="Y813" s="44"/>
      <c r="Z813" s="44"/>
    </row>
    <row r="814">
      <c r="A814" s="44"/>
      <c r="B814" s="45"/>
      <c r="C814" s="44"/>
      <c r="D814" s="44"/>
      <c r="E814" s="44"/>
      <c r="F814" s="44"/>
      <c r="G814" s="46"/>
      <c r="H814" s="44"/>
      <c r="I814" s="44"/>
      <c r="J814" s="44"/>
      <c r="K814" s="44"/>
      <c r="L814" s="46" t="str">
        <f>IFERROR(__xludf.DUMMYFUNCTION("IFERROR(IF(ISBLANK($C814), """", GOOGLEFINANCE($C814, ""price"")), """")"),"")</f>
        <v/>
      </c>
      <c r="M814" s="47" t="str">
        <f t="shared" si="3"/>
        <v/>
      </c>
      <c r="N814" s="47" t="str">
        <f>IFERROR(__xludf.DUMMYFUNCTION("IFERROR(IF(OR(ISBLANK($G814), IFERROR(INDEX(GOOGLEFINANCE($C814, ""price"", WORKDAY(INT($B814), 1)), 2, 2), """")=""""), """", IF($D814=""LONG"", (IFERROR(INDEX(GOOGLEFINANCE($C814, ""price"", WORKDAY(INT($B814), 1)), 2, 2), """")-$G814)/$G814, ($G814-IFE"&amp;"RROR(INDEX(GOOGLEFINANCE($C814, ""price"", WORKDAY(INT($B814), 1)), 2, 2), """"))/$G814)), """")"),"")</f>
        <v/>
      </c>
      <c r="O814" s="47" t="str">
        <f>IFERROR(__xludf.DUMMYFUNCTION("IFERROR(IF(OR(ISBLANK($G814), IFERROR(INDEX(GOOGLEFINANCE($C814, ""price"", WORKDAY(INT($B814), 5)), 2, 2), """")=""""), """", IF($D814=""LONG"", (IFERROR(INDEX(GOOGLEFINANCE($C814, ""price"", WORKDAY(INT($B814), 5)), 2, 2), """")-$G814)/$G814, ($G814-IFE"&amp;"RROR(INDEX(GOOGLEFINANCE($C814, ""price"", WORKDAY(INT($B814), 5)), 2, 2), """"))/$G814)), """")"),"")</f>
        <v/>
      </c>
      <c r="P814" s="47" t="str">
        <f>IFERROR(__xludf.DUMMYFUNCTION("IFERROR(IF(OR(ISBLANK($G814), IFERROR(INDEX(GOOGLEFINANCE($C814, ""price"", WORKDAY(INT($B814), 20)), 2, 2), """")=""""), """", IF($D814=""LONG"", (IFERROR(INDEX(GOOGLEFINANCE($C814, ""price"", WORKDAY(INT($B814), 20)), 2, 2), """")-$G814)/$G814, ($G814-I"&amp;"FERROR(INDEX(GOOGLEFINANCE($C814, ""price"", WORKDAY(INT($B814), 20)), 2, 2), """"))/$G814)), """")"),"")</f>
        <v/>
      </c>
      <c r="Q814" s="44"/>
      <c r="R814" s="44"/>
      <c r="S814" s="44"/>
      <c r="T814" s="44"/>
      <c r="U814" s="44"/>
      <c r="V814" s="44"/>
      <c r="W814" s="44"/>
      <c r="X814" s="44"/>
      <c r="Y814" s="44"/>
      <c r="Z814" s="44"/>
    </row>
    <row r="815">
      <c r="A815" s="44"/>
      <c r="B815" s="45"/>
      <c r="C815" s="44"/>
      <c r="D815" s="44"/>
      <c r="E815" s="44"/>
      <c r="F815" s="44"/>
      <c r="G815" s="46"/>
      <c r="H815" s="44"/>
      <c r="I815" s="44"/>
      <c r="J815" s="44"/>
      <c r="K815" s="44"/>
      <c r="L815" s="46" t="str">
        <f>IFERROR(__xludf.DUMMYFUNCTION("IFERROR(IF(ISBLANK($C815), """", GOOGLEFINANCE($C815, ""price"")), """")"),"")</f>
        <v/>
      </c>
      <c r="M815" s="47" t="str">
        <f t="shared" si="3"/>
        <v/>
      </c>
      <c r="N815" s="47" t="str">
        <f>IFERROR(__xludf.DUMMYFUNCTION("IFERROR(IF(OR(ISBLANK($G815), IFERROR(INDEX(GOOGLEFINANCE($C815, ""price"", WORKDAY(INT($B815), 1)), 2, 2), """")=""""), """", IF($D815=""LONG"", (IFERROR(INDEX(GOOGLEFINANCE($C815, ""price"", WORKDAY(INT($B815), 1)), 2, 2), """")-$G815)/$G815, ($G815-IFE"&amp;"RROR(INDEX(GOOGLEFINANCE($C815, ""price"", WORKDAY(INT($B815), 1)), 2, 2), """"))/$G815)), """")"),"")</f>
        <v/>
      </c>
      <c r="O815" s="47" t="str">
        <f>IFERROR(__xludf.DUMMYFUNCTION("IFERROR(IF(OR(ISBLANK($G815), IFERROR(INDEX(GOOGLEFINANCE($C815, ""price"", WORKDAY(INT($B815), 5)), 2, 2), """")=""""), """", IF($D815=""LONG"", (IFERROR(INDEX(GOOGLEFINANCE($C815, ""price"", WORKDAY(INT($B815), 5)), 2, 2), """")-$G815)/$G815, ($G815-IFE"&amp;"RROR(INDEX(GOOGLEFINANCE($C815, ""price"", WORKDAY(INT($B815), 5)), 2, 2), """"))/$G815)), """")"),"")</f>
        <v/>
      </c>
      <c r="P815" s="47" t="str">
        <f>IFERROR(__xludf.DUMMYFUNCTION("IFERROR(IF(OR(ISBLANK($G815), IFERROR(INDEX(GOOGLEFINANCE($C815, ""price"", WORKDAY(INT($B815), 20)), 2, 2), """")=""""), """", IF($D815=""LONG"", (IFERROR(INDEX(GOOGLEFINANCE($C815, ""price"", WORKDAY(INT($B815), 20)), 2, 2), """")-$G815)/$G815, ($G815-I"&amp;"FERROR(INDEX(GOOGLEFINANCE($C815, ""price"", WORKDAY(INT($B815), 20)), 2, 2), """"))/$G815)), """")"),"")</f>
        <v/>
      </c>
      <c r="Q815" s="44"/>
      <c r="R815" s="44"/>
      <c r="S815" s="44"/>
      <c r="T815" s="44"/>
      <c r="U815" s="44"/>
      <c r="V815" s="44"/>
      <c r="W815" s="44"/>
      <c r="X815" s="44"/>
      <c r="Y815" s="44"/>
      <c r="Z815" s="44"/>
    </row>
    <row r="816">
      <c r="A816" s="44"/>
      <c r="B816" s="45"/>
      <c r="C816" s="44"/>
      <c r="D816" s="44"/>
      <c r="E816" s="44"/>
      <c r="F816" s="44"/>
      <c r="G816" s="46"/>
      <c r="H816" s="44"/>
      <c r="I816" s="44"/>
      <c r="J816" s="44"/>
      <c r="K816" s="44"/>
      <c r="L816" s="46" t="str">
        <f>IFERROR(__xludf.DUMMYFUNCTION("IFERROR(IF(ISBLANK($C816), """", GOOGLEFINANCE($C816, ""price"")), """")"),"")</f>
        <v/>
      </c>
      <c r="M816" s="47" t="str">
        <f t="shared" si="3"/>
        <v/>
      </c>
      <c r="N816" s="47" t="str">
        <f>IFERROR(__xludf.DUMMYFUNCTION("IFERROR(IF(OR(ISBLANK($G816), IFERROR(INDEX(GOOGLEFINANCE($C816, ""price"", WORKDAY(INT($B816), 1)), 2, 2), """")=""""), """", IF($D816=""LONG"", (IFERROR(INDEX(GOOGLEFINANCE($C816, ""price"", WORKDAY(INT($B816), 1)), 2, 2), """")-$G816)/$G816, ($G816-IFE"&amp;"RROR(INDEX(GOOGLEFINANCE($C816, ""price"", WORKDAY(INT($B816), 1)), 2, 2), """"))/$G816)), """")"),"")</f>
        <v/>
      </c>
      <c r="O816" s="47" t="str">
        <f>IFERROR(__xludf.DUMMYFUNCTION("IFERROR(IF(OR(ISBLANK($G816), IFERROR(INDEX(GOOGLEFINANCE($C816, ""price"", WORKDAY(INT($B816), 5)), 2, 2), """")=""""), """", IF($D816=""LONG"", (IFERROR(INDEX(GOOGLEFINANCE($C816, ""price"", WORKDAY(INT($B816), 5)), 2, 2), """")-$G816)/$G816, ($G816-IFE"&amp;"RROR(INDEX(GOOGLEFINANCE($C816, ""price"", WORKDAY(INT($B816), 5)), 2, 2), """"))/$G816)), """")"),"")</f>
        <v/>
      </c>
      <c r="P816" s="47" t="str">
        <f>IFERROR(__xludf.DUMMYFUNCTION("IFERROR(IF(OR(ISBLANK($G816), IFERROR(INDEX(GOOGLEFINANCE($C816, ""price"", WORKDAY(INT($B816), 20)), 2, 2), """")=""""), """", IF($D816=""LONG"", (IFERROR(INDEX(GOOGLEFINANCE($C816, ""price"", WORKDAY(INT($B816), 20)), 2, 2), """")-$G816)/$G816, ($G816-I"&amp;"FERROR(INDEX(GOOGLEFINANCE($C816, ""price"", WORKDAY(INT($B816), 20)), 2, 2), """"))/$G816)), """")"),"")</f>
        <v/>
      </c>
      <c r="Q816" s="44"/>
      <c r="R816" s="44"/>
      <c r="S816" s="44"/>
      <c r="T816" s="44"/>
      <c r="U816" s="44"/>
      <c r="V816" s="44"/>
      <c r="W816" s="44"/>
      <c r="X816" s="44"/>
      <c r="Y816" s="44"/>
      <c r="Z816" s="44"/>
    </row>
    <row r="817">
      <c r="A817" s="44"/>
      <c r="B817" s="45"/>
      <c r="C817" s="44"/>
      <c r="D817" s="44"/>
      <c r="E817" s="44"/>
      <c r="F817" s="44"/>
      <c r="G817" s="46"/>
      <c r="H817" s="44"/>
      <c r="I817" s="44"/>
      <c r="J817" s="44"/>
      <c r="K817" s="44"/>
      <c r="L817" s="46" t="str">
        <f>IFERROR(__xludf.DUMMYFUNCTION("IFERROR(IF(ISBLANK($C817), """", GOOGLEFINANCE($C817, ""price"")), """")"),"")</f>
        <v/>
      </c>
      <c r="M817" s="47" t="str">
        <f t="shared" si="3"/>
        <v/>
      </c>
      <c r="N817" s="47" t="str">
        <f>IFERROR(__xludf.DUMMYFUNCTION("IFERROR(IF(OR(ISBLANK($G817), IFERROR(INDEX(GOOGLEFINANCE($C817, ""price"", WORKDAY(INT($B817), 1)), 2, 2), """")=""""), """", IF($D817=""LONG"", (IFERROR(INDEX(GOOGLEFINANCE($C817, ""price"", WORKDAY(INT($B817), 1)), 2, 2), """")-$G817)/$G817, ($G817-IFE"&amp;"RROR(INDEX(GOOGLEFINANCE($C817, ""price"", WORKDAY(INT($B817), 1)), 2, 2), """"))/$G817)), """")"),"")</f>
        <v/>
      </c>
      <c r="O817" s="47" t="str">
        <f>IFERROR(__xludf.DUMMYFUNCTION("IFERROR(IF(OR(ISBLANK($G817), IFERROR(INDEX(GOOGLEFINANCE($C817, ""price"", WORKDAY(INT($B817), 5)), 2, 2), """")=""""), """", IF($D817=""LONG"", (IFERROR(INDEX(GOOGLEFINANCE($C817, ""price"", WORKDAY(INT($B817), 5)), 2, 2), """")-$G817)/$G817, ($G817-IFE"&amp;"RROR(INDEX(GOOGLEFINANCE($C817, ""price"", WORKDAY(INT($B817), 5)), 2, 2), """"))/$G817)), """")"),"")</f>
        <v/>
      </c>
      <c r="P817" s="47" t="str">
        <f>IFERROR(__xludf.DUMMYFUNCTION("IFERROR(IF(OR(ISBLANK($G817), IFERROR(INDEX(GOOGLEFINANCE($C817, ""price"", WORKDAY(INT($B817), 20)), 2, 2), """")=""""), """", IF($D817=""LONG"", (IFERROR(INDEX(GOOGLEFINANCE($C817, ""price"", WORKDAY(INT($B817), 20)), 2, 2), """")-$G817)/$G817, ($G817-I"&amp;"FERROR(INDEX(GOOGLEFINANCE($C817, ""price"", WORKDAY(INT($B817), 20)), 2, 2), """"))/$G817)), """")"),"")</f>
        <v/>
      </c>
      <c r="Q817" s="44"/>
      <c r="R817" s="44"/>
      <c r="S817" s="44"/>
      <c r="T817" s="44"/>
      <c r="U817" s="44"/>
      <c r="V817" s="44"/>
      <c r="W817" s="44"/>
      <c r="X817" s="44"/>
      <c r="Y817" s="44"/>
      <c r="Z817" s="44"/>
    </row>
    <row r="818">
      <c r="A818" s="44"/>
      <c r="B818" s="45"/>
      <c r="C818" s="44"/>
      <c r="D818" s="44"/>
      <c r="E818" s="44"/>
      <c r="F818" s="44"/>
      <c r="G818" s="46"/>
      <c r="H818" s="44"/>
      <c r="I818" s="44"/>
      <c r="J818" s="44"/>
      <c r="K818" s="44"/>
      <c r="L818" s="46" t="str">
        <f>IFERROR(__xludf.DUMMYFUNCTION("IFERROR(IF(ISBLANK($C818), """", GOOGLEFINANCE($C818, ""price"")), """")"),"")</f>
        <v/>
      </c>
      <c r="M818" s="47" t="str">
        <f t="shared" si="3"/>
        <v/>
      </c>
      <c r="N818" s="47" t="str">
        <f>IFERROR(__xludf.DUMMYFUNCTION("IFERROR(IF(OR(ISBLANK($G818), IFERROR(INDEX(GOOGLEFINANCE($C818, ""price"", WORKDAY(INT($B818), 1)), 2, 2), """")=""""), """", IF($D818=""LONG"", (IFERROR(INDEX(GOOGLEFINANCE($C818, ""price"", WORKDAY(INT($B818), 1)), 2, 2), """")-$G818)/$G818, ($G818-IFE"&amp;"RROR(INDEX(GOOGLEFINANCE($C818, ""price"", WORKDAY(INT($B818), 1)), 2, 2), """"))/$G818)), """")"),"")</f>
        <v/>
      </c>
      <c r="O818" s="47" t="str">
        <f>IFERROR(__xludf.DUMMYFUNCTION("IFERROR(IF(OR(ISBLANK($G818), IFERROR(INDEX(GOOGLEFINANCE($C818, ""price"", WORKDAY(INT($B818), 5)), 2, 2), """")=""""), """", IF($D818=""LONG"", (IFERROR(INDEX(GOOGLEFINANCE($C818, ""price"", WORKDAY(INT($B818), 5)), 2, 2), """")-$G818)/$G818, ($G818-IFE"&amp;"RROR(INDEX(GOOGLEFINANCE($C818, ""price"", WORKDAY(INT($B818), 5)), 2, 2), """"))/$G818)), """")"),"")</f>
        <v/>
      </c>
      <c r="P818" s="47" t="str">
        <f>IFERROR(__xludf.DUMMYFUNCTION("IFERROR(IF(OR(ISBLANK($G818), IFERROR(INDEX(GOOGLEFINANCE($C818, ""price"", WORKDAY(INT($B818), 20)), 2, 2), """")=""""), """", IF($D818=""LONG"", (IFERROR(INDEX(GOOGLEFINANCE($C818, ""price"", WORKDAY(INT($B818), 20)), 2, 2), """")-$G818)/$G818, ($G818-I"&amp;"FERROR(INDEX(GOOGLEFINANCE($C818, ""price"", WORKDAY(INT($B818), 20)), 2, 2), """"))/$G818)), """")"),"")</f>
        <v/>
      </c>
      <c r="Q818" s="44"/>
      <c r="R818" s="44"/>
      <c r="S818" s="44"/>
      <c r="T818" s="44"/>
      <c r="U818" s="44"/>
      <c r="V818" s="44"/>
      <c r="W818" s="44"/>
      <c r="X818" s="44"/>
      <c r="Y818" s="44"/>
      <c r="Z818" s="44"/>
    </row>
    <row r="819">
      <c r="A819" s="44"/>
      <c r="B819" s="45"/>
      <c r="C819" s="44"/>
      <c r="D819" s="44"/>
      <c r="E819" s="44"/>
      <c r="F819" s="44"/>
      <c r="G819" s="46"/>
      <c r="H819" s="44"/>
      <c r="I819" s="44"/>
      <c r="J819" s="44"/>
      <c r="K819" s="44"/>
      <c r="L819" s="46" t="str">
        <f>IFERROR(__xludf.DUMMYFUNCTION("IFERROR(IF(ISBLANK($C819), """", GOOGLEFINANCE($C819, ""price"")), """")"),"")</f>
        <v/>
      </c>
      <c r="M819" s="47" t="str">
        <f t="shared" si="3"/>
        <v/>
      </c>
      <c r="N819" s="47" t="str">
        <f>IFERROR(__xludf.DUMMYFUNCTION("IFERROR(IF(OR(ISBLANK($G819), IFERROR(INDEX(GOOGLEFINANCE($C819, ""price"", WORKDAY(INT($B819), 1)), 2, 2), """")=""""), """", IF($D819=""LONG"", (IFERROR(INDEX(GOOGLEFINANCE($C819, ""price"", WORKDAY(INT($B819), 1)), 2, 2), """")-$G819)/$G819, ($G819-IFE"&amp;"RROR(INDEX(GOOGLEFINANCE($C819, ""price"", WORKDAY(INT($B819), 1)), 2, 2), """"))/$G819)), """")"),"")</f>
        <v/>
      </c>
      <c r="O819" s="47" t="str">
        <f>IFERROR(__xludf.DUMMYFUNCTION("IFERROR(IF(OR(ISBLANK($G819), IFERROR(INDEX(GOOGLEFINANCE($C819, ""price"", WORKDAY(INT($B819), 5)), 2, 2), """")=""""), """", IF($D819=""LONG"", (IFERROR(INDEX(GOOGLEFINANCE($C819, ""price"", WORKDAY(INT($B819), 5)), 2, 2), """")-$G819)/$G819, ($G819-IFE"&amp;"RROR(INDEX(GOOGLEFINANCE($C819, ""price"", WORKDAY(INT($B819), 5)), 2, 2), """"))/$G819)), """")"),"")</f>
        <v/>
      </c>
      <c r="P819" s="47" t="str">
        <f>IFERROR(__xludf.DUMMYFUNCTION("IFERROR(IF(OR(ISBLANK($G819), IFERROR(INDEX(GOOGLEFINANCE($C819, ""price"", WORKDAY(INT($B819), 20)), 2, 2), """")=""""), """", IF($D819=""LONG"", (IFERROR(INDEX(GOOGLEFINANCE($C819, ""price"", WORKDAY(INT($B819), 20)), 2, 2), """")-$G819)/$G819, ($G819-I"&amp;"FERROR(INDEX(GOOGLEFINANCE($C819, ""price"", WORKDAY(INT($B819), 20)), 2, 2), """"))/$G819)), """")"),"")</f>
        <v/>
      </c>
      <c r="Q819" s="44"/>
      <c r="R819" s="44"/>
      <c r="S819" s="44"/>
      <c r="T819" s="44"/>
      <c r="U819" s="44"/>
      <c r="V819" s="44"/>
      <c r="W819" s="44"/>
      <c r="X819" s="44"/>
      <c r="Y819" s="44"/>
      <c r="Z819" s="44"/>
    </row>
    <row r="820">
      <c r="A820" s="44"/>
      <c r="B820" s="45"/>
      <c r="C820" s="44"/>
      <c r="D820" s="44"/>
      <c r="E820" s="44"/>
      <c r="F820" s="44"/>
      <c r="G820" s="46"/>
      <c r="H820" s="44"/>
      <c r="I820" s="44"/>
      <c r="J820" s="44"/>
      <c r="K820" s="44"/>
      <c r="L820" s="46" t="str">
        <f>IFERROR(__xludf.DUMMYFUNCTION("IFERROR(IF(ISBLANK($C820), """", GOOGLEFINANCE($C820, ""price"")), """")"),"")</f>
        <v/>
      </c>
      <c r="M820" s="47" t="str">
        <f t="shared" si="3"/>
        <v/>
      </c>
      <c r="N820" s="47" t="str">
        <f>IFERROR(__xludf.DUMMYFUNCTION("IFERROR(IF(OR(ISBLANK($G820), IFERROR(INDEX(GOOGLEFINANCE($C820, ""price"", WORKDAY(INT($B820), 1)), 2, 2), """")=""""), """", IF($D820=""LONG"", (IFERROR(INDEX(GOOGLEFINANCE($C820, ""price"", WORKDAY(INT($B820), 1)), 2, 2), """")-$G820)/$G820, ($G820-IFE"&amp;"RROR(INDEX(GOOGLEFINANCE($C820, ""price"", WORKDAY(INT($B820), 1)), 2, 2), """"))/$G820)), """")"),"")</f>
        <v/>
      </c>
      <c r="O820" s="47" t="str">
        <f>IFERROR(__xludf.DUMMYFUNCTION("IFERROR(IF(OR(ISBLANK($G820), IFERROR(INDEX(GOOGLEFINANCE($C820, ""price"", WORKDAY(INT($B820), 5)), 2, 2), """")=""""), """", IF($D820=""LONG"", (IFERROR(INDEX(GOOGLEFINANCE($C820, ""price"", WORKDAY(INT($B820), 5)), 2, 2), """")-$G820)/$G820, ($G820-IFE"&amp;"RROR(INDEX(GOOGLEFINANCE($C820, ""price"", WORKDAY(INT($B820), 5)), 2, 2), """"))/$G820)), """")"),"")</f>
        <v/>
      </c>
      <c r="P820" s="47" t="str">
        <f>IFERROR(__xludf.DUMMYFUNCTION("IFERROR(IF(OR(ISBLANK($G820), IFERROR(INDEX(GOOGLEFINANCE($C820, ""price"", WORKDAY(INT($B820), 20)), 2, 2), """")=""""), """", IF($D820=""LONG"", (IFERROR(INDEX(GOOGLEFINANCE($C820, ""price"", WORKDAY(INT($B820), 20)), 2, 2), """")-$G820)/$G820, ($G820-I"&amp;"FERROR(INDEX(GOOGLEFINANCE($C820, ""price"", WORKDAY(INT($B820), 20)), 2, 2), """"))/$G820)), """")"),"")</f>
        <v/>
      </c>
      <c r="Q820" s="44"/>
      <c r="R820" s="44"/>
      <c r="S820" s="44"/>
      <c r="T820" s="44"/>
      <c r="U820" s="44"/>
      <c r="V820" s="44"/>
      <c r="W820" s="44"/>
      <c r="X820" s="44"/>
      <c r="Y820" s="44"/>
      <c r="Z820" s="44"/>
    </row>
    <row r="821">
      <c r="A821" s="44"/>
      <c r="B821" s="45"/>
      <c r="C821" s="44"/>
      <c r="D821" s="44"/>
      <c r="E821" s="44"/>
      <c r="F821" s="44"/>
      <c r="G821" s="46"/>
      <c r="H821" s="44"/>
      <c r="I821" s="44"/>
      <c r="J821" s="44"/>
      <c r="K821" s="44"/>
      <c r="L821" s="46" t="str">
        <f>IFERROR(__xludf.DUMMYFUNCTION("IFERROR(IF(ISBLANK($C821), """", GOOGLEFINANCE($C821, ""price"")), """")"),"")</f>
        <v/>
      </c>
      <c r="M821" s="47" t="str">
        <f t="shared" si="3"/>
        <v/>
      </c>
      <c r="N821" s="47" t="str">
        <f>IFERROR(__xludf.DUMMYFUNCTION("IFERROR(IF(OR(ISBLANK($G821), IFERROR(INDEX(GOOGLEFINANCE($C821, ""price"", WORKDAY(INT($B821), 1)), 2, 2), """")=""""), """", IF($D821=""LONG"", (IFERROR(INDEX(GOOGLEFINANCE($C821, ""price"", WORKDAY(INT($B821), 1)), 2, 2), """")-$G821)/$G821, ($G821-IFE"&amp;"RROR(INDEX(GOOGLEFINANCE($C821, ""price"", WORKDAY(INT($B821), 1)), 2, 2), """"))/$G821)), """")"),"")</f>
        <v/>
      </c>
      <c r="O821" s="47" t="str">
        <f>IFERROR(__xludf.DUMMYFUNCTION("IFERROR(IF(OR(ISBLANK($G821), IFERROR(INDEX(GOOGLEFINANCE($C821, ""price"", WORKDAY(INT($B821), 5)), 2, 2), """")=""""), """", IF($D821=""LONG"", (IFERROR(INDEX(GOOGLEFINANCE($C821, ""price"", WORKDAY(INT($B821), 5)), 2, 2), """")-$G821)/$G821, ($G821-IFE"&amp;"RROR(INDEX(GOOGLEFINANCE($C821, ""price"", WORKDAY(INT($B821), 5)), 2, 2), """"))/$G821)), """")"),"")</f>
        <v/>
      </c>
      <c r="P821" s="47" t="str">
        <f>IFERROR(__xludf.DUMMYFUNCTION("IFERROR(IF(OR(ISBLANK($G821), IFERROR(INDEX(GOOGLEFINANCE($C821, ""price"", WORKDAY(INT($B821), 20)), 2, 2), """")=""""), """", IF($D821=""LONG"", (IFERROR(INDEX(GOOGLEFINANCE($C821, ""price"", WORKDAY(INT($B821), 20)), 2, 2), """")-$G821)/$G821, ($G821-I"&amp;"FERROR(INDEX(GOOGLEFINANCE($C821, ""price"", WORKDAY(INT($B821), 20)), 2, 2), """"))/$G821)), """")"),"")</f>
        <v/>
      </c>
      <c r="Q821" s="44"/>
      <c r="R821" s="44"/>
      <c r="S821" s="44"/>
      <c r="T821" s="44"/>
      <c r="U821" s="44"/>
      <c r="V821" s="44"/>
      <c r="W821" s="44"/>
      <c r="X821" s="44"/>
      <c r="Y821" s="44"/>
      <c r="Z821" s="44"/>
    </row>
    <row r="822">
      <c r="A822" s="44"/>
      <c r="B822" s="45"/>
      <c r="C822" s="44"/>
      <c r="D822" s="44"/>
      <c r="E822" s="44"/>
      <c r="F822" s="44"/>
      <c r="G822" s="46"/>
      <c r="H822" s="44"/>
      <c r="I822" s="44"/>
      <c r="J822" s="44"/>
      <c r="K822" s="44"/>
      <c r="L822" s="46" t="str">
        <f>IFERROR(__xludf.DUMMYFUNCTION("IFERROR(IF(ISBLANK($C822), """", GOOGLEFINANCE($C822, ""price"")), """")"),"")</f>
        <v/>
      </c>
      <c r="M822" s="47" t="str">
        <f t="shared" si="3"/>
        <v/>
      </c>
      <c r="N822" s="47" t="str">
        <f>IFERROR(__xludf.DUMMYFUNCTION("IFERROR(IF(OR(ISBLANK($G822), IFERROR(INDEX(GOOGLEFINANCE($C822, ""price"", WORKDAY(INT($B822), 1)), 2, 2), """")=""""), """", IF($D822=""LONG"", (IFERROR(INDEX(GOOGLEFINANCE($C822, ""price"", WORKDAY(INT($B822), 1)), 2, 2), """")-$G822)/$G822, ($G822-IFE"&amp;"RROR(INDEX(GOOGLEFINANCE($C822, ""price"", WORKDAY(INT($B822), 1)), 2, 2), """"))/$G822)), """")"),"")</f>
        <v/>
      </c>
      <c r="O822" s="47" t="str">
        <f>IFERROR(__xludf.DUMMYFUNCTION("IFERROR(IF(OR(ISBLANK($G822), IFERROR(INDEX(GOOGLEFINANCE($C822, ""price"", WORKDAY(INT($B822), 5)), 2, 2), """")=""""), """", IF($D822=""LONG"", (IFERROR(INDEX(GOOGLEFINANCE($C822, ""price"", WORKDAY(INT($B822), 5)), 2, 2), """")-$G822)/$G822, ($G822-IFE"&amp;"RROR(INDEX(GOOGLEFINANCE($C822, ""price"", WORKDAY(INT($B822), 5)), 2, 2), """"))/$G822)), """")"),"")</f>
        <v/>
      </c>
      <c r="P822" s="47" t="str">
        <f>IFERROR(__xludf.DUMMYFUNCTION("IFERROR(IF(OR(ISBLANK($G822), IFERROR(INDEX(GOOGLEFINANCE($C822, ""price"", WORKDAY(INT($B822), 20)), 2, 2), """")=""""), """", IF($D822=""LONG"", (IFERROR(INDEX(GOOGLEFINANCE($C822, ""price"", WORKDAY(INT($B822), 20)), 2, 2), """")-$G822)/$G822, ($G822-I"&amp;"FERROR(INDEX(GOOGLEFINANCE($C822, ""price"", WORKDAY(INT($B822), 20)), 2, 2), """"))/$G822)), """")"),"")</f>
        <v/>
      </c>
      <c r="Q822" s="44"/>
      <c r="R822" s="44"/>
      <c r="S822" s="44"/>
      <c r="T822" s="44"/>
      <c r="U822" s="44"/>
      <c r="V822" s="44"/>
      <c r="W822" s="44"/>
      <c r="X822" s="44"/>
      <c r="Y822" s="44"/>
      <c r="Z822" s="44"/>
    </row>
    <row r="823">
      <c r="A823" s="44"/>
      <c r="B823" s="45"/>
      <c r="C823" s="44"/>
      <c r="D823" s="44"/>
      <c r="E823" s="44"/>
      <c r="F823" s="44"/>
      <c r="G823" s="46"/>
      <c r="H823" s="44"/>
      <c r="I823" s="44"/>
      <c r="J823" s="44"/>
      <c r="K823" s="44"/>
      <c r="L823" s="46" t="str">
        <f>IFERROR(__xludf.DUMMYFUNCTION("IFERROR(IF(ISBLANK($C823), """", GOOGLEFINANCE($C823, ""price"")), """")"),"")</f>
        <v/>
      </c>
      <c r="M823" s="47" t="str">
        <f t="shared" si="3"/>
        <v/>
      </c>
      <c r="N823" s="47" t="str">
        <f>IFERROR(__xludf.DUMMYFUNCTION("IFERROR(IF(OR(ISBLANK($G823), IFERROR(INDEX(GOOGLEFINANCE($C823, ""price"", WORKDAY(INT($B823), 1)), 2, 2), """")=""""), """", IF($D823=""LONG"", (IFERROR(INDEX(GOOGLEFINANCE($C823, ""price"", WORKDAY(INT($B823), 1)), 2, 2), """")-$G823)/$G823, ($G823-IFE"&amp;"RROR(INDEX(GOOGLEFINANCE($C823, ""price"", WORKDAY(INT($B823), 1)), 2, 2), """"))/$G823)), """")"),"")</f>
        <v/>
      </c>
      <c r="O823" s="47" t="str">
        <f>IFERROR(__xludf.DUMMYFUNCTION("IFERROR(IF(OR(ISBLANK($G823), IFERROR(INDEX(GOOGLEFINANCE($C823, ""price"", WORKDAY(INT($B823), 5)), 2, 2), """")=""""), """", IF($D823=""LONG"", (IFERROR(INDEX(GOOGLEFINANCE($C823, ""price"", WORKDAY(INT($B823), 5)), 2, 2), """")-$G823)/$G823, ($G823-IFE"&amp;"RROR(INDEX(GOOGLEFINANCE($C823, ""price"", WORKDAY(INT($B823), 5)), 2, 2), """"))/$G823)), """")"),"")</f>
        <v/>
      </c>
      <c r="P823" s="47" t="str">
        <f>IFERROR(__xludf.DUMMYFUNCTION("IFERROR(IF(OR(ISBLANK($G823), IFERROR(INDEX(GOOGLEFINANCE($C823, ""price"", WORKDAY(INT($B823), 20)), 2, 2), """")=""""), """", IF($D823=""LONG"", (IFERROR(INDEX(GOOGLEFINANCE($C823, ""price"", WORKDAY(INT($B823), 20)), 2, 2), """")-$G823)/$G823, ($G823-I"&amp;"FERROR(INDEX(GOOGLEFINANCE($C823, ""price"", WORKDAY(INT($B823), 20)), 2, 2), """"))/$G823)), """")"),"")</f>
        <v/>
      </c>
      <c r="Q823" s="44"/>
      <c r="R823" s="44"/>
      <c r="S823" s="44"/>
      <c r="T823" s="44"/>
      <c r="U823" s="44"/>
      <c r="V823" s="44"/>
      <c r="W823" s="44"/>
      <c r="X823" s="44"/>
      <c r="Y823" s="44"/>
      <c r="Z823" s="44"/>
    </row>
    <row r="824">
      <c r="A824" s="44"/>
      <c r="B824" s="45"/>
      <c r="C824" s="44"/>
      <c r="D824" s="44"/>
      <c r="E824" s="44"/>
      <c r="F824" s="44"/>
      <c r="G824" s="46"/>
      <c r="H824" s="44"/>
      <c r="I824" s="44"/>
      <c r="J824" s="44"/>
      <c r="K824" s="44"/>
      <c r="L824" s="46" t="str">
        <f>IFERROR(__xludf.DUMMYFUNCTION("IFERROR(IF(ISBLANK($C824), """", GOOGLEFINANCE($C824, ""price"")), """")"),"")</f>
        <v/>
      </c>
      <c r="M824" s="47" t="str">
        <f t="shared" si="3"/>
        <v/>
      </c>
      <c r="N824" s="47" t="str">
        <f>IFERROR(__xludf.DUMMYFUNCTION("IFERROR(IF(OR(ISBLANK($G824), IFERROR(INDEX(GOOGLEFINANCE($C824, ""price"", WORKDAY(INT($B824), 1)), 2, 2), """")=""""), """", IF($D824=""LONG"", (IFERROR(INDEX(GOOGLEFINANCE($C824, ""price"", WORKDAY(INT($B824), 1)), 2, 2), """")-$G824)/$G824, ($G824-IFE"&amp;"RROR(INDEX(GOOGLEFINANCE($C824, ""price"", WORKDAY(INT($B824), 1)), 2, 2), """"))/$G824)), """")"),"")</f>
        <v/>
      </c>
      <c r="O824" s="47" t="str">
        <f>IFERROR(__xludf.DUMMYFUNCTION("IFERROR(IF(OR(ISBLANK($G824), IFERROR(INDEX(GOOGLEFINANCE($C824, ""price"", WORKDAY(INT($B824), 5)), 2, 2), """")=""""), """", IF($D824=""LONG"", (IFERROR(INDEX(GOOGLEFINANCE($C824, ""price"", WORKDAY(INT($B824), 5)), 2, 2), """")-$G824)/$G824, ($G824-IFE"&amp;"RROR(INDEX(GOOGLEFINANCE($C824, ""price"", WORKDAY(INT($B824), 5)), 2, 2), """"))/$G824)), """")"),"")</f>
        <v/>
      </c>
      <c r="P824" s="47" t="str">
        <f>IFERROR(__xludf.DUMMYFUNCTION("IFERROR(IF(OR(ISBLANK($G824), IFERROR(INDEX(GOOGLEFINANCE($C824, ""price"", WORKDAY(INT($B824), 20)), 2, 2), """")=""""), """", IF($D824=""LONG"", (IFERROR(INDEX(GOOGLEFINANCE($C824, ""price"", WORKDAY(INT($B824), 20)), 2, 2), """")-$G824)/$G824, ($G824-I"&amp;"FERROR(INDEX(GOOGLEFINANCE($C824, ""price"", WORKDAY(INT($B824), 20)), 2, 2), """"))/$G824)), """")"),"")</f>
        <v/>
      </c>
      <c r="Q824" s="44"/>
      <c r="R824" s="44"/>
      <c r="S824" s="44"/>
      <c r="T824" s="44"/>
      <c r="U824" s="44"/>
      <c r="V824" s="44"/>
      <c r="W824" s="44"/>
      <c r="X824" s="44"/>
      <c r="Y824" s="44"/>
      <c r="Z824" s="44"/>
    </row>
    <row r="825">
      <c r="A825" s="44"/>
      <c r="B825" s="45"/>
      <c r="C825" s="44"/>
      <c r="D825" s="44"/>
      <c r="E825" s="44"/>
      <c r="F825" s="44"/>
      <c r="G825" s="46"/>
      <c r="H825" s="44"/>
      <c r="I825" s="44"/>
      <c r="J825" s="44"/>
      <c r="K825" s="44"/>
      <c r="L825" s="46" t="str">
        <f>IFERROR(__xludf.DUMMYFUNCTION("IFERROR(IF(ISBLANK($C825), """", GOOGLEFINANCE($C825, ""price"")), """")"),"")</f>
        <v/>
      </c>
      <c r="M825" s="47" t="str">
        <f t="shared" si="3"/>
        <v/>
      </c>
      <c r="N825" s="47" t="str">
        <f>IFERROR(__xludf.DUMMYFUNCTION("IFERROR(IF(OR(ISBLANK($G825), IFERROR(INDEX(GOOGLEFINANCE($C825, ""price"", WORKDAY(INT($B825), 1)), 2, 2), """")=""""), """", IF($D825=""LONG"", (IFERROR(INDEX(GOOGLEFINANCE($C825, ""price"", WORKDAY(INT($B825), 1)), 2, 2), """")-$G825)/$G825, ($G825-IFE"&amp;"RROR(INDEX(GOOGLEFINANCE($C825, ""price"", WORKDAY(INT($B825), 1)), 2, 2), """"))/$G825)), """")"),"")</f>
        <v/>
      </c>
      <c r="O825" s="47" t="str">
        <f>IFERROR(__xludf.DUMMYFUNCTION("IFERROR(IF(OR(ISBLANK($G825), IFERROR(INDEX(GOOGLEFINANCE($C825, ""price"", WORKDAY(INT($B825), 5)), 2, 2), """")=""""), """", IF($D825=""LONG"", (IFERROR(INDEX(GOOGLEFINANCE($C825, ""price"", WORKDAY(INT($B825), 5)), 2, 2), """")-$G825)/$G825, ($G825-IFE"&amp;"RROR(INDEX(GOOGLEFINANCE($C825, ""price"", WORKDAY(INT($B825), 5)), 2, 2), """"))/$G825)), """")"),"")</f>
        <v/>
      </c>
      <c r="P825" s="47" t="str">
        <f>IFERROR(__xludf.DUMMYFUNCTION("IFERROR(IF(OR(ISBLANK($G825), IFERROR(INDEX(GOOGLEFINANCE($C825, ""price"", WORKDAY(INT($B825), 20)), 2, 2), """")=""""), """", IF($D825=""LONG"", (IFERROR(INDEX(GOOGLEFINANCE($C825, ""price"", WORKDAY(INT($B825), 20)), 2, 2), """")-$G825)/$G825, ($G825-I"&amp;"FERROR(INDEX(GOOGLEFINANCE($C825, ""price"", WORKDAY(INT($B825), 20)), 2, 2), """"))/$G825)), """")"),"")</f>
        <v/>
      </c>
      <c r="Q825" s="44"/>
      <c r="R825" s="44"/>
      <c r="S825" s="44"/>
      <c r="T825" s="44"/>
      <c r="U825" s="44"/>
      <c r="V825" s="44"/>
      <c r="W825" s="44"/>
      <c r="X825" s="44"/>
      <c r="Y825" s="44"/>
      <c r="Z825" s="44"/>
    </row>
    <row r="826">
      <c r="A826" s="44"/>
      <c r="B826" s="45"/>
      <c r="C826" s="44"/>
      <c r="D826" s="44"/>
      <c r="E826" s="44"/>
      <c r="F826" s="44"/>
      <c r="G826" s="46"/>
      <c r="H826" s="44"/>
      <c r="I826" s="44"/>
      <c r="J826" s="44"/>
      <c r="K826" s="44"/>
      <c r="L826" s="46" t="str">
        <f>IFERROR(__xludf.DUMMYFUNCTION("IFERROR(IF(ISBLANK($C826), """", GOOGLEFINANCE($C826, ""price"")), """")"),"")</f>
        <v/>
      </c>
      <c r="M826" s="47" t="str">
        <f t="shared" si="3"/>
        <v/>
      </c>
      <c r="N826" s="47" t="str">
        <f>IFERROR(__xludf.DUMMYFUNCTION("IFERROR(IF(OR(ISBLANK($G826), IFERROR(INDEX(GOOGLEFINANCE($C826, ""price"", WORKDAY(INT($B826), 1)), 2, 2), """")=""""), """", IF($D826=""LONG"", (IFERROR(INDEX(GOOGLEFINANCE($C826, ""price"", WORKDAY(INT($B826), 1)), 2, 2), """")-$G826)/$G826, ($G826-IFE"&amp;"RROR(INDEX(GOOGLEFINANCE($C826, ""price"", WORKDAY(INT($B826), 1)), 2, 2), """"))/$G826)), """")"),"")</f>
        <v/>
      </c>
      <c r="O826" s="47" t="str">
        <f>IFERROR(__xludf.DUMMYFUNCTION("IFERROR(IF(OR(ISBLANK($G826), IFERROR(INDEX(GOOGLEFINANCE($C826, ""price"", WORKDAY(INT($B826), 5)), 2, 2), """")=""""), """", IF($D826=""LONG"", (IFERROR(INDEX(GOOGLEFINANCE($C826, ""price"", WORKDAY(INT($B826), 5)), 2, 2), """")-$G826)/$G826, ($G826-IFE"&amp;"RROR(INDEX(GOOGLEFINANCE($C826, ""price"", WORKDAY(INT($B826), 5)), 2, 2), """"))/$G826)), """")"),"")</f>
        <v/>
      </c>
      <c r="P826" s="47" t="str">
        <f>IFERROR(__xludf.DUMMYFUNCTION("IFERROR(IF(OR(ISBLANK($G826), IFERROR(INDEX(GOOGLEFINANCE($C826, ""price"", WORKDAY(INT($B826), 20)), 2, 2), """")=""""), """", IF($D826=""LONG"", (IFERROR(INDEX(GOOGLEFINANCE($C826, ""price"", WORKDAY(INT($B826), 20)), 2, 2), """")-$G826)/$G826, ($G826-I"&amp;"FERROR(INDEX(GOOGLEFINANCE($C826, ""price"", WORKDAY(INT($B826), 20)), 2, 2), """"))/$G826)), """")"),"")</f>
        <v/>
      </c>
      <c r="Q826" s="44"/>
      <c r="R826" s="44"/>
      <c r="S826" s="44"/>
      <c r="T826" s="44"/>
      <c r="U826" s="44"/>
      <c r="V826" s="44"/>
      <c r="W826" s="44"/>
      <c r="X826" s="44"/>
      <c r="Y826" s="44"/>
      <c r="Z826" s="44"/>
    </row>
    <row r="827">
      <c r="A827" s="44"/>
      <c r="B827" s="45"/>
      <c r="C827" s="44"/>
      <c r="D827" s="44"/>
      <c r="E827" s="44"/>
      <c r="F827" s="44"/>
      <c r="G827" s="46"/>
      <c r="H827" s="44"/>
      <c r="I827" s="44"/>
      <c r="J827" s="44"/>
      <c r="K827" s="44"/>
      <c r="L827" s="46" t="str">
        <f>IFERROR(__xludf.DUMMYFUNCTION("IFERROR(IF(ISBLANK($C827), """", GOOGLEFINANCE($C827, ""price"")), """")"),"")</f>
        <v/>
      </c>
      <c r="M827" s="47" t="str">
        <f t="shared" si="3"/>
        <v/>
      </c>
      <c r="N827" s="47" t="str">
        <f>IFERROR(__xludf.DUMMYFUNCTION("IFERROR(IF(OR(ISBLANK($G827), IFERROR(INDEX(GOOGLEFINANCE($C827, ""price"", WORKDAY(INT($B827), 1)), 2, 2), """")=""""), """", IF($D827=""LONG"", (IFERROR(INDEX(GOOGLEFINANCE($C827, ""price"", WORKDAY(INT($B827), 1)), 2, 2), """")-$G827)/$G827, ($G827-IFE"&amp;"RROR(INDEX(GOOGLEFINANCE($C827, ""price"", WORKDAY(INT($B827), 1)), 2, 2), """"))/$G827)), """")"),"")</f>
        <v/>
      </c>
      <c r="O827" s="47" t="str">
        <f>IFERROR(__xludf.DUMMYFUNCTION("IFERROR(IF(OR(ISBLANK($G827), IFERROR(INDEX(GOOGLEFINANCE($C827, ""price"", WORKDAY(INT($B827), 5)), 2, 2), """")=""""), """", IF($D827=""LONG"", (IFERROR(INDEX(GOOGLEFINANCE($C827, ""price"", WORKDAY(INT($B827), 5)), 2, 2), """")-$G827)/$G827, ($G827-IFE"&amp;"RROR(INDEX(GOOGLEFINANCE($C827, ""price"", WORKDAY(INT($B827), 5)), 2, 2), """"))/$G827)), """")"),"")</f>
        <v/>
      </c>
      <c r="P827" s="47" t="str">
        <f>IFERROR(__xludf.DUMMYFUNCTION("IFERROR(IF(OR(ISBLANK($G827), IFERROR(INDEX(GOOGLEFINANCE($C827, ""price"", WORKDAY(INT($B827), 20)), 2, 2), """")=""""), """", IF($D827=""LONG"", (IFERROR(INDEX(GOOGLEFINANCE($C827, ""price"", WORKDAY(INT($B827), 20)), 2, 2), """")-$G827)/$G827, ($G827-I"&amp;"FERROR(INDEX(GOOGLEFINANCE($C827, ""price"", WORKDAY(INT($B827), 20)), 2, 2), """"))/$G827)), """")"),"")</f>
        <v/>
      </c>
      <c r="Q827" s="44"/>
      <c r="R827" s="44"/>
      <c r="S827" s="44"/>
      <c r="T827" s="44"/>
      <c r="U827" s="44"/>
      <c r="V827" s="44"/>
      <c r="W827" s="44"/>
      <c r="X827" s="44"/>
      <c r="Y827" s="44"/>
      <c r="Z827" s="44"/>
    </row>
    <row r="828">
      <c r="A828" s="44"/>
      <c r="B828" s="45"/>
      <c r="C828" s="44"/>
      <c r="D828" s="44"/>
      <c r="E828" s="44"/>
      <c r="F828" s="44"/>
      <c r="G828" s="46"/>
      <c r="H828" s="44"/>
      <c r="I828" s="44"/>
      <c r="J828" s="44"/>
      <c r="K828" s="44"/>
      <c r="L828" s="46" t="str">
        <f>IFERROR(__xludf.DUMMYFUNCTION("IFERROR(IF(ISBLANK($C828), """", GOOGLEFINANCE($C828, ""price"")), """")"),"")</f>
        <v/>
      </c>
      <c r="M828" s="47" t="str">
        <f t="shared" si="3"/>
        <v/>
      </c>
      <c r="N828" s="47" t="str">
        <f>IFERROR(__xludf.DUMMYFUNCTION("IFERROR(IF(OR(ISBLANK($G828), IFERROR(INDEX(GOOGLEFINANCE($C828, ""price"", WORKDAY(INT($B828), 1)), 2, 2), """")=""""), """", IF($D828=""LONG"", (IFERROR(INDEX(GOOGLEFINANCE($C828, ""price"", WORKDAY(INT($B828), 1)), 2, 2), """")-$G828)/$G828, ($G828-IFE"&amp;"RROR(INDEX(GOOGLEFINANCE($C828, ""price"", WORKDAY(INT($B828), 1)), 2, 2), """"))/$G828)), """")"),"")</f>
        <v/>
      </c>
      <c r="O828" s="47" t="str">
        <f>IFERROR(__xludf.DUMMYFUNCTION("IFERROR(IF(OR(ISBLANK($G828), IFERROR(INDEX(GOOGLEFINANCE($C828, ""price"", WORKDAY(INT($B828), 5)), 2, 2), """")=""""), """", IF($D828=""LONG"", (IFERROR(INDEX(GOOGLEFINANCE($C828, ""price"", WORKDAY(INT($B828), 5)), 2, 2), """")-$G828)/$G828, ($G828-IFE"&amp;"RROR(INDEX(GOOGLEFINANCE($C828, ""price"", WORKDAY(INT($B828), 5)), 2, 2), """"))/$G828)), """")"),"")</f>
        <v/>
      </c>
      <c r="P828" s="47" t="str">
        <f>IFERROR(__xludf.DUMMYFUNCTION("IFERROR(IF(OR(ISBLANK($G828), IFERROR(INDEX(GOOGLEFINANCE($C828, ""price"", WORKDAY(INT($B828), 20)), 2, 2), """")=""""), """", IF($D828=""LONG"", (IFERROR(INDEX(GOOGLEFINANCE($C828, ""price"", WORKDAY(INT($B828), 20)), 2, 2), """")-$G828)/$G828, ($G828-I"&amp;"FERROR(INDEX(GOOGLEFINANCE($C828, ""price"", WORKDAY(INT($B828), 20)), 2, 2), """"))/$G828)), """")"),"")</f>
        <v/>
      </c>
      <c r="Q828" s="44"/>
      <c r="R828" s="44"/>
      <c r="S828" s="44"/>
      <c r="T828" s="44"/>
      <c r="U828" s="44"/>
      <c r="V828" s="44"/>
      <c r="W828" s="44"/>
      <c r="X828" s="44"/>
      <c r="Y828" s="44"/>
      <c r="Z828" s="44"/>
    </row>
    <row r="829">
      <c r="A829" s="44"/>
      <c r="B829" s="45"/>
      <c r="C829" s="44"/>
      <c r="D829" s="44"/>
      <c r="E829" s="44"/>
      <c r="F829" s="44"/>
      <c r="G829" s="46"/>
      <c r="H829" s="44"/>
      <c r="I829" s="44"/>
      <c r="J829" s="44"/>
      <c r="K829" s="44"/>
      <c r="L829" s="46" t="str">
        <f>IFERROR(__xludf.DUMMYFUNCTION("IFERROR(IF(ISBLANK($C829), """", GOOGLEFINANCE($C829, ""price"")), """")"),"")</f>
        <v/>
      </c>
      <c r="M829" s="47" t="str">
        <f t="shared" si="3"/>
        <v/>
      </c>
      <c r="N829" s="47" t="str">
        <f>IFERROR(__xludf.DUMMYFUNCTION("IFERROR(IF(OR(ISBLANK($G829), IFERROR(INDEX(GOOGLEFINANCE($C829, ""price"", WORKDAY(INT($B829), 1)), 2, 2), """")=""""), """", IF($D829=""LONG"", (IFERROR(INDEX(GOOGLEFINANCE($C829, ""price"", WORKDAY(INT($B829), 1)), 2, 2), """")-$G829)/$G829, ($G829-IFE"&amp;"RROR(INDEX(GOOGLEFINANCE($C829, ""price"", WORKDAY(INT($B829), 1)), 2, 2), """"))/$G829)), """")"),"")</f>
        <v/>
      </c>
      <c r="O829" s="47" t="str">
        <f>IFERROR(__xludf.DUMMYFUNCTION("IFERROR(IF(OR(ISBLANK($G829), IFERROR(INDEX(GOOGLEFINANCE($C829, ""price"", WORKDAY(INT($B829), 5)), 2, 2), """")=""""), """", IF($D829=""LONG"", (IFERROR(INDEX(GOOGLEFINANCE($C829, ""price"", WORKDAY(INT($B829), 5)), 2, 2), """")-$G829)/$G829, ($G829-IFE"&amp;"RROR(INDEX(GOOGLEFINANCE($C829, ""price"", WORKDAY(INT($B829), 5)), 2, 2), """"))/$G829)), """")"),"")</f>
        <v/>
      </c>
      <c r="P829" s="47" t="str">
        <f>IFERROR(__xludf.DUMMYFUNCTION("IFERROR(IF(OR(ISBLANK($G829), IFERROR(INDEX(GOOGLEFINANCE($C829, ""price"", WORKDAY(INT($B829), 20)), 2, 2), """")=""""), """", IF($D829=""LONG"", (IFERROR(INDEX(GOOGLEFINANCE($C829, ""price"", WORKDAY(INT($B829), 20)), 2, 2), """")-$G829)/$G829, ($G829-I"&amp;"FERROR(INDEX(GOOGLEFINANCE($C829, ""price"", WORKDAY(INT($B829), 20)), 2, 2), """"))/$G829)), """")"),"")</f>
        <v/>
      </c>
      <c r="Q829" s="44"/>
      <c r="R829" s="44"/>
      <c r="S829" s="44"/>
      <c r="T829" s="44"/>
      <c r="U829" s="44"/>
      <c r="V829" s="44"/>
      <c r="W829" s="44"/>
      <c r="X829" s="44"/>
      <c r="Y829" s="44"/>
      <c r="Z829" s="44"/>
    </row>
    <row r="830">
      <c r="A830" s="44"/>
      <c r="B830" s="45"/>
      <c r="C830" s="44"/>
      <c r="D830" s="44"/>
      <c r="E830" s="44"/>
      <c r="F830" s="44"/>
      <c r="G830" s="46"/>
      <c r="H830" s="44"/>
      <c r="I830" s="44"/>
      <c r="J830" s="44"/>
      <c r="K830" s="44"/>
      <c r="L830" s="46" t="str">
        <f>IFERROR(__xludf.DUMMYFUNCTION("IFERROR(IF(ISBLANK($C830), """", GOOGLEFINANCE($C830, ""price"")), """")"),"")</f>
        <v/>
      </c>
      <c r="M830" s="47" t="str">
        <f t="shared" si="3"/>
        <v/>
      </c>
      <c r="N830" s="47" t="str">
        <f>IFERROR(__xludf.DUMMYFUNCTION("IFERROR(IF(OR(ISBLANK($G830), IFERROR(INDEX(GOOGLEFINANCE($C830, ""price"", WORKDAY(INT($B830), 1)), 2, 2), """")=""""), """", IF($D830=""LONG"", (IFERROR(INDEX(GOOGLEFINANCE($C830, ""price"", WORKDAY(INT($B830), 1)), 2, 2), """")-$G830)/$G830, ($G830-IFE"&amp;"RROR(INDEX(GOOGLEFINANCE($C830, ""price"", WORKDAY(INT($B830), 1)), 2, 2), """"))/$G830)), """")"),"")</f>
        <v/>
      </c>
      <c r="O830" s="47" t="str">
        <f>IFERROR(__xludf.DUMMYFUNCTION("IFERROR(IF(OR(ISBLANK($G830), IFERROR(INDEX(GOOGLEFINANCE($C830, ""price"", WORKDAY(INT($B830), 5)), 2, 2), """")=""""), """", IF($D830=""LONG"", (IFERROR(INDEX(GOOGLEFINANCE($C830, ""price"", WORKDAY(INT($B830), 5)), 2, 2), """")-$G830)/$G830, ($G830-IFE"&amp;"RROR(INDEX(GOOGLEFINANCE($C830, ""price"", WORKDAY(INT($B830), 5)), 2, 2), """"))/$G830)), """")"),"")</f>
        <v/>
      </c>
      <c r="P830" s="47" t="str">
        <f>IFERROR(__xludf.DUMMYFUNCTION("IFERROR(IF(OR(ISBLANK($G830), IFERROR(INDEX(GOOGLEFINANCE($C830, ""price"", WORKDAY(INT($B830), 20)), 2, 2), """")=""""), """", IF($D830=""LONG"", (IFERROR(INDEX(GOOGLEFINANCE($C830, ""price"", WORKDAY(INT($B830), 20)), 2, 2), """")-$G830)/$G830, ($G830-I"&amp;"FERROR(INDEX(GOOGLEFINANCE($C830, ""price"", WORKDAY(INT($B830), 20)), 2, 2), """"))/$G830)), """")"),"")</f>
        <v/>
      </c>
      <c r="Q830" s="44"/>
      <c r="R830" s="44"/>
      <c r="S830" s="44"/>
      <c r="T830" s="44"/>
      <c r="U830" s="44"/>
      <c r="V830" s="44"/>
      <c r="W830" s="44"/>
      <c r="X830" s="44"/>
      <c r="Y830" s="44"/>
      <c r="Z830" s="44"/>
    </row>
    <row r="831">
      <c r="A831" s="44"/>
      <c r="B831" s="45"/>
      <c r="C831" s="44"/>
      <c r="D831" s="44"/>
      <c r="E831" s="44"/>
      <c r="F831" s="44"/>
      <c r="G831" s="46"/>
      <c r="H831" s="44"/>
      <c r="I831" s="44"/>
      <c r="J831" s="44"/>
      <c r="K831" s="44"/>
      <c r="L831" s="46" t="str">
        <f>IFERROR(__xludf.DUMMYFUNCTION("IFERROR(IF(ISBLANK($C831), """", GOOGLEFINANCE($C831, ""price"")), """")"),"")</f>
        <v/>
      </c>
      <c r="M831" s="47" t="str">
        <f t="shared" si="3"/>
        <v/>
      </c>
      <c r="N831" s="47" t="str">
        <f>IFERROR(__xludf.DUMMYFUNCTION("IFERROR(IF(OR(ISBLANK($G831), IFERROR(INDEX(GOOGLEFINANCE($C831, ""price"", WORKDAY(INT($B831), 1)), 2, 2), """")=""""), """", IF($D831=""LONG"", (IFERROR(INDEX(GOOGLEFINANCE($C831, ""price"", WORKDAY(INT($B831), 1)), 2, 2), """")-$G831)/$G831, ($G831-IFE"&amp;"RROR(INDEX(GOOGLEFINANCE($C831, ""price"", WORKDAY(INT($B831), 1)), 2, 2), """"))/$G831)), """")"),"")</f>
        <v/>
      </c>
      <c r="O831" s="47" t="str">
        <f>IFERROR(__xludf.DUMMYFUNCTION("IFERROR(IF(OR(ISBLANK($G831), IFERROR(INDEX(GOOGLEFINANCE($C831, ""price"", WORKDAY(INT($B831), 5)), 2, 2), """")=""""), """", IF($D831=""LONG"", (IFERROR(INDEX(GOOGLEFINANCE($C831, ""price"", WORKDAY(INT($B831), 5)), 2, 2), """")-$G831)/$G831, ($G831-IFE"&amp;"RROR(INDEX(GOOGLEFINANCE($C831, ""price"", WORKDAY(INT($B831), 5)), 2, 2), """"))/$G831)), """")"),"")</f>
        <v/>
      </c>
      <c r="P831" s="47" t="str">
        <f>IFERROR(__xludf.DUMMYFUNCTION("IFERROR(IF(OR(ISBLANK($G831), IFERROR(INDEX(GOOGLEFINANCE($C831, ""price"", WORKDAY(INT($B831), 20)), 2, 2), """")=""""), """", IF($D831=""LONG"", (IFERROR(INDEX(GOOGLEFINANCE($C831, ""price"", WORKDAY(INT($B831), 20)), 2, 2), """")-$G831)/$G831, ($G831-I"&amp;"FERROR(INDEX(GOOGLEFINANCE($C831, ""price"", WORKDAY(INT($B831), 20)), 2, 2), """"))/$G831)), """")"),"")</f>
        <v/>
      </c>
      <c r="Q831" s="44"/>
      <c r="R831" s="44"/>
      <c r="S831" s="44"/>
      <c r="T831" s="44"/>
      <c r="U831" s="44"/>
      <c r="V831" s="44"/>
      <c r="W831" s="44"/>
      <c r="X831" s="44"/>
      <c r="Y831" s="44"/>
      <c r="Z831" s="44"/>
    </row>
    <row r="832">
      <c r="A832" s="44"/>
      <c r="B832" s="45"/>
      <c r="C832" s="44"/>
      <c r="D832" s="44"/>
      <c r="E832" s="44"/>
      <c r="F832" s="44"/>
      <c r="G832" s="46"/>
      <c r="H832" s="44"/>
      <c r="I832" s="44"/>
      <c r="J832" s="44"/>
      <c r="K832" s="44"/>
      <c r="L832" s="46" t="str">
        <f>IFERROR(__xludf.DUMMYFUNCTION("IFERROR(IF(ISBLANK($C832), """", GOOGLEFINANCE($C832, ""price"")), """")"),"")</f>
        <v/>
      </c>
      <c r="M832" s="47" t="str">
        <f t="shared" si="3"/>
        <v/>
      </c>
      <c r="N832" s="47" t="str">
        <f>IFERROR(__xludf.DUMMYFUNCTION("IFERROR(IF(OR(ISBLANK($G832), IFERROR(INDEX(GOOGLEFINANCE($C832, ""price"", WORKDAY(INT($B832), 1)), 2, 2), """")=""""), """", IF($D832=""LONG"", (IFERROR(INDEX(GOOGLEFINANCE($C832, ""price"", WORKDAY(INT($B832), 1)), 2, 2), """")-$G832)/$G832, ($G832-IFE"&amp;"RROR(INDEX(GOOGLEFINANCE($C832, ""price"", WORKDAY(INT($B832), 1)), 2, 2), """"))/$G832)), """")"),"")</f>
        <v/>
      </c>
      <c r="O832" s="47" t="str">
        <f>IFERROR(__xludf.DUMMYFUNCTION("IFERROR(IF(OR(ISBLANK($G832), IFERROR(INDEX(GOOGLEFINANCE($C832, ""price"", WORKDAY(INT($B832), 5)), 2, 2), """")=""""), """", IF($D832=""LONG"", (IFERROR(INDEX(GOOGLEFINANCE($C832, ""price"", WORKDAY(INT($B832), 5)), 2, 2), """")-$G832)/$G832, ($G832-IFE"&amp;"RROR(INDEX(GOOGLEFINANCE($C832, ""price"", WORKDAY(INT($B832), 5)), 2, 2), """"))/$G832)), """")"),"")</f>
        <v/>
      </c>
      <c r="P832" s="47" t="str">
        <f>IFERROR(__xludf.DUMMYFUNCTION("IFERROR(IF(OR(ISBLANK($G832), IFERROR(INDEX(GOOGLEFINANCE($C832, ""price"", WORKDAY(INT($B832), 20)), 2, 2), """")=""""), """", IF($D832=""LONG"", (IFERROR(INDEX(GOOGLEFINANCE($C832, ""price"", WORKDAY(INT($B832), 20)), 2, 2), """")-$G832)/$G832, ($G832-I"&amp;"FERROR(INDEX(GOOGLEFINANCE($C832, ""price"", WORKDAY(INT($B832), 20)), 2, 2), """"))/$G832)), """")"),"")</f>
        <v/>
      </c>
      <c r="Q832" s="44"/>
      <c r="R832" s="44"/>
      <c r="S832" s="44"/>
      <c r="T832" s="44"/>
      <c r="U832" s="44"/>
      <c r="V832" s="44"/>
      <c r="W832" s="44"/>
      <c r="X832" s="44"/>
      <c r="Y832" s="44"/>
      <c r="Z832" s="44"/>
    </row>
    <row r="833">
      <c r="A833" s="44"/>
      <c r="B833" s="45"/>
      <c r="C833" s="44"/>
      <c r="D833" s="44"/>
      <c r="E833" s="44"/>
      <c r="F833" s="44"/>
      <c r="G833" s="46"/>
      <c r="H833" s="44"/>
      <c r="I833" s="44"/>
      <c r="J833" s="44"/>
      <c r="K833" s="44"/>
      <c r="L833" s="46" t="str">
        <f>IFERROR(__xludf.DUMMYFUNCTION("IFERROR(IF(ISBLANK($C833), """", GOOGLEFINANCE($C833, ""price"")), """")"),"")</f>
        <v/>
      </c>
      <c r="M833" s="47" t="str">
        <f t="shared" si="3"/>
        <v/>
      </c>
      <c r="N833" s="47" t="str">
        <f>IFERROR(__xludf.DUMMYFUNCTION("IFERROR(IF(OR(ISBLANK($G833), IFERROR(INDEX(GOOGLEFINANCE($C833, ""price"", WORKDAY(INT($B833), 1)), 2, 2), """")=""""), """", IF($D833=""LONG"", (IFERROR(INDEX(GOOGLEFINANCE($C833, ""price"", WORKDAY(INT($B833), 1)), 2, 2), """")-$G833)/$G833, ($G833-IFE"&amp;"RROR(INDEX(GOOGLEFINANCE($C833, ""price"", WORKDAY(INT($B833), 1)), 2, 2), """"))/$G833)), """")"),"")</f>
        <v/>
      </c>
      <c r="O833" s="47" t="str">
        <f>IFERROR(__xludf.DUMMYFUNCTION("IFERROR(IF(OR(ISBLANK($G833), IFERROR(INDEX(GOOGLEFINANCE($C833, ""price"", WORKDAY(INT($B833), 5)), 2, 2), """")=""""), """", IF($D833=""LONG"", (IFERROR(INDEX(GOOGLEFINANCE($C833, ""price"", WORKDAY(INT($B833), 5)), 2, 2), """")-$G833)/$G833, ($G833-IFE"&amp;"RROR(INDEX(GOOGLEFINANCE($C833, ""price"", WORKDAY(INT($B833), 5)), 2, 2), """"))/$G833)), """")"),"")</f>
        <v/>
      </c>
      <c r="P833" s="47" t="str">
        <f>IFERROR(__xludf.DUMMYFUNCTION("IFERROR(IF(OR(ISBLANK($G833), IFERROR(INDEX(GOOGLEFINANCE($C833, ""price"", WORKDAY(INT($B833), 20)), 2, 2), """")=""""), """", IF($D833=""LONG"", (IFERROR(INDEX(GOOGLEFINANCE($C833, ""price"", WORKDAY(INT($B833), 20)), 2, 2), """")-$G833)/$G833, ($G833-I"&amp;"FERROR(INDEX(GOOGLEFINANCE($C833, ""price"", WORKDAY(INT($B833), 20)), 2, 2), """"))/$G833)), """")"),"")</f>
        <v/>
      </c>
      <c r="Q833" s="44"/>
      <c r="R833" s="44"/>
      <c r="S833" s="44"/>
      <c r="T833" s="44"/>
      <c r="U833" s="44"/>
      <c r="V833" s="44"/>
      <c r="W833" s="44"/>
      <c r="X833" s="44"/>
      <c r="Y833" s="44"/>
      <c r="Z833" s="44"/>
    </row>
    <row r="834">
      <c r="A834" s="44"/>
      <c r="B834" s="45"/>
      <c r="C834" s="44"/>
      <c r="D834" s="44"/>
      <c r="E834" s="44"/>
      <c r="F834" s="44"/>
      <c r="G834" s="46"/>
      <c r="H834" s="44"/>
      <c r="I834" s="44"/>
      <c r="J834" s="44"/>
      <c r="K834" s="44"/>
      <c r="L834" s="46" t="str">
        <f>IFERROR(__xludf.DUMMYFUNCTION("IFERROR(IF(ISBLANK($C834), """", GOOGLEFINANCE($C834, ""price"")), """")"),"")</f>
        <v/>
      </c>
      <c r="M834" s="47" t="str">
        <f t="shared" si="3"/>
        <v/>
      </c>
      <c r="N834" s="47" t="str">
        <f>IFERROR(__xludf.DUMMYFUNCTION("IFERROR(IF(OR(ISBLANK($G834), IFERROR(INDEX(GOOGLEFINANCE($C834, ""price"", WORKDAY(INT($B834), 1)), 2, 2), """")=""""), """", IF($D834=""LONG"", (IFERROR(INDEX(GOOGLEFINANCE($C834, ""price"", WORKDAY(INT($B834), 1)), 2, 2), """")-$G834)/$G834, ($G834-IFE"&amp;"RROR(INDEX(GOOGLEFINANCE($C834, ""price"", WORKDAY(INT($B834), 1)), 2, 2), """"))/$G834)), """")"),"")</f>
        <v/>
      </c>
      <c r="O834" s="47" t="str">
        <f>IFERROR(__xludf.DUMMYFUNCTION("IFERROR(IF(OR(ISBLANK($G834), IFERROR(INDEX(GOOGLEFINANCE($C834, ""price"", WORKDAY(INT($B834), 5)), 2, 2), """")=""""), """", IF($D834=""LONG"", (IFERROR(INDEX(GOOGLEFINANCE($C834, ""price"", WORKDAY(INT($B834), 5)), 2, 2), """")-$G834)/$G834, ($G834-IFE"&amp;"RROR(INDEX(GOOGLEFINANCE($C834, ""price"", WORKDAY(INT($B834), 5)), 2, 2), """"))/$G834)), """")"),"")</f>
        <v/>
      </c>
      <c r="P834" s="47" t="str">
        <f>IFERROR(__xludf.DUMMYFUNCTION("IFERROR(IF(OR(ISBLANK($G834), IFERROR(INDEX(GOOGLEFINANCE($C834, ""price"", WORKDAY(INT($B834), 20)), 2, 2), """")=""""), """", IF($D834=""LONG"", (IFERROR(INDEX(GOOGLEFINANCE($C834, ""price"", WORKDAY(INT($B834), 20)), 2, 2), """")-$G834)/$G834, ($G834-I"&amp;"FERROR(INDEX(GOOGLEFINANCE($C834, ""price"", WORKDAY(INT($B834), 20)), 2, 2), """"))/$G834)), """")"),"")</f>
        <v/>
      </c>
      <c r="Q834" s="44"/>
      <c r="R834" s="44"/>
      <c r="S834" s="44"/>
      <c r="T834" s="44"/>
      <c r="U834" s="44"/>
      <c r="V834" s="44"/>
      <c r="W834" s="44"/>
      <c r="X834" s="44"/>
      <c r="Y834" s="44"/>
      <c r="Z834" s="44"/>
    </row>
    <row r="835">
      <c r="A835" s="44"/>
      <c r="B835" s="45"/>
      <c r="C835" s="44"/>
      <c r="D835" s="44"/>
      <c r="E835" s="44"/>
      <c r="F835" s="44"/>
      <c r="G835" s="46"/>
      <c r="H835" s="44"/>
      <c r="I835" s="44"/>
      <c r="J835" s="44"/>
      <c r="K835" s="44"/>
      <c r="L835" s="46" t="str">
        <f>IFERROR(__xludf.DUMMYFUNCTION("IFERROR(IF(ISBLANK($C835), """", GOOGLEFINANCE($C835, ""price"")), """")"),"")</f>
        <v/>
      </c>
      <c r="M835" s="47" t="str">
        <f t="shared" si="3"/>
        <v/>
      </c>
      <c r="N835" s="47" t="str">
        <f>IFERROR(__xludf.DUMMYFUNCTION("IFERROR(IF(OR(ISBLANK($G835), IFERROR(INDEX(GOOGLEFINANCE($C835, ""price"", WORKDAY(INT($B835), 1)), 2, 2), """")=""""), """", IF($D835=""LONG"", (IFERROR(INDEX(GOOGLEFINANCE($C835, ""price"", WORKDAY(INT($B835), 1)), 2, 2), """")-$G835)/$G835, ($G835-IFE"&amp;"RROR(INDEX(GOOGLEFINANCE($C835, ""price"", WORKDAY(INT($B835), 1)), 2, 2), """"))/$G835)), """")"),"")</f>
        <v/>
      </c>
      <c r="O835" s="47" t="str">
        <f>IFERROR(__xludf.DUMMYFUNCTION("IFERROR(IF(OR(ISBLANK($G835), IFERROR(INDEX(GOOGLEFINANCE($C835, ""price"", WORKDAY(INT($B835), 5)), 2, 2), """")=""""), """", IF($D835=""LONG"", (IFERROR(INDEX(GOOGLEFINANCE($C835, ""price"", WORKDAY(INT($B835), 5)), 2, 2), """")-$G835)/$G835, ($G835-IFE"&amp;"RROR(INDEX(GOOGLEFINANCE($C835, ""price"", WORKDAY(INT($B835), 5)), 2, 2), """"))/$G835)), """")"),"")</f>
        <v/>
      </c>
      <c r="P835" s="47" t="str">
        <f>IFERROR(__xludf.DUMMYFUNCTION("IFERROR(IF(OR(ISBLANK($G835), IFERROR(INDEX(GOOGLEFINANCE($C835, ""price"", WORKDAY(INT($B835), 20)), 2, 2), """")=""""), """", IF($D835=""LONG"", (IFERROR(INDEX(GOOGLEFINANCE($C835, ""price"", WORKDAY(INT($B835), 20)), 2, 2), """")-$G835)/$G835, ($G835-I"&amp;"FERROR(INDEX(GOOGLEFINANCE($C835, ""price"", WORKDAY(INT($B835), 20)), 2, 2), """"))/$G835)), """")"),"")</f>
        <v/>
      </c>
      <c r="Q835" s="44"/>
      <c r="R835" s="44"/>
      <c r="S835" s="44"/>
      <c r="T835" s="44"/>
      <c r="U835" s="44"/>
      <c r="V835" s="44"/>
      <c r="W835" s="44"/>
      <c r="X835" s="44"/>
      <c r="Y835" s="44"/>
      <c r="Z835" s="44"/>
    </row>
    <row r="836">
      <c r="A836" s="44"/>
      <c r="B836" s="45"/>
      <c r="C836" s="44"/>
      <c r="D836" s="44"/>
      <c r="E836" s="44"/>
      <c r="F836" s="44"/>
      <c r="G836" s="46"/>
      <c r="H836" s="44"/>
      <c r="I836" s="44"/>
      <c r="J836" s="44"/>
      <c r="K836" s="44"/>
      <c r="L836" s="46" t="str">
        <f>IFERROR(__xludf.DUMMYFUNCTION("IFERROR(IF(ISBLANK($C836), """", GOOGLEFINANCE($C836, ""price"")), """")"),"")</f>
        <v/>
      </c>
      <c r="M836" s="47" t="str">
        <f t="shared" si="3"/>
        <v/>
      </c>
      <c r="N836" s="47" t="str">
        <f>IFERROR(__xludf.DUMMYFUNCTION("IFERROR(IF(OR(ISBLANK($G836), IFERROR(INDEX(GOOGLEFINANCE($C836, ""price"", WORKDAY(INT($B836), 1)), 2, 2), """")=""""), """", IF($D836=""LONG"", (IFERROR(INDEX(GOOGLEFINANCE($C836, ""price"", WORKDAY(INT($B836), 1)), 2, 2), """")-$G836)/$G836, ($G836-IFE"&amp;"RROR(INDEX(GOOGLEFINANCE($C836, ""price"", WORKDAY(INT($B836), 1)), 2, 2), """"))/$G836)), """")"),"")</f>
        <v/>
      </c>
      <c r="O836" s="47" t="str">
        <f>IFERROR(__xludf.DUMMYFUNCTION("IFERROR(IF(OR(ISBLANK($G836), IFERROR(INDEX(GOOGLEFINANCE($C836, ""price"", WORKDAY(INT($B836), 5)), 2, 2), """")=""""), """", IF($D836=""LONG"", (IFERROR(INDEX(GOOGLEFINANCE($C836, ""price"", WORKDAY(INT($B836), 5)), 2, 2), """")-$G836)/$G836, ($G836-IFE"&amp;"RROR(INDEX(GOOGLEFINANCE($C836, ""price"", WORKDAY(INT($B836), 5)), 2, 2), """"))/$G836)), """")"),"")</f>
        <v/>
      </c>
      <c r="P836" s="47" t="str">
        <f>IFERROR(__xludf.DUMMYFUNCTION("IFERROR(IF(OR(ISBLANK($G836), IFERROR(INDEX(GOOGLEFINANCE($C836, ""price"", WORKDAY(INT($B836), 20)), 2, 2), """")=""""), """", IF($D836=""LONG"", (IFERROR(INDEX(GOOGLEFINANCE($C836, ""price"", WORKDAY(INT($B836), 20)), 2, 2), """")-$G836)/$G836, ($G836-I"&amp;"FERROR(INDEX(GOOGLEFINANCE($C836, ""price"", WORKDAY(INT($B836), 20)), 2, 2), """"))/$G836)), """")"),"")</f>
        <v/>
      </c>
      <c r="Q836" s="44"/>
      <c r="R836" s="44"/>
      <c r="S836" s="44"/>
      <c r="T836" s="44"/>
      <c r="U836" s="44"/>
      <c r="V836" s="44"/>
      <c r="W836" s="44"/>
      <c r="X836" s="44"/>
      <c r="Y836" s="44"/>
      <c r="Z836" s="44"/>
    </row>
    <row r="837">
      <c r="A837" s="44"/>
      <c r="B837" s="45"/>
      <c r="C837" s="44"/>
      <c r="D837" s="44"/>
      <c r="E837" s="44"/>
      <c r="F837" s="44"/>
      <c r="G837" s="46"/>
      <c r="H837" s="44"/>
      <c r="I837" s="44"/>
      <c r="J837" s="44"/>
      <c r="K837" s="44"/>
      <c r="L837" s="46" t="str">
        <f>IFERROR(__xludf.DUMMYFUNCTION("IFERROR(IF(ISBLANK($C837), """", GOOGLEFINANCE($C837, ""price"")), """")"),"")</f>
        <v/>
      </c>
      <c r="M837" s="47" t="str">
        <f t="shared" si="3"/>
        <v/>
      </c>
      <c r="N837" s="47" t="str">
        <f>IFERROR(__xludf.DUMMYFUNCTION("IFERROR(IF(OR(ISBLANK($G837), IFERROR(INDEX(GOOGLEFINANCE($C837, ""price"", WORKDAY(INT($B837), 1)), 2, 2), """")=""""), """", IF($D837=""LONG"", (IFERROR(INDEX(GOOGLEFINANCE($C837, ""price"", WORKDAY(INT($B837), 1)), 2, 2), """")-$G837)/$G837, ($G837-IFE"&amp;"RROR(INDEX(GOOGLEFINANCE($C837, ""price"", WORKDAY(INT($B837), 1)), 2, 2), """"))/$G837)), """")"),"")</f>
        <v/>
      </c>
      <c r="O837" s="47" t="str">
        <f>IFERROR(__xludf.DUMMYFUNCTION("IFERROR(IF(OR(ISBLANK($G837), IFERROR(INDEX(GOOGLEFINANCE($C837, ""price"", WORKDAY(INT($B837), 5)), 2, 2), """")=""""), """", IF($D837=""LONG"", (IFERROR(INDEX(GOOGLEFINANCE($C837, ""price"", WORKDAY(INT($B837), 5)), 2, 2), """")-$G837)/$G837, ($G837-IFE"&amp;"RROR(INDEX(GOOGLEFINANCE($C837, ""price"", WORKDAY(INT($B837), 5)), 2, 2), """"))/$G837)), """")"),"")</f>
        <v/>
      </c>
      <c r="P837" s="47" t="str">
        <f>IFERROR(__xludf.DUMMYFUNCTION("IFERROR(IF(OR(ISBLANK($G837), IFERROR(INDEX(GOOGLEFINANCE($C837, ""price"", WORKDAY(INT($B837), 20)), 2, 2), """")=""""), """", IF($D837=""LONG"", (IFERROR(INDEX(GOOGLEFINANCE($C837, ""price"", WORKDAY(INT($B837), 20)), 2, 2), """")-$G837)/$G837, ($G837-I"&amp;"FERROR(INDEX(GOOGLEFINANCE($C837, ""price"", WORKDAY(INT($B837), 20)), 2, 2), """"))/$G837)), """")"),"")</f>
        <v/>
      </c>
      <c r="Q837" s="44"/>
      <c r="R837" s="44"/>
      <c r="S837" s="44"/>
      <c r="T837" s="44"/>
      <c r="U837" s="44"/>
      <c r="V837" s="44"/>
      <c r="W837" s="44"/>
      <c r="X837" s="44"/>
      <c r="Y837" s="44"/>
      <c r="Z837" s="44"/>
    </row>
    <row r="838">
      <c r="A838" s="44"/>
      <c r="B838" s="45"/>
      <c r="C838" s="44"/>
      <c r="D838" s="44"/>
      <c r="E838" s="44"/>
      <c r="F838" s="44"/>
      <c r="G838" s="46"/>
      <c r="H838" s="44"/>
      <c r="I838" s="44"/>
      <c r="J838" s="44"/>
      <c r="K838" s="44"/>
      <c r="L838" s="46" t="str">
        <f>IFERROR(__xludf.DUMMYFUNCTION("IFERROR(IF(ISBLANK($C838), """", GOOGLEFINANCE($C838, ""price"")), """")"),"")</f>
        <v/>
      </c>
      <c r="M838" s="47" t="str">
        <f t="shared" si="3"/>
        <v/>
      </c>
      <c r="N838" s="47" t="str">
        <f>IFERROR(__xludf.DUMMYFUNCTION("IFERROR(IF(OR(ISBLANK($G838), IFERROR(INDEX(GOOGLEFINANCE($C838, ""price"", WORKDAY(INT($B838), 1)), 2, 2), """")=""""), """", IF($D838=""LONG"", (IFERROR(INDEX(GOOGLEFINANCE($C838, ""price"", WORKDAY(INT($B838), 1)), 2, 2), """")-$G838)/$G838, ($G838-IFE"&amp;"RROR(INDEX(GOOGLEFINANCE($C838, ""price"", WORKDAY(INT($B838), 1)), 2, 2), """"))/$G838)), """")"),"")</f>
        <v/>
      </c>
      <c r="O838" s="47" t="str">
        <f>IFERROR(__xludf.DUMMYFUNCTION("IFERROR(IF(OR(ISBLANK($G838), IFERROR(INDEX(GOOGLEFINANCE($C838, ""price"", WORKDAY(INT($B838), 5)), 2, 2), """")=""""), """", IF($D838=""LONG"", (IFERROR(INDEX(GOOGLEFINANCE($C838, ""price"", WORKDAY(INT($B838), 5)), 2, 2), """")-$G838)/$G838, ($G838-IFE"&amp;"RROR(INDEX(GOOGLEFINANCE($C838, ""price"", WORKDAY(INT($B838), 5)), 2, 2), """"))/$G838)), """")"),"")</f>
        <v/>
      </c>
      <c r="P838" s="47" t="str">
        <f>IFERROR(__xludf.DUMMYFUNCTION("IFERROR(IF(OR(ISBLANK($G838), IFERROR(INDEX(GOOGLEFINANCE($C838, ""price"", WORKDAY(INT($B838), 20)), 2, 2), """")=""""), """", IF($D838=""LONG"", (IFERROR(INDEX(GOOGLEFINANCE($C838, ""price"", WORKDAY(INT($B838), 20)), 2, 2), """")-$G838)/$G838, ($G838-I"&amp;"FERROR(INDEX(GOOGLEFINANCE($C838, ""price"", WORKDAY(INT($B838), 20)), 2, 2), """"))/$G838)), """")"),"")</f>
        <v/>
      </c>
      <c r="Q838" s="44"/>
      <c r="R838" s="44"/>
      <c r="S838" s="44"/>
      <c r="T838" s="44"/>
      <c r="U838" s="44"/>
      <c r="V838" s="44"/>
      <c r="W838" s="44"/>
      <c r="X838" s="44"/>
      <c r="Y838" s="44"/>
      <c r="Z838" s="44"/>
    </row>
    <row r="839">
      <c r="A839" s="44"/>
      <c r="B839" s="45"/>
      <c r="C839" s="44"/>
      <c r="D839" s="44"/>
      <c r="E839" s="44"/>
      <c r="F839" s="44"/>
      <c r="G839" s="46"/>
      <c r="H839" s="44"/>
      <c r="I839" s="44"/>
      <c r="J839" s="44"/>
      <c r="K839" s="44"/>
      <c r="L839" s="46" t="str">
        <f>IFERROR(__xludf.DUMMYFUNCTION("IFERROR(IF(ISBLANK($C839), """", GOOGLEFINANCE($C839, ""price"")), """")"),"")</f>
        <v/>
      </c>
      <c r="M839" s="47" t="str">
        <f t="shared" si="3"/>
        <v/>
      </c>
      <c r="N839" s="47" t="str">
        <f>IFERROR(__xludf.DUMMYFUNCTION("IFERROR(IF(OR(ISBLANK($G839), IFERROR(INDEX(GOOGLEFINANCE($C839, ""price"", WORKDAY(INT($B839), 1)), 2, 2), """")=""""), """", IF($D839=""LONG"", (IFERROR(INDEX(GOOGLEFINANCE($C839, ""price"", WORKDAY(INT($B839), 1)), 2, 2), """")-$G839)/$G839, ($G839-IFE"&amp;"RROR(INDEX(GOOGLEFINANCE($C839, ""price"", WORKDAY(INT($B839), 1)), 2, 2), """"))/$G839)), """")"),"")</f>
        <v/>
      </c>
      <c r="O839" s="47" t="str">
        <f>IFERROR(__xludf.DUMMYFUNCTION("IFERROR(IF(OR(ISBLANK($G839), IFERROR(INDEX(GOOGLEFINANCE($C839, ""price"", WORKDAY(INT($B839), 5)), 2, 2), """")=""""), """", IF($D839=""LONG"", (IFERROR(INDEX(GOOGLEFINANCE($C839, ""price"", WORKDAY(INT($B839), 5)), 2, 2), """")-$G839)/$G839, ($G839-IFE"&amp;"RROR(INDEX(GOOGLEFINANCE($C839, ""price"", WORKDAY(INT($B839), 5)), 2, 2), """"))/$G839)), """")"),"")</f>
        <v/>
      </c>
      <c r="P839" s="47" t="str">
        <f>IFERROR(__xludf.DUMMYFUNCTION("IFERROR(IF(OR(ISBLANK($G839), IFERROR(INDEX(GOOGLEFINANCE($C839, ""price"", WORKDAY(INT($B839), 20)), 2, 2), """")=""""), """", IF($D839=""LONG"", (IFERROR(INDEX(GOOGLEFINANCE($C839, ""price"", WORKDAY(INT($B839), 20)), 2, 2), """")-$G839)/$G839, ($G839-I"&amp;"FERROR(INDEX(GOOGLEFINANCE($C839, ""price"", WORKDAY(INT($B839), 20)), 2, 2), """"))/$G839)), """")"),"")</f>
        <v/>
      </c>
      <c r="Q839" s="44"/>
      <c r="R839" s="44"/>
      <c r="S839" s="44"/>
      <c r="T839" s="44"/>
      <c r="U839" s="44"/>
      <c r="V839" s="44"/>
      <c r="W839" s="44"/>
      <c r="X839" s="44"/>
      <c r="Y839" s="44"/>
      <c r="Z839" s="44"/>
    </row>
    <row r="840">
      <c r="A840" s="44"/>
      <c r="B840" s="45"/>
      <c r="C840" s="44"/>
      <c r="D840" s="44"/>
      <c r="E840" s="44"/>
      <c r="F840" s="44"/>
      <c r="G840" s="46"/>
      <c r="H840" s="44"/>
      <c r="I840" s="44"/>
      <c r="J840" s="44"/>
      <c r="K840" s="44"/>
      <c r="L840" s="46" t="str">
        <f>IFERROR(__xludf.DUMMYFUNCTION("IFERROR(IF(ISBLANK($C840), """", GOOGLEFINANCE($C840, ""price"")), """")"),"")</f>
        <v/>
      </c>
      <c r="M840" s="47" t="str">
        <f t="shared" si="3"/>
        <v/>
      </c>
      <c r="N840" s="47" t="str">
        <f>IFERROR(__xludf.DUMMYFUNCTION("IFERROR(IF(OR(ISBLANK($G840), IFERROR(INDEX(GOOGLEFINANCE($C840, ""price"", WORKDAY(INT($B840), 1)), 2, 2), """")=""""), """", IF($D840=""LONG"", (IFERROR(INDEX(GOOGLEFINANCE($C840, ""price"", WORKDAY(INT($B840), 1)), 2, 2), """")-$G840)/$G840, ($G840-IFE"&amp;"RROR(INDEX(GOOGLEFINANCE($C840, ""price"", WORKDAY(INT($B840), 1)), 2, 2), """"))/$G840)), """")"),"")</f>
        <v/>
      </c>
      <c r="O840" s="47" t="str">
        <f>IFERROR(__xludf.DUMMYFUNCTION("IFERROR(IF(OR(ISBLANK($G840), IFERROR(INDEX(GOOGLEFINANCE($C840, ""price"", WORKDAY(INT($B840), 5)), 2, 2), """")=""""), """", IF($D840=""LONG"", (IFERROR(INDEX(GOOGLEFINANCE($C840, ""price"", WORKDAY(INT($B840), 5)), 2, 2), """")-$G840)/$G840, ($G840-IFE"&amp;"RROR(INDEX(GOOGLEFINANCE($C840, ""price"", WORKDAY(INT($B840), 5)), 2, 2), """"))/$G840)), """")"),"")</f>
        <v/>
      </c>
      <c r="P840" s="47" t="str">
        <f>IFERROR(__xludf.DUMMYFUNCTION("IFERROR(IF(OR(ISBLANK($G840), IFERROR(INDEX(GOOGLEFINANCE($C840, ""price"", WORKDAY(INT($B840), 20)), 2, 2), """")=""""), """", IF($D840=""LONG"", (IFERROR(INDEX(GOOGLEFINANCE($C840, ""price"", WORKDAY(INT($B840), 20)), 2, 2), """")-$G840)/$G840, ($G840-I"&amp;"FERROR(INDEX(GOOGLEFINANCE($C840, ""price"", WORKDAY(INT($B840), 20)), 2, 2), """"))/$G840)), """")"),"")</f>
        <v/>
      </c>
      <c r="Q840" s="44"/>
      <c r="R840" s="44"/>
      <c r="S840" s="44"/>
      <c r="T840" s="44"/>
      <c r="U840" s="44"/>
      <c r="V840" s="44"/>
      <c r="W840" s="44"/>
      <c r="X840" s="44"/>
      <c r="Y840" s="44"/>
      <c r="Z840" s="44"/>
    </row>
    <row r="841">
      <c r="A841" s="44"/>
      <c r="B841" s="45"/>
      <c r="C841" s="44"/>
      <c r="D841" s="44"/>
      <c r="E841" s="44"/>
      <c r="F841" s="44"/>
      <c r="G841" s="46"/>
      <c r="H841" s="44"/>
      <c r="I841" s="44"/>
      <c r="J841" s="44"/>
      <c r="K841" s="44"/>
      <c r="L841" s="46" t="str">
        <f>IFERROR(__xludf.DUMMYFUNCTION("IFERROR(IF(ISBLANK($C841), """", GOOGLEFINANCE($C841, ""price"")), """")"),"")</f>
        <v/>
      </c>
      <c r="M841" s="47" t="str">
        <f t="shared" si="3"/>
        <v/>
      </c>
      <c r="N841" s="47" t="str">
        <f>IFERROR(__xludf.DUMMYFUNCTION("IFERROR(IF(OR(ISBLANK($G841), IFERROR(INDEX(GOOGLEFINANCE($C841, ""price"", WORKDAY(INT($B841), 1)), 2, 2), """")=""""), """", IF($D841=""LONG"", (IFERROR(INDEX(GOOGLEFINANCE($C841, ""price"", WORKDAY(INT($B841), 1)), 2, 2), """")-$G841)/$G841, ($G841-IFE"&amp;"RROR(INDEX(GOOGLEFINANCE($C841, ""price"", WORKDAY(INT($B841), 1)), 2, 2), """"))/$G841)), """")"),"")</f>
        <v/>
      </c>
      <c r="O841" s="47" t="str">
        <f>IFERROR(__xludf.DUMMYFUNCTION("IFERROR(IF(OR(ISBLANK($G841), IFERROR(INDEX(GOOGLEFINANCE($C841, ""price"", WORKDAY(INT($B841), 5)), 2, 2), """")=""""), """", IF($D841=""LONG"", (IFERROR(INDEX(GOOGLEFINANCE($C841, ""price"", WORKDAY(INT($B841), 5)), 2, 2), """")-$G841)/$G841, ($G841-IFE"&amp;"RROR(INDEX(GOOGLEFINANCE($C841, ""price"", WORKDAY(INT($B841), 5)), 2, 2), """"))/$G841)), """")"),"")</f>
        <v/>
      </c>
      <c r="P841" s="47" t="str">
        <f>IFERROR(__xludf.DUMMYFUNCTION("IFERROR(IF(OR(ISBLANK($G841), IFERROR(INDEX(GOOGLEFINANCE($C841, ""price"", WORKDAY(INT($B841), 20)), 2, 2), """")=""""), """", IF($D841=""LONG"", (IFERROR(INDEX(GOOGLEFINANCE($C841, ""price"", WORKDAY(INT($B841), 20)), 2, 2), """")-$G841)/$G841, ($G841-I"&amp;"FERROR(INDEX(GOOGLEFINANCE($C841, ""price"", WORKDAY(INT($B841), 20)), 2, 2), """"))/$G841)), """")"),"")</f>
        <v/>
      </c>
      <c r="Q841" s="44"/>
      <c r="R841" s="44"/>
      <c r="S841" s="44"/>
      <c r="T841" s="44"/>
      <c r="U841" s="44"/>
      <c r="V841" s="44"/>
      <c r="W841" s="44"/>
      <c r="X841" s="44"/>
      <c r="Y841" s="44"/>
      <c r="Z841" s="44"/>
    </row>
    <row r="842">
      <c r="A842" s="44"/>
      <c r="B842" s="45"/>
      <c r="C842" s="44"/>
      <c r="D842" s="44"/>
      <c r="E842" s="44"/>
      <c r="F842" s="44"/>
      <c r="G842" s="46"/>
      <c r="H842" s="44"/>
      <c r="I842" s="44"/>
      <c r="J842" s="44"/>
      <c r="K842" s="44"/>
      <c r="L842" s="46" t="str">
        <f>IFERROR(__xludf.DUMMYFUNCTION("IFERROR(IF(ISBLANK($C842), """", GOOGLEFINANCE($C842, ""price"")), """")"),"")</f>
        <v/>
      </c>
      <c r="M842" s="47" t="str">
        <f t="shared" si="3"/>
        <v/>
      </c>
      <c r="N842" s="47" t="str">
        <f>IFERROR(__xludf.DUMMYFUNCTION("IFERROR(IF(OR(ISBLANK($G842), IFERROR(INDEX(GOOGLEFINANCE($C842, ""price"", WORKDAY(INT($B842), 1)), 2, 2), """")=""""), """", IF($D842=""LONG"", (IFERROR(INDEX(GOOGLEFINANCE($C842, ""price"", WORKDAY(INT($B842), 1)), 2, 2), """")-$G842)/$G842, ($G842-IFE"&amp;"RROR(INDEX(GOOGLEFINANCE($C842, ""price"", WORKDAY(INT($B842), 1)), 2, 2), """"))/$G842)), """")"),"")</f>
        <v/>
      </c>
      <c r="O842" s="47" t="str">
        <f>IFERROR(__xludf.DUMMYFUNCTION("IFERROR(IF(OR(ISBLANK($G842), IFERROR(INDEX(GOOGLEFINANCE($C842, ""price"", WORKDAY(INT($B842), 5)), 2, 2), """")=""""), """", IF($D842=""LONG"", (IFERROR(INDEX(GOOGLEFINANCE($C842, ""price"", WORKDAY(INT($B842), 5)), 2, 2), """")-$G842)/$G842, ($G842-IFE"&amp;"RROR(INDEX(GOOGLEFINANCE($C842, ""price"", WORKDAY(INT($B842), 5)), 2, 2), """"))/$G842)), """")"),"")</f>
        <v/>
      </c>
      <c r="P842" s="47" t="str">
        <f>IFERROR(__xludf.DUMMYFUNCTION("IFERROR(IF(OR(ISBLANK($G842), IFERROR(INDEX(GOOGLEFINANCE($C842, ""price"", WORKDAY(INT($B842), 20)), 2, 2), """")=""""), """", IF($D842=""LONG"", (IFERROR(INDEX(GOOGLEFINANCE($C842, ""price"", WORKDAY(INT($B842), 20)), 2, 2), """")-$G842)/$G842, ($G842-I"&amp;"FERROR(INDEX(GOOGLEFINANCE($C842, ""price"", WORKDAY(INT($B842), 20)), 2, 2), """"))/$G842)), """")"),"")</f>
        <v/>
      </c>
      <c r="Q842" s="44"/>
      <c r="R842" s="44"/>
      <c r="S842" s="44"/>
      <c r="T842" s="44"/>
      <c r="U842" s="44"/>
      <c r="V842" s="44"/>
      <c r="W842" s="44"/>
      <c r="X842" s="44"/>
      <c r="Y842" s="44"/>
      <c r="Z842" s="44"/>
    </row>
    <row r="843">
      <c r="A843" s="44"/>
      <c r="B843" s="45"/>
      <c r="C843" s="44"/>
      <c r="D843" s="44"/>
      <c r="E843" s="44"/>
      <c r="F843" s="44"/>
      <c r="G843" s="46"/>
      <c r="H843" s="44"/>
      <c r="I843" s="44"/>
      <c r="J843" s="44"/>
      <c r="K843" s="44"/>
      <c r="L843" s="46" t="str">
        <f>IFERROR(__xludf.DUMMYFUNCTION("IFERROR(IF(ISBLANK($C843), """", GOOGLEFINANCE($C843, ""price"")), """")"),"")</f>
        <v/>
      </c>
      <c r="M843" s="47" t="str">
        <f t="shared" si="3"/>
        <v/>
      </c>
      <c r="N843" s="47" t="str">
        <f>IFERROR(__xludf.DUMMYFUNCTION("IFERROR(IF(OR(ISBLANK($G843), IFERROR(INDEX(GOOGLEFINANCE($C843, ""price"", WORKDAY(INT($B843), 1)), 2, 2), """")=""""), """", IF($D843=""LONG"", (IFERROR(INDEX(GOOGLEFINANCE($C843, ""price"", WORKDAY(INT($B843), 1)), 2, 2), """")-$G843)/$G843, ($G843-IFE"&amp;"RROR(INDEX(GOOGLEFINANCE($C843, ""price"", WORKDAY(INT($B843), 1)), 2, 2), """"))/$G843)), """")"),"")</f>
        <v/>
      </c>
      <c r="O843" s="47" t="str">
        <f>IFERROR(__xludf.DUMMYFUNCTION("IFERROR(IF(OR(ISBLANK($G843), IFERROR(INDEX(GOOGLEFINANCE($C843, ""price"", WORKDAY(INT($B843), 5)), 2, 2), """")=""""), """", IF($D843=""LONG"", (IFERROR(INDEX(GOOGLEFINANCE($C843, ""price"", WORKDAY(INT($B843), 5)), 2, 2), """")-$G843)/$G843, ($G843-IFE"&amp;"RROR(INDEX(GOOGLEFINANCE($C843, ""price"", WORKDAY(INT($B843), 5)), 2, 2), """"))/$G843)), """")"),"")</f>
        <v/>
      </c>
      <c r="P843" s="47" t="str">
        <f>IFERROR(__xludf.DUMMYFUNCTION("IFERROR(IF(OR(ISBLANK($G843), IFERROR(INDEX(GOOGLEFINANCE($C843, ""price"", WORKDAY(INT($B843), 20)), 2, 2), """")=""""), """", IF($D843=""LONG"", (IFERROR(INDEX(GOOGLEFINANCE($C843, ""price"", WORKDAY(INT($B843), 20)), 2, 2), """")-$G843)/$G843, ($G843-I"&amp;"FERROR(INDEX(GOOGLEFINANCE($C843, ""price"", WORKDAY(INT($B843), 20)), 2, 2), """"))/$G843)), """")"),"")</f>
        <v/>
      </c>
      <c r="Q843" s="44"/>
      <c r="R843" s="44"/>
      <c r="S843" s="44"/>
      <c r="T843" s="44"/>
      <c r="U843" s="44"/>
      <c r="V843" s="44"/>
      <c r="W843" s="44"/>
      <c r="X843" s="44"/>
      <c r="Y843" s="44"/>
      <c r="Z843" s="44"/>
    </row>
    <row r="844">
      <c r="A844" s="44"/>
      <c r="B844" s="45"/>
      <c r="C844" s="44"/>
      <c r="D844" s="44"/>
      <c r="E844" s="44"/>
      <c r="F844" s="44"/>
      <c r="G844" s="46"/>
      <c r="H844" s="44"/>
      <c r="I844" s="44"/>
      <c r="J844" s="44"/>
      <c r="K844" s="44"/>
      <c r="L844" s="46" t="str">
        <f>IFERROR(__xludf.DUMMYFUNCTION("IFERROR(IF(ISBLANK($C844), """", GOOGLEFINANCE($C844, ""price"")), """")"),"")</f>
        <v/>
      </c>
      <c r="M844" s="47" t="str">
        <f t="shared" si="3"/>
        <v/>
      </c>
      <c r="N844" s="47" t="str">
        <f>IFERROR(__xludf.DUMMYFUNCTION("IFERROR(IF(OR(ISBLANK($G844), IFERROR(INDEX(GOOGLEFINANCE($C844, ""price"", WORKDAY(INT($B844), 1)), 2, 2), """")=""""), """", IF($D844=""LONG"", (IFERROR(INDEX(GOOGLEFINANCE($C844, ""price"", WORKDAY(INT($B844), 1)), 2, 2), """")-$G844)/$G844, ($G844-IFE"&amp;"RROR(INDEX(GOOGLEFINANCE($C844, ""price"", WORKDAY(INT($B844), 1)), 2, 2), """"))/$G844)), """")"),"")</f>
        <v/>
      </c>
      <c r="O844" s="47" t="str">
        <f>IFERROR(__xludf.DUMMYFUNCTION("IFERROR(IF(OR(ISBLANK($G844), IFERROR(INDEX(GOOGLEFINANCE($C844, ""price"", WORKDAY(INT($B844), 5)), 2, 2), """")=""""), """", IF($D844=""LONG"", (IFERROR(INDEX(GOOGLEFINANCE($C844, ""price"", WORKDAY(INT($B844), 5)), 2, 2), """")-$G844)/$G844, ($G844-IFE"&amp;"RROR(INDEX(GOOGLEFINANCE($C844, ""price"", WORKDAY(INT($B844), 5)), 2, 2), """"))/$G844)), """")"),"")</f>
        <v/>
      </c>
      <c r="P844" s="47" t="str">
        <f>IFERROR(__xludf.DUMMYFUNCTION("IFERROR(IF(OR(ISBLANK($G844), IFERROR(INDEX(GOOGLEFINANCE($C844, ""price"", WORKDAY(INT($B844), 20)), 2, 2), """")=""""), """", IF($D844=""LONG"", (IFERROR(INDEX(GOOGLEFINANCE($C844, ""price"", WORKDAY(INT($B844), 20)), 2, 2), """")-$G844)/$G844, ($G844-I"&amp;"FERROR(INDEX(GOOGLEFINANCE($C844, ""price"", WORKDAY(INT($B844), 20)), 2, 2), """"))/$G844)), """")"),"")</f>
        <v/>
      </c>
      <c r="Q844" s="44"/>
      <c r="R844" s="44"/>
      <c r="S844" s="44"/>
      <c r="T844" s="44"/>
      <c r="U844" s="44"/>
      <c r="V844" s="44"/>
      <c r="W844" s="44"/>
      <c r="X844" s="44"/>
      <c r="Y844" s="44"/>
      <c r="Z844" s="44"/>
    </row>
    <row r="845">
      <c r="A845" s="44"/>
      <c r="B845" s="45"/>
      <c r="C845" s="44"/>
      <c r="D845" s="44"/>
      <c r="E845" s="44"/>
      <c r="F845" s="44"/>
      <c r="G845" s="46"/>
      <c r="H845" s="44"/>
      <c r="I845" s="44"/>
      <c r="J845" s="44"/>
      <c r="K845" s="44"/>
      <c r="L845" s="46" t="str">
        <f>IFERROR(__xludf.DUMMYFUNCTION("IFERROR(IF(ISBLANK($C845), """", GOOGLEFINANCE($C845, ""price"")), """")"),"")</f>
        <v/>
      </c>
      <c r="M845" s="47" t="str">
        <f t="shared" si="3"/>
        <v/>
      </c>
      <c r="N845" s="47" t="str">
        <f>IFERROR(__xludf.DUMMYFUNCTION("IFERROR(IF(OR(ISBLANK($G845), IFERROR(INDEX(GOOGLEFINANCE($C845, ""price"", WORKDAY(INT($B845), 1)), 2, 2), """")=""""), """", IF($D845=""LONG"", (IFERROR(INDEX(GOOGLEFINANCE($C845, ""price"", WORKDAY(INT($B845), 1)), 2, 2), """")-$G845)/$G845, ($G845-IFE"&amp;"RROR(INDEX(GOOGLEFINANCE($C845, ""price"", WORKDAY(INT($B845), 1)), 2, 2), """"))/$G845)), """")"),"")</f>
        <v/>
      </c>
      <c r="O845" s="47" t="str">
        <f>IFERROR(__xludf.DUMMYFUNCTION("IFERROR(IF(OR(ISBLANK($G845), IFERROR(INDEX(GOOGLEFINANCE($C845, ""price"", WORKDAY(INT($B845), 5)), 2, 2), """")=""""), """", IF($D845=""LONG"", (IFERROR(INDEX(GOOGLEFINANCE($C845, ""price"", WORKDAY(INT($B845), 5)), 2, 2), """")-$G845)/$G845, ($G845-IFE"&amp;"RROR(INDEX(GOOGLEFINANCE($C845, ""price"", WORKDAY(INT($B845), 5)), 2, 2), """"))/$G845)), """")"),"")</f>
        <v/>
      </c>
      <c r="P845" s="47" t="str">
        <f>IFERROR(__xludf.DUMMYFUNCTION("IFERROR(IF(OR(ISBLANK($G845), IFERROR(INDEX(GOOGLEFINANCE($C845, ""price"", WORKDAY(INT($B845), 20)), 2, 2), """")=""""), """", IF($D845=""LONG"", (IFERROR(INDEX(GOOGLEFINANCE($C845, ""price"", WORKDAY(INT($B845), 20)), 2, 2), """")-$G845)/$G845, ($G845-I"&amp;"FERROR(INDEX(GOOGLEFINANCE($C845, ""price"", WORKDAY(INT($B845), 20)), 2, 2), """"))/$G845)), """")"),"")</f>
        <v/>
      </c>
      <c r="Q845" s="44"/>
      <c r="R845" s="44"/>
      <c r="S845" s="44"/>
      <c r="T845" s="44"/>
      <c r="U845" s="44"/>
      <c r="V845" s="44"/>
      <c r="W845" s="44"/>
      <c r="X845" s="44"/>
      <c r="Y845" s="44"/>
      <c r="Z845" s="44"/>
    </row>
    <row r="846">
      <c r="A846" s="44"/>
      <c r="B846" s="45"/>
      <c r="C846" s="44"/>
      <c r="D846" s="44"/>
      <c r="E846" s="44"/>
      <c r="F846" s="44"/>
      <c r="G846" s="46"/>
      <c r="H846" s="44"/>
      <c r="I846" s="44"/>
      <c r="J846" s="44"/>
      <c r="K846" s="44"/>
      <c r="L846" s="46" t="str">
        <f>IFERROR(__xludf.DUMMYFUNCTION("IFERROR(IF(ISBLANK($C846), """", GOOGLEFINANCE($C846, ""price"")), """")"),"")</f>
        <v/>
      </c>
      <c r="M846" s="47" t="str">
        <f t="shared" si="3"/>
        <v/>
      </c>
      <c r="N846" s="47" t="str">
        <f>IFERROR(__xludf.DUMMYFUNCTION("IFERROR(IF(OR(ISBLANK($G846), IFERROR(INDEX(GOOGLEFINANCE($C846, ""price"", WORKDAY(INT($B846), 1)), 2, 2), """")=""""), """", IF($D846=""LONG"", (IFERROR(INDEX(GOOGLEFINANCE($C846, ""price"", WORKDAY(INT($B846), 1)), 2, 2), """")-$G846)/$G846, ($G846-IFE"&amp;"RROR(INDEX(GOOGLEFINANCE($C846, ""price"", WORKDAY(INT($B846), 1)), 2, 2), """"))/$G846)), """")"),"")</f>
        <v/>
      </c>
      <c r="O846" s="47" t="str">
        <f>IFERROR(__xludf.DUMMYFUNCTION("IFERROR(IF(OR(ISBLANK($G846), IFERROR(INDEX(GOOGLEFINANCE($C846, ""price"", WORKDAY(INT($B846), 5)), 2, 2), """")=""""), """", IF($D846=""LONG"", (IFERROR(INDEX(GOOGLEFINANCE($C846, ""price"", WORKDAY(INT($B846), 5)), 2, 2), """")-$G846)/$G846, ($G846-IFE"&amp;"RROR(INDEX(GOOGLEFINANCE($C846, ""price"", WORKDAY(INT($B846), 5)), 2, 2), """"))/$G846)), """")"),"")</f>
        <v/>
      </c>
      <c r="P846" s="47" t="str">
        <f>IFERROR(__xludf.DUMMYFUNCTION("IFERROR(IF(OR(ISBLANK($G846), IFERROR(INDEX(GOOGLEFINANCE($C846, ""price"", WORKDAY(INT($B846), 20)), 2, 2), """")=""""), """", IF($D846=""LONG"", (IFERROR(INDEX(GOOGLEFINANCE($C846, ""price"", WORKDAY(INT($B846), 20)), 2, 2), """")-$G846)/$G846, ($G846-I"&amp;"FERROR(INDEX(GOOGLEFINANCE($C846, ""price"", WORKDAY(INT($B846), 20)), 2, 2), """"))/$G846)), """")"),"")</f>
        <v/>
      </c>
      <c r="Q846" s="44"/>
      <c r="R846" s="44"/>
      <c r="S846" s="44"/>
      <c r="T846" s="44"/>
      <c r="U846" s="44"/>
      <c r="V846" s="44"/>
      <c r="W846" s="44"/>
      <c r="X846" s="44"/>
      <c r="Y846" s="44"/>
      <c r="Z846" s="44"/>
    </row>
    <row r="847">
      <c r="A847" s="44"/>
      <c r="B847" s="45"/>
      <c r="C847" s="44"/>
      <c r="D847" s="44"/>
      <c r="E847" s="44"/>
      <c r="F847" s="44"/>
      <c r="G847" s="46"/>
      <c r="H847" s="44"/>
      <c r="I847" s="44"/>
      <c r="J847" s="44"/>
      <c r="K847" s="44"/>
      <c r="L847" s="46" t="str">
        <f>IFERROR(__xludf.DUMMYFUNCTION("IFERROR(IF(ISBLANK($C847), """", GOOGLEFINANCE($C847, ""price"")), """")"),"")</f>
        <v/>
      </c>
      <c r="M847" s="47" t="str">
        <f t="shared" si="3"/>
        <v/>
      </c>
      <c r="N847" s="47" t="str">
        <f>IFERROR(__xludf.DUMMYFUNCTION("IFERROR(IF(OR(ISBLANK($G847), IFERROR(INDEX(GOOGLEFINANCE($C847, ""price"", WORKDAY(INT($B847), 1)), 2, 2), """")=""""), """", IF($D847=""LONG"", (IFERROR(INDEX(GOOGLEFINANCE($C847, ""price"", WORKDAY(INT($B847), 1)), 2, 2), """")-$G847)/$G847, ($G847-IFE"&amp;"RROR(INDEX(GOOGLEFINANCE($C847, ""price"", WORKDAY(INT($B847), 1)), 2, 2), """"))/$G847)), """")"),"")</f>
        <v/>
      </c>
      <c r="O847" s="47" t="str">
        <f>IFERROR(__xludf.DUMMYFUNCTION("IFERROR(IF(OR(ISBLANK($G847), IFERROR(INDEX(GOOGLEFINANCE($C847, ""price"", WORKDAY(INT($B847), 5)), 2, 2), """")=""""), """", IF($D847=""LONG"", (IFERROR(INDEX(GOOGLEFINANCE($C847, ""price"", WORKDAY(INT($B847), 5)), 2, 2), """")-$G847)/$G847, ($G847-IFE"&amp;"RROR(INDEX(GOOGLEFINANCE($C847, ""price"", WORKDAY(INT($B847), 5)), 2, 2), """"))/$G847)), """")"),"")</f>
        <v/>
      </c>
      <c r="P847" s="47" t="str">
        <f>IFERROR(__xludf.DUMMYFUNCTION("IFERROR(IF(OR(ISBLANK($G847), IFERROR(INDEX(GOOGLEFINANCE($C847, ""price"", WORKDAY(INT($B847), 20)), 2, 2), """")=""""), """", IF($D847=""LONG"", (IFERROR(INDEX(GOOGLEFINANCE($C847, ""price"", WORKDAY(INT($B847), 20)), 2, 2), """")-$G847)/$G847, ($G847-I"&amp;"FERROR(INDEX(GOOGLEFINANCE($C847, ""price"", WORKDAY(INT($B847), 20)), 2, 2), """"))/$G847)), """")"),"")</f>
        <v/>
      </c>
      <c r="Q847" s="44"/>
      <c r="R847" s="44"/>
      <c r="S847" s="44"/>
      <c r="T847" s="44"/>
      <c r="U847" s="44"/>
      <c r="V847" s="44"/>
      <c r="W847" s="44"/>
      <c r="X847" s="44"/>
      <c r="Y847" s="44"/>
      <c r="Z847" s="44"/>
    </row>
    <row r="848">
      <c r="A848" s="44"/>
      <c r="B848" s="45"/>
      <c r="C848" s="44"/>
      <c r="D848" s="44"/>
      <c r="E848" s="44"/>
      <c r="F848" s="44"/>
      <c r="G848" s="46"/>
      <c r="H848" s="44"/>
      <c r="I848" s="44"/>
      <c r="J848" s="44"/>
      <c r="K848" s="44"/>
      <c r="L848" s="46" t="str">
        <f>IFERROR(__xludf.DUMMYFUNCTION("IFERROR(IF(ISBLANK($C848), """", GOOGLEFINANCE($C848, ""price"")), """")"),"")</f>
        <v/>
      </c>
      <c r="M848" s="47" t="str">
        <f t="shared" si="3"/>
        <v/>
      </c>
      <c r="N848" s="47" t="str">
        <f>IFERROR(__xludf.DUMMYFUNCTION("IFERROR(IF(OR(ISBLANK($G848), IFERROR(INDEX(GOOGLEFINANCE($C848, ""price"", WORKDAY(INT($B848), 1)), 2, 2), """")=""""), """", IF($D848=""LONG"", (IFERROR(INDEX(GOOGLEFINANCE($C848, ""price"", WORKDAY(INT($B848), 1)), 2, 2), """")-$G848)/$G848, ($G848-IFE"&amp;"RROR(INDEX(GOOGLEFINANCE($C848, ""price"", WORKDAY(INT($B848), 1)), 2, 2), """"))/$G848)), """")"),"")</f>
        <v/>
      </c>
      <c r="O848" s="47" t="str">
        <f>IFERROR(__xludf.DUMMYFUNCTION("IFERROR(IF(OR(ISBLANK($G848), IFERROR(INDEX(GOOGLEFINANCE($C848, ""price"", WORKDAY(INT($B848), 5)), 2, 2), """")=""""), """", IF($D848=""LONG"", (IFERROR(INDEX(GOOGLEFINANCE($C848, ""price"", WORKDAY(INT($B848), 5)), 2, 2), """")-$G848)/$G848, ($G848-IFE"&amp;"RROR(INDEX(GOOGLEFINANCE($C848, ""price"", WORKDAY(INT($B848), 5)), 2, 2), """"))/$G848)), """")"),"")</f>
        <v/>
      </c>
      <c r="P848" s="47" t="str">
        <f>IFERROR(__xludf.DUMMYFUNCTION("IFERROR(IF(OR(ISBLANK($G848), IFERROR(INDEX(GOOGLEFINANCE($C848, ""price"", WORKDAY(INT($B848), 20)), 2, 2), """")=""""), """", IF($D848=""LONG"", (IFERROR(INDEX(GOOGLEFINANCE($C848, ""price"", WORKDAY(INT($B848), 20)), 2, 2), """")-$G848)/$G848, ($G848-I"&amp;"FERROR(INDEX(GOOGLEFINANCE($C848, ""price"", WORKDAY(INT($B848), 20)), 2, 2), """"))/$G848)), """")"),"")</f>
        <v/>
      </c>
      <c r="Q848" s="44"/>
      <c r="R848" s="44"/>
      <c r="S848" s="44"/>
      <c r="T848" s="44"/>
      <c r="U848" s="44"/>
      <c r="V848" s="44"/>
      <c r="W848" s="44"/>
      <c r="X848" s="44"/>
      <c r="Y848" s="44"/>
      <c r="Z848" s="44"/>
    </row>
    <row r="849">
      <c r="A849" s="44"/>
      <c r="B849" s="45"/>
      <c r="C849" s="44"/>
      <c r="D849" s="44"/>
      <c r="E849" s="44"/>
      <c r="F849" s="44"/>
      <c r="G849" s="46"/>
      <c r="H849" s="44"/>
      <c r="I849" s="44"/>
      <c r="J849" s="44"/>
      <c r="K849" s="44"/>
      <c r="L849" s="46" t="str">
        <f>IFERROR(__xludf.DUMMYFUNCTION("IFERROR(IF(ISBLANK($C849), """", GOOGLEFINANCE($C849, ""price"")), """")"),"")</f>
        <v/>
      </c>
      <c r="M849" s="47" t="str">
        <f t="shared" si="3"/>
        <v/>
      </c>
      <c r="N849" s="47" t="str">
        <f>IFERROR(__xludf.DUMMYFUNCTION("IFERROR(IF(OR(ISBLANK($G849), IFERROR(INDEX(GOOGLEFINANCE($C849, ""price"", WORKDAY(INT($B849), 1)), 2, 2), """")=""""), """", IF($D849=""LONG"", (IFERROR(INDEX(GOOGLEFINANCE($C849, ""price"", WORKDAY(INT($B849), 1)), 2, 2), """")-$G849)/$G849, ($G849-IFE"&amp;"RROR(INDEX(GOOGLEFINANCE($C849, ""price"", WORKDAY(INT($B849), 1)), 2, 2), """"))/$G849)), """")"),"")</f>
        <v/>
      </c>
      <c r="O849" s="47" t="str">
        <f>IFERROR(__xludf.DUMMYFUNCTION("IFERROR(IF(OR(ISBLANK($G849), IFERROR(INDEX(GOOGLEFINANCE($C849, ""price"", WORKDAY(INT($B849), 5)), 2, 2), """")=""""), """", IF($D849=""LONG"", (IFERROR(INDEX(GOOGLEFINANCE($C849, ""price"", WORKDAY(INT($B849), 5)), 2, 2), """")-$G849)/$G849, ($G849-IFE"&amp;"RROR(INDEX(GOOGLEFINANCE($C849, ""price"", WORKDAY(INT($B849), 5)), 2, 2), """"))/$G849)), """")"),"")</f>
        <v/>
      </c>
      <c r="P849" s="47" t="str">
        <f>IFERROR(__xludf.DUMMYFUNCTION("IFERROR(IF(OR(ISBLANK($G849), IFERROR(INDEX(GOOGLEFINANCE($C849, ""price"", WORKDAY(INT($B849), 20)), 2, 2), """")=""""), """", IF($D849=""LONG"", (IFERROR(INDEX(GOOGLEFINANCE($C849, ""price"", WORKDAY(INT($B849), 20)), 2, 2), """")-$G849)/$G849, ($G849-I"&amp;"FERROR(INDEX(GOOGLEFINANCE($C849, ""price"", WORKDAY(INT($B849), 20)), 2, 2), """"))/$G849)), """")"),"")</f>
        <v/>
      </c>
      <c r="Q849" s="44"/>
      <c r="R849" s="44"/>
      <c r="S849" s="44"/>
      <c r="T849" s="44"/>
      <c r="U849" s="44"/>
      <c r="V849" s="44"/>
      <c r="W849" s="44"/>
      <c r="X849" s="44"/>
      <c r="Y849" s="44"/>
      <c r="Z849" s="44"/>
    </row>
    <row r="850">
      <c r="A850" s="44"/>
      <c r="B850" s="45"/>
      <c r="C850" s="44"/>
      <c r="D850" s="44"/>
      <c r="E850" s="44"/>
      <c r="F850" s="44"/>
      <c r="G850" s="46"/>
      <c r="H850" s="44"/>
      <c r="I850" s="44"/>
      <c r="J850" s="44"/>
      <c r="K850" s="44"/>
      <c r="L850" s="46" t="str">
        <f>IFERROR(__xludf.DUMMYFUNCTION("IFERROR(IF(ISBLANK($C850), """", GOOGLEFINANCE($C850, ""price"")), """")"),"")</f>
        <v/>
      </c>
      <c r="M850" s="47" t="str">
        <f t="shared" si="3"/>
        <v/>
      </c>
      <c r="N850" s="47" t="str">
        <f>IFERROR(__xludf.DUMMYFUNCTION("IFERROR(IF(OR(ISBLANK($G850), IFERROR(INDEX(GOOGLEFINANCE($C850, ""price"", WORKDAY(INT($B850), 1)), 2, 2), """")=""""), """", IF($D850=""LONG"", (IFERROR(INDEX(GOOGLEFINANCE($C850, ""price"", WORKDAY(INT($B850), 1)), 2, 2), """")-$G850)/$G850, ($G850-IFE"&amp;"RROR(INDEX(GOOGLEFINANCE($C850, ""price"", WORKDAY(INT($B850), 1)), 2, 2), """"))/$G850)), """")"),"")</f>
        <v/>
      </c>
      <c r="O850" s="47" t="str">
        <f>IFERROR(__xludf.DUMMYFUNCTION("IFERROR(IF(OR(ISBLANK($G850), IFERROR(INDEX(GOOGLEFINANCE($C850, ""price"", WORKDAY(INT($B850), 5)), 2, 2), """")=""""), """", IF($D850=""LONG"", (IFERROR(INDEX(GOOGLEFINANCE($C850, ""price"", WORKDAY(INT($B850), 5)), 2, 2), """")-$G850)/$G850, ($G850-IFE"&amp;"RROR(INDEX(GOOGLEFINANCE($C850, ""price"", WORKDAY(INT($B850), 5)), 2, 2), """"))/$G850)), """")"),"")</f>
        <v/>
      </c>
      <c r="P850" s="47" t="str">
        <f>IFERROR(__xludf.DUMMYFUNCTION("IFERROR(IF(OR(ISBLANK($G850), IFERROR(INDEX(GOOGLEFINANCE($C850, ""price"", WORKDAY(INT($B850), 20)), 2, 2), """")=""""), """", IF($D850=""LONG"", (IFERROR(INDEX(GOOGLEFINANCE($C850, ""price"", WORKDAY(INT($B850), 20)), 2, 2), """")-$G850)/$G850, ($G850-I"&amp;"FERROR(INDEX(GOOGLEFINANCE($C850, ""price"", WORKDAY(INT($B850), 20)), 2, 2), """"))/$G850)), """")"),"")</f>
        <v/>
      </c>
      <c r="Q850" s="44"/>
      <c r="R850" s="44"/>
      <c r="S850" s="44"/>
      <c r="T850" s="44"/>
      <c r="U850" s="44"/>
      <c r="V850" s="44"/>
      <c r="W850" s="44"/>
      <c r="X850" s="44"/>
      <c r="Y850" s="44"/>
      <c r="Z850" s="44"/>
    </row>
    <row r="851">
      <c r="A851" s="44"/>
      <c r="B851" s="45"/>
      <c r="C851" s="44"/>
      <c r="D851" s="44"/>
      <c r="E851" s="44"/>
      <c r="F851" s="44"/>
      <c r="G851" s="46"/>
      <c r="H851" s="44"/>
      <c r="I851" s="44"/>
      <c r="J851" s="44"/>
      <c r="K851" s="44"/>
      <c r="L851" s="46" t="str">
        <f>IFERROR(__xludf.DUMMYFUNCTION("IFERROR(IF(ISBLANK($C851), """", GOOGLEFINANCE($C851, ""price"")), """")"),"")</f>
        <v/>
      </c>
      <c r="M851" s="47" t="str">
        <f t="shared" si="3"/>
        <v/>
      </c>
      <c r="N851" s="47" t="str">
        <f>IFERROR(__xludf.DUMMYFUNCTION("IFERROR(IF(OR(ISBLANK($G851), IFERROR(INDEX(GOOGLEFINANCE($C851, ""price"", WORKDAY(INT($B851), 1)), 2, 2), """")=""""), """", IF($D851=""LONG"", (IFERROR(INDEX(GOOGLEFINANCE($C851, ""price"", WORKDAY(INT($B851), 1)), 2, 2), """")-$G851)/$G851, ($G851-IFE"&amp;"RROR(INDEX(GOOGLEFINANCE($C851, ""price"", WORKDAY(INT($B851), 1)), 2, 2), """"))/$G851)), """")"),"")</f>
        <v/>
      </c>
      <c r="O851" s="47" t="str">
        <f>IFERROR(__xludf.DUMMYFUNCTION("IFERROR(IF(OR(ISBLANK($G851), IFERROR(INDEX(GOOGLEFINANCE($C851, ""price"", WORKDAY(INT($B851), 5)), 2, 2), """")=""""), """", IF($D851=""LONG"", (IFERROR(INDEX(GOOGLEFINANCE($C851, ""price"", WORKDAY(INT($B851), 5)), 2, 2), """")-$G851)/$G851, ($G851-IFE"&amp;"RROR(INDEX(GOOGLEFINANCE($C851, ""price"", WORKDAY(INT($B851), 5)), 2, 2), """"))/$G851)), """")"),"")</f>
        <v/>
      </c>
      <c r="P851" s="47" t="str">
        <f>IFERROR(__xludf.DUMMYFUNCTION("IFERROR(IF(OR(ISBLANK($G851), IFERROR(INDEX(GOOGLEFINANCE($C851, ""price"", WORKDAY(INT($B851), 20)), 2, 2), """")=""""), """", IF($D851=""LONG"", (IFERROR(INDEX(GOOGLEFINANCE($C851, ""price"", WORKDAY(INT($B851), 20)), 2, 2), """")-$G851)/$G851, ($G851-I"&amp;"FERROR(INDEX(GOOGLEFINANCE($C851, ""price"", WORKDAY(INT($B851), 20)), 2, 2), """"))/$G851)), """")"),"")</f>
        <v/>
      </c>
      <c r="Q851" s="44"/>
      <c r="R851" s="44"/>
      <c r="S851" s="44"/>
      <c r="T851" s="44"/>
      <c r="U851" s="44"/>
      <c r="V851" s="44"/>
      <c r="W851" s="44"/>
      <c r="X851" s="44"/>
      <c r="Y851" s="44"/>
      <c r="Z851" s="44"/>
    </row>
    <row r="852">
      <c r="A852" s="44"/>
      <c r="B852" s="45"/>
      <c r="C852" s="44"/>
      <c r="D852" s="44"/>
      <c r="E852" s="44"/>
      <c r="F852" s="44"/>
      <c r="G852" s="46"/>
      <c r="H852" s="44"/>
      <c r="I852" s="44"/>
      <c r="J852" s="44"/>
      <c r="K852" s="44"/>
      <c r="L852" s="46" t="str">
        <f>IFERROR(__xludf.DUMMYFUNCTION("IFERROR(IF(ISBLANK($C852), """", GOOGLEFINANCE($C852, ""price"")), """")"),"")</f>
        <v/>
      </c>
      <c r="M852" s="47" t="str">
        <f t="shared" si="3"/>
        <v/>
      </c>
      <c r="N852" s="47" t="str">
        <f>IFERROR(__xludf.DUMMYFUNCTION("IFERROR(IF(OR(ISBLANK($G852), IFERROR(INDEX(GOOGLEFINANCE($C852, ""price"", WORKDAY(INT($B852), 1)), 2, 2), """")=""""), """", IF($D852=""LONG"", (IFERROR(INDEX(GOOGLEFINANCE($C852, ""price"", WORKDAY(INT($B852), 1)), 2, 2), """")-$G852)/$G852, ($G852-IFE"&amp;"RROR(INDEX(GOOGLEFINANCE($C852, ""price"", WORKDAY(INT($B852), 1)), 2, 2), """"))/$G852)), """")"),"")</f>
        <v/>
      </c>
      <c r="O852" s="47" t="str">
        <f>IFERROR(__xludf.DUMMYFUNCTION("IFERROR(IF(OR(ISBLANK($G852), IFERROR(INDEX(GOOGLEFINANCE($C852, ""price"", WORKDAY(INT($B852), 5)), 2, 2), """")=""""), """", IF($D852=""LONG"", (IFERROR(INDEX(GOOGLEFINANCE($C852, ""price"", WORKDAY(INT($B852), 5)), 2, 2), """")-$G852)/$G852, ($G852-IFE"&amp;"RROR(INDEX(GOOGLEFINANCE($C852, ""price"", WORKDAY(INT($B852), 5)), 2, 2), """"))/$G852)), """")"),"")</f>
        <v/>
      </c>
      <c r="P852" s="47" t="str">
        <f>IFERROR(__xludf.DUMMYFUNCTION("IFERROR(IF(OR(ISBLANK($G852), IFERROR(INDEX(GOOGLEFINANCE($C852, ""price"", WORKDAY(INT($B852), 20)), 2, 2), """")=""""), """", IF($D852=""LONG"", (IFERROR(INDEX(GOOGLEFINANCE($C852, ""price"", WORKDAY(INT($B852), 20)), 2, 2), """")-$G852)/$G852, ($G852-I"&amp;"FERROR(INDEX(GOOGLEFINANCE($C852, ""price"", WORKDAY(INT($B852), 20)), 2, 2), """"))/$G852)), """")"),"")</f>
        <v/>
      </c>
      <c r="Q852" s="44"/>
      <c r="R852" s="44"/>
      <c r="S852" s="44"/>
      <c r="T852" s="44"/>
      <c r="U852" s="44"/>
      <c r="V852" s="44"/>
      <c r="W852" s="44"/>
      <c r="X852" s="44"/>
      <c r="Y852" s="44"/>
      <c r="Z852" s="44"/>
    </row>
    <row r="853">
      <c r="A853" s="44"/>
      <c r="B853" s="45"/>
      <c r="C853" s="44"/>
      <c r="D853" s="44"/>
      <c r="E853" s="44"/>
      <c r="F853" s="44"/>
      <c r="G853" s="46"/>
      <c r="H853" s="44"/>
      <c r="I853" s="44"/>
      <c r="J853" s="44"/>
      <c r="K853" s="44"/>
      <c r="L853" s="46" t="str">
        <f>IFERROR(__xludf.DUMMYFUNCTION("IFERROR(IF(ISBLANK($C853), """", GOOGLEFINANCE($C853, ""price"")), """")"),"")</f>
        <v/>
      </c>
      <c r="M853" s="47" t="str">
        <f t="shared" si="3"/>
        <v/>
      </c>
      <c r="N853" s="47" t="str">
        <f>IFERROR(__xludf.DUMMYFUNCTION("IFERROR(IF(OR(ISBLANK($G853), IFERROR(INDEX(GOOGLEFINANCE($C853, ""price"", WORKDAY(INT($B853), 1)), 2, 2), """")=""""), """", IF($D853=""LONG"", (IFERROR(INDEX(GOOGLEFINANCE($C853, ""price"", WORKDAY(INT($B853), 1)), 2, 2), """")-$G853)/$G853, ($G853-IFE"&amp;"RROR(INDEX(GOOGLEFINANCE($C853, ""price"", WORKDAY(INT($B853), 1)), 2, 2), """"))/$G853)), """")"),"")</f>
        <v/>
      </c>
      <c r="O853" s="47" t="str">
        <f>IFERROR(__xludf.DUMMYFUNCTION("IFERROR(IF(OR(ISBLANK($G853), IFERROR(INDEX(GOOGLEFINANCE($C853, ""price"", WORKDAY(INT($B853), 5)), 2, 2), """")=""""), """", IF($D853=""LONG"", (IFERROR(INDEX(GOOGLEFINANCE($C853, ""price"", WORKDAY(INT($B853), 5)), 2, 2), """")-$G853)/$G853, ($G853-IFE"&amp;"RROR(INDEX(GOOGLEFINANCE($C853, ""price"", WORKDAY(INT($B853), 5)), 2, 2), """"))/$G853)), """")"),"")</f>
        <v/>
      </c>
      <c r="P853" s="47" t="str">
        <f>IFERROR(__xludf.DUMMYFUNCTION("IFERROR(IF(OR(ISBLANK($G853), IFERROR(INDEX(GOOGLEFINANCE($C853, ""price"", WORKDAY(INT($B853), 20)), 2, 2), """")=""""), """", IF($D853=""LONG"", (IFERROR(INDEX(GOOGLEFINANCE($C853, ""price"", WORKDAY(INT($B853), 20)), 2, 2), """")-$G853)/$G853, ($G853-I"&amp;"FERROR(INDEX(GOOGLEFINANCE($C853, ""price"", WORKDAY(INT($B853), 20)), 2, 2), """"))/$G853)), """")"),"")</f>
        <v/>
      </c>
      <c r="Q853" s="44"/>
      <c r="R853" s="44"/>
      <c r="S853" s="44"/>
      <c r="T853" s="44"/>
      <c r="U853" s="44"/>
      <c r="V853" s="44"/>
      <c r="W853" s="44"/>
      <c r="X853" s="44"/>
      <c r="Y853" s="44"/>
      <c r="Z853" s="44"/>
    </row>
    <row r="854">
      <c r="A854" s="44"/>
      <c r="B854" s="45"/>
      <c r="C854" s="44"/>
      <c r="D854" s="44"/>
      <c r="E854" s="44"/>
      <c r="F854" s="44"/>
      <c r="G854" s="46"/>
      <c r="H854" s="44"/>
      <c r="I854" s="44"/>
      <c r="J854" s="44"/>
      <c r="K854" s="44"/>
      <c r="L854" s="46" t="str">
        <f>IFERROR(__xludf.DUMMYFUNCTION("IFERROR(IF(ISBLANK($C854), """", GOOGLEFINANCE($C854, ""price"")), """")"),"")</f>
        <v/>
      </c>
      <c r="M854" s="47" t="str">
        <f t="shared" si="3"/>
        <v/>
      </c>
      <c r="N854" s="47" t="str">
        <f>IFERROR(__xludf.DUMMYFUNCTION("IFERROR(IF(OR(ISBLANK($G854), IFERROR(INDEX(GOOGLEFINANCE($C854, ""price"", WORKDAY(INT($B854), 1)), 2, 2), """")=""""), """", IF($D854=""LONG"", (IFERROR(INDEX(GOOGLEFINANCE($C854, ""price"", WORKDAY(INT($B854), 1)), 2, 2), """")-$G854)/$G854, ($G854-IFE"&amp;"RROR(INDEX(GOOGLEFINANCE($C854, ""price"", WORKDAY(INT($B854), 1)), 2, 2), """"))/$G854)), """")"),"")</f>
        <v/>
      </c>
      <c r="O854" s="47" t="str">
        <f>IFERROR(__xludf.DUMMYFUNCTION("IFERROR(IF(OR(ISBLANK($G854), IFERROR(INDEX(GOOGLEFINANCE($C854, ""price"", WORKDAY(INT($B854), 5)), 2, 2), """")=""""), """", IF($D854=""LONG"", (IFERROR(INDEX(GOOGLEFINANCE($C854, ""price"", WORKDAY(INT($B854), 5)), 2, 2), """")-$G854)/$G854, ($G854-IFE"&amp;"RROR(INDEX(GOOGLEFINANCE($C854, ""price"", WORKDAY(INT($B854), 5)), 2, 2), """"))/$G854)), """")"),"")</f>
        <v/>
      </c>
      <c r="P854" s="47" t="str">
        <f>IFERROR(__xludf.DUMMYFUNCTION("IFERROR(IF(OR(ISBLANK($G854), IFERROR(INDEX(GOOGLEFINANCE($C854, ""price"", WORKDAY(INT($B854), 20)), 2, 2), """")=""""), """", IF($D854=""LONG"", (IFERROR(INDEX(GOOGLEFINANCE($C854, ""price"", WORKDAY(INT($B854), 20)), 2, 2), """")-$G854)/$G854, ($G854-I"&amp;"FERROR(INDEX(GOOGLEFINANCE($C854, ""price"", WORKDAY(INT($B854), 20)), 2, 2), """"))/$G854)), """")"),"")</f>
        <v/>
      </c>
      <c r="Q854" s="44"/>
      <c r="R854" s="44"/>
      <c r="S854" s="44"/>
      <c r="T854" s="44"/>
      <c r="U854" s="44"/>
      <c r="V854" s="44"/>
      <c r="W854" s="44"/>
      <c r="X854" s="44"/>
      <c r="Y854" s="44"/>
      <c r="Z854" s="44"/>
    </row>
    <row r="855">
      <c r="A855" s="44"/>
      <c r="B855" s="45"/>
      <c r="C855" s="44"/>
      <c r="D855" s="44"/>
      <c r="E855" s="44"/>
      <c r="F855" s="44"/>
      <c r="G855" s="46"/>
      <c r="H855" s="44"/>
      <c r="I855" s="44"/>
      <c r="J855" s="44"/>
      <c r="K855" s="44"/>
      <c r="L855" s="46" t="str">
        <f>IFERROR(__xludf.DUMMYFUNCTION("IFERROR(IF(ISBLANK($C855), """", GOOGLEFINANCE($C855, ""price"")), """")"),"")</f>
        <v/>
      </c>
      <c r="M855" s="47" t="str">
        <f t="shared" si="3"/>
        <v/>
      </c>
      <c r="N855" s="47" t="str">
        <f>IFERROR(__xludf.DUMMYFUNCTION("IFERROR(IF(OR(ISBLANK($G855), IFERROR(INDEX(GOOGLEFINANCE($C855, ""price"", WORKDAY(INT($B855), 1)), 2, 2), """")=""""), """", IF($D855=""LONG"", (IFERROR(INDEX(GOOGLEFINANCE($C855, ""price"", WORKDAY(INT($B855), 1)), 2, 2), """")-$G855)/$G855, ($G855-IFE"&amp;"RROR(INDEX(GOOGLEFINANCE($C855, ""price"", WORKDAY(INT($B855), 1)), 2, 2), """"))/$G855)), """")"),"")</f>
        <v/>
      </c>
      <c r="O855" s="47" t="str">
        <f>IFERROR(__xludf.DUMMYFUNCTION("IFERROR(IF(OR(ISBLANK($G855), IFERROR(INDEX(GOOGLEFINANCE($C855, ""price"", WORKDAY(INT($B855), 5)), 2, 2), """")=""""), """", IF($D855=""LONG"", (IFERROR(INDEX(GOOGLEFINANCE($C855, ""price"", WORKDAY(INT($B855), 5)), 2, 2), """")-$G855)/$G855, ($G855-IFE"&amp;"RROR(INDEX(GOOGLEFINANCE($C855, ""price"", WORKDAY(INT($B855), 5)), 2, 2), """"))/$G855)), """")"),"")</f>
        <v/>
      </c>
      <c r="P855" s="47" t="str">
        <f>IFERROR(__xludf.DUMMYFUNCTION("IFERROR(IF(OR(ISBLANK($G855), IFERROR(INDEX(GOOGLEFINANCE($C855, ""price"", WORKDAY(INT($B855), 20)), 2, 2), """")=""""), """", IF($D855=""LONG"", (IFERROR(INDEX(GOOGLEFINANCE($C855, ""price"", WORKDAY(INT($B855), 20)), 2, 2), """")-$G855)/$G855, ($G855-I"&amp;"FERROR(INDEX(GOOGLEFINANCE($C855, ""price"", WORKDAY(INT($B855), 20)), 2, 2), """"))/$G855)), """")"),"")</f>
        <v/>
      </c>
      <c r="Q855" s="44"/>
      <c r="R855" s="44"/>
      <c r="S855" s="44"/>
      <c r="T855" s="44"/>
      <c r="U855" s="44"/>
      <c r="V855" s="44"/>
      <c r="W855" s="44"/>
      <c r="X855" s="44"/>
      <c r="Y855" s="44"/>
      <c r="Z855" s="44"/>
    </row>
    <row r="856">
      <c r="A856" s="44"/>
      <c r="B856" s="45"/>
      <c r="C856" s="44"/>
      <c r="D856" s="44"/>
      <c r="E856" s="44"/>
      <c r="F856" s="44"/>
      <c r="G856" s="46"/>
      <c r="H856" s="44"/>
      <c r="I856" s="44"/>
      <c r="J856" s="44"/>
      <c r="K856" s="44"/>
      <c r="L856" s="46" t="str">
        <f>IFERROR(__xludf.DUMMYFUNCTION("IFERROR(IF(ISBLANK($C856), """", GOOGLEFINANCE($C856, ""price"")), """")"),"")</f>
        <v/>
      </c>
      <c r="M856" s="47" t="str">
        <f t="shared" si="3"/>
        <v/>
      </c>
      <c r="N856" s="47" t="str">
        <f>IFERROR(__xludf.DUMMYFUNCTION("IFERROR(IF(OR(ISBLANK($G856), IFERROR(INDEX(GOOGLEFINANCE($C856, ""price"", WORKDAY(INT($B856), 1)), 2, 2), """")=""""), """", IF($D856=""LONG"", (IFERROR(INDEX(GOOGLEFINANCE($C856, ""price"", WORKDAY(INT($B856), 1)), 2, 2), """")-$G856)/$G856, ($G856-IFE"&amp;"RROR(INDEX(GOOGLEFINANCE($C856, ""price"", WORKDAY(INT($B856), 1)), 2, 2), """"))/$G856)), """")"),"")</f>
        <v/>
      </c>
      <c r="O856" s="47" t="str">
        <f>IFERROR(__xludf.DUMMYFUNCTION("IFERROR(IF(OR(ISBLANK($G856), IFERROR(INDEX(GOOGLEFINANCE($C856, ""price"", WORKDAY(INT($B856), 5)), 2, 2), """")=""""), """", IF($D856=""LONG"", (IFERROR(INDEX(GOOGLEFINANCE($C856, ""price"", WORKDAY(INT($B856), 5)), 2, 2), """")-$G856)/$G856, ($G856-IFE"&amp;"RROR(INDEX(GOOGLEFINANCE($C856, ""price"", WORKDAY(INT($B856), 5)), 2, 2), """"))/$G856)), """")"),"")</f>
        <v/>
      </c>
      <c r="P856" s="47" t="str">
        <f>IFERROR(__xludf.DUMMYFUNCTION("IFERROR(IF(OR(ISBLANK($G856), IFERROR(INDEX(GOOGLEFINANCE($C856, ""price"", WORKDAY(INT($B856), 20)), 2, 2), """")=""""), """", IF($D856=""LONG"", (IFERROR(INDEX(GOOGLEFINANCE($C856, ""price"", WORKDAY(INT($B856), 20)), 2, 2), """")-$G856)/$G856, ($G856-I"&amp;"FERROR(INDEX(GOOGLEFINANCE($C856, ""price"", WORKDAY(INT($B856), 20)), 2, 2), """"))/$G856)), """")"),"")</f>
        <v/>
      </c>
      <c r="Q856" s="44"/>
      <c r="R856" s="44"/>
      <c r="S856" s="44"/>
      <c r="T856" s="44"/>
      <c r="U856" s="44"/>
      <c r="V856" s="44"/>
      <c r="W856" s="44"/>
      <c r="X856" s="44"/>
      <c r="Y856" s="44"/>
      <c r="Z856" s="44"/>
    </row>
    <row r="857">
      <c r="A857" s="44"/>
      <c r="B857" s="45"/>
      <c r="C857" s="44"/>
      <c r="D857" s="44"/>
      <c r="E857" s="44"/>
      <c r="F857" s="44"/>
      <c r="G857" s="46"/>
      <c r="H857" s="44"/>
      <c r="I857" s="44"/>
      <c r="J857" s="44"/>
      <c r="K857" s="44"/>
      <c r="L857" s="46" t="str">
        <f>IFERROR(__xludf.DUMMYFUNCTION("IFERROR(IF(ISBLANK($C857), """", GOOGLEFINANCE($C857, ""price"")), """")"),"")</f>
        <v/>
      </c>
      <c r="M857" s="47" t="str">
        <f t="shared" si="3"/>
        <v/>
      </c>
      <c r="N857" s="47" t="str">
        <f>IFERROR(__xludf.DUMMYFUNCTION("IFERROR(IF(OR(ISBLANK($G857), IFERROR(INDEX(GOOGLEFINANCE($C857, ""price"", WORKDAY(INT($B857), 1)), 2, 2), """")=""""), """", IF($D857=""LONG"", (IFERROR(INDEX(GOOGLEFINANCE($C857, ""price"", WORKDAY(INT($B857), 1)), 2, 2), """")-$G857)/$G857, ($G857-IFE"&amp;"RROR(INDEX(GOOGLEFINANCE($C857, ""price"", WORKDAY(INT($B857), 1)), 2, 2), """"))/$G857)), """")"),"")</f>
        <v/>
      </c>
      <c r="O857" s="47" t="str">
        <f>IFERROR(__xludf.DUMMYFUNCTION("IFERROR(IF(OR(ISBLANK($G857), IFERROR(INDEX(GOOGLEFINANCE($C857, ""price"", WORKDAY(INT($B857), 5)), 2, 2), """")=""""), """", IF($D857=""LONG"", (IFERROR(INDEX(GOOGLEFINANCE($C857, ""price"", WORKDAY(INT($B857), 5)), 2, 2), """")-$G857)/$G857, ($G857-IFE"&amp;"RROR(INDEX(GOOGLEFINANCE($C857, ""price"", WORKDAY(INT($B857), 5)), 2, 2), """"))/$G857)), """")"),"")</f>
        <v/>
      </c>
      <c r="P857" s="47" t="str">
        <f>IFERROR(__xludf.DUMMYFUNCTION("IFERROR(IF(OR(ISBLANK($G857), IFERROR(INDEX(GOOGLEFINANCE($C857, ""price"", WORKDAY(INT($B857), 20)), 2, 2), """")=""""), """", IF($D857=""LONG"", (IFERROR(INDEX(GOOGLEFINANCE($C857, ""price"", WORKDAY(INT($B857), 20)), 2, 2), """")-$G857)/$G857, ($G857-I"&amp;"FERROR(INDEX(GOOGLEFINANCE($C857, ""price"", WORKDAY(INT($B857), 20)), 2, 2), """"))/$G857)), """")"),"")</f>
        <v/>
      </c>
      <c r="Q857" s="44"/>
      <c r="R857" s="44"/>
      <c r="S857" s="44"/>
      <c r="T857" s="44"/>
      <c r="U857" s="44"/>
      <c r="V857" s="44"/>
      <c r="W857" s="44"/>
      <c r="X857" s="44"/>
      <c r="Y857" s="44"/>
      <c r="Z857" s="44"/>
    </row>
    <row r="858">
      <c r="A858" s="44"/>
      <c r="B858" s="45"/>
      <c r="C858" s="44"/>
      <c r="D858" s="44"/>
      <c r="E858" s="44"/>
      <c r="F858" s="44"/>
      <c r="G858" s="46"/>
      <c r="H858" s="44"/>
      <c r="I858" s="44"/>
      <c r="J858" s="44"/>
      <c r="K858" s="44"/>
      <c r="L858" s="46" t="str">
        <f>IFERROR(__xludf.DUMMYFUNCTION("IFERROR(IF(ISBLANK($C858), """", GOOGLEFINANCE($C858, ""price"")), """")"),"")</f>
        <v/>
      </c>
      <c r="M858" s="47" t="str">
        <f t="shared" si="3"/>
        <v/>
      </c>
      <c r="N858" s="47" t="str">
        <f>IFERROR(__xludf.DUMMYFUNCTION("IFERROR(IF(OR(ISBLANK($G858), IFERROR(INDEX(GOOGLEFINANCE($C858, ""price"", WORKDAY(INT($B858), 1)), 2, 2), """")=""""), """", IF($D858=""LONG"", (IFERROR(INDEX(GOOGLEFINANCE($C858, ""price"", WORKDAY(INT($B858), 1)), 2, 2), """")-$G858)/$G858, ($G858-IFE"&amp;"RROR(INDEX(GOOGLEFINANCE($C858, ""price"", WORKDAY(INT($B858), 1)), 2, 2), """"))/$G858)), """")"),"")</f>
        <v/>
      </c>
      <c r="O858" s="47" t="str">
        <f>IFERROR(__xludf.DUMMYFUNCTION("IFERROR(IF(OR(ISBLANK($G858), IFERROR(INDEX(GOOGLEFINANCE($C858, ""price"", WORKDAY(INT($B858), 5)), 2, 2), """")=""""), """", IF($D858=""LONG"", (IFERROR(INDEX(GOOGLEFINANCE($C858, ""price"", WORKDAY(INT($B858), 5)), 2, 2), """")-$G858)/$G858, ($G858-IFE"&amp;"RROR(INDEX(GOOGLEFINANCE($C858, ""price"", WORKDAY(INT($B858), 5)), 2, 2), """"))/$G858)), """")"),"")</f>
        <v/>
      </c>
      <c r="P858" s="47" t="str">
        <f>IFERROR(__xludf.DUMMYFUNCTION("IFERROR(IF(OR(ISBLANK($G858), IFERROR(INDEX(GOOGLEFINANCE($C858, ""price"", WORKDAY(INT($B858), 20)), 2, 2), """")=""""), """", IF($D858=""LONG"", (IFERROR(INDEX(GOOGLEFINANCE($C858, ""price"", WORKDAY(INT($B858), 20)), 2, 2), """")-$G858)/$G858, ($G858-I"&amp;"FERROR(INDEX(GOOGLEFINANCE($C858, ""price"", WORKDAY(INT($B858), 20)), 2, 2), """"))/$G858)), """")"),"")</f>
        <v/>
      </c>
      <c r="Q858" s="44"/>
      <c r="R858" s="44"/>
      <c r="S858" s="44"/>
      <c r="T858" s="44"/>
      <c r="U858" s="44"/>
      <c r="V858" s="44"/>
      <c r="W858" s="44"/>
      <c r="X858" s="44"/>
      <c r="Y858" s="44"/>
      <c r="Z858" s="44"/>
    </row>
    <row r="859">
      <c r="A859" s="44"/>
      <c r="B859" s="45"/>
      <c r="C859" s="44"/>
      <c r="D859" s="44"/>
      <c r="E859" s="44"/>
      <c r="F859" s="44"/>
      <c r="G859" s="46"/>
      <c r="H859" s="44"/>
      <c r="I859" s="44"/>
      <c r="J859" s="44"/>
      <c r="K859" s="44"/>
      <c r="L859" s="46" t="str">
        <f>IFERROR(__xludf.DUMMYFUNCTION("IFERROR(IF(ISBLANK($C859), """", GOOGLEFINANCE($C859, ""price"")), """")"),"")</f>
        <v/>
      </c>
      <c r="M859" s="47" t="str">
        <f t="shared" si="3"/>
        <v/>
      </c>
      <c r="N859" s="47" t="str">
        <f>IFERROR(__xludf.DUMMYFUNCTION("IFERROR(IF(OR(ISBLANK($G859), IFERROR(INDEX(GOOGLEFINANCE($C859, ""price"", WORKDAY(INT($B859), 1)), 2, 2), """")=""""), """", IF($D859=""LONG"", (IFERROR(INDEX(GOOGLEFINANCE($C859, ""price"", WORKDAY(INT($B859), 1)), 2, 2), """")-$G859)/$G859, ($G859-IFE"&amp;"RROR(INDEX(GOOGLEFINANCE($C859, ""price"", WORKDAY(INT($B859), 1)), 2, 2), """"))/$G859)), """")"),"")</f>
        <v/>
      </c>
      <c r="O859" s="47" t="str">
        <f>IFERROR(__xludf.DUMMYFUNCTION("IFERROR(IF(OR(ISBLANK($G859), IFERROR(INDEX(GOOGLEFINANCE($C859, ""price"", WORKDAY(INT($B859), 5)), 2, 2), """")=""""), """", IF($D859=""LONG"", (IFERROR(INDEX(GOOGLEFINANCE($C859, ""price"", WORKDAY(INT($B859), 5)), 2, 2), """")-$G859)/$G859, ($G859-IFE"&amp;"RROR(INDEX(GOOGLEFINANCE($C859, ""price"", WORKDAY(INT($B859), 5)), 2, 2), """"))/$G859)), """")"),"")</f>
        <v/>
      </c>
      <c r="P859" s="47" t="str">
        <f>IFERROR(__xludf.DUMMYFUNCTION("IFERROR(IF(OR(ISBLANK($G859), IFERROR(INDEX(GOOGLEFINANCE($C859, ""price"", WORKDAY(INT($B859), 20)), 2, 2), """")=""""), """", IF($D859=""LONG"", (IFERROR(INDEX(GOOGLEFINANCE($C859, ""price"", WORKDAY(INT($B859), 20)), 2, 2), """")-$G859)/$G859, ($G859-I"&amp;"FERROR(INDEX(GOOGLEFINANCE($C859, ""price"", WORKDAY(INT($B859), 20)), 2, 2), """"))/$G859)), """")"),"")</f>
        <v/>
      </c>
      <c r="Q859" s="44"/>
      <c r="R859" s="44"/>
      <c r="S859" s="44"/>
      <c r="T859" s="44"/>
      <c r="U859" s="44"/>
      <c r="V859" s="44"/>
      <c r="W859" s="44"/>
      <c r="X859" s="44"/>
      <c r="Y859" s="44"/>
      <c r="Z859" s="44"/>
    </row>
    <row r="860">
      <c r="A860" s="44"/>
      <c r="B860" s="45"/>
      <c r="C860" s="44"/>
      <c r="D860" s="44"/>
      <c r="E860" s="44"/>
      <c r="F860" s="44"/>
      <c r="G860" s="46"/>
      <c r="H860" s="44"/>
      <c r="I860" s="44"/>
      <c r="J860" s="44"/>
      <c r="K860" s="44"/>
      <c r="L860" s="46" t="str">
        <f>IFERROR(__xludf.DUMMYFUNCTION("IFERROR(IF(ISBLANK($C860), """", GOOGLEFINANCE($C860, ""price"")), """")"),"")</f>
        <v/>
      </c>
      <c r="M860" s="47" t="str">
        <f t="shared" si="3"/>
        <v/>
      </c>
      <c r="N860" s="47" t="str">
        <f>IFERROR(__xludf.DUMMYFUNCTION("IFERROR(IF(OR(ISBLANK($G860), IFERROR(INDEX(GOOGLEFINANCE($C860, ""price"", WORKDAY(INT($B860), 1)), 2, 2), """")=""""), """", IF($D860=""LONG"", (IFERROR(INDEX(GOOGLEFINANCE($C860, ""price"", WORKDAY(INT($B860), 1)), 2, 2), """")-$G860)/$G860, ($G860-IFE"&amp;"RROR(INDEX(GOOGLEFINANCE($C860, ""price"", WORKDAY(INT($B860), 1)), 2, 2), """"))/$G860)), """")"),"")</f>
        <v/>
      </c>
      <c r="O860" s="47" t="str">
        <f>IFERROR(__xludf.DUMMYFUNCTION("IFERROR(IF(OR(ISBLANK($G860), IFERROR(INDEX(GOOGLEFINANCE($C860, ""price"", WORKDAY(INT($B860), 5)), 2, 2), """")=""""), """", IF($D860=""LONG"", (IFERROR(INDEX(GOOGLEFINANCE($C860, ""price"", WORKDAY(INT($B860), 5)), 2, 2), """")-$G860)/$G860, ($G860-IFE"&amp;"RROR(INDEX(GOOGLEFINANCE($C860, ""price"", WORKDAY(INT($B860), 5)), 2, 2), """"))/$G860)), """")"),"")</f>
        <v/>
      </c>
      <c r="P860" s="47" t="str">
        <f>IFERROR(__xludf.DUMMYFUNCTION("IFERROR(IF(OR(ISBLANK($G860), IFERROR(INDEX(GOOGLEFINANCE($C860, ""price"", WORKDAY(INT($B860), 20)), 2, 2), """")=""""), """", IF($D860=""LONG"", (IFERROR(INDEX(GOOGLEFINANCE($C860, ""price"", WORKDAY(INT($B860), 20)), 2, 2), """")-$G860)/$G860, ($G860-I"&amp;"FERROR(INDEX(GOOGLEFINANCE($C860, ""price"", WORKDAY(INT($B860), 20)), 2, 2), """"))/$G860)), """")"),"")</f>
        <v/>
      </c>
      <c r="Q860" s="44"/>
      <c r="R860" s="44"/>
      <c r="S860" s="44"/>
      <c r="T860" s="44"/>
      <c r="U860" s="44"/>
      <c r="V860" s="44"/>
      <c r="W860" s="44"/>
      <c r="X860" s="44"/>
      <c r="Y860" s="44"/>
      <c r="Z860" s="44"/>
    </row>
    <row r="861">
      <c r="A861" s="44"/>
      <c r="B861" s="45"/>
      <c r="C861" s="44"/>
      <c r="D861" s="44"/>
      <c r="E861" s="44"/>
      <c r="F861" s="44"/>
      <c r="G861" s="46"/>
      <c r="H861" s="44"/>
      <c r="I861" s="44"/>
      <c r="J861" s="44"/>
      <c r="K861" s="44"/>
      <c r="L861" s="46" t="str">
        <f>IFERROR(__xludf.DUMMYFUNCTION("IFERROR(IF(ISBLANK($C861), """", GOOGLEFINANCE($C861, ""price"")), """")"),"")</f>
        <v/>
      </c>
      <c r="M861" s="47" t="str">
        <f t="shared" si="3"/>
        <v/>
      </c>
      <c r="N861" s="47" t="str">
        <f>IFERROR(__xludf.DUMMYFUNCTION("IFERROR(IF(OR(ISBLANK($G861), IFERROR(INDEX(GOOGLEFINANCE($C861, ""price"", WORKDAY(INT($B861), 1)), 2, 2), """")=""""), """", IF($D861=""LONG"", (IFERROR(INDEX(GOOGLEFINANCE($C861, ""price"", WORKDAY(INT($B861), 1)), 2, 2), """")-$G861)/$G861, ($G861-IFE"&amp;"RROR(INDEX(GOOGLEFINANCE($C861, ""price"", WORKDAY(INT($B861), 1)), 2, 2), """"))/$G861)), """")"),"")</f>
        <v/>
      </c>
      <c r="O861" s="47" t="str">
        <f>IFERROR(__xludf.DUMMYFUNCTION("IFERROR(IF(OR(ISBLANK($G861), IFERROR(INDEX(GOOGLEFINANCE($C861, ""price"", WORKDAY(INT($B861), 5)), 2, 2), """")=""""), """", IF($D861=""LONG"", (IFERROR(INDEX(GOOGLEFINANCE($C861, ""price"", WORKDAY(INT($B861), 5)), 2, 2), """")-$G861)/$G861, ($G861-IFE"&amp;"RROR(INDEX(GOOGLEFINANCE($C861, ""price"", WORKDAY(INT($B861), 5)), 2, 2), """"))/$G861)), """")"),"")</f>
        <v/>
      </c>
      <c r="P861" s="47" t="str">
        <f>IFERROR(__xludf.DUMMYFUNCTION("IFERROR(IF(OR(ISBLANK($G861), IFERROR(INDEX(GOOGLEFINANCE($C861, ""price"", WORKDAY(INT($B861), 20)), 2, 2), """")=""""), """", IF($D861=""LONG"", (IFERROR(INDEX(GOOGLEFINANCE($C861, ""price"", WORKDAY(INT($B861), 20)), 2, 2), """")-$G861)/$G861, ($G861-I"&amp;"FERROR(INDEX(GOOGLEFINANCE($C861, ""price"", WORKDAY(INT($B861), 20)), 2, 2), """"))/$G861)), """")"),"")</f>
        <v/>
      </c>
      <c r="Q861" s="44"/>
      <c r="R861" s="44"/>
      <c r="S861" s="44"/>
      <c r="T861" s="44"/>
      <c r="U861" s="44"/>
      <c r="V861" s="44"/>
      <c r="W861" s="44"/>
      <c r="X861" s="44"/>
      <c r="Y861" s="44"/>
      <c r="Z861" s="44"/>
    </row>
    <row r="862">
      <c r="A862" s="44"/>
      <c r="B862" s="45"/>
      <c r="C862" s="44"/>
      <c r="D862" s="44"/>
      <c r="E862" s="44"/>
      <c r="F862" s="44"/>
      <c r="G862" s="46"/>
      <c r="H862" s="44"/>
      <c r="I862" s="44"/>
      <c r="J862" s="44"/>
      <c r="K862" s="44"/>
      <c r="L862" s="46" t="str">
        <f>IFERROR(__xludf.DUMMYFUNCTION("IFERROR(IF(ISBLANK($C862), """", GOOGLEFINANCE($C862, ""price"")), """")"),"")</f>
        <v/>
      </c>
      <c r="M862" s="47" t="str">
        <f t="shared" si="3"/>
        <v/>
      </c>
      <c r="N862" s="47" t="str">
        <f>IFERROR(__xludf.DUMMYFUNCTION("IFERROR(IF(OR(ISBLANK($G862), IFERROR(INDEX(GOOGLEFINANCE($C862, ""price"", WORKDAY(INT($B862), 1)), 2, 2), """")=""""), """", IF($D862=""LONG"", (IFERROR(INDEX(GOOGLEFINANCE($C862, ""price"", WORKDAY(INT($B862), 1)), 2, 2), """")-$G862)/$G862, ($G862-IFE"&amp;"RROR(INDEX(GOOGLEFINANCE($C862, ""price"", WORKDAY(INT($B862), 1)), 2, 2), """"))/$G862)), """")"),"")</f>
        <v/>
      </c>
      <c r="O862" s="47" t="str">
        <f>IFERROR(__xludf.DUMMYFUNCTION("IFERROR(IF(OR(ISBLANK($G862), IFERROR(INDEX(GOOGLEFINANCE($C862, ""price"", WORKDAY(INT($B862), 5)), 2, 2), """")=""""), """", IF($D862=""LONG"", (IFERROR(INDEX(GOOGLEFINANCE($C862, ""price"", WORKDAY(INT($B862), 5)), 2, 2), """")-$G862)/$G862, ($G862-IFE"&amp;"RROR(INDEX(GOOGLEFINANCE($C862, ""price"", WORKDAY(INT($B862), 5)), 2, 2), """"))/$G862)), """")"),"")</f>
        <v/>
      </c>
      <c r="P862" s="47" t="str">
        <f>IFERROR(__xludf.DUMMYFUNCTION("IFERROR(IF(OR(ISBLANK($G862), IFERROR(INDEX(GOOGLEFINANCE($C862, ""price"", WORKDAY(INT($B862), 20)), 2, 2), """")=""""), """", IF($D862=""LONG"", (IFERROR(INDEX(GOOGLEFINANCE($C862, ""price"", WORKDAY(INT($B862), 20)), 2, 2), """")-$G862)/$G862, ($G862-I"&amp;"FERROR(INDEX(GOOGLEFINANCE($C862, ""price"", WORKDAY(INT($B862), 20)), 2, 2), """"))/$G862)), """")"),"")</f>
        <v/>
      </c>
      <c r="Q862" s="44"/>
      <c r="R862" s="44"/>
      <c r="S862" s="44"/>
      <c r="T862" s="44"/>
      <c r="U862" s="44"/>
      <c r="V862" s="44"/>
      <c r="W862" s="44"/>
      <c r="X862" s="44"/>
      <c r="Y862" s="44"/>
      <c r="Z862" s="44"/>
    </row>
    <row r="863">
      <c r="A863" s="44"/>
      <c r="B863" s="45"/>
      <c r="C863" s="44"/>
      <c r="D863" s="44"/>
      <c r="E863" s="44"/>
      <c r="F863" s="44"/>
      <c r="G863" s="46"/>
      <c r="H863" s="44"/>
      <c r="I863" s="44"/>
      <c r="J863" s="44"/>
      <c r="K863" s="44"/>
      <c r="L863" s="46" t="str">
        <f>IFERROR(__xludf.DUMMYFUNCTION("IFERROR(IF(ISBLANK($C863), """", GOOGLEFINANCE($C863, ""price"")), """")"),"")</f>
        <v/>
      </c>
      <c r="M863" s="47" t="str">
        <f t="shared" si="3"/>
        <v/>
      </c>
      <c r="N863" s="47" t="str">
        <f>IFERROR(__xludf.DUMMYFUNCTION("IFERROR(IF(OR(ISBLANK($G863), IFERROR(INDEX(GOOGLEFINANCE($C863, ""price"", WORKDAY(INT($B863), 1)), 2, 2), """")=""""), """", IF($D863=""LONG"", (IFERROR(INDEX(GOOGLEFINANCE($C863, ""price"", WORKDAY(INT($B863), 1)), 2, 2), """")-$G863)/$G863, ($G863-IFE"&amp;"RROR(INDEX(GOOGLEFINANCE($C863, ""price"", WORKDAY(INT($B863), 1)), 2, 2), """"))/$G863)), """")"),"")</f>
        <v/>
      </c>
      <c r="O863" s="47" t="str">
        <f>IFERROR(__xludf.DUMMYFUNCTION("IFERROR(IF(OR(ISBLANK($G863), IFERROR(INDEX(GOOGLEFINANCE($C863, ""price"", WORKDAY(INT($B863), 5)), 2, 2), """")=""""), """", IF($D863=""LONG"", (IFERROR(INDEX(GOOGLEFINANCE($C863, ""price"", WORKDAY(INT($B863), 5)), 2, 2), """")-$G863)/$G863, ($G863-IFE"&amp;"RROR(INDEX(GOOGLEFINANCE($C863, ""price"", WORKDAY(INT($B863), 5)), 2, 2), """"))/$G863)), """")"),"")</f>
        <v/>
      </c>
      <c r="P863" s="47" t="str">
        <f>IFERROR(__xludf.DUMMYFUNCTION("IFERROR(IF(OR(ISBLANK($G863), IFERROR(INDEX(GOOGLEFINANCE($C863, ""price"", WORKDAY(INT($B863), 20)), 2, 2), """")=""""), """", IF($D863=""LONG"", (IFERROR(INDEX(GOOGLEFINANCE($C863, ""price"", WORKDAY(INT($B863), 20)), 2, 2), """")-$G863)/$G863, ($G863-I"&amp;"FERROR(INDEX(GOOGLEFINANCE($C863, ""price"", WORKDAY(INT($B863), 20)), 2, 2), """"))/$G863)), """")"),"")</f>
        <v/>
      </c>
      <c r="Q863" s="44"/>
      <c r="R863" s="44"/>
      <c r="S863" s="44"/>
      <c r="T863" s="44"/>
      <c r="U863" s="44"/>
      <c r="V863" s="44"/>
      <c r="W863" s="44"/>
      <c r="X863" s="44"/>
      <c r="Y863" s="44"/>
      <c r="Z863" s="44"/>
    </row>
    <row r="864">
      <c r="A864" s="44"/>
      <c r="B864" s="45"/>
      <c r="C864" s="44"/>
      <c r="D864" s="44"/>
      <c r="E864" s="44"/>
      <c r="F864" s="44"/>
      <c r="G864" s="46"/>
      <c r="H864" s="44"/>
      <c r="I864" s="44"/>
      <c r="J864" s="44"/>
      <c r="K864" s="44"/>
      <c r="L864" s="46" t="str">
        <f>IFERROR(__xludf.DUMMYFUNCTION("IFERROR(IF(ISBLANK($C864), """", GOOGLEFINANCE($C864, ""price"")), """")"),"")</f>
        <v/>
      </c>
      <c r="M864" s="47" t="str">
        <f t="shared" si="3"/>
        <v/>
      </c>
      <c r="N864" s="47" t="str">
        <f>IFERROR(__xludf.DUMMYFUNCTION("IFERROR(IF(OR(ISBLANK($G864), IFERROR(INDEX(GOOGLEFINANCE($C864, ""price"", WORKDAY(INT($B864), 1)), 2, 2), """")=""""), """", IF($D864=""LONG"", (IFERROR(INDEX(GOOGLEFINANCE($C864, ""price"", WORKDAY(INT($B864), 1)), 2, 2), """")-$G864)/$G864, ($G864-IFE"&amp;"RROR(INDEX(GOOGLEFINANCE($C864, ""price"", WORKDAY(INT($B864), 1)), 2, 2), """"))/$G864)), """")"),"")</f>
        <v/>
      </c>
      <c r="O864" s="47" t="str">
        <f>IFERROR(__xludf.DUMMYFUNCTION("IFERROR(IF(OR(ISBLANK($G864), IFERROR(INDEX(GOOGLEFINANCE($C864, ""price"", WORKDAY(INT($B864), 5)), 2, 2), """")=""""), """", IF($D864=""LONG"", (IFERROR(INDEX(GOOGLEFINANCE($C864, ""price"", WORKDAY(INT($B864), 5)), 2, 2), """")-$G864)/$G864, ($G864-IFE"&amp;"RROR(INDEX(GOOGLEFINANCE($C864, ""price"", WORKDAY(INT($B864), 5)), 2, 2), """"))/$G864)), """")"),"")</f>
        <v/>
      </c>
      <c r="P864" s="47" t="str">
        <f>IFERROR(__xludf.DUMMYFUNCTION("IFERROR(IF(OR(ISBLANK($G864), IFERROR(INDEX(GOOGLEFINANCE($C864, ""price"", WORKDAY(INT($B864), 20)), 2, 2), """")=""""), """", IF($D864=""LONG"", (IFERROR(INDEX(GOOGLEFINANCE($C864, ""price"", WORKDAY(INT($B864), 20)), 2, 2), """")-$G864)/$G864, ($G864-I"&amp;"FERROR(INDEX(GOOGLEFINANCE($C864, ""price"", WORKDAY(INT($B864), 20)), 2, 2), """"))/$G864)), """")"),"")</f>
        <v/>
      </c>
      <c r="Q864" s="44"/>
      <c r="R864" s="44"/>
      <c r="S864" s="44"/>
      <c r="T864" s="44"/>
      <c r="U864" s="44"/>
      <c r="V864" s="44"/>
      <c r="W864" s="44"/>
      <c r="X864" s="44"/>
      <c r="Y864" s="44"/>
      <c r="Z864" s="44"/>
    </row>
    <row r="865">
      <c r="A865" s="44"/>
      <c r="B865" s="45"/>
      <c r="C865" s="44"/>
      <c r="D865" s="44"/>
      <c r="E865" s="44"/>
      <c r="F865" s="44"/>
      <c r="G865" s="46"/>
      <c r="H865" s="44"/>
      <c r="I865" s="44"/>
      <c r="J865" s="44"/>
      <c r="K865" s="44"/>
      <c r="L865" s="46" t="str">
        <f>IFERROR(__xludf.DUMMYFUNCTION("IFERROR(IF(ISBLANK($C865), """", GOOGLEFINANCE($C865, ""price"")), """")"),"")</f>
        <v/>
      </c>
      <c r="M865" s="47" t="str">
        <f t="shared" si="3"/>
        <v/>
      </c>
      <c r="N865" s="47" t="str">
        <f>IFERROR(__xludf.DUMMYFUNCTION("IFERROR(IF(OR(ISBLANK($G865), IFERROR(INDEX(GOOGLEFINANCE($C865, ""price"", WORKDAY(INT($B865), 1)), 2, 2), """")=""""), """", IF($D865=""LONG"", (IFERROR(INDEX(GOOGLEFINANCE($C865, ""price"", WORKDAY(INT($B865), 1)), 2, 2), """")-$G865)/$G865, ($G865-IFE"&amp;"RROR(INDEX(GOOGLEFINANCE($C865, ""price"", WORKDAY(INT($B865), 1)), 2, 2), """"))/$G865)), """")"),"")</f>
        <v/>
      </c>
      <c r="O865" s="47" t="str">
        <f>IFERROR(__xludf.DUMMYFUNCTION("IFERROR(IF(OR(ISBLANK($G865), IFERROR(INDEX(GOOGLEFINANCE($C865, ""price"", WORKDAY(INT($B865), 5)), 2, 2), """")=""""), """", IF($D865=""LONG"", (IFERROR(INDEX(GOOGLEFINANCE($C865, ""price"", WORKDAY(INT($B865), 5)), 2, 2), """")-$G865)/$G865, ($G865-IFE"&amp;"RROR(INDEX(GOOGLEFINANCE($C865, ""price"", WORKDAY(INT($B865), 5)), 2, 2), """"))/$G865)), """")"),"")</f>
        <v/>
      </c>
      <c r="P865" s="47" t="str">
        <f>IFERROR(__xludf.DUMMYFUNCTION("IFERROR(IF(OR(ISBLANK($G865), IFERROR(INDEX(GOOGLEFINANCE($C865, ""price"", WORKDAY(INT($B865), 20)), 2, 2), """")=""""), """", IF($D865=""LONG"", (IFERROR(INDEX(GOOGLEFINANCE($C865, ""price"", WORKDAY(INT($B865), 20)), 2, 2), """")-$G865)/$G865, ($G865-I"&amp;"FERROR(INDEX(GOOGLEFINANCE($C865, ""price"", WORKDAY(INT($B865), 20)), 2, 2), """"))/$G865)), """")"),"")</f>
        <v/>
      </c>
      <c r="Q865" s="44"/>
      <c r="R865" s="44"/>
      <c r="S865" s="44"/>
      <c r="T865" s="44"/>
      <c r="U865" s="44"/>
      <c r="V865" s="44"/>
      <c r="W865" s="44"/>
      <c r="X865" s="44"/>
      <c r="Y865" s="44"/>
      <c r="Z865" s="44"/>
    </row>
    <row r="866">
      <c r="A866" s="44"/>
      <c r="B866" s="45"/>
      <c r="C866" s="44"/>
      <c r="D866" s="44"/>
      <c r="E866" s="44"/>
      <c r="F866" s="44"/>
      <c r="G866" s="46"/>
      <c r="H866" s="44"/>
      <c r="I866" s="44"/>
      <c r="J866" s="44"/>
      <c r="K866" s="44"/>
      <c r="L866" s="46" t="str">
        <f>IFERROR(__xludf.DUMMYFUNCTION("IFERROR(IF(ISBLANK($C866), """", GOOGLEFINANCE($C866, ""price"")), """")"),"")</f>
        <v/>
      </c>
      <c r="M866" s="47" t="str">
        <f t="shared" si="3"/>
        <v/>
      </c>
      <c r="N866" s="47" t="str">
        <f>IFERROR(__xludf.DUMMYFUNCTION("IFERROR(IF(OR(ISBLANK($G866), IFERROR(INDEX(GOOGLEFINANCE($C866, ""price"", WORKDAY(INT($B866), 1)), 2, 2), """")=""""), """", IF($D866=""LONG"", (IFERROR(INDEX(GOOGLEFINANCE($C866, ""price"", WORKDAY(INT($B866), 1)), 2, 2), """")-$G866)/$G866, ($G866-IFE"&amp;"RROR(INDEX(GOOGLEFINANCE($C866, ""price"", WORKDAY(INT($B866), 1)), 2, 2), """"))/$G866)), """")"),"")</f>
        <v/>
      </c>
      <c r="O866" s="47" t="str">
        <f>IFERROR(__xludf.DUMMYFUNCTION("IFERROR(IF(OR(ISBLANK($G866), IFERROR(INDEX(GOOGLEFINANCE($C866, ""price"", WORKDAY(INT($B866), 5)), 2, 2), """")=""""), """", IF($D866=""LONG"", (IFERROR(INDEX(GOOGLEFINANCE($C866, ""price"", WORKDAY(INT($B866), 5)), 2, 2), """")-$G866)/$G866, ($G866-IFE"&amp;"RROR(INDEX(GOOGLEFINANCE($C866, ""price"", WORKDAY(INT($B866), 5)), 2, 2), """"))/$G866)), """")"),"")</f>
        <v/>
      </c>
      <c r="P866" s="47" t="str">
        <f>IFERROR(__xludf.DUMMYFUNCTION("IFERROR(IF(OR(ISBLANK($G866), IFERROR(INDEX(GOOGLEFINANCE($C866, ""price"", WORKDAY(INT($B866), 20)), 2, 2), """")=""""), """", IF($D866=""LONG"", (IFERROR(INDEX(GOOGLEFINANCE($C866, ""price"", WORKDAY(INT($B866), 20)), 2, 2), """")-$G866)/$G866, ($G866-I"&amp;"FERROR(INDEX(GOOGLEFINANCE($C866, ""price"", WORKDAY(INT($B866), 20)), 2, 2), """"))/$G866)), """")"),"")</f>
        <v/>
      </c>
      <c r="Q866" s="44"/>
      <c r="R866" s="44"/>
      <c r="S866" s="44"/>
      <c r="T866" s="44"/>
      <c r="U866" s="44"/>
      <c r="V866" s="44"/>
      <c r="W866" s="44"/>
      <c r="X866" s="44"/>
      <c r="Y866" s="44"/>
      <c r="Z866" s="44"/>
    </row>
    <row r="867">
      <c r="A867" s="44"/>
      <c r="B867" s="45"/>
      <c r="C867" s="44"/>
      <c r="D867" s="44"/>
      <c r="E867" s="44"/>
      <c r="F867" s="44"/>
      <c r="G867" s="46"/>
      <c r="H867" s="44"/>
      <c r="I867" s="44"/>
      <c r="J867" s="44"/>
      <c r="K867" s="44"/>
      <c r="L867" s="46" t="str">
        <f>IFERROR(__xludf.DUMMYFUNCTION("IFERROR(IF(ISBLANK($C867), """", GOOGLEFINANCE($C867, ""price"")), """")"),"")</f>
        <v/>
      </c>
      <c r="M867" s="47" t="str">
        <f t="shared" si="3"/>
        <v/>
      </c>
      <c r="N867" s="47" t="str">
        <f>IFERROR(__xludf.DUMMYFUNCTION("IFERROR(IF(OR(ISBLANK($G867), IFERROR(INDEX(GOOGLEFINANCE($C867, ""price"", WORKDAY(INT($B867), 1)), 2, 2), """")=""""), """", IF($D867=""LONG"", (IFERROR(INDEX(GOOGLEFINANCE($C867, ""price"", WORKDAY(INT($B867), 1)), 2, 2), """")-$G867)/$G867, ($G867-IFE"&amp;"RROR(INDEX(GOOGLEFINANCE($C867, ""price"", WORKDAY(INT($B867), 1)), 2, 2), """"))/$G867)), """")"),"")</f>
        <v/>
      </c>
      <c r="O867" s="47" t="str">
        <f>IFERROR(__xludf.DUMMYFUNCTION("IFERROR(IF(OR(ISBLANK($G867), IFERROR(INDEX(GOOGLEFINANCE($C867, ""price"", WORKDAY(INT($B867), 5)), 2, 2), """")=""""), """", IF($D867=""LONG"", (IFERROR(INDEX(GOOGLEFINANCE($C867, ""price"", WORKDAY(INT($B867), 5)), 2, 2), """")-$G867)/$G867, ($G867-IFE"&amp;"RROR(INDEX(GOOGLEFINANCE($C867, ""price"", WORKDAY(INT($B867), 5)), 2, 2), """"))/$G867)), """")"),"")</f>
        <v/>
      </c>
      <c r="P867" s="47" t="str">
        <f>IFERROR(__xludf.DUMMYFUNCTION("IFERROR(IF(OR(ISBLANK($G867), IFERROR(INDEX(GOOGLEFINANCE($C867, ""price"", WORKDAY(INT($B867), 20)), 2, 2), """")=""""), """", IF($D867=""LONG"", (IFERROR(INDEX(GOOGLEFINANCE($C867, ""price"", WORKDAY(INT($B867), 20)), 2, 2), """")-$G867)/$G867, ($G867-I"&amp;"FERROR(INDEX(GOOGLEFINANCE($C867, ""price"", WORKDAY(INT($B867), 20)), 2, 2), """"))/$G867)), """")"),"")</f>
        <v/>
      </c>
      <c r="Q867" s="44"/>
      <c r="R867" s="44"/>
      <c r="S867" s="44"/>
      <c r="T867" s="44"/>
      <c r="U867" s="44"/>
      <c r="V867" s="44"/>
      <c r="W867" s="44"/>
      <c r="X867" s="44"/>
      <c r="Y867" s="44"/>
      <c r="Z867" s="44"/>
    </row>
    <row r="868">
      <c r="A868" s="44"/>
      <c r="B868" s="45"/>
      <c r="C868" s="44"/>
      <c r="D868" s="44"/>
      <c r="E868" s="44"/>
      <c r="F868" s="44"/>
      <c r="G868" s="46"/>
      <c r="H868" s="44"/>
      <c r="I868" s="44"/>
      <c r="J868" s="44"/>
      <c r="K868" s="44"/>
      <c r="L868" s="46" t="str">
        <f>IFERROR(__xludf.DUMMYFUNCTION("IFERROR(IF(ISBLANK($C868), """", GOOGLEFINANCE($C868, ""price"")), """")"),"")</f>
        <v/>
      </c>
      <c r="M868" s="47" t="str">
        <f t="shared" si="3"/>
        <v/>
      </c>
      <c r="N868" s="47" t="str">
        <f>IFERROR(__xludf.DUMMYFUNCTION("IFERROR(IF(OR(ISBLANK($G868), IFERROR(INDEX(GOOGLEFINANCE($C868, ""price"", WORKDAY(INT($B868), 1)), 2, 2), """")=""""), """", IF($D868=""LONG"", (IFERROR(INDEX(GOOGLEFINANCE($C868, ""price"", WORKDAY(INT($B868), 1)), 2, 2), """")-$G868)/$G868, ($G868-IFE"&amp;"RROR(INDEX(GOOGLEFINANCE($C868, ""price"", WORKDAY(INT($B868), 1)), 2, 2), """"))/$G868)), """")"),"")</f>
        <v/>
      </c>
      <c r="O868" s="47" t="str">
        <f>IFERROR(__xludf.DUMMYFUNCTION("IFERROR(IF(OR(ISBLANK($G868), IFERROR(INDEX(GOOGLEFINANCE($C868, ""price"", WORKDAY(INT($B868), 5)), 2, 2), """")=""""), """", IF($D868=""LONG"", (IFERROR(INDEX(GOOGLEFINANCE($C868, ""price"", WORKDAY(INT($B868), 5)), 2, 2), """")-$G868)/$G868, ($G868-IFE"&amp;"RROR(INDEX(GOOGLEFINANCE($C868, ""price"", WORKDAY(INT($B868), 5)), 2, 2), """"))/$G868)), """")"),"")</f>
        <v/>
      </c>
      <c r="P868" s="47" t="str">
        <f>IFERROR(__xludf.DUMMYFUNCTION("IFERROR(IF(OR(ISBLANK($G868), IFERROR(INDEX(GOOGLEFINANCE($C868, ""price"", WORKDAY(INT($B868), 20)), 2, 2), """")=""""), """", IF($D868=""LONG"", (IFERROR(INDEX(GOOGLEFINANCE($C868, ""price"", WORKDAY(INT($B868), 20)), 2, 2), """")-$G868)/$G868, ($G868-I"&amp;"FERROR(INDEX(GOOGLEFINANCE($C868, ""price"", WORKDAY(INT($B868), 20)), 2, 2), """"))/$G868)), """")"),"")</f>
        <v/>
      </c>
      <c r="Q868" s="44"/>
      <c r="R868" s="44"/>
      <c r="S868" s="44"/>
      <c r="T868" s="44"/>
      <c r="U868" s="44"/>
      <c r="V868" s="44"/>
      <c r="W868" s="44"/>
      <c r="X868" s="44"/>
      <c r="Y868" s="44"/>
      <c r="Z868" s="44"/>
    </row>
    <row r="869">
      <c r="A869" s="44"/>
      <c r="B869" s="45"/>
      <c r="C869" s="44"/>
      <c r="D869" s="44"/>
      <c r="E869" s="44"/>
      <c r="F869" s="44"/>
      <c r="G869" s="46"/>
      <c r="H869" s="44"/>
      <c r="I869" s="44"/>
      <c r="J869" s="44"/>
      <c r="K869" s="44"/>
      <c r="L869" s="46" t="str">
        <f>IFERROR(__xludf.DUMMYFUNCTION("IFERROR(IF(ISBLANK($C869), """", GOOGLEFINANCE($C869, ""price"")), """")"),"")</f>
        <v/>
      </c>
      <c r="M869" s="47" t="str">
        <f t="shared" si="3"/>
        <v/>
      </c>
      <c r="N869" s="47" t="str">
        <f>IFERROR(__xludf.DUMMYFUNCTION("IFERROR(IF(OR(ISBLANK($G869), IFERROR(INDEX(GOOGLEFINANCE($C869, ""price"", WORKDAY(INT($B869), 1)), 2, 2), """")=""""), """", IF($D869=""LONG"", (IFERROR(INDEX(GOOGLEFINANCE($C869, ""price"", WORKDAY(INT($B869), 1)), 2, 2), """")-$G869)/$G869, ($G869-IFE"&amp;"RROR(INDEX(GOOGLEFINANCE($C869, ""price"", WORKDAY(INT($B869), 1)), 2, 2), """"))/$G869)), """")"),"")</f>
        <v/>
      </c>
      <c r="O869" s="47" t="str">
        <f>IFERROR(__xludf.DUMMYFUNCTION("IFERROR(IF(OR(ISBLANK($G869), IFERROR(INDEX(GOOGLEFINANCE($C869, ""price"", WORKDAY(INT($B869), 5)), 2, 2), """")=""""), """", IF($D869=""LONG"", (IFERROR(INDEX(GOOGLEFINANCE($C869, ""price"", WORKDAY(INT($B869), 5)), 2, 2), """")-$G869)/$G869, ($G869-IFE"&amp;"RROR(INDEX(GOOGLEFINANCE($C869, ""price"", WORKDAY(INT($B869), 5)), 2, 2), """"))/$G869)), """")"),"")</f>
        <v/>
      </c>
      <c r="P869" s="47" t="str">
        <f>IFERROR(__xludf.DUMMYFUNCTION("IFERROR(IF(OR(ISBLANK($G869), IFERROR(INDEX(GOOGLEFINANCE($C869, ""price"", WORKDAY(INT($B869), 20)), 2, 2), """")=""""), """", IF($D869=""LONG"", (IFERROR(INDEX(GOOGLEFINANCE($C869, ""price"", WORKDAY(INT($B869), 20)), 2, 2), """")-$G869)/$G869, ($G869-I"&amp;"FERROR(INDEX(GOOGLEFINANCE($C869, ""price"", WORKDAY(INT($B869), 20)), 2, 2), """"))/$G869)), """")"),"")</f>
        <v/>
      </c>
      <c r="Q869" s="44"/>
      <c r="R869" s="44"/>
      <c r="S869" s="44"/>
      <c r="T869" s="44"/>
      <c r="U869" s="44"/>
      <c r="V869" s="44"/>
      <c r="W869" s="44"/>
      <c r="X869" s="44"/>
      <c r="Y869" s="44"/>
      <c r="Z869" s="44"/>
    </row>
    <row r="870">
      <c r="A870" s="44"/>
      <c r="B870" s="45"/>
      <c r="C870" s="44"/>
      <c r="D870" s="44"/>
      <c r="E870" s="44"/>
      <c r="F870" s="44"/>
      <c r="G870" s="46"/>
      <c r="H870" s="44"/>
      <c r="I870" s="44"/>
      <c r="J870" s="44"/>
      <c r="K870" s="44"/>
      <c r="L870" s="46" t="str">
        <f>IFERROR(__xludf.DUMMYFUNCTION("IFERROR(IF(ISBLANK($C870), """", GOOGLEFINANCE($C870, ""price"")), """")"),"")</f>
        <v/>
      </c>
      <c r="M870" s="47" t="str">
        <f t="shared" si="3"/>
        <v/>
      </c>
      <c r="N870" s="47" t="str">
        <f>IFERROR(__xludf.DUMMYFUNCTION("IFERROR(IF(OR(ISBLANK($G870), IFERROR(INDEX(GOOGLEFINANCE($C870, ""price"", WORKDAY(INT($B870), 1)), 2, 2), """")=""""), """", IF($D870=""LONG"", (IFERROR(INDEX(GOOGLEFINANCE($C870, ""price"", WORKDAY(INT($B870), 1)), 2, 2), """")-$G870)/$G870, ($G870-IFE"&amp;"RROR(INDEX(GOOGLEFINANCE($C870, ""price"", WORKDAY(INT($B870), 1)), 2, 2), """"))/$G870)), """")"),"")</f>
        <v/>
      </c>
      <c r="O870" s="47" t="str">
        <f>IFERROR(__xludf.DUMMYFUNCTION("IFERROR(IF(OR(ISBLANK($G870), IFERROR(INDEX(GOOGLEFINANCE($C870, ""price"", WORKDAY(INT($B870), 5)), 2, 2), """")=""""), """", IF($D870=""LONG"", (IFERROR(INDEX(GOOGLEFINANCE($C870, ""price"", WORKDAY(INT($B870), 5)), 2, 2), """")-$G870)/$G870, ($G870-IFE"&amp;"RROR(INDEX(GOOGLEFINANCE($C870, ""price"", WORKDAY(INT($B870), 5)), 2, 2), """"))/$G870)), """")"),"")</f>
        <v/>
      </c>
      <c r="P870" s="47" t="str">
        <f>IFERROR(__xludf.DUMMYFUNCTION("IFERROR(IF(OR(ISBLANK($G870), IFERROR(INDEX(GOOGLEFINANCE($C870, ""price"", WORKDAY(INT($B870), 20)), 2, 2), """")=""""), """", IF($D870=""LONG"", (IFERROR(INDEX(GOOGLEFINANCE($C870, ""price"", WORKDAY(INT($B870), 20)), 2, 2), """")-$G870)/$G870, ($G870-I"&amp;"FERROR(INDEX(GOOGLEFINANCE($C870, ""price"", WORKDAY(INT($B870), 20)), 2, 2), """"))/$G870)), """")"),"")</f>
        <v/>
      </c>
      <c r="Q870" s="44"/>
      <c r="R870" s="44"/>
      <c r="S870" s="44"/>
      <c r="T870" s="44"/>
      <c r="U870" s="44"/>
      <c r="V870" s="44"/>
      <c r="W870" s="44"/>
      <c r="X870" s="44"/>
      <c r="Y870" s="44"/>
      <c r="Z870" s="44"/>
    </row>
    <row r="871">
      <c r="A871" s="44"/>
      <c r="B871" s="45"/>
      <c r="C871" s="44"/>
      <c r="D871" s="44"/>
      <c r="E871" s="44"/>
      <c r="F871" s="44"/>
      <c r="G871" s="46"/>
      <c r="H871" s="44"/>
      <c r="I871" s="44"/>
      <c r="J871" s="44"/>
      <c r="K871" s="44"/>
      <c r="L871" s="46" t="str">
        <f>IFERROR(__xludf.DUMMYFUNCTION("IFERROR(IF(ISBLANK($C871), """", GOOGLEFINANCE($C871, ""price"")), """")"),"")</f>
        <v/>
      </c>
      <c r="M871" s="47" t="str">
        <f t="shared" si="3"/>
        <v/>
      </c>
      <c r="N871" s="47" t="str">
        <f>IFERROR(__xludf.DUMMYFUNCTION("IFERROR(IF(OR(ISBLANK($G871), IFERROR(INDEX(GOOGLEFINANCE($C871, ""price"", WORKDAY(INT($B871), 1)), 2, 2), """")=""""), """", IF($D871=""LONG"", (IFERROR(INDEX(GOOGLEFINANCE($C871, ""price"", WORKDAY(INT($B871), 1)), 2, 2), """")-$G871)/$G871, ($G871-IFE"&amp;"RROR(INDEX(GOOGLEFINANCE($C871, ""price"", WORKDAY(INT($B871), 1)), 2, 2), """"))/$G871)), """")"),"")</f>
        <v/>
      </c>
      <c r="O871" s="47" t="str">
        <f>IFERROR(__xludf.DUMMYFUNCTION("IFERROR(IF(OR(ISBLANK($G871), IFERROR(INDEX(GOOGLEFINANCE($C871, ""price"", WORKDAY(INT($B871), 5)), 2, 2), """")=""""), """", IF($D871=""LONG"", (IFERROR(INDEX(GOOGLEFINANCE($C871, ""price"", WORKDAY(INT($B871), 5)), 2, 2), """")-$G871)/$G871, ($G871-IFE"&amp;"RROR(INDEX(GOOGLEFINANCE($C871, ""price"", WORKDAY(INT($B871), 5)), 2, 2), """"))/$G871)), """")"),"")</f>
        <v/>
      </c>
      <c r="P871" s="47" t="str">
        <f>IFERROR(__xludf.DUMMYFUNCTION("IFERROR(IF(OR(ISBLANK($G871), IFERROR(INDEX(GOOGLEFINANCE($C871, ""price"", WORKDAY(INT($B871), 20)), 2, 2), """")=""""), """", IF($D871=""LONG"", (IFERROR(INDEX(GOOGLEFINANCE($C871, ""price"", WORKDAY(INT($B871), 20)), 2, 2), """")-$G871)/$G871, ($G871-I"&amp;"FERROR(INDEX(GOOGLEFINANCE($C871, ""price"", WORKDAY(INT($B871), 20)), 2, 2), """"))/$G871)), """")"),"")</f>
        <v/>
      </c>
      <c r="Q871" s="44"/>
      <c r="R871" s="44"/>
      <c r="S871" s="44"/>
      <c r="T871" s="44"/>
      <c r="U871" s="44"/>
      <c r="V871" s="44"/>
      <c r="W871" s="44"/>
      <c r="X871" s="44"/>
      <c r="Y871" s="44"/>
      <c r="Z871" s="44"/>
    </row>
    <row r="872">
      <c r="A872" s="44"/>
      <c r="B872" s="45"/>
      <c r="C872" s="44"/>
      <c r="D872" s="44"/>
      <c r="E872" s="44"/>
      <c r="F872" s="44"/>
      <c r="G872" s="46"/>
      <c r="H872" s="44"/>
      <c r="I872" s="44"/>
      <c r="J872" s="44"/>
      <c r="K872" s="44"/>
      <c r="L872" s="46" t="str">
        <f>IFERROR(__xludf.DUMMYFUNCTION("IFERROR(IF(ISBLANK($C872), """", GOOGLEFINANCE($C872, ""price"")), """")"),"")</f>
        <v/>
      </c>
      <c r="M872" s="47" t="str">
        <f t="shared" si="3"/>
        <v/>
      </c>
      <c r="N872" s="47" t="str">
        <f>IFERROR(__xludf.DUMMYFUNCTION("IFERROR(IF(OR(ISBLANK($G872), IFERROR(INDEX(GOOGLEFINANCE($C872, ""price"", WORKDAY(INT($B872), 1)), 2, 2), """")=""""), """", IF($D872=""LONG"", (IFERROR(INDEX(GOOGLEFINANCE($C872, ""price"", WORKDAY(INT($B872), 1)), 2, 2), """")-$G872)/$G872, ($G872-IFE"&amp;"RROR(INDEX(GOOGLEFINANCE($C872, ""price"", WORKDAY(INT($B872), 1)), 2, 2), """"))/$G872)), """")"),"")</f>
        <v/>
      </c>
      <c r="O872" s="47" t="str">
        <f>IFERROR(__xludf.DUMMYFUNCTION("IFERROR(IF(OR(ISBLANK($G872), IFERROR(INDEX(GOOGLEFINANCE($C872, ""price"", WORKDAY(INT($B872), 5)), 2, 2), """")=""""), """", IF($D872=""LONG"", (IFERROR(INDEX(GOOGLEFINANCE($C872, ""price"", WORKDAY(INT($B872), 5)), 2, 2), """")-$G872)/$G872, ($G872-IFE"&amp;"RROR(INDEX(GOOGLEFINANCE($C872, ""price"", WORKDAY(INT($B872), 5)), 2, 2), """"))/$G872)), """")"),"")</f>
        <v/>
      </c>
      <c r="P872" s="47" t="str">
        <f>IFERROR(__xludf.DUMMYFUNCTION("IFERROR(IF(OR(ISBLANK($G872), IFERROR(INDEX(GOOGLEFINANCE($C872, ""price"", WORKDAY(INT($B872), 20)), 2, 2), """")=""""), """", IF($D872=""LONG"", (IFERROR(INDEX(GOOGLEFINANCE($C872, ""price"", WORKDAY(INT($B872), 20)), 2, 2), """")-$G872)/$G872, ($G872-I"&amp;"FERROR(INDEX(GOOGLEFINANCE($C872, ""price"", WORKDAY(INT($B872), 20)), 2, 2), """"))/$G872)), """")"),"")</f>
        <v/>
      </c>
      <c r="Q872" s="44"/>
      <c r="R872" s="44"/>
      <c r="S872" s="44"/>
      <c r="T872" s="44"/>
      <c r="U872" s="44"/>
      <c r="V872" s="44"/>
      <c r="W872" s="44"/>
      <c r="X872" s="44"/>
      <c r="Y872" s="44"/>
      <c r="Z872" s="44"/>
    </row>
    <row r="873">
      <c r="A873" s="44"/>
      <c r="B873" s="45"/>
      <c r="C873" s="44"/>
      <c r="D873" s="44"/>
      <c r="E873" s="44"/>
      <c r="F873" s="44"/>
      <c r="G873" s="46"/>
      <c r="H873" s="44"/>
      <c r="I873" s="44"/>
      <c r="J873" s="44"/>
      <c r="K873" s="44"/>
      <c r="L873" s="46" t="str">
        <f>IFERROR(__xludf.DUMMYFUNCTION("IFERROR(IF(ISBLANK($C873), """", GOOGLEFINANCE($C873, ""price"")), """")"),"")</f>
        <v/>
      </c>
      <c r="M873" s="47" t="str">
        <f t="shared" si="3"/>
        <v/>
      </c>
      <c r="N873" s="47" t="str">
        <f>IFERROR(__xludf.DUMMYFUNCTION("IFERROR(IF(OR(ISBLANK($G873), IFERROR(INDEX(GOOGLEFINANCE($C873, ""price"", WORKDAY(INT($B873), 1)), 2, 2), """")=""""), """", IF($D873=""LONG"", (IFERROR(INDEX(GOOGLEFINANCE($C873, ""price"", WORKDAY(INT($B873), 1)), 2, 2), """")-$G873)/$G873, ($G873-IFE"&amp;"RROR(INDEX(GOOGLEFINANCE($C873, ""price"", WORKDAY(INT($B873), 1)), 2, 2), """"))/$G873)), """")"),"")</f>
        <v/>
      </c>
      <c r="O873" s="47" t="str">
        <f>IFERROR(__xludf.DUMMYFUNCTION("IFERROR(IF(OR(ISBLANK($G873), IFERROR(INDEX(GOOGLEFINANCE($C873, ""price"", WORKDAY(INT($B873), 5)), 2, 2), """")=""""), """", IF($D873=""LONG"", (IFERROR(INDEX(GOOGLEFINANCE($C873, ""price"", WORKDAY(INT($B873), 5)), 2, 2), """")-$G873)/$G873, ($G873-IFE"&amp;"RROR(INDEX(GOOGLEFINANCE($C873, ""price"", WORKDAY(INT($B873), 5)), 2, 2), """"))/$G873)), """")"),"")</f>
        <v/>
      </c>
      <c r="P873" s="47" t="str">
        <f>IFERROR(__xludf.DUMMYFUNCTION("IFERROR(IF(OR(ISBLANK($G873), IFERROR(INDEX(GOOGLEFINANCE($C873, ""price"", WORKDAY(INT($B873), 20)), 2, 2), """")=""""), """", IF($D873=""LONG"", (IFERROR(INDEX(GOOGLEFINANCE($C873, ""price"", WORKDAY(INT($B873), 20)), 2, 2), """")-$G873)/$G873, ($G873-I"&amp;"FERROR(INDEX(GOOGLEFINANCE($C873, ""price"", WORKDAY(INT($B873), 20)), 2, 2), """"))/$G873)), """")"),"")</f>
        <v/>
      </c>
      <c r="Q873" s="44"/>
      <c r="R873" s="44"/>
      <c r="S873" s="44"/>
      <c r="T873" s="44"/>
      <c r="U873" s="44"/>
      <c r="V873" s="44"/>
      <c r="W873" s="44"/>
      <c r="X873" s="44"/>
      <c r="Y873" s="44"/>
      <c r="Z873" s="44"/>
    </row>
    <row r="874">
      <c r="A874" s="44"/>
      <c r="B874" s="45"/>
      <c r="C874" s="44"/>
      <c r="D874" s="44"/>
      <c r="E874" s="44"/>
      <c r="F874" s="44"/>
      <c r="G874" s="46"/>
      <c r="H874" s="44"/>
      <c r="I874" s="44"/>
      <c r="J874" s="44"/>
      <c r="K874" s="44"/>
      <c r="L874" s="46" t="str">
        <f>IFERROR(__xludf.DUMMYFUNCTION("IFERROR(IF(ISBLANK($C874), """", GOOGLEFINANCE($C874, ""price"")), """")"),"")</f>
        <v/>
      </c>
      <c r="M874" s="47" t="str">
        <f t="shared" si="3"/>
        <v/>
      </c>
      <c r="N874" s="47" t="str">
        <f>IFERROR(__xludf.DUMMYFUNCTION("IFERROR(IF(OR(ISBLANK($G874), IFERROR(INDEX(GOOGLEFINANCE($C874, ""price"", WORKDAY(INT($B874), 1)), 2, 2), """")=""""), """", IF($D874=""LONG"", (IFERROR(INDEX(GOOGLEFINANCE($C874, ""price"", WORKDAY(INT($B874), 1)), 2, 2), """")-$G874)/$G874, ($G874-IFE"&amp;"RROR(INDEX(GOOGLEFINANCE($C874, ""price"", WORKDAY(INT($B874), 1)), 2, 2), """"))/$G874)), """")"),"")</f>
        <v/>
      </c>
      <c r="O874" s="47" t="str">
        <f>IFERROR(__xludf.DUMMYFUNCTION("IFERROR(IF(OR(ISBLANK($G874), IFERROR(INDEX(GOOGLEFINANCE($C874, ""price"", WORKDAY(INT($B874), 5)), 2, 2), """")=""""), """", IF($D874=""LONG"", (IFERROR(INDEX(GOOGLEFINANCE($C874, ""price"", WORKDAY(INT($B874), 5)), 2, 2), """")-$G874)/$G874, ($G874-IFE"&amp;"RROR(INDEX(GOOGLEFINANCE($C874, ""price"", WORKDAY(INT($B874), 5)), 2, 2), """"))/$G874)), """")"),"")</f>
        <v/>
      </c>
      <c r="P874" s="47" t="str">
        <f>IFERROR(__xludf.DUMMYFUNCTION("IFERROR(IF(OR(ISBLANK($G874), IFERROR(INDEX(GOOGLEFINANCE($C874, ""price"", WORKDAY(INT($B874), 20)), 2, 2), """")=""""), """", IF($D874=""LONG"", (IFERROR(INDEX(GOOGLEFINANCE($C874, ""price"", WORKDAY(INT($B874), 20)), 2, 2), """")-$G874)/$G874, ($G874-I"&amp;"FERROR(INDEX(GOOGLEFINANCE($C874, ""price"", WORKDAY(INT($B874), 20)), 2, 2), """"))/$G874)), """")"),"")</f>
        <v/>
      </c>
      <c r="Q874" s="44"/>
      <c r="R874" s="44"/>
      <c r="S874" s="44"/>
      <c r="T874" s="44"/>
      <c r="U874" s="44"/>
      <c r="V874" s="44"/>
      <c r="W874" s="44"/>
      <c r="X874" s="44"/>
      <c r="Y874" s="44"/>
      <c r="Z874" s="44"/>
    </row>
    <row r="875">
      <c r="A875" s="44"/>
      <c r="B875" s="45"/>
      <c r="C875" s="44"/>
      <c r="D875" s="44"/>
      <c r="E875" s="44"/>
      <c r="F875" s="44"/>
      <c r="G875" s="46"/>
      <c r="H875" s="44"/>
      <c r="I875" s="44"/>
      <c r="J875" s="44"/>
      <c r="K875" s="44"/>
      <c r="L875" s="46" t="str">
        <f>IFERROR(__xludf.DUMMYFUNCTION("IFERROR(IF(ISBLANK($C875), """", GOOGLEFINANCE($C875, ""price"")), """")"),"")</f>
        <v/>
      </c>
      <c r="M875" s="47" t="str">
        <f t="shared" si="3"/>
        <v/>
      </c>
      <c r="N875" s="47" t="str">
        <f>IFERROR(__xludf.DUMMYFUNCTION("IFERROR(IF(OR(ISBLANK($G875), IFERROR(INDEX(GOOGLEFINANCE($C875, ""price"", WORKDAY(INT($B875), 1)), 2, 2), """")=""""), """", IF($D875=""LONG"", (IFERROR(INDEX(GOOGLEFINANCE($C875, ""price"", WORKDAY(INT($B875), 1)), 2, 2), """")-$G875)/$G875, ($G875-IFE"&amp;"RROR(INDEX(GOOGLEFINANCE($C875, ""price"", WORKDAY(INT($B875), 1)), 2, 2), """"))/$G875)), """")"),"")</f>
        <v/>
      </c>
      <c r="O875" s="47" t="str">
        <f>IFERROR(__xludf.DUMMYFUNCTION("IFERROR(IF(OR(ISBLANK($G875), IFERROR(INDEX(GOOGLEFINANCE($C875, ""price"", WORKDAY(INT($B875), 5)), 2, 2), """")=""""), """", IF($D875=""LONG"", (IFERROR(INDEX(GOOGLEFINANCE($C875, ""price"", WORKDAY(INT($B875), 5)), 2, 2), """")-$G875)/$G875, ($G875-IFE"&amp;"RROR(INDEX(GOOGLEFINANCE($C875, ""price"", WORKDAY(INT($B875), 5)), 2, 2), """"))/$G875)), """")"),"")</f>
        <v/>
      </c>
      <c r="P875" s="47" t="str">
        <f>IFERROR(__xludf.DUMMYFUNCTION("IFERROR(IF(OR(ISBLANK($G875), IFERROR(INDEX(GOOGLEFINANCE($C875, ""price"", WORKDAY(INT($B875), 20)), 2, 2), """")=""""), """", IF($D875=""LONG"", (IFERROR(INDEX(GOOGLEFINANCE($C875, ""price"", WORKDAY(INT($B875), 20)), 2, 2), """")-$G875)/$G875, ($G875-I"&amp;"FERROR(INDEX(GOOGLEFINANCE($C875, ""price"", WORKDAY(INT($B875), 20)), 2, 2), """"))/$G875)), """")"),"")</f>
        <v/>
      </c>
      <c r="Q875" s="44"/>
      <c r="R875" s="44"/>
      <c r="S875" s="44"/>
      <c r="T875" s="44"/>
      <c r="U875" s="44"/>
      <c r="V875" s="44"/>
      <c r="W875" s="44"/>
      <c r="X875" s="44"/>
      <c r="Y875" s="44"/>
      <c r="Z875" s="44"/>
    </row>
    <row r="876">
      <c r="A876" s="44"/>
      <c r="B876" s="45"/>
      <c r="C876" s="44"/>
      <c r="D876" s="44"/>
      <c r="E876" s="44"/>
      <c r="F876" s="44"/>
      <c r="G876" s="46"/>
      <c r="H876" s="44"/>
      <c r="I876" s="44"/>
      <c r="J876" s="44"/>
      <c r="K876" s="44"/>
      <c r="L876" s="46" t="str">
        <f>IFERROR(__xludf.DUMMYFUNCTION("IFERROR(IF(ISBLANK($C876), """", GOOGLEFINANCE($C876, ""price"")), """")"),"")</f>
        <v/>
      </c>
      <c r="M876" s="47" t="str">
        <f t="shared" si="3"/>
        <v/>
      </c>
      <c r="N876" s="47" t="str">
        <f>IFERROR(__xludf.DUMMYFUNCTION("IFERROR(IF(OR(ISBLANK($G876), IFERROR(INDEX(GOOGLEFINANCE($C876, ""price"", WORKDAY(INT($B876), 1)), 2, 2), """")=""""), """", IF($D876=""LONG"", (IFERROR(INDEX(GOOGLEFINANCE($C876, ""price"", WORKDAY(INT($B876), 1)), 2, 2), """")-$G876)/$G876, ($G876-IFE"&amp;"RROR(INDEX(GOOGLEFINANCE($C876, ""price"", WORKDAY(INT($B876), 1)), 2, 2), """"))/$G876)), """")"),"")</f>
        <v/>
      </c>
      <c r="O876" s="47" t="str">
        <f>IFERROR(__xludf.DUMMYFUNCTION("IFERROR(IF(OR(ISBLANK($G876), IFERROR(INDEX(GOOGLEFINANCE($C876, ""price"", WORKDAY(INT($B876), 5)), 2, 2), """")=""""), """", IF($D876=""LONG"", (IFERROR(INDEX(GOOGLEFINANCE($C876, ""price"", WORKDAY(INT($B876), 5)), 2, 2), """")-$G876)/$G876, ($G876-IFE"&amp;"RROR(INDEX(GOOGLEFINANCE($C876, ""price"", WORKDAY(INT($B876), 5)), 2, 2), """"))/$G876)), """")"),"")</f>
        <v/>
      </c>
      <c r="P876" s="47" t="str">
        <f>IFERROR(__xludf.DUMMYFUNCTION("IFERROR(IF(OR(ISBLANK($G876), IFERROR(INDEX(GOOGLEFINANCE($C876, ""price"", WORKDAY(INT($B876), 20)), 2, 2), """")=""""), """", IF($D876=""LONG"", (IFERROR(INDEX(GOOGLEFINANCE($C876, ""price"", WORKDAY(INT($B876), 20)), 2, 2), """")-$G876)/$G876, ($G876-I"&amp;"FERROR(INDEX(GOOGLEFINANCE($C876, ""price"", WORKDAY(INT($B876), 20)), 2, 2), """"))/$G876)), """")"),"")</f>
        <v/>
      </c>
      <c r="Q876" s="44"/>
      <c r="R876" s="44"/>
      <c r="S876" s="44"/>
      <c r="T876" s="44"/>
      <c r="U876" s="44"/>
      <c r="V876" s="44"/>
      <c r="W876" s="44"/>
      <c r="X876" s="44"/>
      <c r="Y876" s="44"/>
      <c r="Z876" s="44"/>
    </row>
    <row r="877">
      <c r="A877" s="44"/>
      <c r="B877" s="45"/>
      <c r="C877" s="44"/>
      <c r="D877" s="44"/>
      <c r="E877" s="44"/>
      <c r="F877" s="44"/>
      <c r="G877" s="46"/>
      <c r="H877" s="44"/>
      <c r="I877" s="44"/>
      <c r="J877" s="44"/>
      <c r="K877" s="44"/>
      <c r="L877" s="46" t="str">
        <f>IFERROR(__xludf.DUMMYFUNCTION("IFERROR(IF(ISBLANK($C877), """", GOOGLEFINANCE($C877, ""price"")), """")"),"")</f>
        <v/>
      </c>
      <c r="M877" s="47" t="str">
        <f t="shared" si="3"/>
        <v/>
      </c>
      <c r="N877" s="47" t="str">
        <f>IFERROR(__xludf.DUMMYFUNCTION("IFERROR(IF(OR(ISBLANK($G877), IFERROR(INDEX(GOOGLEFINANCE($C877, ""price"", WORKDAY(INT($B877), 1)), 2, 2), """")=""""), """", IF($D877=""LONG"", (IFERROR(INDEX(GOOGLEFINANCE($C877, ""price"", WORKDAY(INT($B877), 1)), 2, 2), """")-$G877)/$G877, ($G877-IFE"&amp;"RROR(INDEX(GOOGLEFINANCE($C877, ""price"", WORKDAY(INT($B877), 1)), 2, 2), """"))/$G877)), """")"),"")</f>
        <v/>
      </c>
      <c r="O877" s="47" t="str">
        <f>IFERROR(__xludf.DUMMYFUNCTION("IFERROR(IF(OR(ISBLANK($G877), IFERROR(INDEX(GOOGLEFINANCE($C877, ""price"", WORKDAY(INT($B877), 5)), 2, 2), """")=""""), """", IF($D877=""LONG"", (IFERROR(INDEX(GOOGLEFINANCE($C877, ""price"", WORKDAY(INT($B877), 5)), 2, 2), """")-$G877)/$G877, ($G877-IFE"&amp;"RROR(INDEX(GOOGLEFINANCE($C877, ""price"", WORKDAY(INT($B877), 5)), 2, 2), """"))/$G877)), """")"),"")</f>
        <v/>
      </c>
      <c r="P877" s="47" t="str">
        <f>IFERROR(__xludf.DUMMYFUNCTION("IFERROR(IF(OR(ISBLANK($G877), IFERROR(INDEX(GOOGLEFINANCE($C877, ""price"", WORKDAY(INT($B877), 20)), 2, 2), """")=""""), """", IF($D877=""LONG"", (IFERROR(INDEX(GOOGLEFINANCE($C877, ""price"", WORKDAY(INT($B877), 20)), 2, 2), """")-$G877)/$G877, ($G877-I"&amp;"FERROR(INDEX(GOOGLEFINANCE($C877, ""price"", WORKDAY(INT($B877), 20)), 2, 2), """"))/$G877)), """")"),"")</f>
        <v/>
      </c>
      <c r="Q877" s="44"/>
      <c r="R877" s="44"/>
      <c r="S877" s="44"/>
      <c r="T877" s="44"/>
      <c r="U877" s="44"/>
      <c r="V877" s="44"/>
      <c r="W877" s="44"/>
      <c r="X877" s="44"/>
      <c r="Y877" s="44"/>
      <c r="Z877" s="44"/>
    </row>
    <row r="878">
      <c r="A878" s="44"/>
      <c r="B878" s="45"/>
      <c r="C878" s="44"/>
      <c r="D878" s="44"/>
      <c r="E878" s="44"/>
      <c r="F878" s="44"/>
      <c r="G878" s="46"/>
      <c r="H878" s="44"/>
      <c r="I878" s="44"/>
      <c r="J878" s="44"/>
      <c r="K878" s="44"/>
      <c r="L878" s="46" t="str">
        <f>IFERROR(__xludf.DUMMYFUNCTION("IFERROR(IF(ISBLANK($C878), """", GOOGLEFINANCE($C878, ""price"")), """")"),"")</f>
        <v/>
      </c>
      <c r="M878" s="47" t="str">
        <f t="shared" si="3"/>
        <v/>
      </c>
      <c r="N878" s="47" t="str">
        <f>IFERROR(__xludf.DUMMYFUNCTION("IFERROR(IF(OR(ISBLANK($G878), IFERROR(INDEX(GOOGLEFINANCE($C878, ""price"", WORKDAY(INT($B878), 1)), 2, 2), """")=""""), """", IF($D878=""LONG"", (IFERROR(INDEX(GOOGLEFINANCE($C878, ""price"", WORKDAY(INT($B878), 1)), 2, 2), """")-$G878)/$G878, ($G878-IFE"&amp;"RROR(INDEX(GOOGLEFINANCE($C878, ""price"", WORKDAY(INT($B878), 1)), 2, 2), """"))/$G878)), """")"),"")</f>
        <v/>
      </c>
      <c r="O878" s="47" t="str">
        <f>IFERROR(__xludf.DUMMYFUNCTION("IFERROR(IF(OR(ISBLANK($G878), IFERROR(INDEX(GOOGLEFINANCE($C878, ""price"", WORKDAY(INT($B878), 5)), 2, 2), """")=""""), """", IF($D878=""LONG"", (IFERROR(INDEX(GOOGLEFINANCE($C878, ""price"", WORKDAY(INT($B878), 5)), 2, 2), """")-$G878)/$G878, ($G878-IFE"&amp;"RROR(INDEX(GOOGLEFINANCE($C878, ""price"", WORKDAY(INT($B878), 5)), 2, 2), """"))/$G878)), """")"),"")</f>
        <v/>
      </c>
      <c r="P878" s="47" t="str">
        <f>IFERROR(__xludf.DUMMYFUNCTION("IFERROR(IF(OR(ISBLANK($G878), IFERROR(INDEX(GOOGLEFINANCE($C878, ""price"", WORKDAY(INT($B878), 20)), 2, 2), """")=""""), """", IF($D878=""LONG"", (IFERROR(INDEX(GOOGLEFINANCE($C878, ""price"", WORKDAY(INT($B878), 20)), 2, 2), """")-$G878)/$G878, ($G878-I"&amp;"FERROR(INDEX(GOOGLEFINANCE($C878, ""price"", WORKDAY(INT($B878), 20)), 2, 2), """"))/$G878)), """")"),"")</f>
        <v/>
      </c>
      <c r="Q878" s="44"/>
      <c r="R878" s="44"/>
      <c r="S878" s="44"/>
      <c r="T878" s="44"/>
      <c r="U878" s="44"/>
      <c r="V878" s="44"/>
      <c r="W878" s="44"/>
      <c r="X878" s="44"/>
      <c r="Y878" s="44"/>
      <c r="Z878" s="44"/>
    </row>
    <row r="879">
      <c r="A879" s="44"/>
      <c r="B879" s="45"/>
      <c r="C879" s="44"/>
      <c r="D879" s="44"/>
      <c r="E879" s="44"/>
      <c r="F879" s="44"/>
      <c r="G879" s="46"/>
      <c r="H879" s="44"/>
      <c r="I879" s="44"/>
      <c r="J879" s="44"/>
      <c r="K879" s="44"/>
      <c r="L879" s="46" t="str">
        <f>IFERROR(__xludf.DUMMYFUNCTION("IFERROR(IF(ISBLANK($C879), """", GOOGLEFINANCE($C879, ""price"")), """")"),"")</f>
        <v/>
      </c>
      <c r="M879" s="47" t="str">
        <f t="shared" si="3"/>
        <v/>
      </c>
      <c r="N879" s="47" t="str">
        <f>IFERROR(__xludf.DUMMYFUNCTION("IFERROR(IF(OR(ISBLANK($G879), IFERROR(INDEX(GOOGLEFINANCE($C879, ""price"", WORKDAY(INT($B879), 1)), 2, 2), """")=""""), """", IF($D879=""LONG"", (IFERROR(INDEX(GOOGLEFINANCE($C879, ""price"", WORKDAY(INT($B879), 1)), 2, 2), """")-$G879)/$G879, ($G879-IFE"&amp;"RROR(INDEX(GOOGLEFINANCE($C879, ""price"", WORKDAY(INT($B879), 1)), 2, 2), """"))/$G879)), """")"),"")</f>
        <v/>
      </c>
      <c r="O879" s="47" t="str">
        <f>IFERROR(__xludf.DUMMYFUNCTION("IFERROR(IF(OR(ISBLANK($G879), IFERROR(INDEX(GOOGLEFINANCE($C879, ""price"", WORKDAY(INT($B879), 5)), 2, 2), """")=""""), """", IF($D879=""LONG"", (IFERROR(INDEX(GOOGLEFINANCE($C879, ""price"", WORKDAY(INT($B879), 5)), 2, 2), """")-$G879)/$G879, ($G879-IFE"&amp;"RROR(INDEX(GOOGLEFINANCE($C879, ""price"", WORKDAY(INT($B879), 5)), 2, 2), """"))/$G879)), """")"),"")</f>
        <v/>
      </c>
      <c r="P879" s="47" t="str">
        <f>IFERROR(__xludf.DUMMYFUNCTION("IFERROR(IF(OR(ISBLANK($G879), IFERROR(INDEX(GOOGLEFINANCE($C879, ""price"", WORKDAY(INT($B879), 20)), 2, 2), """")=""""), """", IF($D879=""LONG"", (IFERROR(INDEX(GOOGLEFINANCE($C879, ""price"", WORKDAY(INT($B879), 20)), 2, 2), """")-$G879)/$G879, ($G879-I"&amp;"FERROR(INDEX(GOOGLEFINANCE($C879, ""price"", WORKDAY(INT($B879), 20)), 2, 2), """"))/$G879)), """")"),"")</f>
        <v/>
      </c>
      <c r="Q879" s="44"/>
      <c r="R879" s="44"/>
      <c r="S879" s="44"/>
      <c r="T879" s="44"/>
      <c r="U879" s="44"/>
      <c r="V879" s="44"/>
      <c r="W879" s="44"/>
      <c r="X879" s="44"/>
      <c r="Y879" s="44"/>
      <c r="Z879" s="44"/>
    </row>
    <row r="880">
      <c r="A880" s="44"/>
      <c r="B880" s="45"/>
      <c r="C880" s="44"/>
      <c r="D880" s="44"/>
      <c r="E880" s="44"/>
      <c r="F880" s="44"/>
      <c r="G880" s="46"/>
      <c r="H880" s="44"/>
      <c r="I880" s="44"/>
      <c r="J880" s="44"/>
      <c r="K880" s="44"/>
      <c r="L880" s="46" t="str">
        <f>IFERROR(__xludf.DUMMYFUNCTION("IFERROR(IF(ISBLANK($C880), """", GOOGLEFINANCE($C880, ""price"")), """")"),"")</f>
        <v/>
      </c>
      <c r="M880" s="47" t="str">
        <f t="shared" si="3"/>
        <v/>
      </c>
      <c r="N880" s="47" t="str">
        <f>IFERROR(__xludf.DUMMYFUNCTION("IFERROR(IF(OR(ISBLANK($G880), IFERROR(INDEX(GOOGLEFINANCE($C880, ""price"", WORKDAY(INT($B880), 1)), 2, 2), """")=""""), """", IF($D880=""LONG"", (IFERROR(INDEX(GOOGLEFINANCE($C880, ""price"", WORKDAY(INT($B880), 1)), 2, 2), """")-$G880)/$G880, ($G880-IFE"&amp;"RROR(INDEX(GOOGLEFINANCE($C880, ""price"", WORKDAY(INT($B880), 1)), 2, 2), """"))/$G880)), """")"),"")</f>
        <v/>
      </c>
      <c r="O880" s="47" t="str">
        <f>IFERROR(__xludf.DUMMYFUNCTION("IFERROR(IF(OR(ISBLANK($G880), IFERROR(INDEX(GOOGLEFINANCE($C880, ""price"", WORKDAY(INT($B880), 5)), 2, 2), """")=""""), """", IF($D880=""LONG"", (IFERROR(INDEX(GOOGLEFINANCE($C880, ""price"", WORKDAY(INT($B880), 5)), 2, 2), """")-$G880)/$G880, ($G880-IFE"&amp;"RROR(INDEX(GOOGLEFINANCE($C880, ""price"", WORKDAY(INT($B880), 5)), 2, 2), """"))/$G880)), """")"),"")</f>
        <v/>
      </c>
      <c r="P880" s="47" t="str">
        <f>IFERROR(__xludf.DUMMYFUNCTION("IFERROR(IF(OR(ISBLANK($G880), IFERROR(INDEX(GOOGLEFINANCE($C880, ""price"", WORKDAY(INT($B880), 20)), 2, 2), """")=""""), """", IF($D880=""LONG"", (IFERROR(INDEX(GOOGLEFINANCE($C880, ""price"", WORKDAY(INT($B880), 20)), 2, 2), """")-$G880)/$G880, ($G880-I"&amp;"FERROR(INDEX(GOOGLEFINANCE($C880, ""price"", WORKDAY(INT($B880), 20)), 2, 2), """"))/$G880)), """")"),"")</f>
        <v/>
      </c>
      <c r="Q880" s="44"/>
      <c r="R880" s="44"/>
      <c r="S880" s="44"/>
      <c r="T880" s="44"/>
      <c r="U880" s="44"/>
      <c r="V880" s="44"/>
      <c r="W880" s="44"/>
      <c r="X880" s="44"/>
      <c r="Y880" s="44"/>
      <c r="Z880" s="44"/>
    </row>
    <row r="881">
      <c r="A881" s="44"/>
      <c r="B881" s="45"/>
      <c r="C881" s="44"/>
      <c r="D881" s="44"/>
      <c r="E881" s="44"/>
      <c r="F881" s="44"/>
      <c r="G881" s="46"/>
      <c r="H881" s="44"/>
      <c r="I881" s="44"/>
      <c r="J881" s="44"/>
      <c r="K881" s="44"/>
      <c r="L881" s="46" t="str">
        <f>IFERROR(__xludf.DUMMYFUNCTION("IFERROR(IF(ISBLANK($C881), """", GOOGLEFINANCE($C881, ""price"")), """")"),"")</f>
        <v/>
      </c>
      <c r="M881" s="47" t="str">
        <f t="shared" si="3"/>
        <v/>
      </c>
      <c r="N881" s="47" t="str">
        <f>IFERROR(__xludf.DUMMYFUNCTION("IFERROR(IF(OR(ISBLANK($G881), IFERROR(INDEX(GOOGLEFINANCE($C881, ""price"", WORKDAY(INT($B881), 1)), 2, 2), """")=""""), """", IF($D881=""LONG"", (IFERROR(INDEX(GOOGLEFINANCE($C881, ""price"", WORKDAY(INT($B881), 1)), 2, 2), """")-$G881)/$G881, ($G881-IFE"&amp;"RROR(INDEX(GOOGLEFINANCE($C881, ""price"", WORKDAY(INT($B881), 1)), 2, 2), """"))/$G881)), """")"),"")</f>
        <v/>
      </c>
      <c r="O881" s="47" t="str">
        <f>IFERROR(__xludf.DUMMYFUNCTION("IFERROR(IF(OR(ISBLANK($G881), IFERROR(INDEX(GOOGLEFINANCE($C881, ""price"", WORKDAY(INT($B881), 5)), 2, 2), """")=""""), """", IF($D881=""LONG"", (IFERROR(INDEX(GOOGLEFINANCE($C881, ""price"", WORKDAY(INT($B881), 5)), 2, 2), """")-$G881)/$G881, ($G881-IFE"&amp;"RROR(INDEX(GOOGLEFINANCE($C881, ""price"", WORKDAY(INT($B881), 5)), 2, 2), """"))/$G881)), """")"),"")</f>
        <v/>
      </c>
      <c r="P881" s="47" t="str">
        <f>IFERROR(__xludf.DUMMYFUNCTION("IFERROR(IF(OR(ISBLANK($G881), IFERROR(INDEX(GOOGLEFINANCE($C881, ""price"", WORKDAY(INT($B881), 20)), 2, 2), """")=""""), """", IF($D881=""LONG"", (IFERROR(INDEX(GOOGLEFINANCE($C881, ""price"", WORKDAY(INT($B881), 20)), 2, 2), """")-$G881)/$G881, ($G881-I"&amp;"FERROR(INDEX(GOOGLEFINANCE($C881, ""price"", WORKDAY(INT($B881), 20)), 2, 2), """"))/$G881)), """")"),"")</f>
        <v/>
      </c>
      <c r="Q881" s="44"/>
      <c r="R881" s="44"/>
      <c r="S881" s="44"/>
      <c r="T881" s="44"/>
      <c r="U881" s="44"/>
      <c r="V881" s="44"/>
      <c r="W881" s="44"/>
      <c r="X881" s="44"/>
      <c r="Y881" s="44"/>
      <c r="Z881" s="44"/>
    </row>
    <row r="882">
      <c r="A882" s="44"/>
      <c r="B882" s="45"/>
      <c r="C882" s="44"/>
      <c r="D882" s="44"/>
      <c r="E882" s="44"/>
      <c r="F882" s="44"/>
      <c r="G882" s="46"/>
      <c r="H882" s="44"/>
      <c r="I882" s="44"/>
      <c r="J882" s="44"/>
      <c r="K882" s="44"/>
      <c r="L882" s="46" t="str">
        <f>IFERROR(__xludf.DUMMYFUNCTION("IFERROR(IF(ISBLANK($C882), """", GOOGLEFINANCE($C882, ""price"")), """")"),"")</f>
        <v/>
      </c>
      <c r="M882" s="47" t="str">
        <f t="shared" si="3"/>
        <v/>
      </c>
      <c r="N882" s="47" t="str">
        <f>IFERROR(__xludf.DUMMYFUNCTION("IFERROR(IF(OR(ISBLANK($G882), IFERROR(INDEX(GOOGLEFINANCE($C882, ""price"", WORKDAY(INT($B882), 1)), 2, 2), """")=""""), """", IF($D882=""LONG"", (IFERROR(INDEX(GOOGLEFINANCE($C882, ""price"", WORKDAY(INT($B882), 1)), 2, 2), """")-$G882)/$G882, ($G882-IFE"&amp;"RROR(INDEX(GOOGLEFINANCE($C882, ""price"", WORKDAY(INT($B882), 1)), 2, 2), """"))/$G882)), """")"),"")</f>
        <v/>
      </c>
      <c r="O882" s="47" t="str">
        <f>IFERROR(__xludf.DUMMYFUNCTION("IFERROR(IF(OR(ISBLANK($G882), IFERROR(INDEX(GOOGLEFINANCE($C882, ""price"", WORKDAY(INT($B882), 5)), 2, 2), """")=""""), """", IF($D882=""LONG"", (IFERROR(INDEX(GOOGLEFINANCE($C882, ""price"", WORKDAY(INT($B882), 5)), 2, 2), """")-$G882)/$G882, ($G882-IFE"&amp;"RROR(INDEX(GOOGLEFINANCE($C882, ""price"", WORKDAY(INT($B882), 5)), 2, 2), """"))/$G882)), """")"),"")</f>
        <v/>
      </c>
      <c r="P882" s="47" t="str">
        <f>IFERROR(__xludf.DUMMYFUNCTION("IFERROR(IF(OR(ISBLANK($G882), IFERROR(INDEX(GOOGLEFINANCE($C882, ""price"", WORKDAY(INT($B882), 20)), 2, 2), """")=""""), """", IF($D882=""LONG"", (IFERROR(INDEX(GOOGLEFINANCE($C882, ""price"", WORKDAY(INT($B882), 20)), 2, 2), """")-$G882)/$G882, ($G882-I"&amp;"FERROR(INDEX(GOOGLEFINANCE($C882, ""price"", WORKDAY(INT($B882), 20)), 2, 2), """"))/$G882)), """")"),"")</f>
        <v/>
      </c>
      <c r="Q882" s="44"/>
      <c r="R882" s="44"/>
      <c r="S882" s="44"/>
      <c r="T882" s="44"/>
      <c r="U882" s="44"/>
      <c r="V882" s="44"/>
      <c r="W882" s="44"/>
      <c r="X882" s="44"/>
      <c r="Y882" s="44"/>
      <c r="Z882" s="44"/>
    </row>
    <row r="883">
      <c r="A883" s="44"/>
      <c r="B883" s="45"/>
      <c r="C883" s="44"/>
      <c r="D883" s="44"/>
      <c r="E883" s="44"/>
      <c r="F883" s="44"/>
      <c r="G883" s="46"/>
      <c r="H883" s="44"/>
      <c r="I883" s="44"/>
      <c r="J883" s="44"/>
      <c r="K883" s="44"/>
      <c r="L883" s="46" t="str">
        <f>IFERROR(__xludf.DUMMYFUNCTION("IFERROR(IF(ISBLANK($C883), """", GOOGLEFINANCE($C883, ""price"")), """")"),"")</f>
        <v/>
      </c>
      <c r="M883" s="47" t="str">
        <f t="shared" si="3"/>
        <v/>
      </c>
      <c r="N883" s="47" t="str">
        <f>IFERROR(__xludf.DUMMYFUNCTION("IFERROR(IF(OR(ISBLANK($G883), IFERROR(INDEX(GOOGLEFINANCE($C883, ""price"", WORKDAY(INT($B883), 1)), 2, 2), """")=""""), """", IF($D883=""LONG"", (IFERROR(INDEX(GOOGLEFINANCE($C883, ""price"", WORKDAY(INT($B883), 1)), 2, 2), """")-$G883)/$G883, ($G883-IFE"&amp;"RROR(INDEX(GOOGLEFINANCE($C883, ""price"", WORKDAY(INT($B883), 1)), 2, 2), """"))/$G883)), """")"),"")</f>
        <v/>
      </c>
      <c r="O883" s="47" t="str">
        <f>IFERROR(__xludf.DUMMYFUNCTION("IFERROR(IF(OR(ISBLANK($G883), IFERROR(INDEX(GOOGLEFINANCE($C883, ""price"", WORKDAY(INT($B883), 5)), 2, 2), """")=""""), """", IF($D883=""LONG"", (IFERROR(INDEX(GOOGLEFINANCE($C883, ""price"", WORKDAY(INT($B883), 5)), 2, 2), """")-$G883)/$G883, ($G883-IFE"&amp;"RROR(INDEX(GOOGLEFINANCE($C883, ""price"", WORKDAY(INT($B883), 5)), 2, 2), """"))/$G883)), """")"),"")</f>
        <v/>
      </c>
      <c r="P883" s="47" t="str">
        <f>IFERROR(__xludf.DUMMYFUNCTION("IFERROR(IF(OR(ISBLANK($G883), IFERROR(INDEX(GOOGLEFINANCE($C883, ""price"", WORKDAY(INT($B883), 20)), 2, 2), """")=""""), """", IF($D883=""LONG"", (IFERROR(INDEX(GOOGLEFINANCE($C883, ""price"", WORKDAY(INT($B883), 20)), 2, 2), """")-$G883)/$G883, ($G883-I"&amp;"FERROR(INDEX(GOOGLEFINANCE($C883, ""price"", WORKDAY(INT($B883), 20)), 2, 2), """"))/$G883)), """")"),"")</f>
        <v/>
      </c>
      <c r="Q883" s="44"/>
      <c r="R883" s="44"/>
      <c r="S883" s="44"/>
      <c r="T883" s="44"/>
      <c r="U883" s="44"/>
      <c r="V883" s="44"/>
      <c r="W883" s="44"/>
      <c r="X883" s="44"/>
      <c r="Y883" s="44"/>
      <c r="Z883" s="44"/>
    </row>
    <row r="884">
      <c r="A884" s="44"/>
      <c r="B884" s="45"/>
      <c r="C884" s="44"/>
      <c r="D884" s="44"/>
      <c r="E884" s="44"/>
      <c r="F884" s="44"/>
      <c r="G884" s="46"/>
      <c r="H884" s="44"/>
      <c r="I884" s="44"/>
      <c r="J884" s="44"/>
      <c r="K884" s="44"/>
      <c r="L884" s="46" t="str">
        <f>IFERROR(__xludf.DUMMYFUNCTION("IFERROR(IF(ISBLANK($C884), """", GOOGLEFINANCE($C884, ""price"")), """")"),"")</f>
        <v/>
      </c>
      <c r="M884" s="47" t="str">
        <f t="shared" si="3"/>
        <v/>
      </c>
      <c r="N884" s="47" t="str">
        <f>IFERROR(__xludf.DUMMYFUNCTION("IFERROR(IF(OR(ISBLANK($G884), IFERROR(INDEX(GOOGLEFINANCE($C884, ""price"", WORKDAY(INT($B884), 1)), 2, 2), """")=""""), """", IF($D884=""LONG"", (IFERROR(INDEX(GOOGLEFINANCE($C884, ""price"", WORKDAY(INT($B884), 1)), 2, 2), """")-$G884)/$G884, ($G884-IFE"&amp;"RROR(INDEX(GOOGLEFINANCE($C884, ""price"", WORKDAY(INT($B884), 1)), 2, 2), """"))/$G884)), """")"),"")</f>
        <v/>
      </c>
      <c r="O884" s="47" t="str">
        <f>IFERROR(__xludf.DUMMYFUNCTION("IFERROR(IF(OR(ISBLANK($G884), IFERROR(INDEX(GOOGLEFINANCE($C884, ""price"", WORKDAY(INT($B884), 5)), 2, 2), """")=""""), """", IF($D884=""LONG"", (IFERROR(INDEX(GOOGLEFINANCE($C884, ""price"", WORKDAY(INT($B884), 5)), 2, 2), """")-$G884)/$G884, ($G884-IFE"&amp;"RROR(INDEX(GOOGLEFINANCE($C884, ""price"", WORKDAY(INT($B884), 5)), 2, 2), """"))/$G884)), """")"),"")</f>
        <v/>
      </c>
      <c r="P884" s="47" t="str">
        <f>IFERROR(__xludf.DUMMYFUNCTION("IFERROR(IF(OR(ISBLANK($G884), IFERROR(INDEX(GOOGLEFINANCE($C884, ""price"", WORKDAY(INT($B884), 20)), 2, 2), """")=""""), """", IF($D884=""LONG"", (IFERROR(INDEX(GOOGLEFINANCE($C884, ""price"", WORKDAY(INT($B884), 20)), 2, 2), """")-$G884)/$G884, ($G884-I"&amp;"FERROR(INDEX(GOOGLEFINANCE($C884, ""price"", WORKDAY(INT($B884), 20)), 2, 2), """"))/$G884)), """")"),"")</f>
        <v/>
      </c>
      <c r="Q884" s="44"/>
      <c r="R884" s="44"/>
      <c r="S884" s="44"/>
      <c r="T884" s="44"/>
      <c r="U884" s="44"/>
      <c r="V884" s="44"/>
      <c r="W884" s="44"/>
      <c r="X884" s="44"/>
      <c r="Y884" s="44"/>
      <c r="Z884" s="44"/>
    </row>
    <row r="885">
      <c r="A885" s="44"/>
      <c r="B885" s="45"/>
      <c r="C885" s="44"/>
      <c r="D885" s="44"/>
      <c r="E885" s="44"/>
      <c r="F885" s="44"/>
      <c r="G885" s="46"/>
      <c r="H885" s="44"/>
      <c r="I885" s="44"/>
      <c r="J885" s="44"/>
      <c r="K885" s="44"/>
      <c r="L885" s="46" t="str">
        <f>IFERROR(__xludf.DUMMYFUNCTION("IFERROR(IF(ISBLANK($C885), """", GOOGLEFINANCE($C885, ""price"")), """")"),"")</f>
        <v/>
      </c>
      <c r="M885" s="47" t="str">
        <f t="shared" si="3"/>
        <v/>
      </c>
      <c r="N885" s="47" t="str">
        <f>IFERROR(__xludf.DUMMYFUNCTION("IFERROR(IF(OR(ISBLANK($G885), IFERROR(INDEX(GOOGLEFINANCE($C885, ""price"", WORKDAY(INT($B885), 1)), 2, 2), """")=""""), """", IF($D885=""LONG"", (IFERROR(INDEX(GOOGLEFINANCE($C885, ""price"", WORKDAY(INT($B885), 1)), 2, 2), """")-$G885)/$G885, ($G885-IFE"&amp;"RROR(INDEX(GOOGLEFINANCE($C885, ""price"", WORKDAY(INT($B885), 1)), 2, 2), """"))/$G885)), """")"),"")</f>
        <v/>
      </c>
      <c r="O885" s="47" t="str">
        <f>IFERROR(__xludf.DUMMYFUNCTION("IFERROR(IF(OR(ISBLANK($G885), IFERROR(INDEX(GOOGLEFINANCE($C885, ""price"", WORKDAY(INT($B885), 5)), 2, 2), """")=""""), """", IF($D885=""LONG"", (IFERROR(INDEX(GOOGLEFINANCE($C885, ""price"", WORKDAY(INT($B885), 5)), 2, 2), """")-$G885)/$G885, ($G885-IFE"&amp;"RROR(INDEX(GOOGLEFINANCE($C885, ""price"", WORKDAY(INT($B885), 5)), 2, 2), """"))/$G885)), """")"),"")</f>
        <v/>
      </c>
      <c r="P885" s="47" t="str">
        <f>IFERROR(__xludf.DUMMYFUNCTION("IFERROR(IF(OR(ISBLANK($G885), IFERROR(INDEX(GOOGLEFINANCE($C885, ""price"", WORKDAY(INT($B885), 20)), 2, 2), """")=""""), """", IF($D885=""LONG"", (IFERROR(INDEX(GOOGLEFINANCE($C885, ""price"", WORKDAY(INT($B885), 20)), 2, 2), """")-$G885)/$G885, ($G885-I"&amp;"FERROR(INDEX(GOOGLEFINANCE($C885, ""price"", WORKDAY(INT($B885), 20)), 2, 2), """"))/$G885)), """")"),"")</f>
        <v/>
      </c>
      <c r="Q885" s="44"/>
      <c r="R885" s="44"/>
      <c r="S885" s="44"/>
      <c r="T885" s="44"/>
      <c r="U885" s="44"/>
      <c r="V885" s="44"/>
      <c r="W885" s="44"/>
      <c r="X885" s="44"/>
      <c r="Y885" s="44"/>
      <c r="Z885" s="44"/>
    </row>
    <row r="886">
      <c r="A886" s="44"/>
      <c r="B886" s="45"/>
      <c r="C886" s="44"/>
      <c r="D886" s="44"/>
      <c r="E886" s="44"/>
      <c r="F886" s="44"/>
      <c r="G886" s="46"/>
      <c r="H886" s="44"/>
      <c r="I886" s="44"/>
      <c r="J886" s="44"/>
      <c r="K886" s="44"/>
      <c r="L886" s="46" t="str">
        <f>IFERROR(__xludf.DUMMYFUNCTION("IFERROR(IF(ISBLANK($C886), """", GOOGLEFINANCE($C886, ""price"")), """")"),"")</f>
        <v/>
      </c>
      <c r="M886" s="47" t="str">
        <f t="shared" si="3"/>
        <v/>
      </c>
      <c r="N886" s="47" t="str">
        <f>IFERROR(__xludf.DUMMYFUNCTION("IFERROR(IF(OR(ISBLANK($G886), IFERROR(INDEX(GOOGLEFINANCE($C886, ""price"", WORKDAY(INT($B886), 1)), 2, 2), """")=""""), """", IF($D886=""LONG"", (IFERROR(INDEX(GOOGLEFINANCE($C886, ""price"", WORKDAY(INT($B886), 1)), 2, 2), """")-$G886)/$G886, ($G886-IFE"&amp;"RROR(INDEX(GOOGLEFINANCE($C886, ""price"", WORKDAY(INT($B886), 1)), 2, 2), """"))/$G886)), """")"),"")</f>
        <v/>
      </c>
      <c r="O886" s="47" t="str">
        <f>IFERROR(__xludf.DUMMYFUNCTION("IFERROR(IF(OR(ISBLANK($G886), IFERROR(INDEX(GOOGLEFINANCE($C886, ""price"", WORKDAY(INT($B886), 5)), 2, 2), """")=""""), """", IF($D886=""LONG"", (IFERROR(INDEX(GOOGLEFINANCE($C886, ""price"", WORKDAY(INT($B886), 5)), 2, 2), """")-$G886)/$G886, ($G886-IFE"&amp;"RROR(INDEX(GOOGLEFINANCE($C886, ""price"", WORKDAY(INT($B886), 5)), 2, 2), """"))/$G886)), """")"),"")</f>
        <v/>
      </c>
      <c r="P886" s="47" t="str">
        <f>IFERROR(__xludf.DUMMYFUNCTION("IFERROR(IF(OR(ISBLANK($G886), IFERROR(INDEX(GOOGLEFINANCE($C886, ""price"", WORKDAY(INT($B886), 20)), 2, 2), """")=""""), """", IF($D886=""LONG"", (IFERROR(INDEX(GOOGLEFINANCE($C886, ""price"", WORKDAY(INT($B886), 20)), 2, 2), """")-$G886)/$G886, ($G886-I"&amp;"FERROR(INDEX(GOOGLEFINANCE($C886, ""price"", WORKDAY(INT($B886), 20)), 2, 2), """"))/$G886)), """")"),"")</f>
        <v/>
      </c>
      <c r="Q886" s="44"/>
      <c r="R886" s="44"/>
      <c r="S886" s="44"/>
      <c r="T886" s="44"/>
      <c r="U886" s="44"/>
      <c r="V886" s="44"/>
      <c r="W886" s="44"/>
      <c r="X886" s="44"/>
      <c r="Y886" s="44"/>
      <c r="Z886" s="44"/>
    </row>
    <row r="887">
      <c r="A887" s="44"/>
      <c r="B887" s="45"/>
      <c r="C887" s="44"/>
      <c r="D887" s="44"/>
      <c r="E887" s="44"/>
      <c r="F887" s="44"/>
      <c r="G887" s="46"/>
      <c r="H887" s="44"/>
      <c r="I887" s="44"/>
      <c r="J887" s="44"/>
      <c r="K887" s="44"/>
      <c r="L887" s="46" t="str">
        <f>IFERROR(__xludf.DUMMYFUNCTION("IFERROR(IF(ISBLANK($C887), """", GOOGLEFINANCE($C887, ""price"")), """")"),"")</f>
        <v/>
      </c>
      <c r="M887" s="47" t="str">
        <f t="shared" si="3"/>
        <v/>
      </c>
      <c r="N887" s="47" t="str">
        <f>IFERROR(__xludf.DUMMYFUNCTION("IFERROR(IF(OR(ISBLANK($G887), IFERROR(INDEX(GOOGLEFINANCE($C887, ""price"", WORKDAY(INT($B887), 1)), 2, 2), """")=""""), """", IF($D887=""LONG"", (IFERROR(INDEX(GOOGLEFINANCE($C887, ""price"", WORKDAY(INT($B887), 1)), 2, 2), """")-$G887)/$G887, ($G887-IFE"&amp;"RROR(INDEX(GOOGLEFINANCE($C887, ""price"", WORKDAY(INT($B887), 1)), 2, 2), """"))/$G887)), """")"),"")</f>
        <v/>
      </c>
      <c r="O887" s="47" t="str">
        <f>IFERROR(__xludf.DUMMYFUNCTION("IFERROR(IF(OR(ISBLANK($G887), IFERROR(INDEX(GOOGLEFINANCE($C887, ""price"", WORKDAY(INT($B887), 5)), 2, 2), """")=""""), """", IF($D887=""LONG"", (IFERROR(INDEX(GOOGLEFINANCE($C887, ""price"", WORKDAY(INT($B887), 5)), 2, 2), """")-$G887)/$G887, ($G887-IFE"&amp;"RROR(INDEX(GOOGLEFINANCE($C887, ""price"", WORKDAY(INT($B887), 5)), 2, 2), """"))/$G887)), """")"),"")</f>
        <v/>
      </c>
      <c r="P887" s="47" t="str">
        <f>IFERROR(__xludf.DUMMYFUNCTION("IFERROR(IF(OR(ISBLANK($G887), IFERROR(INDEX(GOOGLEFINANCE($C887, ""price"", WORKDAY(INT($B887), 20)), 2, 2), """")=""""), """", IF($D887=""LONG"", (IFERROR(INDEX(GOOGLEFINANCE($C887, ""price"", WORKDAY(INT($B887), 20)), 2, 2), """")-$G887)/$G887, ($G887-I"&amp;"FERROR(INDEX(GOOGLEFINANCE($C887, ""price"", WORKDAY(INT($B887), 20)), 2, 2), """"))/$G887)), """")"),"")</f>
        <v/>
      </c>
      <c r="Q887" s="44"/>
      <c r="R887" s="44"/>
      <c r="S887" s="44"/>
      <c r="T887" s="44"/>
      <c r="U887" s="44"/>
      <c r="V887" s="44"/>
      <c r="W887" s="44"/>
      <c r="X887" s="44"/>
      <c r="Y887" s="44"/>
      <c r="Z887" s="44"/>
    </row>
    <row r="888">
      <c r="A888" s="44"/>
      <c r="B888" s="45"/>
      <c r="C888" s="44"/>
      <c r="D888" s="44"/>
      <c r="E888" s="44"/>
      <c r="F888" s="44"/>
      <c r="G888" s="46"/>
      <c r="H888" s="44"/>
      <c r="I888" s="44"/>
      <c r="J888" s="44"/>
      <c r="K888" s="44"/>
      <c r="L888" s="46" t="str">
        <f>IFERROR(__xludf.DUMMYFUNCTION("IFERROR(IF(ISBLANK($C888), """", GOOGLEFINANCE($C888, ""price"")), """")"),"")</f>
        <v/>
      </c>
      <c r="M888" s="47" t="str">
        <f t="shared" si="3"/>
        <v/>
      </c>
      <c r="N888" s="47" t="str">
        <f>IFERROR(__xludf.DUMMYFUNCTION("IFERROR(IF(OR(ISBLANK($G888), IFERROR(INDEX(GOOGLEFINANCE($C888, ""price"", WORKDAY(INT($B888), 1)), 2, 2), """")=""""), """", IF($D888=""LONG"", (IFERROR(INDEX(GOOGLEFINANCE($C888, ""price"", WORKDAY(INT($B888), 1)), 2, 2), """")-$G888)/$G888, ($G888-IFE"&amp;"RROR(INDEX(GOOGLEFINANCE($C888, ""price"", WORKDAY(INT($B888), 1)), 2, 2), """"))/$G888)), """")"),"")</f>
        <v/>
      </c>
      <c r="O888" s="47" t="str">
        <f>IFERROR(__xludf.DUMMYFUNCTION("IFERROR(IF(OR(ISBLANK($G888), IFERROR(INDEX(GOOGLEFINANCE($C888, ""price"", WORKDAY(INT($B888), 5)), 2, 2), """")=""""), """", IF($D888=""LONG"", (IFERROR(INDEX(GOOGLEFINANCE($C888, ""price"", WORKDAY(INT($B888), 5)), 2, 2), """")-$G888)/$G888, ($G888-IFE"&amp;"RROR(INDEX(GOOGLEFINANCE($C888, ""price"", WORKDAY(INT($B888), 5)), 2, 2), """"))/$G888)), """")"),"")</f>
        <v/>
      </c>
      <c r="P888" s="47" t="str">
        <f>IFERROR(__xludf.DUMMYFUNCTION("IFERROR(IF(OR(ISBLANK($G888), IFERROR(INDEX(GOOGLEFINANCE($C888, ""price"", WORKDAY(INT($B888), 20)), 2, 2), """")=""""), """", IF($D888=""LONG"", (IFERROR(INDEX(GOOGLEFINANCE($C888, ""price"", WORKDAY(INT($B888), 20)), 2, 2), """")-$G888)/$G888, ($G888-I"&amp;"FERROR(INDEX(GOOGLEFINANCE($C888, ""price"", WORKDAY(INT($B888), 20)), 2, 2), """"))/$G888)), """")"),"")</f>
        <v/>
      </c>
      <c r="Q888" s="44"/>
      <c r="R888" s="44"/>
      <c r="S888" s="44"/>
      <c r="T888" s="44"/>
      <c r="U888" s="44"/>
      <c r="V888" s="44"/>
      <c r="W888" s="44"/>
      <c r="X888" s="44"/>
      <c r="Y888" s="44"/>
      <c r="Z888" s="44"/>
    </row>
    <row r="889">
      <c r="A889" s="44"/>
      <c r="B889" s="45"/>
      <c r="C889" s="44"/>
      <c r="D889" s="44"/>
      <c r="E889" s="44"/>
      <c r="F889" s="44"/>
      <c r="G889" s="46"/>
      <c r="H889" s="44"/>
      <c r="I889" s="44"/>
      <c r="J889" s="44"/>
      <c r="K889" s="44"/>
      <c r="L889" s="46" t="str">
        <f>IFERROR(__xludf.DUMMYFUNCTION("IFERROR(IF(ISBLANK($C889), """", GOOGLEFINANCE($C889, ""price"")), """")"),"")</f>
        <v/>
      </c>
      <c r="M889" s="47" t="str">
        <f t="shared" si="3"/>
        <v/>
      </c>
      <c r="N889" s="47" t="str">
        <f>IFERROR(__xludf.DUMMYFUNCTION("IFERROR(IF(OR(ISBLANK($G889), IFERROR(INDEX(GOOGLEFINANCE($C889, ""price"", WORKDAY(INT($B889), 1)), 2, 2), """")=""""), """", IF($D889=""LONG"", (IFERROR(INDEX(GOOGLEFINANCE($C889, ""price"", WORKDAY(INT($B889), 1)), 2, 2), """")-$G889)/$G889, ($G889-IFE"&amp;"RROR(INDEX(GOOGLEFINANCE($C889, ""price"", WORKDAY(INT($B889), 1)), 2, 2), """"))/$G889)), """")"),"")</f>
        <v/>
      </c>
      <c r="O889" s="47" t="str">
        <f>IFERROR(__xludf.DUMMYFUNCTION("IFERROR(IF(OR(ISBLANK($G889), IFERROR(INDEX(GOOGLEFINANCE($C889, ""price"", WORKDAY(INT($B889), 5)), 2, 2), """")=""""), """", IF($D889=""LONG"", (IFERROR(INDEX(GOOGLEFINANCE($C889, ""price"", WORKDAY(INT($B889), 5)), 2, 2), """")-$G889)/$G889, ($G889-IFE"&amp;"RROR(INDEX(GOOGLEFINANCE($C889, ""price"", WORKDAY(INT($B889), 5)), 2, 2), """"))/$G889)), """")"),"")</f>
        <v/>
      </c>
      <c r="P889" s="47" t="str">
        <f>IFERROR(__xludf.DUMMYFUNCTION("IFERROR(IF(OR(ISBLANK($G889), IFERROR(INDEX(GOOGLEFINANCE($C889, ""price"", WORKDAY(INT($B889), 20)), 2, 2), """")=""""), """", IF($D889=""LONG"", (IFERROR(INDEX(GOOGLEFINANCE($C889, ""price"", WORKDAY(INT($B889), 20)), 2, 2), """")-$G889)/$G889, ($G889-I"&amp;"FERROR(INDEX(GOOGLEFINANCE($C889, ""price"", WORKDAY(INT($B889), 20)), 2, 2), """"))/$G889)), """")"),"")</f>
        <v/>
      </c>
      <c r="Q889" s="44"/>
      <c r="R889" s="44"/>
      <c r="S889" s="44"/>
      <c r="T889" s="44"/>
      <c r="U889" s="44"/>
      <c r="V889" s="44"/>
      <c r="W889" s="44"/>
      <c r="X889" s="44"/>
      <c r="Y889" s="44"/>
      <c r="Z889" s="44"/>
    </row>
    <row r="890">
      <c r="A890" s="44"/>
      <c r="B890" s="45"/>
      <c r="C890" s="44"/>
      <c r="D890" s="44"/>
      <c r="E890" s="44"/>
      <c r="F890" s="44"/>
      <c r="G890" s="46"/>
      <c r="H890" s="44"/>
      <c r="I890" s="44"/>
      <c r="J890" s="44"/>
      <c r="K890" s="44"/>
      <c r="L890" s="46" t="str">
        <f>IFERROR(__xludf.DUMMYFUNCTION("IFERROR(IF(ISBLANK($C890), """", GOOGLEFINANCE($C890, ""price"")), """")"),"")</f>
        <v/>
      </c>
      <c r="M890" s="47" t="str">
        <f t="shared" si="3"/>
        <v/>
      </c>
      <c r="N890" s="47" t="str">
        <f>IFERROR(__xludf.DUMMYFUNCTION("IFERROR(IF(OR(ISBLANK($G890), IFERROR(INDEX(GOOGLEFINANCE($C890, ""price"", WORKDAY(INT($B890), 1)), 2, 2), """")=""""), """", IF($D890=""LONG"", (IFERROR(INDEX(GOOGLEFINANCE($C890, ""price"", WORKDAY(INT($B890), 1)), 2, 2), """")-$G890)/$G890, ($G890-IFE"&amp;"RROR(INDEX(GOOGLEFINANCE($C890, ""price"", WORKDAY(INT($B890), 1)), 2, 2), """"))/$G890)), """")"),"")</f>
        <v/>
      </c>
      <c r="O890" s="47" t="str">
        <f>IFERROR(__xludf.DUMMYFUNCTION("IFERROR(IF(OR(ISBLANK($G890), IFERROR(INDEX(GOOGLEFINANCE($C890, ""price"", WORKDAY(INT($B890), 5)), 2, 2), """")=""""), """", IF($D890=""LONG"", (IFERROR(INDEX(GOOGLEFINANCE($C890, ""price"", WORKDAY(INT($B890), 5)), 2, 2), """")-$G890)/$G890, ($G890-IFE"&amp;"RROR(INDEX(GOOGLEFINANCE($C890, ""price"", WORKDAY(INT($B890), 5)), 2, 2), """"))/$G890)), """")"),"")</f>
        <v/>
      </c>
      <c r="P890" s="47" t="str">
        <f>IFERROR(__xludf.DUMMYFUNCTION("IFERROR(IF(OR(ISBLANK($G890), IFERROR(INDEX(GOOGLEFINANCE($C890, ""price"", WORKDAY(INT($B890), 20)), 2, 2), """")=""""), """", IF($D890=""LONG"", (IFERROR(INDEX(GOOGLEFINANCE($C890, ""price"", WORKDAY(INT($B890), 20)), 2, 2), """")-$G890)/$G890, ($G890-I"&amp;"FERROR(INDEX(GOOGLEFINANCE($C890, ""price"", WORKDAY(INT($B890), 20)), 2, 2), """"))/$G890)), """")"),"")</f>
        <v/>
      </c>
      <c r="Q890" s="44"/>
      <c r="R890" s="44"/>
      <c r="S890" s="44"/>
      <c r="T890" s="44"/>
      <c r="U890" s="44"/>
      <c r="V890" s="44"/>
      <c r="W890" s="44"/>
      <c r="X890" s="44"/>
      <c r="Y890" s="44"/>
      <c r="Z890" s="44"/>
    </row>
    <row r="891">
      <c r="A891" s="44"/>
      <c r="B891" s="45"/>
      <c r="C891" s="44"/>
      <c r="D891" s="44"/>
      <c r="E891" s="44"/>
      <c r="F891" s="44"/>
      <c r="G891" s="46"/>
      <c r="H891" s="44"/>
      <c r="I891" s="44"/>
      <c r="J891" s="44"/>
      <c r="K891" s="44"/>
      <c r="L891" s="46" t="str">
        <f>IFERROR(__xludf.DUMMYFUNCTION("IFERROR(IF(ISBLANK($C891), """", GOOGLEFINANCE($C891, ""price"")), """")"),"")</f>
        <v/>
      </c>
      <c r="M891" s="47" t="str">
        <f t="shared" si="3"/>
        <v/>
      </c>
      <c r="N891" s="47" t="str">
        <f>IFERROR(__xludf.DUMMYFUNCTION("IFERROR(IF(OR(ISBLANK($G891), IFERROR(INDEX(GOOGLEFINANCE($C891, ""price"", WORKDAY(INT($B891), 1)), 2, 2), """")=""""), """", IF($D891=""LONG"", (IFERROR(INDEX(GOOGLEFINANCE($C891, ""price"", WORKDAY(INT($B891), 1)), 2, 2), """")-$G891)/$G891, ($G891-IFE"&amp;"RROR(INDEX(GOOGLEFINANCE($C891, ""price"", WORKDAY(INT($B891), 1)), 2, 2), """"))/$G891)), """")"),"")</f>
        <v/>
      </c>
      <c r="O891" s="47" t="str">
        <f>IFERROR(__xludf.DUMMYFUNCTION("IFERROR(IF(OR(ISBLANK($G891), IFERROR(INDEX(GOOGLEFINANCE($C891, ""price"", WORKDAY(INT($B891), 5)), 2, 2), """")=""""), """", IF($D891=""LONG"", (IFERROR(INDEX(GOOGLEFINANCE($C891, ""price"", WORKDAY(INT($B891), 5)), 2, 2), """")-$G891)/$G891, ($G891-IFE"&amp;"RROR(INDEX(GOOGLEFINANCE($C891, ""price"", WORKDAY(INT($B891), 5)), 2, 2), """"))/$G891)), """")"),"")</f>
        <v/>
      </c>
      <c r="P891" s="47" t="str">
        <f>IFERROR(__xludf.DUMMYFUNCTION("IFERROR(IF(OR(ISBLANK($G891), IFERROR(INDEX(GOOGLEFINANCE($C891, ""price"", WORKDAY(INT($B891), 20)), 2, 2), """")=""""), """", IF($D891=""LONG"", (IFERROR(INDEX(GOOGLEFINANCE($C891, ""price"", WORKDAY(INT($B891), 20)), 2, 2), """")-$G891)/$G891, ($G891-I"&amp;"FERROR(INDEX(GOOGLEFINANCE($C891, ""price"", WORKDAY(INT($B891), 20)), 2, 2), """"))/$G891)), """")"),"")</f>
        <v/>
      </c>
      <c r="Q891" s="44"/>
      <c r="R891" s="44"/>
      <c r="S891" s="44"/>
      <c r="T891" s="44"/>
      <c r="U891" s="44"/>
      <c r="V891" s="44"/>
      <c r="W891" s="44"/>
      <c r="X891" s="44"/>
      <c r="Y891" s="44"/>
      <c r="Z891" s="44"/>
    </row>
    <row r="892">
      <c r="A892" s="44"/>
      <c r="B892" s="45"/>
      <c r="C892" s="44"/>
      <c r="D892" s="44"/>
      <c r="E892" s="44"/>
      <c r="F892" s="44"/>
      <c r="G892" s="46"/>
      <c r="H892" s="44"/>
      <c r="I892" s="44"/>
      <c r="J892" s="44"/>
      <c r="K892" s="44"/>
      <c r="L892" s="46" t="str">
        <f>IFERROR(__xludf.DUMMYFUNCTION("IFERROR(IF(ISBLANK($C892), """", GOOGLEFINANCE($C892, ""price"")), """")"),"")</f>
        <v/>
      </c>
      <c r="M892" s="47" t="str">
        <f t="shared" si="3"/>
        <v/>
      </c>
      <c r="N892" s="47" t="str">
        <f>IFERROR(__xludf.DUMMYFUNCTION("IFERROR(IF(OR(ISBLANK($G892), IFERROR(INDEX(GOOGLEFINANCE($C892, ""price"", WORKDAY(INT($B892), 1)), 2, 2), """")=""""), """", IF($D892=""LONG"", (IFERROR(INDEX(GOOGLEFINANCE($C892, ""price"", WORKDAY(INT($B892), 1)), 2, 2), """")-$G892)/$G892, ($G892-IFE"&amp;"RROR(INDEX(GOOGLEFINANCE($C892, ""price"", WORKDAY(INT($B892), 1)), 2, 2), """"))/$G892)), """")"),"")</f>
        <v/>
      </c>
      <c r="O892" s="47" t="str">
        <f>IFERROR(__xludf.DUMMYFUNCTION("IFERROR(IF(OR(ISBLANK($G892), IFERROR(INDEX(GOOGLEFINANCE($C892, ""price"", WORKDAY(INT($B892), 5)), 2, 2), """")=""""), """", IF($D892=""LONG"", (IFERROR(INDEX(GOOGLEFINANCE($C892, ""price"", WORKDAY(INT($B892), 5)), 2, 2), """")-$G892)/$G892, ($G892-IFE"&amp;"RROR(INDEX(GOOGLEFINANCE($C892, ""price"", WORKDAY(INT($B892), 5)), 2, 2), """"))/$G892)), """")"),"")</f>
        <v/>
      </c>
      <c r="P892" s="47" t="str">
        <f>IFERROR(__xludf.DUMMYFUNCTION("IFERROR(IF(OR(ISBLANK($G892), IFERROR(INDEX(GOOGLEFINANCE($C892, ""price"", WORKDAY(INT($B892), 20)), 2, 2), """")=""""), """", IF($D892=""LONG"", (IFERROR(INDEX(GOOGLEFINANCE($C892, ""price"", WORKDAY(INT($B892), 20)), 2, 2), """")-$G892)/$G892, ($G892-I"&amp;"FERROR(INDEX(GOOGLEFINANCE($C892, ""price"", WORKDAY(INT($B892), 20)), 2, 2), """"))/$G892)), """")"),"")</f>
        <v/>
      </c>
      <c r="Q892" s="44"/>
      <c r="R892" s="44"/>
      <c r="S892" s="44"/>
      <c r="T892" s="44"/>
      <c r="U892" s="44"/>
      <c r="V892" s="44"/>
      <c r="W892" s="44"/>
      <c r="X892" s="44"/>
      <c r="Y892" s="44"/>
      <c r="Z892" s="44"/>
    </row>
    <row r="893">
      <c r="A893" s="44"/>
      <c r="B893" s="45"/>
      <c r="C893" s="44"/>
      <c r="D893" s="44"/>
      <c r="E893" s="44"/>
      <c r="F893" s="44"/>
      <c r="G893" s="46"/>
      <c r="H893" s="44"/>
      <c r="I893" s="44"/>
      <c r="J893" s="44"/>
      <c r="K893" s="44"/>
      <c r="L893" s="46" t="str">
        <f>IFERROR(__xludf.DUMMYFUNCTION("IFERROR(IF(ISBLANK($C893), """", GOOGLEFINANCE($C893, ""price"")), """")"),"")</f>
        <v/>
      </c>
      <c r="M893" s="47" t="str">
        <f t="shared" si="3"/>
        <v/>
      </c>
      <c r="N893" s="47" t="str">
        <f>IFERROR(__xludf.DUMMYFUNCTION("IFERROR(IF(OR(ISBLANK($G893), IFERROR(INDEX(GOOGLEFINANCE($C893, ""price"", WORKDAY(INT($B893), 1)), 2, 2), """")=""""), """", IF($D893=""LONG"", (IFERROR(INDEX(GOOGLEFINANCE($C893, ""price"", WORKDAY(INT($B893), 1)), 2, 2), """")-$G893)/$G893, ($G893-IFE"&amp;"RROR(INDEX(GOOGLEFINANCE($C893, ""price"", WORKDAY(INT($B893), 1)), 2, 2), """"))/$G893)), """")"),"")</f>
        <v/>
      </c>
      <c r="O893" s="47" t="str">
        <f>IFERROR(__xludf.DUMMYFUNCTION("IFERROR(IF(OR(ISBLANK($G893), IFERROR(INDEX(GOOGLEFINANCE($C893, ""price"", WORKDAY(INT($B893), 5)), 2, 2), """")=""""), """", IF($D893=""LONG"", (IFERROR(INDEX(GOOGLEFINANCE($C893, ""price"", WORKDAY(INT($B893), 5)), 2, 2), """")-$G893)/$G893, ($G893-IFE"&amp;"RROR(INDEX(GOOGLEFINANCE($C893, ""price"", WORKDAY(INT($B893), 5)), 2, 2), """"))/$G893)), """")"),"")</f>
        <v/>
      </c>
      <c r="P893" s="47" t="str">
        <f>IFERROR(__xludf.DUMMYFUNCTION("IFERROR(IF(OR(ISBLANK($G893), IFERROR(INDEX(GOOGLEFINANCE($C893, ""price"", WORKDAY(INT($B893), 20)), 2, 2), """")=""""), """", IF($D893=""LONG"", (IFERROR(INDEX(GOOGLEFINANCE($C893, ""price"", WORKDAY(INT($B893), 20)), 2, 2), """")-$G893)/$G893, ($G893-I"&amp;"FERROR(INDEX(GOOGLEFINANCE($C893, ""price"", WORKDAY(INT($B893), 20)), 2, 2), """"))/$G893)), """")"),"")</f>
        <v/>
      </c>
      <c r="Q893" s="44"/>
      <c r="R893" s="44"/>
      <c r="S893" s="44"/>
      <c r="T893" s="44"/>
      <c r="U893" s="44"/>
      <c r="V893" s="44"/>
      <c r="W893" s="44"/>
      <c r="X893" s="44"/>
      <c r="Y893" s="44"/>
      <c r="Z893" s="44"/>
    </row>
    <row r="894">
      <c r="A894" s="44"/>
      <c r="B894" s="45"/>
      <c r="C894" s="44"/>
      <c r="D894" s="44"/>
      <c r="E894" s="44"/>
      <c r="F894" s="44"/>
      <c r="G894" s="46"/>
      <c r="H894" s="44"/>
      <c r="I894" s="44"/>
      <c r="J894" s="44"/>
      <c r="K894" s="44"/>
      <c r="L894" s="46" t="str">
        <f>IFERROR(__xludf.DUMMYFUNCTION("IFERROR(IF(ISBLANK($C894), """", GOOGLEFINANCE($C894, ""price"")), """")"),"")</f>
        <v/>
      </c>
      <c r="M894" s="47" t="str">
        <f t="shared" si="3"/>
        <v/>
      </c>
      <c r="N894" s="47" t="str">
        <f>IFERROR(__xludf.DUMMYFUNCTION("IFERROR(IF(OR(ISBLANK($G894), IFERROR(INDEX(GOOGLEFINANCE($C894, ""price"", WORKDAY(INT($B894), 1)), 2, 2), """")=""""), """", IF($D894=""LONG"", (IFERROR(INDEX(GOOGLEFINANCE($C894, ""price"", WORKDAY(INT($B894), 1)), 2, 2), """")-$G894)/$G894, ($G894-IFE"&amp;"RROR(INDEX(GOOGLEFINANCE($C894, ""price"", WORKDAY(INT($B894), 1)), 2, 2), """"))/$G894)), """")"),"")</f>
        <v/>
      </c>
      <c r="O894" s="47" t="str">
        <f>IFERROR(__xludf.DUMMYFUNCTION("IFERROR(IF(OR(ISBLANK($G894), IFERROR(INDEX(GOOGLEFINANCE($C894, ""price"", WORKDAY(INT($B894), 5)), 2, 2), """")=""""), """", IF($D894=""LONG"", (IFERROR(INDEX(GOOGLEFINANCE($C894, ""price"", WORKDAY(INT($B894), 5)), 2, 2), """")-$G894)/$G894, ($G894-IFE"&amp;"RROR(INDEX(GOOGLEFINANCE($C894, ""price"", WORKDAY(INT($B894), 5)), 2, 2), """"))/$G894)), """")"),"")</f>
        <v/>
      </c>
      <c r="P894" s="47" t="str">
        <f>IFERROR(__xludf.DUMMYFUNCTION("IFERROR(IF(OR(ISBLANK($G894), IFERROR(INDEX(GOOGLEFINANCE($C894, ""price"", WORKDAY(INT($B894), 20)), 2, 2), """")=""""), """", IF($D894=""LONG"", (IFERROR(INDEX(GOOGLEFINANCE($C894, ""price"", WORKDAY(INT($B894), 20)), 2, 2), """")-$G894)/$G894, ($G894-I"&amp;"FERROR(INDEX(GOOGLEFINANCE($C894, ""price"", WORKDAY(INT($B894), 20)), 2, 2), """"))/$G894)), """")"),"")</f>
        <v/>
      </c>
      <c r="Q894" s="44"/>
      <c r="R894" s="44"/>
      <c r="S894" s="44"/>
      <c r="T894" s="44"/>
      <c r="U894" s="44"/>
      <c r="V894" s="44"/>
      <c r="W894" s="44"/>
      <c r="X894" s="44"/>
      <c r="Y894" s="44"/>
      <c r="Z894" s="44"/>
    </row>
    <row r="895">
      <c r="A895" s="44"/>
      <c r="B895" s="45"/>
      <c r="C895" s="44"/>
      <c r="D895" s="44"/>
      <c r="E895" s="44"/>
      <c r="F895" s="44"/>
      <c r="G895" s="46"/>
      <c r="H895" s="44"/>
      <c r="I895" s="44"/>
      <c r="J895" s="44"/>
      <c r="K895" s="44"/>
      <c r="L895" s="46" t="str">
        <f>IFERROR(__xludf.DUMMYFUNCTION("IFERROR(IF(ISBLANK($C895), """", GOOGLEFINANCE($C895, ""price"")), """")"),"")</f>
        <v/>
      </c>
      <c r="M895" s="47" t="str">
        <f t="shared" si="3"/>
        <v/>
      </c>
      <c r="N895" s="47" t="str">
        <f>IFERROR(__xludf.DUMMYFUNCTION("IFERROR(IF(OR(ISBLANK($G895), IFERROR(INDEX(GOOGLEFINANCE($C895, ""price"", WORKDAY(INT($B895), 1)), 2, 2), """")=""""), """", IF($D895=""LONG"", (IFERROR(INDEX(GOOGLEFINANCE($C895, ""price"", WORKDAY(INT($B895), 1)), 2, 2), """")-$G895)/$G895, ($G895-IFE"&amp;"RROR(INDEX(GOOGLEFINANCE($C895, ""price"", WORKDAY(INT($B895), 1)), 2, 2), """"))/$G895)), """")"),"")</f>
        <v/>
      </c>
      <c r="O895" s="47" t="str">
        <f>IFERROR(__xludf.DUMMYFUNCTION("IFERROR(IF(OR(ISBLANK($G895), IFERROR(INDEX(GOOGLEFINANCE($C895, ""price"", WORKDAY(INT($B895), 5)), 2, 2), """")=""""), """", IF($D895=""LONG"", (IFERROR(INDEX(GOOGLEFINANCE($C895, ""price"", WORKDAY(INT($B895), 5)), 2, 2), """")-$G895)/$G895, ($G895-IFE"&amp;"RROR(INDEX(GOOGLEFINANCE($C895, ""price"", WORKDAY(INT($B895), 5)), 2, 2), """"))/$G895)), """")"),"")</f>
        <v/>
      </c>
      <c r="P895" s="47" t="str">
        <f>IFERROR(__xludf.DUMMYFUNCTION("IFERROR(IF(OR(ISBLANK($G895), IFERROR(INDEX(GOOGLEFINANCE($C895, ""price"", WORKDAY(INT($B895), 20)), 2, 2), """")=""""), """", IF($D895=""LONG"", (IFERROR(INDEX(GOOGLEFINANCE($C895, ""price"", WORKDAY(INT($B895), 20)), 2, 2), """")-$G895)/$G895, ($G895-I"&amp;"FERROR(INDEX(GOOGLEFINANCE($C895, ""price"", WORKDAY(INT($B895), 20)), 2, 2), """"))/$G895)), """")"),"")</f>
        <v/>
      </c>
      <c r="Q895" s="44"/>
      <c r="R895" s="44"/>
      <c r="S895" s="44"/>
      <c r="T895" s="44"/>
      <c r="U895" s="44"/>
      <c r="V895" s="44"/>
      <c r="W895" s="44"/>
      <c r="X895" s="44"/>
      <c r="Y895" s="44"/>
      <c r="Z895" s="44"/>
    </row>
    <row r="896">
      <c r="A896" s="44"/>
      <c r="B896" s="45"/>
      <c r="C896" s="44"/>
      <c r="D896" s="44"/>
      <c r="E896" s="44"/>
      <c r="F896" s="44"/>
      <c r="G896" s="46"/>
      <c r="H896" s="44"/>
      <c r="I896" s="44"/>
      <c r="J896" s="44"/>
      <c r="K896" s="44"/>
      <c r="L896" s="46" t="str">
        <f>IFERROR(__xludf.DUMMYFUNCTION("IFERROR(IF(ISBLANK($C896), """", GOOGLEFINANCE($C896, ""price"")), """")"),"")</f>
        <v/>
      </c>
      <c r="M896" s="47" t="str">
        <f t="shared" si="3"/>
        <v/>
      </c>
      <c r="N896" s="47" t="str">
        <f>IFERROR(__xludf.DUMMYFUNCTION("IFERROR(IF(OR(ISBLANK($G896), IFERROR(INDEX(GOOGLEFINANCE($C896, ""price"", WORKDAY(INT($B896), 1)), 2, 2), """")=""""), """", IF($D896=""LONG"", (IFERROR(INDEX(GOOGLEFINANCE($C896, ""price"", WORKDAY(INT($B896), 1)), 2, 2), """")-$G896)/$G896, ($G896-IFE"&amp;"RROR(INDEX(GOOGLEFINANCE($C896, ""price"", WORKDAY(INT($B896), 1)), 2, 2), """"))/$G896)), """")"),"")</f>
        <v/>
      </c>
      <c r="O896" s="47" t="str">
        <f>IFERROR(__xludf.DUMMYFUNCTION("IFERROR(IF(OR(ISBLANK($G896), IFERROR(INDEX(GOOGLEFINANCE($C896, ""price"", WORKDAY(INT($B896), 5)), 2, 2), """")=""""), """", IF($D896=""LONG"", (IFERROR(INDEX(GOOGLEFINANCE($C896, ""price"", WORKDAY(INT($B896), 5)), 2, 2), """")-$G896)/$G896, ($G896-IFE"&amp;"RROR(INDEX(GOOGLEFINANCE($C896, ""price"", WORKDAY(INT($B896), 5)), 2, 2), """"))/$G896)), """")"),"")</f>
        <v/>
      </c>
      <c r="P896" s="47" t="str">
        <f>IFERROR(__xludf.DUMMYFUNCTION("IFERROR(IF(OR(ISBLANK($G896), IFERROR(INDEX(GOOGLEFINANCE($C896, ""price"", WORKDAY(INT($B896), 20)), 2, 2), """")=""""), """", IF($D896=""LONG"", (IFERROR(INDEX(GOOGLEFINANCE($C896, ""price"", WORKDAY(INT($B896), 20)), 2, 2), """")-$G896)/$G896, ($G896-I"&amp;"FERROR(INDEX(GOOGLEFINANCE($C896, ""price"", WORKDAY(INT($B896), 20)), 2, 2), """"))/$G896)), """")"),"")</f>
        <v/>
      </c>
      <c r="Q896" s="44"/>
      <c r="R896" s="44"/>
      <c r="S896" s="44"/>
      <c r="T896" s="44"/>
      <c r="U896" s="44"/>
      <c r="V896" s="44"/>
      <c r="W896" s="44"/>
      <c r="X896" s="44"/>
      <c r="Y896" s="44"/>
      <c r="Z896" s="44"/>
    </row>
    <row r="897">
      <c r="A897" s="44"/>
      <c r="B897" s="45"/>
      <c r="C897" s="44"/>
      <c r="D897" s="44"/>
      <c r="E897" s="44"/>
      <c r="F897" s="44"/>
      <c r="G897" s="46"/>
      <c r="H897" s="44"/>
      <c r="I897" s="44"/>
      <c r="J897" s="44"/>
      <c r="K897" s="44"/>
      <c r="L897" s="46" t="str">
        <f>IFERROR(__xludf.DUMMYFUNCTION("IFERROR(IF(ISBLANK($C897), """", GOOGLEFINANCE($C897, ""price"")), """")"),"")</f>
        <v/>
      </c>
      <c r="M897" s="47" t="str">
        <f t="shared" si="3"/>
        <v/>
      </c>
      <c r="N897" s="47" t="str">
        <f>IFERROR(__xludf.DUMMYFUNCTION("IFERROR(IF(OR(ISBLANK($G897), IFERROR(INDEX(GOOGLEFINANCE($C897, ""price"", WORKDAY(INT($B897), 1)), 2, 2), """")=""""), """", IF($D897=""LONG"", (IFERROR(INDEX(GOOGLEFINANCE($C897, ""price"", WORKDAY(INT($B897), 1)), 2, 2), """")-$G897)/$G897, ($G897-IFE"&amp;"RROR(INDEX(GOOGLEFINANCE($C897, ""price"", WORKDAY(INT($B897), 1)), 2, 2), """"))/$G897)), """")"),"")</f>
        <v/>
      </c>
      <c r="O897" s="47" t="str">
        <f>IFERROR(__xludf.DUMMYFUNCTION("IFERROR(IF(OR(ISBLANK($G897), IFERROR(INDEX(GOOGLEFINANCE($C897, ""price"", WORKDAY(INT($B897), 5)), 2, 2), """")=""""), """", IF($D897=""LONG"", (IFERROR(INDEX(GOOGLEFINANCE($C897, ""price"", WORKDAY(INT($B897), 5)), 2, 2), """")-$G897)/$G897, ($G897-IFE"&amp;"RROR(INDEX(GOOGLEFINANCE($C897, ""price"", WORKDAY(INT($B897), 5)), 2, 2), """"))/$G897)), """")"),"")</f>
        <v/>
      </c>
      <c r="P897" s="47" t="str">
        <f>IFERROR(__xludf.DUMMYFUNCTION("IFERROR(IF(OR(ISBLANK($G897), IFERROR(INDEX(GOOGLEFINANCE($C897, ""price"", WORKDAY(INT($B897), 20)), 2, 2), """")=""""), """", IF($D897=""LONG"", (IFERROR(INDEX(GOOGLEFINANCE($C897, ""price"", WORKDAY(INT($B897), 20)), 2, 2), """")-$G897)/$G897, ($G897-I"&amp;"FERROR(INDEX(GOOGLEFINANCE($C897, ""price"", WORKDAY(INT($B897), 20)), 2, 2), """"))/$G897)), """")"),"")</f>
        <v/>
      </c>
      <c r="Q897" s="44"/>
      <c r="R897" s="44"/>
      <c r="S897" s="44"/>
      <c r="T897" s="44"/>
      <c r="U897" s="44"/>
      <c r="V897" s="44"/>
      <c r="W897" s="44"/>
      <c r="X897" s="44"/>
      <c r="Y897" s="44"/>
      <c r="Z897" s="44"/>
    </row>
    <row r="898">
      <c r="A898" s="44"/>
      <c r="B898" s="45"/>
      <c r="C898" s="44"/>
      <c r="D898" s="44"/>
      <c r="E898" s="44"/>
      <c r="F898" s="44"/>
      <c r="G898" s="46"/>
      <c r="H898" s="44"/>
      <c r="I898" s="44"/>
      <c r="J898" s="44"/>
      <c r="K898" s="44"/>
      <c r="L898" s="46" t="str">
        <f>IFERROR(__xludf.DUMMYFUNCTION("IFERROR(IF(ISBLANK($C898), """", GOOGLEFINANCE($C898, ""price"")), """")"),"")</f>
        <v/>
      </c>
      <c r="M898" s="47" t="str">
        <f t="shared" si="3"/>
        <v/>
      </c>
      <c r="N898" s="47" t="str">
        <f>IFERROR(__xludf.DUMMYFUNCTION("IFERROR(IF(OR(ISBLANK($G898), IFERROR(INDEX(GOOGLEFINANCE($C898, ""price"", WORKDAY(INT($B898), 1)), 2, 2), """")=""""), """", IF($D898=""LONG"", (IFERROR(INDEX(GOOGLEFINANCE($C898, ""price"", WORKDAY(INT($B898), 1)), 2, 2), """")-$G898)/$G898, ($G898-IFE"&amp;"RROR(INDEX(GOOGLEFINANCE($C898, ""price"", WORKDAY(INT($B898), 1)), 2, 2), """"))/$G898)), """")"),"")</f>
        <v/>
      </c>
      <c r="O898" s="47" t="str">
        <f>IFERROR(__xludf.DUMMYFUNCTION("IFERROR(IF(OR(ISBLANK($G898), IFERROR(INDEX(GOOGLEFINANCE($C898, ""price"", WORKDAY(INT($B898), 5)), 2, 2), """")=""""), """", IF($D898=""LONG"", (IFERROR(INDEX(GOOGLEFINANCE($C898, ""price"", WORKDAY(INT($B898), 5)), 2, 2), """")-$G898)/$G898, ($G898-IFE"&amp;"RROR(INDEX(GOOGLEFINANCE($C898, ""price"", WORKDAY(INT($B898), 5)), 2, 2), """"))/$G898)), """")"),"")</f>
        <v/>
      </c>
      <c r="P898" s="47" t="str">
        <f>IFERROR(__xludf.DUMMYFUNCTION("IFERROR(IF(OR(ISBLANK($G898), IFERROR(INDEX(GOOGLEFINANCE($C898, ""price"", WORKDAY(INT($B898), 20)), 2, 2), """")=""""), """", IF($D898=""LONG"", (IFERROR(INDEX(GOOGLEFINANCE($C898, ""price"", WORKDAY(INT($B898), 20)), 2, 2), """")-$G898)/$G898, ($G898-I"&amp;"FERROR(INDEX(GOOGLEFINANCE($C898, ""price"", WORKDAY(INT($B898), 20)), 2, 2), """"))/$G898)), """")"),"")</f>
        <v/>
      </c>
      <c r="Q898" s="44"/>
      <c r="R898" s="44"/>
      <c r="S898" s="44"/>
      <c r="T898" s="44"/>
      <c r="U898" s="44"/>
      <c r="V898" s="44"/>
      <c r="W898" s="44"/>
      <c r="X898" s="44"/>
      <c r="Y898" s="44"/>
      <c r="Z898" s="44"/>
    </row>
    <row r="899">
      <c r="A899" s="44"/>
      <c r="B899" s="45"/>
      <c r="C899" s="44"/>
      <c r="D899" s="44"/>
      <c r="E899" s="44"/>
      <c r="F899" s="44"/>
      <c r="G899" s="46"/>
      <c r="H899" s="44"/>
      <c r="I899" s="44"/>
      <c r="J899" s="44"/>
      <c r="K899" s="44"/>
      <c r="L899" s="46" t="str">
        <f>IFERROR(__xludf.DUMMYFUNCTION("IFERROR(IF(ISBLANK($C899), """", GOOGLEFINANCE($C899, ""price"")), """")"),"")</f>
        <v/>
      </c>
      <c r="M899" s="47" t="str">
        <f t="shared" si="3"/>
        <v/>
      </c>
      <c r="N899" s="47" t="str">
        <f>IFERROR(__xludf.DUMMYFUNCTION("IFERROR(IF(OR(ISBLANK($G899), IFERROR(INDEX(GOOGLEFINANCE($C899, ""price"", WORKDAY(INT($B899), 1)), 2, 2), """")=""""), """", IF($D899=""LONG"", (IFERROR(INDEX(GOOGLEFINANCE($C899, ""price"", WORKDAY(INT($B899), 1)), 2, 2), """")-$G899)/$G899, ($G899-IFE"&amp;"RROR(INDEX(GOOGLEFINANCE($C899, ""price"", WORKDAY(INT($B899), 1)), 2, 2), """"))/$G899)), """")"),"")</f>
        <v/>
      </c>
      <c r="O899" s="47" t="str">
        <f>IFERROR(__xludf.DUMMYFUNCTION("IFERROR(IF(OR(ISBLANK($G899), IFERROR(INDEX(GOOGLEFINANCE($C899, ""price"", WORKDAY(INT($B899), 5)), 2, 2), """")=""""), """", IF($D899=""LONG"", (IFERROR(INDEX(GOOGLEFINANCE($C899, ""price"", WORKDAY(INT($B899), 5)), 2, 2), """")-$G899)/$G899, ($G899-IFE"&amp;"RROR(INDEX(GOOGLEFINANCE($C899, ""price"", WORKDAY(INT($B899), 5)), 2, 2), """"))/$G899)), """")"),"")</f>
        <v/>
      </c>
      <c r="P899" s="47" t="str">
        <f>IFERROR(__xludf.DUMMYFUNCTION("IFERROR(IF(OR(ISBLANK($G899), IFERROR(INDEX(GOOGLEFINANCE($C899, ""price"", WORKDAY(INT($B899), 20)), 2, 2), """")=""""), """", IF($D899=""LONG"", (IFERROR(INDEX(GOOGLEFINANCE($C899, ""price"", WORKDAY(INT($B899), 20)), 2, 2), """")-$G899)/$G899, ($G899-I"&amp;"FERROR(INDEX(GOOGLEFINANCE($C899, ""price"", WORKDAY(INT($B899), 20)), 2, 2), """"))/$G899)), """")"),"")</f>
        <v/>
      </c>
      <c r="Q899" s="44"/>
      <c r="R899" s="44"/>
      <c r="S899" s="44"/>
      <c r="T899" s="44"/>
      <c r="U899" s="44"/>
      <c r="V899" s="44"/>
      <c r="W899" s="44"/>
      <c r="X899" s="44"/>
      <c r="Y899" s="44"/>
      <c r="Z899" s="44"/>
    </row>
    <row r="900">
      <c r="A900" s="44"/>
      <c r="B900" s="45"/>
      <c r="C900" s="44"/>
      <c r="D900" s="44"/>
      <c r="E900" s="44"/>
      <c r="F900" s="44"/>
      <c r="G900" s="46"/>
      <c r="H900" s="44"/>
      <c r="I900" s="44"/>
      <c r="J900" s="44"/>
      <c r="K900" s="44"/>
      <c r="L900" s="46" t="str">
        <f>IFERROR(__xludf.DUMMYFUNCTION("IFERROR(IF(ISBLANK($C900), """", GOOGLEFINANCE($C900, ""price"")), """")"),"")</f>
        <v/>
      </c>
      <c r="M900" s="47" t="str">
        <f t="shared" si="3"/>
        <v/>
      </c>
      <c r="N900" s="47" t="str">
        <f>IFERROR(__xludf.DUMMYFUNCTION("IFERROR(IF(OR(ISBLANK($G900), IFERROR(INDEX(GOOGLEFINANCE($C900, ""price"", WORKDAY(INT($B900), 1)), 2, 2), """")=""""), """", IF($D900=""LONG"", (IFERROR(INDEX(GOOGLEFINANCE($C900, ""price"", WORKDAY(INT($B900), 1)), 2, 2), """")-$G900)/$G900, ($G900-IFE"&amp;"RROR(INDEX(GOOGLEFINANCE($C900, ""price"", WORKDAY(INT($B900), 1)), 2, 2), """"))/$G900)), """")"),"")</f>
        <v/>
      </c>
      <c r="O900" s="47" t="str">
        <f>IFERROR(__xludf.DUMMYFUNCTION("IFERROR(IF(OR(ISBLANK($G900), IFERROR(INDEX(GOOGLEFINANCE($C900, ""price"", WORKDAY(INT($B900), 5)), 2, 2), """")=""""), """", IF($D900=""LONG"", (IFERROR(INDEX(GOOGLEFINANCE($C900, ""price"", WORKDAY(INT($B900), 5)), 2, 2), """")-$G900)/$G900, ($G900-IFE"&amp;"RROR(INDEX(GOOGLEFINANCE($C900, ""price"", WORKDAY(INT($B900), 5)), 2, 2), """"))/$G900)), """")"),"")</f>
        <v/>
      </c>
      <c r="P900" s="47" t="str">
        <f>IFERROR(__xludf.DUMMYFUNCTION("IFERROR(IF(OR(ISBLANK($G900), IFERROR(INDEX(GOOGLEFINANCE($C900, ""price"", WORKDAY(INT($B900), 20)), 2, 2), """")=""""), """", IF($D900=""LONG"", (IFERROR(INDEX(GOOGLEFINANCE($C900, ""price"", WORKDAY(INT($B900), 20)), 2, 2), """")-$G900)/$G900, ($G900-I"&amp;"FERROR(INDEX(GOOGLEFINANCE($C900, ""price"", WORKDAY(INT($B900), 20)), 2, 2), """"))/$G900)), """")"),"")</f>
        <v/>
      </c>
      <c r="Q900" s="44"/>
      <c r="R900" s="44"/>
      <c r="S900" s="44"/>
      <c r="T900" s="44"/>
      <c r="U900" s="44"/>
      <c r="V900" s="44"/>
      <c r="W900" s="44"/>
      <c r="X900" s="44"/>
      <c r="Y900" s="44"/>
      <c r="Z900" s="44"/>
    </row>
    <row r="901">
      <c r="A901" s="44"/>
      <c r="B901" s="45"/>
      <c r="C901" s="44"/>
      <c r="D901" s="44"/>
      <c r="E901" s="44"/>
      <c r="F901" s="44"/>
      <c r="G901" s="46"/>
      <c r="H901" s="44"/>
      <c r="I901" s="44"/>
      <c r="J901" s="44"/>
      <c r="K901" s="44"/>
      <c r="L901" s="46" t="str">
        <f>IFERROR(__xludf.DUMMYFUNCTION("IFERROR(IF(ISBLANK($C901), """", GOOGLEFINANCE($C901, ""price"")), """")"),"")</f>
        <v/>
      </c>
      <c r="M901" s="47" t="str">
        <f t="shared" si="3"/>
        <v/>
      </c>
      <c r="N901" s="47" t="str">
        <f>IFERROR(__xludf.DUMMYFUNCTION("IFERROR(IF(OR(ISBLANK($G901), IFERROR(INDEX(GOOGLEFINANCE($C901, ""price"", WORKDAY(INT($B901), 1)), 2, 2), """")=""""), """", IF($D901=""LONG"", (IFERROR(INDEX(GOOGLEFINANCE($C901, ""price"", WORKDAY(INT($B901), 1)), 2, 2), """")-$G901)/$G901, ($G901-IFE"&amp;"RROR(INDEX(GOOGLEFINANCE($C901, ""price"", WORKDAY(INT($B901), 1)), 2, 2), """"))/$G901)), """")"),"")</f>
        <v/>
      </c>
      <c r="O901" s="47" t="str">
        <f>IFERROR(__xludf.DUMMYFUNCTION("IFERROR(IF(OR(ISBLANK($G901), IFERROR(INDEX(GOOGLEFINANCE($C901, ""price"", WORKDAY(INT($B901), 5)), 2, 2), """")=""""), """", IF($D901=""LONG"", (IFERROR(INDEX(GOOGLEFINANCE($C901, ""price"", WORKDAY(INT($B901), 5)), 2, 2), """")-$G901)/$G901, ($G901-IFE"&amp;"RROR(INDEX(GOOGLEFINANCE($C901, ""price"", WORKDAY(INT($B901), 5)), 2, 2), """"))/$G901)), """")"),"")</f>
        <v/>
      </c>
      <c r="P901" s="47" t="str">
        <f>IFERROR(__xludf.DUMMYFUNCTION("IFERROR(IF(OR(ISBLANK($G901), IFERROR(INDEX(GOOGLEFINANCE($C901, ""price"", WORKDAY(INT($B901), 20)), 2, 2), """")=""""), """", IF($D901=""LONG"", (IFERROR(INDEX(GOOGLEFINANCE($C901, ""price"", WORKDAY(INT($B901), 20)), 2, 2), """")-$G901)/$G901, ($G901-I"&amp;"FERROR(INDEX(GOOGLEFINANCE($C901, ""price"", WORKDAY(INT($B901), 20)), 2, 2), """"))/$G901)), """")"),"")</f>
        <v/>
      </c>
      <c r="Q901" s="44"/>
      <c r="R901" s="44"/>
      <c r="S901" s="44"/>
      <c r="T901" s="44"/>
      <c r="U901" s="44"/>
      <c r="V901" s="44"/>
      <c r="W901" s="44"/>
      <c r="X901" s="44"/>
      <c r="Y901" s="44"/>
      <c r="Z901" s="44"/>
    </row>
    <row r="902">
      <c r="A902" s="44"/>
      <c r="B902" s="45"/>
      <c r="C902" s="44"/>
      <c r="D902" s="44"/>
      <c r="E902" s="44"/>
      <c r="F902" s="44"/>
      <c r="G902" s="46"/>
      <c r="H902" s="44"/>
      <c r="I902" s="44"/>
      <c r="J902" s="44"/>
      <c r="K902" s="44"/>
      <c r="L902" s="46" t="str">
        <f>IFERROR(__xludf.DUMMYFUNCTION("IFERROR(IF(ISBLANK($C902), """", GOOGLEFINANCE($C902, ""price"")), """")"),"")</f>
        <v/>
      </c>
      <c r="M902" s="47" t="str">
        <f t="shared" si="3"/>
        <v/>
      </c>
      <c r="N902" s="47" t="str">
        <f>IFERROR(__xludf.DUMMYFUNCTION("IFERROR(IF(OR(ISBLANK($G902), IFERROR(INDEX(GOOGLEFINANCE($C902, ""price"", WORKDAY(INT($B902), 1)), 2, 2), """")=""""), """", IF($D902=""LONG"", (IFERROR(INDEX(GOOGLEFINANCE($C902, ""price"", WORKDAY(INT($B902), 1)), 2, 2), """")-$G902)/$G902, ($G902-IFE"&amp;"RROR(INDEX(GOOGLEFINANCE($C902, ""price"", WORKDAY(INT($B902), 1)), 2, 2), """"))/$G902)), """")"),"")</f>
        <v/>
      </c>
      <c r="O902" s="47" t="str">
        <f>IFERROR(__xludf.DUMMYFUNCTION("IFERROR(IF(OR(ISBLANK($G902), IFERROR(INDEX(GOOGLEFINANCE($C902, ""price"", WORKDAY(INT($B902), 5)), 2, 2), """")=""""), """", IF($D902=""LONG"", (IFERROR(INDEX(GOOGLEFINANCE($C902, ""price"", WORKDAY(INT($B902), 5)), 2, 2), """")-$G902)/$G902, ($G902-IFE"&amp;"RROR(INDEX(GOOGLEFINANCE($C902, ""price"", WORKDAY(INT($B902), 5)), 2, 2), """"))/$G902)), """")"),"")</f>
        <v/>
      </c>
      <c r="P902" s="47" t="str">
        <f>IFERROR(__xludf.DUMMYFUNCTION("IFERROR(IF(OR(ISBLANK($G902), IFERROR(INDEX(GOOGLEFINANCE($C902, ""price"", WORKDAY(INT($B902), 20)), 2, 2), """")=""""), """", IF($D902=""LONG"", (IFERROR(INDEX(GOOGLEFINANCE($C902, ""price"", WORKDAY(INT($B902), 20)), 2, 2), """")-$G902)/$G902, ($G902-I"&amp;"FERROR(INDEX(GOOGLEFINANCE($C902, ""price"", WORKDAY(INT($B902), 20)), 2, 2), """"))/$G902)), """")"),"")</f>
        <v/>
      </c>
      <c r="Q902" s="44"/>
      <c r="R902" s="44"/>
      <c r="S902" s="44"/>
      <c r="T902" s="44"/>
      <c r="U902" s="44"/>
      <c r="V902" s="44"/>
      <c r="W902" s="44"/>
      <c r="X902" s="44"/>
      <c r="Y902" s="44"/>
      <c r="Z902" s="44"/>
    </row>
    <row r="903">
      <c r="A903" s="44"/>
      <c r="B903" s="45"/>
      <c r="C903" s="44"/>
      <c r="D903" s="44"/>
      <c r="E903" s="44"/>
      <c r="F903" s="44"/>
      <c r="G903" s="46"/>
      <c r="H903" s="44"/>
      <c r="I903" s="44"/>
      <c r="J903" s="44"/>
      <c r="K903" s="44"/>
      <c r="L903" s="46" t="str">
        <f>IFERROR(__xludf.DUMMYFUNCTION("IFERROR(IF(ISBLANK($C903), """", GOOGLEFINANCE($C903, ""price"")), """")"),"")</f>
        <v/>
      </c>
      <c r="M903" s="47" t="str">
        <f t="shared" si="3"/>
        <v/>
      </c>
      <c r="N903" s="47" t="str">
        <f>IFERROR(__xludf.DUMMYFUNCTION("IFERROR(IF(OR(ISBLANK($G903), IFERROR(INDEX(GOOGLEFINANCE($C903, ""price"", WORKDAY(INT($B903), 1)), 2, 2), """")=""""), """", IF($D903=""LONG"", (IFERROR(INDEX(GOOGLEFINANCE($C903, ""price"", WORKDAY(INT($B903), 1)), 2, 2), """")-$G903)/$G903, ($G903-IFE"&amp;"RROR(INDEX(GOOGLEFINANCE($C903, ""price"", WORKDAY(INT($B903), 1)), 2, 2), """"))/$G903)), """")"),"")</f>
        <v/>
      </c>
      <c r="O903" s="47" t="str">
        <f>IFERROR(__xludf.DUMMYFUNCTION("IFERROR(IF(OR(ISBLANK($G903), IFERROR(INDEX(GOOGLEFINANCE($C903, ""price"", WORKDAY(INT($B903), 5)), 2, 2), """")=""""), """", IF($D903=""LONG"", (IFERROR(INDEX(GOOGLEFINANCE($C903, ""price"", WORKDAY(INT($B903), 5)), 2, 2), """")-$G903)/$G903, ($G903-IFE"&amp;"RROR(INDEX(GOOGLEFINANCE($C903, ""price"", WORKDAY(INT($B903), 5)), 2, 2), """"))/$G903)), """")"),"")</f>
        <v/>
      </c>
      <c r="P903" s="47" t="str">
        <f>IFERROR(__xludf.DUMMYFUNCTION("IFERROR(IF(OR(ISBLANK($G903), IFERROR(INDEX(GOOGLEFINANCE($C903, ""price"", WORKDAY(INT($B903), 20)), 2, 2), """")=""""), """", IF($D903=""LONG"", (IFERROR(INDEX(GOOGLEFINANCE($C903, ""price"", WORKDAY(INT($B903), 20)), 2, 2), """")-$G903)/$G903, ($G903-I"&amp;"FERROR(INDEX(GOOGLEFINANCE($C903, ""price"", WORKDAY(INT($B903), 20)), 2, 2), """"))/$G903)), """")"),"")</f>
        <v/>
      </c>
      <c r="Q903" s="44"/>
      <c r="R903" s="44"/>
      <c r="S903" s="44"/>
      <c r="T903" s="44"/>
      <c r="U903" s="44"/>
      <c r="V903" s="44"/>
      <c r="W903" s="44"/>
      <c r="X903" s="44"/>
      <c r="Y903" s="44"/>
      <c r="Z903" s="44"/>
    </row>
    <row r="904">
      <c r="A904" s="44"/>
      <c r="B904" s="45"/>
      <c r="C904" s="44"/>
      <c r="D904" s="44"/>
      <c r="E904" s="44"/>
      <c r="F904" s="44"/>
      <c r="G904" s="46"/>
      <c r="H904" s="44"/>
      <c r="I904" s="44"/>
      <c r="J904" s="44"/>
      <c r="K904" s="44"/>
      <c r="L904" s="46" t="str">
        <f>IFERROR(__xludf.DUMMYFUNCTION("IFERROR(IF(ISBLANK($C904), """", GOOGLEFINANCE($C904, ""price"")), """")"),"")</f>
        <v/>
      </c>
      <c r="M904" s="47" t="str">
        <f t="shared" si="3"/>
        <v/>
      </c>
      <c r="N904" s="47" t="str">
        <f>IFERROR(__xludf.DUMMYFUNCTION("IFERROR(IF(OR(ISBLANK($G904), IFERROR(INDEX(GOOGLEFINANCE($C904, ""price"", WORKDAY(INT($B904), 1)), 2, 2), """")=""""), """", IF($D904=""LONG"", (IFERROR(INDEX(GOOGLEFINANCE($C904, ""price"", WORKDAY(INT($B904), 1)), 2, 2), """")-$G904)/$G904, ($G904-IFE"&amp;"RROR(INDEX(GOOGLEFINANCE($C904, ""price"", WORKDAY(INT($B904), 1)), 2, 2), """"))/$G904)), """")"),"")</f>
        <v/>
      </c>
      <c r="O904" s="47" t="str">
        <f>IFERROR(__xludf.DUMMYFUNCTION("IFERROR(IF(OR(ISBLANK($G904), IFERROR(INDEX(GOOGLEFINANCE($C904, ""price"", WORKDAY(INT($B904), 5)), 2, 2), """")=""""), """", IF($D904=""LONG"", (IFERROR(INDEX(GOOGLEFINANCE($C904, ""price"", WORKDAY(INT($B904), 5)), 2, 2), """")-$G904)/$G904, ($G904-IFE"&amp;"RROR(INDEX(GOOGLEFINANCE($C904, ""price"", WORKDAY(INT($B904), 5)), 2, 2), """"))/$G904)), """")"),"")</f>
        <v/>
      </c>
      <c r="P904" s="47" t="str">
        <f>IFERROR(__xludf.DUMMYFUNCTION("IFERROR(IF(OR(ISBLANK($G904), IFERROR(INDEX(GOOGLEFINANCE($C904, ""price"", WORKDAY(INT($B904), 20)), 2, 2), """")=""""), """", IF($D904=""LONG"", (IFERROR(INDEX(GOOGLEFINANCE($C904, ""price"", WORKDAY(INT($B904), 20)), 2, 2), """")-$G904)/$G904, ($G904-I"&amp;"FERROR(INDEX(GOOGLEFINANCE($C904, ""price"", WORKDAY(INT($B904), 20)), 2, 2), """"))/$G904)), """")"),"")</f>
        <v/>
      </c>
      <c r="Q904" s="44"/>
      <c r="R904" s="44"/>
      <c r="S904" s="44"/>
      <c r="T904" s="44"/>
      <c r="U904" s="44"/>
      <c r="V904" s="44"/>
      <c r="W904" s="44"/>
      <c r="X904" s="44"/>
      <c r="Y904" s="44"/>
      <c r="Z904" s="44"/>
    </row>
    <row r="905">
      <c r="A905" s="44"/>
      <c r="B905" s="45"/>
      <c r="C905" s="44"/>
      <c r="D905" s="44"/>
      <c r="E905" s="44"/>
      <c r="F905" s="44"/>
      <c r="G905" s="46"/>
      <c r="H905" s="44"/>
      <c r="I905" s="44"/>
      <c r="J905" s="44"/>
      <c r="K905" s="44"/>
      <c r="L905" s="46" t="str">
        <f>IFERROR(__xludf.DUMMYFUNCTION("IFERROR(IF(ISBLANK($C905), """", GOOGLEFINANCE($C905, ""price"")), """")"),"")</f>
        <v/>
      </c>
      <c r="M905" s="47" t="str">
        <f t="shared" si="3"/>
        <v/>
      </c>
      <c r="N905" s="47" t="str">
        <f>IFERROR(__xludf.DUMMYFUNCTION("IFERROR(IF(OR(ISBLANK($G905), IFERROR(INDEX(GOOGLEFINANCE($C905, ""price"", WORKDAY(INT($B905), 1)), 2, 2), """")=""""), """", IF($D905=""LONG"", (IFERROR(INDEX(GOOGLEFINANCE($C905, ""price"", WORKDAY(INT($B905), 1)), 2, 2), """")-$G905)/$G905, ($G905-IFE"&amp;"RROR(INDEX(GOOGLEFINANCE($C905, ""price"", WORKDAY(INT($B905), 1)), 2, 2), """"))/$G905)), """")"),"")</f>
        <v/>
      </c>
      <c r="O905" s="47" t="str">
        <f>IFERROR(__xludf.DUMMYFUNCTION("IFERROR(IF(OR(ISBLANK($G905), IFERROR(INDEX(GOOGLEFINANCE($C905, ""price"", WORKDAY(INT($B905), 5)), 2, 2), """")=""""), """", IF($D905=""LONG"", (IFERROR(INDEX(GOOGLEFINANCE($C905, ""price"", WORKDAY(INT($B905), 5)), 2, 2), """")-$G905)/$G905, ($G905-IFE"&amp;"RROR(INDEX(GOOGLEFINANCE($C905, ""price"", WORKDAY(INT($B905), 5)), 2, 2), """"))/$G905)), """")"),"")</f>
        <v/>
      </c>
      <c r="P905" s="47" t="str">
        <f>IFERROR(__xludf.DUMMYFUNCTION("IFERROR(IF(OR(ISBLANK($G905), IFERROR(INDEX(GOOGLEFINANCE($C905, ""price"", WORKDAY(INT($B905), 20)), 2, 2), """")=""""), """", IF($D905=""LONG"", (IFERROR(INDEX(GOOGLEFINANCE($C905, ""price"", WORKDAY(INT($B905), 20)), 2, 2), """")-$G905)/$G905, ($G905-I"&amp;"FERROR(INDEX(GOOGLEFINANCE($C905, ""price"", WORKDAY(INT($B905), 20)), 2, 2), """"))/$G905)), """")"),"")</f>
        <v/>
      </c>
      <c r="Q905" s="44"/>
      <c r="R905" s="44"/>
      <c r="S905" s="44"/>
      <c r="T905" s="44"/>
      <c r="U905" s="44"/>
      <c r="V905" s="44"/>
      <c r="W905" s="44"/>
      <c r="X905" s="44"/>
      <c r="Y905" s="44"/>
      <c r="Z905" s="44"/>
    </row>
    <row r="906">
      <c r="A906" s="44"/>
      <c r="B906" s="45"/>
      <c r="C906" s="44"/>
      <c r="D906" s="44"/>
      <c r="E906" s="44"/>
      <c r="F906" s="44"/>
      <c r="G906" s="46"/>
      <c r="H906" s="44"/>
      <c r="I906" s="44"/>
      <c r="J906" s="44"/>
      <c r="K906" s="44"/>
      <c r="L906" s="46" t="str">
        <f>IFERROR(__xludf.DUMMYFUNCTION("IFERROR(IF(ISBLANK($C906), """", GOOGLEFINANCE($C906, ""price"")), """")"),"")</f>
        <v/>
      </c>
      <c r="M906" s="47" t="str">
        <f t="shared" si="3"/>
        <v/>
      </c>
      <c r="N906" s="47" t="str">
        <f>IFERROR(__xludf.DUMMYFUNCTION("IFERROR(IF(OR(ISBLANK($G906), IFERROR(INDEX(GOOGLEFINANCE($C906, ""price"", WORKDAY(INT($B906), 1)), 2, 2), """")=""""), """", IF($D906=""LONG"", (IFERROR(INDEX(GOOGLEFINANCE($C906, ""price"", WORKDAY(INT($B906), 1)), 2, 2), """")-$G906)/$G906, ($G906-IFE"&amp;"RROR(INDEX(GOOGLEFINANCE($C906, ""price"", WORKDAY(INT($B906), 1)), 2, 2), """"))/$G906)), """")"),"")</f>
        <v/>
      </c>
      <c r="O906" s="47" t="str">
        <f>IFERROR(__xludf.DUMMYFUNCTION("IFERROR(IF(OR(ISBLANK($G906), IFERROR(INDEX(GOOGLEFINANCE($C906, ""price"", WORKDAY(INT($B906), 5)), 2, 2), """")=""""), """", IF($D906=""LONG"", (IFERROR(INDEX(GOOGLEFINANCE($C906, ""price"", WORKDAY(INT($B906), 5)), 2, 2), """")-$G906)/$G906, ($G906-IFE"&amp;"RROR(INDEX(GOOGLEFINANCE($C906, ""price"", WORKDAY(INT($B906), 5)), 2, 2), """"))/$G906)), """")"),"")</f>
        <v/>
      </c>
      <c r="P906" s="47" t="str">
        <f>IFERROR(__xludf.DUMMYFUNCTION("IFERROR(IF(OR(ISBLANK($G906), IFERROR(INDEX(GOOGLEFINANCE($C906, ""price"", WORKDAY(INT($B906), 20)), 2, 2), """")=""""), """", IF($D906=""LONG"", (IFERROR(INDEX(GOOGLEFINANCE($C906, ""price"", WORKDAY(INT($B906), 20)), 2, 2), """")-$G906)/$G906, ($G906-I"&amp;"FERROR(INDEX(GOOGLEFINANCE($C906, ""price"", WORKDAY(INT($B906), 20)), 2, 2), """"))/$G906)), """")"),"")</f>
        <v/>
      </c>
      <c r="Q906" s="44"/>
      <c r="R906" s="44"/>
      <c r="S906" s="44"/>
      <c r="T906" s="44"/>
      <c r="U906" s="44"/>
      <c r="V906" s="44"/>
      <c r="W906" s="44"/>
      <c r="X906" s="44"/>
      <c r="Y906" s="44"/>
      <c r="Z906" s="44"/>
    </row>
    <row r="907">
      <c r="A907" s="44"/>
      <c r="B907" s="45"/>
      <c r="C907" s="44"/>
      <c r="D907" s="44"/>
      <c r="E907" s="44"/>
      <c r="F907" s="44"/>
      <c r="G907" s="46"/>
      <c r="H907" s="44"/>
      <c r="I907" s="44"/>
      <c r="J907" s="44"/>
      <c r="K907" s="44"/>
      <c r="L907" s="46" t="str">
        <f>IFERROR(__xludf.DUMMYFUNCTION("IFERROR(IF(ISBLANK($C907), """", GOOGLEFINANCE($C907, ""price"")), """")"),"")</f>
        <v/>
      </c>
      <c r="M907" s="47" t="str">
        <f t="shared" si="3"/>
        <v/>
      </c>
      <c r="N907" s="47" t="str">
        <f>IFERROR(__xludf.DUMMYFUNCTION("IFERROR(IF(OR(ISBLANK($G907), IFERROR(INDEX(GOOGLEFINANCE($C907, ""price"", WORKDAY(INT($B907), 1)), 2, 2), """")=""""), """", IF($D907=""LONG"", (IFERROR(INDEX(GOOGLEFINANCE($C907, ""price"", WORKDAY(INT($B907), 1)), 2, 2), """")-$G907)/$G907, ($G907-IFE"&amp;"RROR(INDEX(GOOGLEFINANCE($C907, ""price"", WORKDAY(INT($B907), 1)), 2, 2), """"))/$G907)), """")"),"")</f>
        <v/>
      </c>
      <c r="O907" s="47" t="str">
        <f>IFERROR(__xludf.DUMMYFUNCTION("IFERROR(IF(OR(ISBLANK($G907), IFERROR(INDEX(GOOGLEFINANCE($C907, ""price"", WORKDAY(INT($B907), 5)), 2, 2), """")=""""), """", IF($D907=""LONG"", (IFERROR(INDEX(GOOGLEFINANCE($C907, ""price"", WORKDAY(INT($B907), 5)), 2, 2), """")-$G907)/$G907, ($G907-IFE"&amp;"RROR(INDEX(GOOGLEFINANCE($C907, ""price"", WORKDAY(INT($B907), 5)), 2, 2), """"))/$G907)), """")"),"")</f>
        <v/>
      </c>
      <c r="P907" s="47" t="str">
        <f>IFERROR(__xludf.DUMMYFUNCTION("IFERROR(IF(OR(ISBLANK($G907), IFERROR(INDEX(GOOGLEFINANCE($C907, ""price"", WORKDAY(INT($B907), 20)), 2, 2), """")=""""), """", IF($D907=""LONG"", (IFERROR(INDEX(GOOGLEFINANCE($C907, ""price"", WORKDAY(INT($B907), 20)), 2, 2), """")-$G907)/$G907, ($G907-I"&amp;"FERROR(INDEX(GOOGLEFINANCE($C907, ""price"", WORKDAY(INT($B907), 20)), 2, 2), """"))/$G907)), """")"),"")</f>
        <v/>
      </c>
      <c r="Q907" s="44"/>
      <c r="R907" s="44"/>
      <c r="S907" s="44"/>
      <c r="T907" s="44"/>
      <c r="U907" s="44"/>
      <c r="V907" s="44"/>
      <c r="W907" s="44"/>
      <c r="X907" s="44"/>
      <c r="Y907" s="44"/>
      <c r="Z907" s="44"/>
    </row>
    <row r="908">
      <c r="A908" s="44"/>
      <c r="B908" s="45"/>
      <c r="C908" s="44"/>
      <c r="D908" s="44"/>
      <c r="E908" s="44"/>
      <c r="F908" s="44"/>
      <c r="G908" s="46"/>
      <c r="H908" s="44"/>
      <c r="I908" s="44"/>
      <c r="J908" s="44"/>
      <c r="K908" s="44"/>
      <c r="L908" s="46" t="str">
        <f>IFERROR(__xludf.DUMMYFUNCTION("IFERROR(IF(ISBLANK($C908), """", GOOGLEFINANCE($C908, ""price"")), """")"),"")</f>
        <v/>
      </c>
      <c r="M908" s="47" t="str">
        <f t="shared" si="3"/>
        <v/>
      </c>
      <c r="N908" s="47" t="str">
        <f>IFERROR(__xludf.DUMMYFUNCTION("IFERROR(IF(OR(ISBLANK($G908), IFERROR(INDEX(GOOGLEFINANCE($C908, ""price"", WORKDAY(INT($B908), 1)), 2, 2), """")=""""), """", IF($D908=""LONG"", (IFERROR(INDEX(GOOGLEFINANCE($C908, ""price"", WORKDAY(INT($B908), 1)), 2, 2), """")-$G908)/$G908, ($G908-IFE"&amp;"RROR(INDEX(GOOGLEFINANCE($C908, ""price"", WORKDAY(INT($B908), 1)), 2, 2), """"))/$G908)), """")"),"")</f>
        <v/>
      </c>
      <c r="O908" s="47" t="str">
        <f>IFERROR(__xludf.DUMMYFUNCTION("IFERROR(IF(OR(ISBLANK($G908), IFERROR(INDEX(GOOGLEFINANCE($C908, ""price"", WORKDAY(INT($B908), 5)), 2, 2), """")=""""), """", IF($D908=""LONG"", (IFERROR(INDEX(GOOGLEFINANCE($C908, ""price"", WORKDAY(INT($B908), 5)), 2, 2), """")-$G908)/$G908, ($G908-IFE"&amp;"RROR(INDEX(GOOGLEFINANCE($C908, ""price"", WORKDAY(INT($B908), 5)), 2, 2), """"))/$G908)), """")"),"")</f>
        <v/>
      </c>
      <c r="P908" s="47" t="str">
        <f>IFERROR(__xludf.DUMMYFUNCTION("IFERROR(IF(OR(ISBLANK($G908), IFERROR(INDEX(GOOGLEFINANCE($C908, ""price"", WORKDAY(INT($B908), 20)), 2, 2), """")=""""), """", IF($D908=""LONG"", (IFERROR(INDEX(GOOGLEFINANCE($C908, ""price"", WORKDAY(INT($B908), 20)), 2, 2), """")-$G908)/$G908, ($G908-I"&amp;"FERROR(INDEX(GOOGLEFINANCE($C908, ""price"", WORKDAY(INT($B908), 20)), 2, 2), """"))/$G908)), """")"),"")</f>
        <v/>
      </c>
      <c r="Q908" s="44"/>
      <c r="R908" s="44"/>
      <c r="S908" s="44"/>
      <c r="T908" s="44"/>
      <c r="U908" s="44"/>
      <c r="V908" s="44"/>
      <c r="W908" s="44"/>
      <c r="X908" s="44"/>
      <c r="Y908" s="44"/>
      <c r="Z908" s="44"/>
    </row>
    <row r="909">
      <c r="A909" s="44"/>
      <c r="B909" s="45"/>
      <c r="C909" s="44"/>
      <c r="D909" s="44"/>
      <c r="E909" s="44"/>
      <c r="F909" s="44"/>
      <c r="G909" s="46"/>
      <c r="H909" s="44"/>
      <c r="I909" s="44"/>
      <c r="J909" s="44"/>
      <c r="K909" s="44"/>
      <c r="L909" s="46" t="str">
        <f>IFERROR(__xludf.DUMMYFUNCTION("IFERROR(IF(ISBLANK($C909), """", GOOGLEFINANCE($C909, ""price"")), """")"),"")</f>
        <v/>
      </c>
      <c r="M909" s="47" t="str">
        <f t="shared" si="3"/>
        <v/>
      </c>
      <c r="N909" s="47" t="str">
        <f>IFERROR(__xludf.DUMMYFUNCTION("IFERROR(IF(OR(ISBLANK($G909), IFERROR(INDEX(GOOGLEFINANCE($C909, ""price"", WORKDAY(INT($B909), 1)), 2, 2), """")=""""), """", IF($D909=""LONG"", (IFERROR(INDEX(GOOGLEFINANCE($C909, ""price"", WORKDAY(INT($B909), 1)), 2, 2), """")-$G909)/$G909, ($G909-IFE"&amp;"RROR(INDEX(GOOGLEFINANCE($C909, ""price"", WORKDAY(INT($B909), 1)), 2, 2), """"))/$G909)), """")"),"")</f>
        <v/>
      </c>
      <c r="O909" s="47" t="str">
        <f>IFERROR(__xludf.DUMMYFUNCTION("IFERROR(IF(OR(ISBLANK($G909), IFERROR(INDEX(GOOGLEFINANCE($C909, ""price"", WORKDAY(INT($B909), 5)), 2, 2), """")=""""), """", IF($D909=""LONG"", (IFERROR(INDEX(GOOGLEFINANCE($C909, ""price"", WORKDAY(INT($B909), 5)), 2, 2), """")-$G909)/$G909, ($G909-IFE"&amp;"RROR(INDEX(GOOGLEFINANCE($C909, ""price"", WORKDAY(INT($B909), 5)), 2, 2), """"))/$G909)), """")"),"")</f>
        <v/>
      </c>
      <c r="P909" s="47" t="str">
        <f>IFERROR(__xludf.DUMMYFUNCTION("IFERROR(IF(OR(ISBLANK($G909), IFERROR(INDEX(GOOGLEFINANCE($C909, ""price"", WORKDAY(INT($B909), 20)), 2, 2), """")=""""), """", IF($D909=""LONG"", (IFERROR(INDEX(GOOGLEFINANCE($C909, ""price"", WORKDAY(INT($B909), 20)), 2, 2), """")-$G909)/$G909, ($G909-I"&amp;"FERROR(INDEX(GOOGLEFINANCE($C909, ""price"", WORKDAY(INT($B909), 20)), 2, 2), """"))/$G909)), """")"),"")</f>
        <v/>
      </c>
      <c r="Q909" s="44"/>
      <c r="R909" s="44"/>
      <c r="S909" s="44"/>
      <c r="T909" s="44"/>
      <c r="U909" s="44"/>
      <c r="V909" s="44"/>
      <c r="W909" s="44"/>
      <c r="X909" s="44"/>
      <c r="Y909" s="44"/>
      <c r="Z909" s="44"/>
    </row>
    <row r="910">
      <c r="A910" s="44"/>
      <c r="B910" s="45"/>
      <c r="C910" s="44"/>
      <c r="D910" s="44"/>
      <c r="E910" s="44"/>
      <c r="F910" s="44"/>
      <c r="G910" s="46"/>
      <c r="H910" s="44"/>
      <c r="I910" s="44"/>
      <c r="J910" s="44"/>
      <c r="K910" s="44"/>
      <c r="L910" s="46" t="str">
        <f>IFERROR(__xludf.DUMMYFUNCTION("IFERROR(IF(ISBLANK($C910), """", GOOGLEFINANCE($C910, ""price"")), """")"),"")</f>
        <v/>
      </c>
      <c r="M910" s="47" t="str">
        <f t="shared" si="3"/>
        <v/>
      </c>
      <c r="N910" s="47" t="str">
        <f>IFERROR(__xludf.DUMMYFUNCTION("IFERROR(IF(OR(ISBLANK($G910), IFERROR(INDEX(GOOGLEFINANCE($C910, ""price"", WORKDAY(INT($B910), 1)), 2, 2), """")=""""), """", IF($D910=""LONG"", (IFERROR(INDEX(GOOGLEFINANCE($C910, ""price"", WORKDAY(INT($B910), 1)), 2, 2), """")-$G910)/$G910, ($G910-IFE"&amp;"RROR(INDEX(GOOGLEFINANCE($C910, ""price"", WORKDAY(INT($B910), 1)), 2, 2), """"))/$G910)), """")"),"")</f>
        <v/>
      </c>
      <c r="O910" s="47" t="str">
        <f>IFERROR(__xludf.DUMMYFUNCTION("IFERROR(IF(OR(ISBLANK($G910), IFERROR(INDEX(GOOGLEFINANCE($C910, ""price"", WORKDAY(INT($B910), 5)), 2, 2), """")=""""), """", IF($D910=""LONG"", (IFERROR(INDEX(GOOGLEFINANCE($C910, ""price"", WORKDAY(INT($B910), 5)), 2, 2), """")-$G910)/$G910, ($G910-IFE"&amp;"RROR(INDEX(GOOGLEFINANCE($C910, ""price"", WORKDAY(INT($B910), 5)), 2, 2), """"))/$G910)), """")"),"")</f>
        <v/>
      </c>
      <c r="P910" s="47" t="str">
        <f>IFERROR(__xludf.DUMMYFUNCTION("IFERROR(IF(OR(ISBLANK($G910), IFERROR(INDEX(GOOGLEFINANCE($C910, ""price"", WORKDAY(INT($B910), 20)), 2, 2), """")=""""), """", IF($D910=""LONG"", (IFERROR(INDEX(GOOGLEFINANCE($C910, ""price"", WORKDAY(INT($B910), 20)), 2, 2), """")-$G910)/$G910, ($G910-I"&amp;"FERROR(INDEX(GOOGLEFINANCE($C910, ""price"", WORKDAY(INT($B910), 20)), 2, 2), """"))/$G910)), """")"),"")</f>
        <v/>
      </c>
      <c r="Q910" s="44"/>
      <c r="R910" s="44"/>
      <c r="S910" s="44"/>
      <c r="T910" s="44"/>
      <c r="U910" s="44"/>
      <c r="V910" s="44"/>
      <c r="W910" s="44"/>
      <c r="X910" s="44"/>
      <c r="Y910" s="44"/>
      <c r="Z910" s="44"/>
    </row>
    <row r="911">
      <c r="A911" s="44"/>
      <c r="B911" s="45"/>
      <c r="C911" s="44"/>
      <c r="D911" s="44"/>
      <c r="E911" s="44"/>
      <c r="F911" s="44"/>
      <c r="G911" s="46"/>
      <c r="H911" s="44"/>
      <c r="I911" s="44"/>
      <c r="J911" s="44"/>
      <c r="K911" s="44"/>
      <c r="L911" s="46" t="str">
        <f>IFERROR(__xludf.DUMMYFUNCTION("IFERROR(IF(ISBLANK($C911), """", GOOGLEFINANCE($C911, ""price"")), """")"),"")</f>
        <v/>
      </c>
      <c r="M911" s="47" t="str">
        <f t="shared" si="3"/>
        <v/>
      </c>
      <c r="N911" s="47" t="str">
        <f>IFERROR(__xludf.DUMMYFUNCTION("IFERROR(IF(OR(ISBLANK($G911), IFERROR(INDEX(GOOGLEFINANCE($C911, ""price"", WORKDAY(INT($B911), 1)), 2, 2), """")=""""), """", IF($D911=""LONG"", (IFERROR(INDEX(GOOGLEFINANCE($C911, ""price"", WORKDAY(INT($B911), 1)), 2, 2), """")-$G911)/$G911, ($G911-IFE"&amp;"RROR(INDEX(GOOGLEFINANCE($C911, ""price"", WORKDAY(INT($B911), 1)), 2, 2), """"))/$G911)), """")"),"")</f>
        <v/>
      </c>
      <c r="O911" s="47" t="str">
        <f>IFERROR(__xludf.DUMMYFUNCTION("IFERROR(IF(OR(ISBLANK($G911), IFERROR(INDEX(GOOGLEFINANCE($C911, ""price"", WORKDAY(INT($B911), 5)), 2, 2), """")=""""), """", IF($D911=""LONG"", (IFERROR(INDEX(GOOGLEFINANCE($C911, ""price"", WORKDAY(INT($B911), 5)), 2, 2), """")-$G911)/$G911, ($G911-IFE"&amp;"RROR(INDEX(GOOGLEFINANCE($C911, ""price"", WORKDAY(INT($B911), 5)), 2, 2), """"))/$G911)), """")"),"")</f>
        <v/>
      </c>
      <c r="P911" s="47" t="str">
        <f>IFERROR(__xludf.DUMMYFUNCTION("IFERROR(IF(OR(ISBLANK($G911), IFERROR(INDEX(GOOGLEFINANCE($C911, ""price"", WORKDAY(INT($B911), 20)), 2, 2), """")=""""), """", IF($D911=""LONG"", (IFERROR(INDEX(GOOGLEFINANCE($C911, ""price"", WORKDAY(INT($B911), 20)), 2, 2), """")-$G911)/$G911, ($G911-I"&amp;"FERROR(INDEX(GOOGLEFINANCE($C911, ""price"", WORKDAY(INT($B911), 20)), 2, 2), """"))/$G911)), """")"),"")</f>
        <v/>
      </c>
      <c r="Q911" s="44"/>
      <c r="R911" s="44"/>
      <c r="S911" s="44"/>
      <c r="T911" s="44"/>
      <c r="U911" s="44"/>
      <c r="V911" s="44"/>
      <c r="W911" s="44"/>
      <c r="X911" s="44"/>
      <c r="Y911" s="44"/>
      <c r="Z911" s="44"/>
    </row>
    <row r="912">
      <c r="A912" s="44"/>
      <c r="B912" s="45"/>
      <c r="C912" s="44"/>
      <c r="D912" s="44"/>
      <c r="E912" s="44"/>
      <c r="F912" s="44"/>
      <c r="G912" s="46"/>
      <c r="H912" s="44"/>
      <c r="I912" s="44"/>
      <c r="J912" s="44"/>
      <c r="K912" s="44"/>
      <c r="L912" s="46" t="str">
        <f>IFERROR(__xludf.DUMMYFUNCTION("IFERROR(IF(ISBLANK($C912), """", GOOGLEFINANCE($C912, ""price"")), """")"),"")</f>
        <v/>
      </c>
      <c r="M912" s="47" t="str">
        <f t="shared" si="3"/>
        <v/>
      </c>
      <c r="N912" s="47" t="str">
        <f>IFERROR(__xludf.DUMMYFUNCTION("IFERROR(IF(OR(ISBLANK($G912), IFERROR(INDEX(GOOGLEFINANCE($C912, ""price"", WORKDAY(INT($B912), 1)), 2, 2), """")=""""), """", IF($D912=""LONG"", (IFERROR(INDEX(GOOGLEFINANCE($C912, ""price"", WORKDAY(INT($B912), 1)), 2, 2), """")-$G912)/$G912, ($G912-IFE"&amp;"RROR(INDEX(GOOGLEFINANCE($C912, ""price"", WORKDAY(INT($B912), 1)), 2, 2), """"))/$G912)), """")"),"")</f>
        <v/>
      </c>
      <c r="O912" s="47" t="str">
        <f>IFERROR(__xludf.DUMMYFUNCTION("IFERROR(IF(OR(ISBLANK($G912), IFERROR(INDEX(GOOGLEFINANCE($C912, ""price"", WORKDAY(INT($B912), 5)), 2, 2), """")=""""), """", IF($D912=""LONG"", (IFERROR(INDEX(GOOGLEFINANCE($C912, ""price"", WORKDAY(INT($B912), 5)), 2, 2), """")-$G912)/$G912, ($G912-IFE"&amp;"RROR(INDEX(GOOGLEFINANCE($C912, ""price"", WORKDAY(INT($B912), 5)), 2, 2), """"))/$G912)), """")"),"")</f>
        <v/>
      </c>
      <c r="P912" s="47" t="str">
        <f>IFERROR(__xludf.DUMMYFUNCTION("IFERROR(IF(OR(ISBLANK($G912), IFERROR(INDEX(GOOGLEFINANCE($C912, ""price"", WORKDAY(INT($B912), 20)), 2, 2), """")=""""), """", IF($D912=""LONG"", (IFERROR(INDEX(GOOGLEFINANCE($C912, ""price"", WORKDAY(INT($B912), 20)), 2, 2), """")-$G912)/$G912, ($G912-I"&amp;"FERROR(INDEX(GOOGLEFINANCE($C912, ""price"", WORKDAY(INT($B912), 20)), 2, 2), """"))/$G912)), """")"),"")</f>
        <v/>
      </c>
      <c r="Q912" s="44"/>
      <c r="R912" s="44"/>
      <c r="S912" s="44"/>
      <c r="T912" s="44"/>
      <c r="U912" s="44"/>
      <c r="V912" s="44"/>
      <c r="W912" s="44"/>
      <c r="X912" s="44"/>
      <c r="Y912" s="44"/>
      <c r="Z912" s="44"/>
    </row>
    <row r="913">
      <c r="A913" s="44"/>
      <c r="B913" s="45"/>
      <c r="C913" s="44"/>
      <c r="D913" s="44"/>
      <c r="E913" s="44"/>
      <c r="F913" s="44"/>
      <c r="G913" s="46"/>
      <c r="H913" s="44"/>
      <c r="I913" s="44"/>
      <c r="J913" s="44"/>
      <c r="K913" s="44"/>
      <c r="L913" s="46" t="str">
        <f>IFERROR(__xludf.DUMMYFUNCTION("IFERROR(IF(ISBLANK($C913), """", GOOGLEFINANCE($C913, ""price"")), """")"),"")</f>
        <v/>
      </c>
      <c r="M913" s="47" t="str">
        <f t="shared" si="3"/>
        <v/>
      </c>
      <c r="N913" s="47" t="str">
        <f>IFERROR(__xludf.DUMMYFUNCTION("IFERROR(IF(OR(ISBLANK($G913), IFERROR(INDEX(GOOGLEFINANCE($C913, ""price"", WORKDAY(INT($B913), 1)), 2, 2), """")=""""), """", IF($D913=""LONG"", (IFERROR(INDEX(GOOGLEFINANCE($C913, ""price"", WORKDAY(INT($B913), 1)), 2, 2), """")-$G913)/$G913, ($G913-IFE"&amp;"RROR(INDEX(GOOGLEFINANCE($C913, ""price"", WORKDAY(INT($B913), 1)), 2, 2), """"))/$G913)), """")"),"")</f>
        <v/>
      </c>
      <c r="O913" s="47" t="str">
        <f>IFERROR(__xludf.DUMMYFUNCTION("IFERROR(IF(OR(ISBLANK($G913), IFERROR(INDEX(GOOGLEFINANCE($C913, ""price"", WORKDAY(INT($B913), 5)), 2, 2), """")=""""), """", IF($D913=""LONG"", (IFERROR(INDEX(GOOGLEFINANCE($C913, ""price"", WORKDAY(INT($B913), 5)), 2, 2), """")-$G913)/$G913, ($G913-IFE"&amp;"RROR(INDEX(GOOGLEFINANCE($C913, ""price"", WORKDAY(INT($B913), 5)), 2, 2), """"))/$G913)), """")"),"")</f>
        <v/>
      </c>
      <c r="P913" s="47" t="str">
        <f>IFERROR(__xludf.DUMMYFUNCTION("IFERROR(IF(OR(ISBLANK($G913), IFERROR(INDEX(GOOGLEFINANCE($C913, ""price"", WORKDAY(INT($B913), 20)), 2, 2), """")=""""), """", IF($D913=""LONG"", (IFERROR(INDEX(GOOGLEFINANCE($C913, ""price"", WORKDAY(INT($B913), 20)), 2, 2), """")-$G913)/$G913, ($G913-I"&amp;"FERROR(INDEX(GOOGLEFINANCE($C913, ""price"", WORKDAY(INT($B913), 20)), 2, 2), """"))/$G913)), """")"),"")</f>
        <v/>
      </c>
      <c r="Q913" s="44"/>
      <c r="R913" s="44"/>
      <c r="S913" s="44"/>
      <c r="T913" s="44"/>
      <c r="U913" s="44"/>
      <c r="V913" s="44"/>
      <c r="W913" s="44"/>
      <c r="X913" s="44"/>
      <c r="Y913" s="44"/>
      <c r="Z913" s="44"/>
    </row>
    <row r="914">
      <c r="A914" s="44"/>
      <c r="B914" s="45"/>
      <c r="C914" s="44"/>
      <c r="D914" s="44"/>
      <c r="E914" s="44"/>
      <c r="F914" s="44"/>
      <c r="G914" s="46"/>
      <c r="H914" s="44"/>
      <c r="I914" s="44"/>
      <c r="J914" s="44"/>
      <c r="K914" s="44"/>
      <c r="L914" s="46" t="str">
        <f>IFERROR(__xludf.DUMMYFUNCTION("IFERROR(IF(ISBLANK($C914), """", GOOGLEFINANCE($C914, ""price"")), """")"),"")</f>
        <v/>
      </c>
      <c r="M914" s="47" t="str">
        <f t="shared" si="3"/>
        <v/>
      </c>
      <c r="N914" s="47" t="str">
        <f>IFERROR(__xludf.DUMMYFUNCTION("IFERROR(IF(OR(ISBLANK($G914), IFERROR(INDEX(GOOGLEFINANCE($C914, ""price"", WORKDAY(INT($B914), 1)), 2, 2), """")=""""), """", IF($D914=""LONG"", (IFERROR(INDEX(GOOGLEFINANCE($C914, ""price"", WORKDAY(INT($B914), 1)), 2, 2), """")-$G914)/$G914, ($G914-IFE"&amp;"RROR(INDEX(GOOGLEFINANCE($C914, ""price"", WORKDAY(INT($B914), 1)), 2, 2), """"))/$G914)), """")"),"")</f>
        <v/>
      </c>
      <c r="O914" s="47" t="str">
        <f>IFERROR(__xludf.DUMMYFUNCTION("IFERROR(IF(OR(ISBLANK($G914), IFERROR(INDEX(GOOGLEFINANCE($C914, ""price"", WORKDAY(INT($B914), 5)), 2, 2), """")=""""), """", IF($D914=""LONG"", (IFERROR(INDEX(GOOGLEFINANCE($C914, ""price"", WORKDAY(INT($B914), 5)), 2, 2), """")-$G914)/$G914, ($G914-IFE"&amp;"RROR(INDEX(GOOGLEFINANCE($C914, ""price"", WORKDAY(INT($B914), 5)), 2, 2), """"))/$G914)), """")"),"")</f>
        <v/>
      </c>
      <c r="P914" s="47" t="str">
        <f>IFERROR(__xludf.DUMMYFUNCTION("IFERROR(IF(OR(ISBLANK($G914), IFERROR(INDEX(GOOGLEFINANCE($C914, ""price"", WORKDAY(INT($B914), 20)), 2, 2), """")=""""), """", IF($D914=""LONG"", (IFERROR(INDEX(GOOGLEFINANCE($C914, ""price"", WORKDAY(INT($B914), 20)), 2, 2), """")-$G914)/$G914, ($G914-I"&amp;"FERROR(INDEX(GOOGLEFINANCE($C914, ""price"", WORKDAY(INT($B914), 20)), 2, 2), """"))/$G914)), """")"),"")</f>
        <v/>
      </c>
      <c r="Q914" s="44"/>
      <c r="R914" s="44"/>
      <c r="S914" s="44"/>
      <c r="T914" s="44"/>
      <c r="U914" s="44"/>
      <c r="V914" s="44"/>
      <c r="W914" s="44"/>
      <c r="X914" s="44"/>
      <c r="Y914" s="44"/>
      <c r="Z914" s="44"/>
    </row>
    <row r="915">
      <c r="A915" s="44"/>
      <c r="B915" s="45"/>
      <c r="C915" s="44"/>
      <c r="D915" s="44"/>
      <c r="E915" s="44"/>
      <c r="F915" s="44"/>
      <c r="G915" s="46"/>
      <c r="H915" s="44"/>
      <c r="I915" s="44"/>
      <c r="J915" s="44"/>
      <c r="K915" s="44"/>
      <c r="L915" s="46" t="str">
        <f>IFERROR(__xludf.DUMMYFUNCTION("IFERROR(IF(ISBLANK($C915), """", GOOGLEFINANCE($C915, ""price"")), """")"),"")</f>
        <v/>
      </c>
      <c r="M915" s="47" t="str">
        <f t="shared" si="3"/>
        <v/>
      </c>
      <c r="N915" s="47" t="str">
        <f>IFERROR(__xludf.DUMMYFUNCTION("IFERROR(IF(OR(ISBLANK($G915), IFERROR(INDEX(GOOGLEFINANCE($C915, ""price"", WORKDAY(INT($B915), 1)), 2, 2), """")=""""), """", IF($D915=""LONG"", (IFERROR(INDEX(GOOGLEFINANCE($C915, ""price"", WORKDAY(INT($B915), 1)), 2, 2), """")-$G915)/$G915, ($G915-IFE"&amp;"RROR(INDEX(GOOGLEFINANCE($C915, ""price"", WORKDAY(INT($B915), 1)), 2, 2), """"))/$G915)), """")"),"")</f>
        <v/>
      </c>
      <c r="O915" s="47" t="str">
        <f>IFERROR(__xludf.DUMMYFUNCTION("IFERROR(IF(OR(ISBLANK($G915), IFERROR(INDEX(GOOGLEFINANCE($C915, ""price"", WORKDAY(INT($B915), 5)), 2, 2), """")=""""), """", IF($D915=""LONG"", (IFERROR(INDEX(GOOGLEFINANCE($C915, ""price"", WORKDAY(INT($B915), 5)), 2, 2), """")-$G915)/$G915, ($G915-IFE"&amp;"RROR(INDEX(GOOGLEFINANCE($C915, ""price"", WORKDAY(INT($B915), 5)), 2, 2), """"))/$G915)), """")"),"")</f>
        <v/>
      </c>
      <c r="P915" s="47" t="str">
        <f>IFERROR(__xludf.DUMMYFUNCTION("IFERROR(IF(OR(ISBLANK($G915), IFERROR(INDEX(GOOGLEFINANCE($C915, ""price"", WORKDAY(INT($B915), 20)), 2, 2), """")=""""), """", IF($D915=""LONG"", (IFERROR(INDEX(GOOGLEFINANCE($C915, ""price"", WORKDAY(INT($B915), 20)), 2, 2), """")-$G915)/$G915, ($G915-I"&amp;"FERROR(INDEX(GOOGLEFINANCE($C915, ""price"", WORKDAY(INT($B915), 20)), 2, 2), """"))/$G915)), """")"),"")</f>
        <v/>
      </c>
      <c r="Q915" s="44"/>
      <c r="R915" s="44"/>
      <c r="S915" s="44"/>
      <c r="T915" s="44"/>
      <c r="U915" s="44"/>
      <c r="V915" s="44"/>
      <c r="W915" s="44"/>
      <c r="X915" s="44"/>
      <c r="Y915" s="44"/>
      <c r="Z915" s="44"/>
    </row>
    <row r="916">
      <c r="A916" s="44"/>
      <c r="B916" s="45"/>
      <c r="C916" s="44"/>
      <c r="D916" s="44"/>
      <c r="E916" s="44"/>
      <c r="F916" s="44"/>
      <c r="G916" s="46"/>
      <c r="H916" s="44"/>
      <c r="I916" s="44"/>
      <c r="J916" s="44"/>
      <c r="K916" s="44"/>
      <c r="L916" s="46" t="str">
        <f>IFERROR(__xludf.DUMMYFUNCTION("IFERROR(IF(ISBLANK($C916), """", GOOGLEFINANCE($C916, ""price"")), """")"),"")</f>
        <v/>
      </c>
      <c r="M916" s="47" t="str">
        <f t="shared" si="3"/>
        <v/>
      </c>
      <c r="N916" s="47" t="str">
        <f>IFERROR(__xludf.DUMMYFUNCTION("IFERROR(IF(OR(ISBLANK($G916), IFERROR(INDEX(GOOGLEFINANCE($C916, ""price"", WORKDAY(INT($B916), 1)), 2, 2), """")=""""), """", IF($D916=""LONG"", (IFERROR(INDEX(GOOGLEFINANCE($C916, ""price"", WORKDAY(INT($B916), 1)), 2, 2), """")-$G916)/$G916, ($G916-IFE"&amp;"RROR(INDEX(GOOGLEFINANCE($C916, ""price"", WORKDAY(INT($B916), 1)), 2, 2), """"))/$G916)), """")"),"")</f>
        <v/>
      </c>
      <c r="O916" s="47" t="str">
        <f>IFERROR(__xludf.DUMMYFUNCTION("IFERROR(IF(OR(ISBLANK($G916), IFERROR(INDEX(GOOGLEFINANCE($C916, ""price"", WORKDAY(INT($B916), 5)), 2, 2), """")=""""), """", IF($D916=""LONG"", (IFERROR(INDEX(GOOGLEFINANCE($C916, ""price"", WORKDAY(INT($B916), 5)), 2, 2), """")-$G916)/$G916, ($G916-IFE"&amp;"RROR(INDEX(GOOGLEFINANCE($C916, ""price"", WORKDAY(INT($B916), 5)), 2, 2), """"))/$G916)), """")"),"")</f>
        <v/>
      </c>
      <c r="P916" s="47" t="str">
        <f>IFERROR(__xludf.DUMMYFUNCTION("IFERROR(IF(OR(ISBLANK($G916), IFERROR(INDEX(GOOGLEFINANCE($C916, ""price"", WORKDAY(INT($B916), 20)), 2, 2), """")=""""), """", IF($D916=""LONG"", (IFERROR(INDEX(GOOGLEFINANCE($C916, ""price"", WORKDAY(INT($B916), 20)), 2, 2), """")-$G916)/$G916, ($G916-I"&amp;"FERROR(INDEX(GOOGLEFINANCE($C916, ""price"", WORKDAY(INT($B916), 20)), 2, 2), """"))/$G916)), """")"),"")</f>
        <v/>
      </c>
      <c r="Q916" s="44"/>
      <c r="R916" s="44"/>
      <c r="S916" s="44"/>
      <c r="T916" s="44"/>
      <c r="U916" s="44"/>
      <c r="V916" s="44"/>
      <c r="W916" s="44"/>
      <c r="X916" s="44"/>
      <c r="Y916" s="44"/>
      <c r="Z916" s="44"/>
    </row>
    <row r="917">
      <c r="A917" s="44"/>
      <c r="B917" s="45"/>
      <c r="C917" s="44"/>
      <c r="D917" s="44"/>
      <c r="E917" s="44"/>
      <c r="F917" s="44"/>
      <c r="G917" s="46"/>
      <c r="H917" s="44"/>
      <c r="I917" s="44"/>
      <c r="J917" s="44"/>
      <c r="K917" s="44"/>
      <c r="L917" s="46" t="str">
        <f>IFERROR(__xludf.DUMMYFUNCTION("IFERROR(IF(ISBLANK($C917), """", GOOGLEFINANCE($C917, ""price"")), """")"),"")</f>
        <v/>
      </c>
      <c r="M917" s="47" t="str">
        <f t="shared" si="3"/>
        <v/>
      </c>
      <c r="N917" s="47" t="str">
        <f>IFERROR(__xludf.DUMMYFUNCTION("IFERROR(IF(OR(ISBLANK($G917), IFERROR(INDEX(GOOGLEFINANCE($C917, ""price"", WORKDAY(INT($B917), 1)), 2, 2), """")=""""), """", IF($D917=""LONG"", (IFERROR(INDEX(GOOGLEFINANCE($C917, ""price"", WORKDAY(INT($B917), 1)), 2, 2), """")-$G917)/$G917, ($G917-IFE"&amp;"RROR(INDEX(GOOGLEFINANCE($C917, ""price"", WORKDAY(INT($B917), 1)), 2, 2), """"))/$G917)), """")"),"")</f>
        <v/>
      </c>
      <c r="O917" s="47" t="str">
        <f>IFERROR(__xludf.DUMMYFUNCTION("IFERROR(IF(OR(ISBLANK($G917), IFERROR(INDEX(GOOGLEFINANCE($C917, ""price"", WORKDAY(INT($B917), 5)), 2, 2), """")=""""), """", IF($D917=""LONG"", (IFERROR(INDEX(GOOGLEFINANCE($C917, ""price"", WORKDAY(INT($B917), 5)), 2, 2), """")-$G917)/$G917, ($G917-IFE"&amp;"RROR(INDEX(GOOGLEFINANCE($C917, ""price"", WORKDAY(INT($B917), 5)), 2, 2), """"))/$G917)), """")"),"")</f>
        <v/>
      </c>
      <c r="P917" s="47" t="str">
        <f>IFERROR(__xludf.DUMMYFUNCTION("IFERROR(IF(OR(ISBLANK($G917), IFERROR(INDEX(GOOGLEFINANCE($C917, ""price"", WORKDAY(INT($B917), 20)), 2, 2), """")=""""), """", IF($D917=""LONG"", (IFERROR(INDEX(GOOGLEFINANCE($C917, ""price"", WORKDAY(INT($B917), 20)), 2, 2), """")-$G917)/$G917, ($G917-I"&amp;"FERROR(INDEX(GOOGLEFINANCE($C917, ""price"", WORKDAY(INT($B917), 20)), 2, 2), """"))/$G917)), """")"),"")</f>
        <v/>
      </c>
      <c r="Q917" s="44"/>
      <c r="R917" s="44"/>
      <c r="S917" s="44"/>
      <c r="T917" s="44"/>
      <c r="U917" s="44"/>
      <c r="V917" s="44"/>
      <c r="W917" s="44"/>
      <c r="X917" s="44"/>
      <c r="Y917" s="44"/>
      <c r="Z917" s="44"/>
    </row>
    <row r="918">
      <c r="A918" s="44"/>
      <c r="B918" s="45"/>
      <c r="C918" s="44"/>
      <c r="D918" s="44"/>
      <c r="E918" s="44"/>
      <c r="F918" s="44"/>
      <c r="G918" s="46"/>
      <c r="H918" s="44"/>
      <c r="I918" s="44"/>
      <c r="J918" s="44"/>
      <c r="K918" s="44"/>
      <c r="L918" s="46" t="str">
        <f>IFERROR(__xludf.DUMMYFUNCTION("IFERROR(IF(ISBLANK($C918), """", GOOGLEFINANCE($C918, ""price"")), """")"),"")</f>
        <v/>
      </c>
      <c r="M918" s="47" t="str">
        <f t="shared" si="3"/>
        <v/>
      </c>
      <c r="N918" s="47" t="str">
        <f>IFERROR(__xludf.DUMMYFUNCTION("IFERROR(IF(OR(ISBLANK($G918), IFERROR(INDEX(GOOGLEFINANCE($C918, ""price"", WORKDAY(INT($B918), 1)), 2, 2), """")=""""), """", IF($D918=""LONG"", (IFERROR(INDEX(GOOGLEFINANCE($C918, ""price"", WORKDAY(INT($B918), 1)), 2, 2), """")-$G918)/$G918, ($G918-IFE"&amp;"RROR(INDEX(GOOGLEFINANCE($C918, ""price"", WORKDAY(INT($B918), 1)), 2, 2), """"))/$G918)), """")"),"")</f>
        <v/>
      </c>
      <c r="O918" s="47" t="str">
        <f>IFERROR(__xludf.DUMMYFUNCTION("IFERROR(IF(OR(ISBLANK($G918), IFERROR(INDEX(GOOGLEFINANCE($C918, ""price"", WORKDAY(INT($B918), 5)), 2, 2), """")=""""), """", IF($D918=""LONG"", (IFERROR(INDEX(GOOGLEFINANCE($C918, ""price"", WORKDAY(INT($B918), 5)), 2, 2), """")-$G918)/$G918, ($G918-IFE"&amp;"RROR(INDEX(GOOGLEFINANCE($C918, ""price"", WORKDAY(INT($B918), 5)), 2, 2), """"))/$G918)), """")"),"")</f>
        <v/>
      </c>
      <c r="P918" s="47" t="str">
        <f>IFERROR(__xludf.DUMMYFUNCTION("IFERROR(IF(OR(ISBLANK($G918), IFERROR(INDEX(GOOGLEFINANCE($C918, ""price"", WORKDAY(INT($B918), 20)), 2, 2), """")=""""), """", IF($D918=""LONG"", (IFERROR(INDEX(GOOGLEFINANCE($C918, ""price"", WORKDAY(INT($B918), 20)), 2, 2), """")-$G918)/$G918, ($G918-I"&amp;"FERROR(INDEX(GOOGLEFINANCE($C918, ""price"", WORKDAY(INT($B918), 20)), 2, 2), """"))/$G918)), """")"),"")</f>
        <v/>
      </c>
      <c r="Q918" s="44"/>
      <c r="R918" s="44"/>
      <c r="S918" s="44"/>
      <c r="T918" s="44"/>
      <c r="U918" s="44"/>
      <c r="V918" s="44"/>
      <c r="W918" s="44"/>
      <c r="X918" s="44"/>
      <c r="Y918" s="44"/>
      <c r="Z918" s="44"/>
    </row>
    <row r="919">
      <c r="A919" s="44"/>
      <c r="B919" s="45"/>
      <c r="C919" s="44"/>
      <c r="D919" s="44"/>
      <c r="E919" s="44"/>
      <c r="F919" s="44"/>
      <c r="G919" s="46"/>
      <c r="H919" s="44"/>
      <c r="I919" s="44"/>
      <c r="J919" s="44"/>
      <c r="K919" s="44"/>
      <c r="L919" s="46" t="str">
        <f>IFERROR(__xludf.DUMMYFUNCTION("IFERROR(IF(ISBLANK($C919), """", GOOGLEFINANCE($C919, ""price"")), """")"),"")</f>
        <v/>
      </c>
      <c r="M919" s="47" t="str">
        <f t="shared" si="3"/>
        <v/>
      </c>
      <c r="N919" s="47" t="str">
        <f>IFERROR(__xludf.DUMMYFUNCTION("IFERROR(IF(OR(ISBLANK($G919), IFERROR(INDEX(GOOGLEFINANCE($C919, ""price"", WORKDAY(INT($B919), 1)), 2, 2), """")=""""), """", IF($D919=""LONG"", (IFERROR(INDEX(GOOGLEFINANCE($C919, ""price"", WORKDAY(INT($B919), 1)), 2, 2), """")-$G919)/$G919, ($G919-IFE"&amp;"RROR(INDEX(GOOGLEFINANCE($C919, ""price"", WORKDAY(INT($B919), 1)), 2, 2), """"))/$G919)), """")"),"")</f>
        <v/>
      </c>
      <c r="O919" s="47" t="str">
        <f>IFERROR(__xludf.DUMMYFUNCTION("IFERROR(IF(OR(ISBLANK($G919), IFERROR(INDEX(GOOGLEFINANCE($C919, ""price"", WORKDAY(INT($B919), 5)), 2, 2), """")=""""), """", IF($D919=""LONG"", (IFERROR(INDEX(GOOGLEFINANCE($C919, ""price"", WORKDAY(INT($B919), 5)), 2, 2), """")-$G919)/$G919, ($G919-IFE"&amp;"RROR(INDEX(GOOGLEFINANCE($C919, ""price"", WORKDAY(INT($B919), 5)), 2, 2), """"))/$G919)), """")"),"")</f>
        <v/>
      </c>
      <c r="P919" s="47" t="str">
        <f>IFERROR(__xludf.DUMMYFUNCTION("IFERROR(IF(OR(ISBLANK($G919), IFERROR(INDEX(GOOGLEFINANCE($C919, ""price"", WORKDAY(INT($B919), 20)), 2, 2), """")=""""), """", IF($D919=""LONG"", (IFERROR(INDEX(GOOGLEFINANCE($C919, ""price"", WORKDAY(INT($B919), 20)), 2, 2), """")-$G919)/$G919, ($G919-I"&amp;"FERROR(INDEX(GOOGLEFINANCE($C919, ""price"", WORKDAY(INT($B919), 20)), 2, 2), """"))/$G919)), """")"),"")</f>
        <v/>
      </c>
      <c r="Q919" s="44"/>
      <c r="R919" s="44"/>
      <c r="S919" s="44"/>
      <c r="T919" s="44"/>
      <c r="U919" s="44"/>
      <c r="V919" s="44"/>
      <c r="W919" s="44"/>
      <c r="X919" s="44"/>
      <c r="Y919" s="44"/>
      <c r="Z919" s="44"/>
    </row>
    <row r="920">
      <c r="A920" s="44"/>
      <c r="B920" s="45"/>
      <c r="C920" s="44"/>
      <c r="D920" s="44"/>
      <c r="E920" s="44"/>
      <c r="F920" s="44"/>
      <c r="G920" s="46"/>
      <c r="H920" s="44"/>
      <c r="I920" s="44"/>
      <c r="J920" s="44"/>
      <c r="K920" s="44"/>
      <c r="L920" s="46" t="str">
        <f>IFERROR(__xludf.DUMMYFUNCTION("IFERROR(IF(ISBLANK($C920), """", GOOGLEFINANCE($C920, ""price"")), """")"),"")</f>
        <v/>
      </c>
      <c r="M920" s="47" t="str">
        <f t="shared" si="3"/>
        <v/>
      </c>
      <c r="N920" s="47" t="str">
        <f>IFERROR(__xludf.DUMMYFUNCTION("IFERROR(IF(OR(ISBLANK($G920), IFERROR(INDEX(GOOGLEFINANCE($C920, ""price"", WORKDAY(INT($B920), 1)), 2, 2), """")=""""), """", IF($D920=""LONG"", (IFERROR(INDEX(GOOGLEFINANCE($C920, ""price"", WORKDAY(INT($B920), 1)), 2, 2), """")-$G920)/$G920, ($G920-IFE"&amp;"RROR(INDEX(GOOGLEFINANCE($C920, ""price"", WORKDAY(INT($B920), 1)), 2, 2), """"))/$G920)), """")"),"")</f>
        <v/>
      </c>
      <c r="O920" s="47" t="str">
        <f>IFERROR(__xludf.DUMMYFUNCTION("IFERROR(IF(OR(ISBLANK($G920), IFERROR(INDEX(GOOGLEFINANCE($C920, ""price"", WORKDAY(INT($B920), 5)), 2, 2), """")=""""), """", IF($D920=""LONG"", (IFERROR(INDEX(GOOGLEFINANCE($C920, ""price"", WORKDAY(INT($B920), 5)), 2, 2), """")-$G920)/$G920, ($G920-IFE"&amp;"RROR(INDEX(GOOGLEFINANCE($C920, ""price"", WORKDAY(INT($B920), 5)), 2, 2), """"))/$G920)), """")"),"")</f>
        <v/>
      </c>
      <c r="P920" s="47" t="str">
        <f>IFERROR(__xludf.DUMMYFUNCTION("IFERROR(IF(OR(ISBLANK($G920), IFERROR(INDEX(GOOGLEFINANCE($C920, ""price"", WORKDAY(INT($B920), 20)), 2, 2), """")=""""), """", IF($D920=""LONG"", (IFERROR(INDEX(GOOGLEFINANCE($C920, ""price"", WORKDAY(INT($B920), 20)), 2, 2), """")-$G920)/$G920, ($G920-I"&amp;"FERROR(INDEX(GOOGLEFINANCE($C920, ""price"", WORKDAY(INT($B920), 20)), 2, 2), """"))/$G920)), """")"),"")</f>
        <v/>
      </c>
      <c r="Q920" s="44"/>
      <c r="R920" s="44"/>
      <c r="S920" s="44"/>
      <c r="T920" s="44"/>
      <c r="U920" s="44"/>
      <c r="V920" s="44"/>
      <c r="W920" s="44"/>
      <c r="X920" s="44"/>
      <c r="Y920" s="44"/>
      <c r="Z920" s="44"/>
    </row>
    <row r="921">
      <c r="A921" s="44"/>
      <c r="B921" s="45"/>
      <c r="C921" s="44"/>
      <c r="D921" s="44"/>
      <c r="E921" s="44"/>
      <c r="F921" s="44"/>
      <c r="G921" s="46"/>
      <c r="H921" s="44"/>
      <c r="I921" s="44"/>
      <c r="J921" s="44"/>
      <c r="K921" s="44"/>
      <c r="L921" s="46" t="str">
        <f>IFERROR(__xludf.DUMMYFUNCTION("IFERROR(IF(ISBLANK($C921), """", GOOGLEFINANCE($C921, ""price"")), """")"),"")</f>
        <v/>
      </c>
      <c r="M921" s="47" t="str">
        <f t="shared" si="3"/>
        <v/>
      </c>
      <c r="N921" s="47" t="str">
        <f>IFERROR(__xludf.DUMMYFUNCTION("IFERROR(IF(OR(ISBLANK($G921), IFERROR(INDEX(GOOGLEFINANCE($C921, ""price"", WORKDAY(INT($B921), 1)), 2, 2), """")=""""), """", IF($D921=""LONG"", (IFERROR(INDEX(GOOGLEFINANCE($C921, ""price"", WORKDAY(INT($B921), 1)), 2, 2), """")-$G921)/$G921, ($G921-IFE"&amp;"RROR(INDEX(GOOGLEFINANCE($C921, ""price"", WORKDAY(INT($B921), 1)), 2, 2), """"))/$G921)), """")"),"")</f>
        <v/>
      </c>
      <c r="O921" s="47" t="str">
        <f>IFERROR(__xludf.DUMMYFUNCTION("IFERROR(IF(OR(ISBLANK($G921), IFERROR(INDEX(GOOGLEFINANCE($C921, ""price"", WORKDAY(INT($B921), 5)), 2, 2), """")=""""), """", IF($D921=""LONG"", (IFERROR(INDEX(GOOGLEFINANCE($C921, ""price"", WORKDAY(INT($B921), 5)), 2, 2), """")-$G921)/$G921, ($G921-IFE"&amp;"RROR(INDEX(GOOGLEFINANCE($C921, ""price"", WORKDAY(INT($B921), 5)), 2, 2), """"))/$G921)), """")"),"")</f>
        <v/>
      </c>
      <c r="P921" s="47" t="str">
        <f>IFERROR(__xludf.DUMMYFUNCTION("IFERROR(IF(OR(ISBLANK($G921), IFERROR(INDEX(GOOGLEFINANCE($C921, ""price"", WORKDAY(INT($B921), 20)), 2, 2), """")=""""), """", IF($D921=""LONG"", (IFERROR(INDEX(GOOGLEFINANCE($C921, ""price"", WORKDAY(INT($B921), 20)), 2, 2), """")-$G921)/$G921, ($G921-I"&amp;"FERROR(INDEX(GOOGLEFINANCE($C921, ""price"", WORKDAY(INT($B921), 20)), 2, 2), """"))/$G921)), """")"),"")</f>
        <v/>
      </c>
      <c r="Q921" s="44"/>
      <c r="R921" s="44"/>
      <c r="S921" s="44"/>
      <c r="T921" s="44"/>
      <c r="U921" s="44"/>
      <c r="V921" s="44"/>
      <c r="W921" s="44"/>
      <c r="X921" s="44"/>
      <c r="Y921" s="44"/>
      <c r="Z921" s="44"/>
    </row>
    <row r="922">
      <c r="A922" s="44"/>
      <c r="B922" s="45"/>
      <c r="C922" s="44"/>
      <c r="D922" s="44"/>
      <c r="E922" s="44"/>
      <c r="F922" s="44"/>
      <c r="G922" s="46"/>
      <c r="H922" s="44"/>
      <c r="I922" s="44"/>
      <c r="J922" s="44"/>
      <c r="K922" s="44"/>
      <c r="L922" s="46" t="str">
        <f>IFERROR(__xludf.DUMMYFUNCTION("IFERROR(IF(ISBLANK($C922), """", GOOGLEFINANCE($C922, ""price"")), """")"),"")</f>
        <v/>
      </c>
      <c r="M922" s="47" t="str">
        <f t="shared" si="3"/>
        <v/>
      </c>
      <c r="N922" s="47" t="str">
        <f>IFERROR(__xludf.DUMMYFUNCTION("IFERROR(IF(OR(ISBLANK($G922), IFERROR(INDEX(GOOGLEFINANCE($C922, ""price"", WORKDAY(INT($B922), 1)), 2, 2), """")=""""), """", IF($D922=""LONG"", (IFERROR(INDEX(GOOGLEFINANCE($C922, ""price"", WORKDAY(INT($B922), 1)), 2, 2), """")-$G922)/$G922, ($G922-IFE"&amp;"RROR(INDEX(GOOGLEFINANCE($C922, ""price"", WORKDAY(INT($B922), 1)), 2, 2), """"))/$G922)), """")"),"")</f>
        <v/>
      </c>
      <c r="O922" s="47" t="str">
        <f>IFERROR(__xludf.DUMMYFUNCTION("IFERROR(IF(OR(ISBLANK($G922), IFERROR(INDEX(GOOGLEFINANCE($C922, ""price"", WORKDAY(INT($B922), 5)), 2, 2), """")=""""), """", IF($D922=""LONG"", (IFERROR(INDEX(GOOGLEFINANCE($C922, ""price"", WORKDAY(INT($B922), 5)), 2, 2), """")-$G922)/$G922, ($G922-IFE"&amp;"RROR(INDEX(GOOGLEFINANCE($C922, ""price"", WORKDAY(INT($B922), 5)), 2, 2), """"))/$G922)), """")"),"")</f>
        <v/>
      </c>
      <c r="P922" s="47" t="str">
        <f>IFERROR(__xludf.DUMMYFUNCTION("IFERROR(IF(OR(ISBLANK($G922), IFERROR(INDEX(GOOGLEFINANCE($C922, ""price"", WORKDAY(INT($B922), 20)), 2, 2), """")=""""), """", IF($D922=""LONG"", (IFERROR(INDEX(GOOGLEFINANCE($C922, ""price"", WORKDAY(INT($B922), 20)), 2, 2), """")-$G922)/$G922, ($G922-I"&amp;"FERROR(INDEX(GOOGLEFINANCE($C922, ""price"", WORKDAY(INT($B922), 20)), 2, 2), """"))/$G922)), """")"),"")</f>
        <v/>
      </c>
      <c r="Q922" s="44"/>
      <c r="R922" s="44"/>
      <c r="S922" s="44"/>
      <c r="T922" s="44"/>
      <c r="U922" s="44"/>
      <c r="V922" s="44"/>
      <c r="W922" s="44"/>
      <c r="X922" s="44"/>
      <c r="Y922" s="44"/>
      <c r="Z922" s="44"/>
    </row>
    <row r="923">
      <c r="A923" s="44"/>
      <c r="B923" s="45"/>
      <c r="C923" s="44"/>
      <c r="D923" s="44"/>
      <c r="E923" s="44"/>
      <c r="F923" s="44"/>
      <c r="G923" s="46"/>
      <c r="H923" s="44"/>
      <c r="I923" s="44"/>
      <c r="J923" s="44"/>
      <c r="K923" s="44"/>
      <c r="L923" s="46" t="str">
        <f>IFERROR(__xludf.DUMMYFUNCTION("IFERROR(IF(ISBLANK($C923), """", GOOGLEFINANCE($C923, ""price"")), """")"),"")</f>
        <v/>
      </c>
      <c r="M923" s="47" t="str">
        <f t="shared" si="3"/>
        <v/>
      </c>
      <c r="N923" s="47" t="str">
        <f>IFERROR(__xludf.DUMMYFUNCTION("IFERROR(IF(OR(ISBLANK($G923), IFERROR(INDEX(GOOGLEFINANCE($C923, ""price"", WORKDAY(INT($B923), 1)), 2, 2), """")=""""), """", IF($D923=""LONG"", (IFERROR(INDEX(GOOGLEFINANCE($C923, ""price"", WORKDAY(INT($B923), 1)), 2, 2), """")-$G923)/$G923, ($G923-IFE"&amp;"RROR(INDEX(GOOGLEFINANCE($C923, ""price"", WORKDAY(INT($B923), 1)), 2, 2), """"))/$G923)), """")"),"")</f>
        <v/>
      </c>
      <c r="O923" s="47" t="str">
        <f>IFERROR(__xludf.DUMMYFUNCTION("IFERROR(IF(OR(ISBLANK($G923), IFERROR(INDEX(GOOGLEFINANCE($C923, ""price"", WORKDAY(INT($B923), 5)), 2, 2), """")=""""), """", IF($D923=""LONG"", (IFERROR(INDEX(GOOGLEFINANCE($C923, ""price"", WORKDAY(INT($B923), 5)), 2, 2), """")-$G923)/$G923, ($G923-IFE"&amp;"RROR(INDEX(GOOGLEFINANCE($C923, ""price"", WORKDAY(INT($B923), 5)), 2, 2), """"))/$G923)), """")"),"")</f>
        <v/>
      </c>
      <c r="P923" s="47" t="str">
        <f>IFERROR(__xludf.DUMMYFUNCTION("IFERROR(IF(OR(ISBLANK($G923), IFERROR(INDEX(GOOGLEFINANCE($C923, ""price"", WORKDAY(INT($B923), 20)), 2, 2), """")=""""), """", IF($D923=""LONG"", (IFERROR(INDEX(GOOGLEFINANCE($C923, ""price"", WORKDAY(INT($B923), 20)), 2, 2), """")-$G923)/$G923, ($G923-I"&amp;"FERROR(INDEX(GOOGLEFINANCE($C923, ""price"", WORKDAY(INT($B923), 20)), 2, 2), """"))/$G923)), """")"),"")</f>
        <v/>
      </c>
      <c r="Q923" s="44"/>
      <c r="R923" s="44"/>
      <c r="S923" s="44"/>
      <c r="T923" s="44"/>
      <c r="U923" s="44"/>
      <c r="V923" s="44"/>
      <c r="W923" s="44"/>
      <c r="X923" s="44"/>
      <c r="Y923" s="44"/>
      <c r="Z923" s="44"/>
    </row>
    <row r="924">
      <c r="A924" s="44"/>
      <c r="B924" s="45"/>
      <c r="C924" s="44"/>
      <c r="D924" s="44"/>
      <c r="E924" s="44"/>
      <c r="F924" s="44"/>
      <c r="G924" s="46"/>
      <c r="H924" s="44"/>
      <c r="I924" s="44"/>
      <c r="J924" s="44"/>
      <c r="K924" s="44"/>
      <c r="L924" s="46" t="str">
        <f>IFERROR(__xludf.DUMMYFUNCTION("IFERROR(IF(ISBLANK($C924), """", GOOGLEFINANCE($C924, ""price"")), """")"),"")</f>
        <v/>
      </c>
      <c r="M924" s="47" t="str">
        <f t="shared" si="3"/>
        <v/>
      </c>
      <c r="N924" s="47" t="str">
        <f>IFERROR(__xludf.DUMMYFUNCTION("IFERROR(IF(OR(ISBLANK($G924), IFERROR(INDEX(GOOGLEFINANCE($C924, ""price"", WORKDAY(INT($B924), 1)), 2, 2), """")=""""), """", IF($D924=""LONG"", (IFERROR(INDEX(GOOGLEFINANCE($C924, ""price"", WORKDAY(INT($B924), 1)), 2, 2), """")-$G924)/$G924, ($G924-IFE"&amp;"RROR(INDEX(GOOGLEFINANCE($C924, ""price"", WORKDAY(INT($B924), 1)), 2, 2), """"))/$G924)), """")"),"")</f>
        <v/>
      </c>
      <c r="O924" s="47" t="str">
        <f>IFERROR(__xludf.DUMMYFUNCTION("IFERROR(IF(OR(ISBLANK($G924), IFERROR(INDEX(GOOGLEFINANCE($C924, ""price"", WORKDAY(INT($B924), 5)), 2, 2), """")=""""), """", IF($D924=""LONG"", (IFERROR(INDEX(GOOGLEFINANCE($C924, ""price"", WORKDAY(INT($B924), 5)), 2, 2), """")-$G924)/$G924, ($G924-IFE"&amp;"RROR(INDEX(GOOGLEFINANCE($C924, ""price"", WORKDAY(INT($B924), 5)), 2, 2), """"))/$G924)), """")"),"")</f>
        <v/>
      </c>
      <c r="P924" s="47" t="str">
        <f>IFERROR(__xludf.DUMMYFUNCTION("IFERROR(IF(OR(ISBLANK($G924), IFERROR(INDEX(GOOGLEFINANCE($C924, ""price"", WORKDAY(INT($B924), 20)), 2, 2), """")=""""), """", IF($D924=""LONG"", (IFERROR(INDEX(GOOGLEFINANCE($C924, ""price"", WORKDAY(INT($B924), 20)), 2, 2), """")-$G924)/$G924, ($G924-I"&amp;"FERROR(INDEX(GOOGLEFINANCE($C924, ""price"", WORKDAY(INT($B924), 20)), 2, 2), """"))/$G924)), """")"),"")</f>
        <v/>
      </c>
      <c r="Q924" s="44"/>
      <c r="R924" s="44"/>
      <c r="S924" s="44"/>
      <c r="T924" s="44"/>
      <c r="U924" s="44"/>
      <c r="V924" s="44"/>
      <c r="W924" s="44"/>
      <c r="X924" s="44"/>
      <c r="Y924" s="44"/>
      <c r="Z924" s="44"/>
    </row>
    <row r="925">
      <c r="A925" s="44"/>
      <c r="B925" s="45"/>
      <c r="C925" s="44"/>
      <c r="D925" s="44"/>
      <c r="E925" s="44"/>
      <c r="F925" s="44"/>
      <c r="G925" s="46"/>
      <c r="H925" s="44"/>
      <c r="I925" s="44"/>
      <c r="J925" s="44"/>
      <c r="K925" s="44"/>
      <c r="L925" s="46" t="str">
        <f>IFERROR(__xludf.DUMMYFUNCTION("IFERROR(IF(ISBLANK($C925), """", GOOGLEFINANCE($C925, ""price"")), """")"),"")</f>
        <v/>
      </c>
      <c r="M925" s="47" t="str">
        <f t="shared" si="3"/>
        <v/>
      </c>
      <c r="N925" s="47" t="str">
        <f>IFERROR(__xludf.DUMMYFUNCTION("IFERROR(IF(OR(ISBLANK($G925), IFERROR(INDEX(GOOGLEFINANCE($C925, ""price"", WORKDAY(INT($B925), 1)), 2, 2), """")=""""), """", IF($D925=""LONG"", (IFERROR(INDEX(GOOGLEFINANCE($C925, ""price"", WORKDAY(INT($B925), 1)), 2, 2), """")-$G925)/$G925, ($G925-IFE"&amp;"RROR(INDEX(GOOGLEFINANCE($C925, ""price"", WORKDAY(INT($B925), 1)), 2, 2), """"))/$G925)), """")"),"")</f>
        <v/>
      </c>
      <c r="O925" s="47" t="str">
        <f>IFERROR(__xludf.DUMMYFUNCTION("IFERROR(IF(OR(ISBLANK($G925), IFERROR(INDEX(GOOGLEFINANCE($C925, ""price"", WORKDAY(INT($B925), 5)), 2, 2), """")=""""), """", IF($D925=""LONG"", (IFERROR(INDEX(GOOGLEFINANCE($C925, ""price"", WORKDAY(INT($B925), 5)), 2, 2), """")-$G925)/$G925, ($G925-IFE"&amp;"RROR(INDEX(GOOGLEFINANCE($C925, ""price"", WORKDAY(INT($B925), 5)), 2, 2), """"))/$G925)), """")"),"")</f>
        <v/>
      </c>
      <c r="P925" s="47" t="str">
        <f>IFERROR(__xludf.DUMMYFUNCTION("IFERROR(IF(OR(ISBLANK($G925), IFERROR(INDEX(GOOGLEFINANCE($C925, ""price"", WORKDAY(INT($B925), 20)), 2, 2), """")=""""), """", IF($D925=""LONG"", (IFERROR(INDEX(GOOGLEFINANCE($C925, ""price"", WORKDAY(INT($B925), 20)), 2, 2), """")-$G925)/$G925, ($G925-I"&amp;"FERROR(INDEX(GOOGLEFINANCE($C925, ""price"", WORKDAY(INT($B925), 20)), 2, 2), """"))/$G925)), """")"),"")</f>
        <v/>
      </c>
      <c r="Q925" s="44"/>
      <c r="R925" s="44"/>
      <c r="S925" s="44"/>
      <c r="T925" s="44"/>
      <c r="U925" s="44"/>
      <c r="V925" s="44"/>
      <c r="W925" s="44"/>
      <c r="X925" s="44"/>
      <c r="Y925" s="44"/>
      <c r="Z925" s="44"/>
    </row>
    <row r="926">
      <c r="A926" s="44"/>
      <c r="B926" s="45"/>
      <c r="C926" s="44"/>
      <c r="D926" s="44"/>
      <c r="E926" s="44"/>
      <c r="F926" s="44"/>
      <c r="G926" s="46"/>
      <c r="H926" s="44"/>
      <c r="I926" s="44"/>
      <c r="J926" s="44"/>
      <c r="K926" s="44"/>
      <c r="L926" s="46" t="str">
        <f>IFERROR(__xludf.DUMMYFUNCTION("IFERROR(IF(ISBLANK($C926), """", GOOGLEFINANCE($C926, ""price"")), """")"),"")</f>
        <v/>
      </c>
      <c r="M926" s="47" t="str">
        <f t="shared" si="3"/>
        <v/>
      </c>
      <c r="N926" s="47" t="str">
        <f>IFERROR(__xludf.DUMMYFUNCTION("IFERROR(IF(OR(ISBLANK($G926), IFERROR(INDEX(GOOGLEFINANCE($C926, ""price"", WORKDAY(INT($B926), 1)), 2, 2), """")=""""), """", IF($D926=""LONG"", (IFERROR(INDEX(GOOGLEFINANCE($C926, ""price"", WORKDAY(INT($B926), 1)), 2, 2), """")-$G926)/$G926, ($G926-IFE"&amp;"RROR(INDEX(GOOGLEFINANCE($C926, ""price"", WORKDAY(INT($B926), 1)), 2, 2), """"))/$G926)), """")"),"")</f>
        <v/>
      </c>
      <c r="O926" s="47" t="str">
        <f>IFERROR(__xludf.DUMMYFUNCTION("IFERROR(IF(OR(ISBLANK($G926), IFERROR(INDEX(GOOGLEFINANCE($C926, ""price"", WORKDAY(INT($B926), 5)), 2, 2), """")=""""), """", IF($D926=""LONG"", (IFERROR(INDEX(GOOGLEFINANCE($C926, ""price"", WORKDAY(INT($B926), 5)), 2, 2), """")-$G926)/$G926, ($G926-IFE"&amp;"RROR(INDEX(GOOGLEFINANCE($C926, ""price"", WORKDAY(INT($B926), 5)), 2, 2), """"))/$G926)), """")"),"")</f>
        <v/>
      </c>
      <c r="P926" s="47" t="str">
        <f>IFERROR(__xludf.DUMMYFUNCTION("IFERROR(IF(OR(ISBLANK($G926), IFERROR(INDEX(GOOGLEFINANCE($C926, ""price"", WORKDAY(INT($B926), 20)), 2, 2), """")=""""), """", IF($D926=""LONG"", (IFERROR(INDEX(GOOGLEFINANCE($C926, ""price"", WORKDAY(INT($B926), 20)), 2, 2), """")-$G926)/$G926, ($G926-I"&amp;"FERROR(INDEX(GOOGLEFINANCE($C926, ""price"", WORKDAY(INT($B926), 20)), 2, 2), """"))/$G926)), """")"),"")</f>
        <v/>
      </c>
      <c r="Q926" s="44"/>
      <c r="R926" s="44"/>
      <c r="S926" s="44"/>
      <c r="T926" s="44"/>
      <c r="U926" s="44"/>
      <c r="V926" s="44"/>
      <c r="W926" s="44"/>
      <c r="X926" s="44"/>
      <c r="Y926" s="44"/>
      <c r="Z926" s="44"/>
    </row>
    <row r="927">
      <c r="A927" s="44"/>
      <c r="B927" s="45"/>
      <c r="C927" s="44"/>
      <c r="D927" s="44"/>
      <c r="E927" s="44"/>
      <c r="F927" s="44"/>
      <c r="G927" s="46"/>
      <c r="H927" s="44"/>
      <c r="I927" s="44"/>
      <c r="J927" s="44"/>
      <c r="K927" s="44"/>
      <c r="L927" s="46" t="str">
        <f>IFERROR(__xludf.DUMMYFUNCTION("IFERROR(IF(ISBLANK($C927), """", GOOGLEFINANCE($C927, ""price"")), """")"),"")</f>
        <v/>
      </c>
      <c r="M927" s="47" t="str">
        <f t="shared" si="3"/>
        <v/>
      </c>
      <c r="N927" s="47" t="str">
        <f>IFERROR(__xludf.DUMMYFUNCTION("IFERROR(IF(OR(ISBLANK($G927), IFERROR(INDEX(GOOGLEFINANCE($C927, ""price"", WORKDAY(INT($B927), 1)), 2, 2), """")=""""), """", IF($D927=""LONG"", (IFERROR(INDEX(GOOGLEFINANCE($C927, ""price"", WORKDAY(INT($B927), 1)), 2, 2), """")-$G927)/$G927, ($G927-IFE"&amp;"RROR(INDEX(GOOGLEFINANCE($C927, ""price"", WORKDAY(INT($B927), 1)), 2, 2), """"))/$G927)), """")"),"")</f>
        <v/>
      </c>
      <c r="O927" s="47" t="str">
        <f>IFERROR(__xludf.DUMMYFUNCTION("IFERROR(IF(OR(ISBLANK($G927), IFERROR(INDEX(GOOGLEFINANCE($C927, ""price"", WORKDAY(INT($B927), 5)), 2, 2), """")=""""), """", IF($D927=""LONG"", (IFERROR(INDEX(GOOGLEFINANCE($C927, ""price"", WORKDAY(INT($B927), 5)), 2, 2), """")-$G927)/$G927, ($G927-IFE"&amp;"RROR(INDEX(GOOGLEFINANCE($C927, ""price"", WORKDAY(INT($B927), 5)), 2, 2), """"))/$G927)), """")"),"")</f>
        <v/>
      </c>
      <c r="P927" s="47" t="str">
        <f>IFERROR(__xludf.DUMMYFUNCTION("IFERROR(IF(OR(ISBLANK($G927), IFERROR(INDEX(GOOGLEFINANCE($C927, ""price"", WORKDAY(INT($B927), 20)), 2, 2), """")=""""), """", IF($D927=""LONG"", (IFERROR(INDEX(GOOGLEFINANCE($C927, ""price"", WORKDAY(INT($B927), 20)), 2, 2), """")-$G927)/$G927, ($G927-I"&amp;"FERROR(INDEX(GOOGLEFINANCE($C927, ""price"", WORKDAY(INT($B927), 20)), 2, 2), """"))/$G927)), """")"),"")</f>
        <v/>
      </c>
      <c r="Q927" s="44"/>
      <c r="R927" s="44"/>
      <c r="S927" s="44"/>
      <c r="T927" s="44"/>
      <c r="U927" s="44"/>
      <c r="V927" s="44"/>
      <c r="W927" s="44"/>
      <c r="X927" s="44"/>
      <c r="Y927" s="44"/>
      <c r="Z927" s="44"/>
    </row>
    <row r="928">
      <c r="A928" s="44"/>
      <c r="B928" s="45"/>
      <c r="C928" s="44"/>
      <c r="D928" s="44"/>
      <c r="E928" s="44"/>
      <c r="F928" s="44"/>
      <c r="G928" s="46"/>
      <c r="H928" s="44"/>
      <c r="I928" s="44"/>
      <c r="J928" s="44"/>
      <c r="K928" s="44"/>
      <c r="L928" s="46" t="str">
        <f>IFERROR(__xludf.DUMMYFUNCTION("IFERROR(IF(ISBLANK($C928), """", GOOGLEFINANCE($C928, ""price"")), """")"),"")</f>
        <v/>
      </c>
      <c r="M928" s="47" t="str">
        <f t="shared" si="3"/>
        <v/>
      </c>
      <c r="N928" s="47" t="str">
        <f>IFERROR(__xludf.DUMMYFUNCTION("IFERROR(IF(OR(ISBLANK($G928), IFERROR(INDEX(GOOGLEFINANCE($C928, ""price"", WORKDAY(INT($B928), 1)), 2, 2), """")=""""), """", IF($D928=""LONG"", (IFERROR(INDEX(GOOGLEFINANCE($C928, ""price"", WORKDAY(INT($B928), 1)), 2, 2), """")-$G928)/$G928, ($G928-IFE"&amp;"RROR(INDEX(GOOGLEFINANCE($C928, ""price"", WORKDAY(INT($B928), 1)), 2, 2), """"))/$G928)), """")"),"")</f>
        <v/>
      </c>
      <c r="O928" s="47" t="str">
        <f>IFERROR(__xludf.DUMMYFUNCTION("IFERROR(IF(OR(ISBLANK($G928), IFERROR(INDEX(GOOGLEFINANCE($C928, ""price"", WORKDAY(INT($B928), 5)), 2, 2), """")=""""), """", IF($D928=""LONG"", (IFERROR(INDEX(GOOGLEFINANCE($C928, ""price"", WORKDAY(INT($B928), 5)), 2, 2), """")-$G928)/$G928, ($G928-IFE"&amp;"RROR(INDEX(GOOGLEFINANCE($C928, ""price"", WORKDAY(INT($B928), 5)), 2, 2), """"))/$G928)), """")"),"")</f>
        <v/>
      </c>
      <c r="P928" s="47" t="str">
        <f>IFERROR(__xludf.DUMMYFUNCTION("IFERROR(IF(OR(ISBLANK($G928), IFERROR(INDEX(GOOGLEFINANCE($C928, ""price"", WORKDAY(INT($B928), 20)), 2, 2), """")=""""), """", IF($D928=""LONG"", (IFERROR(INDEX(GOOGLEFINANCE($C928, ""price"", WORKDAY(INT($B928), 20)), 2, 2), """")-$G928)/$G928, ($G928-I"&amp;"FERROR(INDEX(GOOGLEFINANCE($C928, ""price"", WORKDAY(INT($B928), 20)), 2, 2), """"))/$G928)), """")"),"")</f>
        <v/>
      </c>
      <c r="Q928" s="44"/>
      <c r="R928" s="44"/>
      <c r="S928" s="44"/>
      <c r="T928" s="44"/>
      <c r="U928" s="44"/>
      <c r="V928" s="44"/>
      <c r="W928" s="44"/>
      <c r="X928" s="44"/>
      <c r="Y928" s="44"/>
      <c r="Z928" s="44"/>
    </row>
    <row r="929">
      <c r="A929" s="44"/>
      <c r="B929" s="45"/>
      <c r="C929" s="44"/>
      <c r="D929" s="44"/>
      <c r="E929" s="44"/>
      <c r="F929" s="44"/>
      <c r="G929" s="46"/>
      <c r="H929" s="44"/>
      <c r="I929" s="44"/>
      <c r="J929" s="44"/>
      <c r="K929" s="44"/>
      <c r="L929" s="46" t="str">
        <f>IFERROR(__xludf.DUMMYFUNCTION("IFERROR(IF(ISBLANK($C929), """", GOOGLEFINANCE($C929, ""price"")), """")"),"")</f>
        <v/>
      </c>
      <c r="M929" s="47" t="str">
        <f t="shared" si="3"/>
        <v/>
      </c>
      <c r="N929" s="47" t="str">
        <f>IFERROR(__xludf.DUMMYFUNCTION("IFERROR(IF(OR(ISBLANK($G929), IFERROR(INDEX(GOOGLEFINANCE($C929, ""price"", WORKDAY(INT($B929), 1)), 2, 2), """")=""""), """", IF($D929=""LONG"", (IFERROR(INDEX(GOOGLEFINANCE($C929, ""price"", WORKDAY(INT($B929), 1)), 2, 2), """")-$G929)/$G929, ($G929-IFE"&amp;"RROR(INDEX(GOOGLEFINANCE($C929, ""price"", WORKDAY(INT($B929), 1)), 2, 2), """"))/$G929)), """")"),"")</f>
        <v/>
      </c>
      <c r="O929" s="47" t="str">
        <f>IFERROR(__xludf.DUMMYFUNCTION("IFERROR(IF(OR(ISBLANK($G929), IFERROR(INDEX(GOOGLEFINANCE($C929, ""price"", WORKDAY(INT($B929), 5)), 2, 2), """")=""""), """", IF($D929=""LONG"", (IFERROR(INDEX(GOOGLEFINANCE($C929, ""price"", WORKDAY(INT($B929), 5)), 2, 2), """")-$G929)/$G929, ($G929-IFE"&amp;"RROR(INDEX(GOOGLEFINANCE($C929, ""price"", WORKDAY(INT($B929), 5)), 2, 2), """"))/$G929)), """")"),"")</f>
        <v/>
      </c>
      <c r="P929" s="47" t="str">
        <f>IFERROR(__xludf.DUMMYFUNCTION("IFERROR(IF(OR(ISBLANK($G929), IFERROR(INDEX(GOOGLEFINANCE($C929, ""price"", WORKDAY(INT($B929), 20)), 2, 2), """")=""""), """", IF($D929=""LONG"", (IFERROR(INDEX(GOOGLEFINANCE($C929, ""price"", WORKDAY(INT($B929), 20)), 2, 2), """")-$G929)/$G929, ($G929-I"&amp;"FERROR(INDEX(GOOGLEFINANCE($C929, ""price"", WORKDAY(INT($B929), 20)), 2, 2), """"))/$G929)), """")"),"")</f>
        <v/>
      </c>
      <c r="Q929" s="44"/>
      <c r="R929" s="44"/>
      <c r="S929" s="44"/>
      <c r="T929" s="44"/>
      <c r="U929" s="44"/>
      <c r="V929" s="44"/>
      <c r="W929" s="44"/>
      <c r="X929" s="44"/>
      <c r="Y929" s="44"/>
      <c r="Z929" s="44"/>
    </row>
    <row r="930">
      <c r="A930" s="44"/>
      <c r="B930" s="45"/>
      <c r="C930" s="44"/>
      <c r="D930" s="44"/>
      <c r="E930" s="44"/>
      <c r="F930" s="44"/>
      <c r="G930" s="46"/>
      <c r="H930" s="44"/>
      <c r="I930" s="44"/>
      <c r="J930" s="44"/>
      <c r="K930" s="44"/>
      <c r="L930" s="46" t="str">
        <f>IFERROR(__xludf.DUMMYFUNCTION("IFERROR(IF(ISBLANK($C930), """", GOOGLEFINANCE($C930, ""price"")), """")"),"")</f>
        <v/>
      </c>
      <c r="M930" s="47" t="str">
        <f t="shared" si="3"/>
        <v/>
      </c>
      <c r="N930" s="47" t="str">
        <f>IFERROR(__xludf.DUMMYFUNCTION("IFERROR(IF(OR(ISBLANK($G930), IFERROR(INDEX(GOOGLEFINANCE($C930, ""price"", WORKDAY(INT($B930), 1)), 2, 2), """")=""""), """", IF($D930=""LONG"", (IFERROR(INDEX(GOOGLEFINANCE($C930, ""price"", WORKDAY(INT($B930), 1)), 2, 2), """")-$G930)/$G930, ($G930-IFE"&amp;"RROR(INDEX(GOOGLEFINANCE($C930, ""price"", WORKDAY(INT($B930), 1)), 2, 2), """"))/$G930)), """")"),"")</f>
        <v/>
      </c>
      <c r="O930" s="47" t="str">
        <f>IFERROR(__xludf.DUMMYFUNCTION("IFERROR(IF(OR(ISBLANK($G930), IFERROR(INDEX(GOOGLEFINANCE($C930, ""price"", WORKDAY(INT($B930), 5)), 2, 2), """")=""""), """", IF($D930=""LONG"", (IFERROR(INDEX(GOOGLEFINANCE($C930, ""price"", WORKDAY(INT($B930), 5)), 2, 2), """")-$G930)/$G930, ($G930-IFE"&amp;"RROR(INDEX(GOOGLEFINANCE($C930, ""price"", WORKDAY(INT($B930), 5)), 2, 2), """"))/$G930)), """")"),"")</f>
        <v/>
      </c>
      <c r="P930" s="47" t="str">
        <f>IFERROR(__xludf.DUMMYFUNCTION("IFERROR(IF(OR(ISBLANK($G930), IFERROR(INDEX(GOOGLEFINANCE($C930, ""price"", WORKDAY(INT($B930), 20)), 2, 2), """")=""""), """", IF($D930=""LONG"", (IFERROR(INDEX(GOOGLEFINANCE($C930, ""price"", WORKDAY(INT($B930), 20)), 2, 2), """")-$G930)/$G930, ($G930-I"&amp;"FERROR(INDEX(GOOGLEFINANCE($C930, ""price"", WORKDAY(INT($B930), 20)), 2, 2), """"))/$G930)), """")"),"")</f>
        <v/>
      </c>
      <c r="Q930" s="44"/>
      <c r="R930" s="44"/>
      <c r="S930" s="44"/>
      <c r="T930" s="44"/>
      <c r="U930" s="44"/>
      <c r="V930" s="44"/>
      <c r="W930" s="44"/>
      <c r="X930" s="44"/>
      <c r="Y930" s="44"/>
      <c r="Z930" s="44"/>
    </row>
    <row r="931">
      <c r="A931" s="44"/>
      <c r="B931" s="45"/>
      <c r="C931" s="44"/>
      <c r="D931" s="44"/>
      <c r="E931" s="44"/>
      <c r="F931" s="44"/>
      <c r="G931" s="46"/>
      <c r="H931" s="44"/>
      <c r="I931" s="44"/>
      <c r="J931" s="44"/>
      <c r="K931" s="44"/>
      <c r="L931" s="46" t="str">
        <f>IFERROR(__xludf.DUMMYFUNCTION("IFERROR(IF(ISBLANK($C931), """", GOOGLEFINANCE($C931, ""price"")), """")"),"")</f>
        <v/>
      </c>
      <c r="M931" s="47" t="str">
        <f t="shared" si="3"/>
        <v/>
      </c>
      <c r="N931" s="47" t="str">
        <f>IFERROR(__xludf.DUMMYFUNCTION("IFERROR(IF(OR(ISBLANK($G931), IFERROR(INDEX(GOOGLEFINANCE($C931, ""price"", WORKDAY(INT($B931), 1)), 2, 2), """")=""""), """", IF($D931=""LONG"", (IFERROR(INDEX(GOOGLEFINANCE($C931, ""price"", WORKDAY(INT($B931), 1)), 2, 2), """")-$G931)/$G931, ($G931-IFE"&amp;"RROR(INDEX(GOOGLEFINANCE($C931, ""price"", WORKDAY(INT($B931), 1)), 2, 2), """"))/$G931)), """")"),"")</f>
        <v/>
      </c>
      <c r="O931" s="47" t="str">
        <f>IFERROR(__xludf.DUMMYFUNCTION("IFERROR(IF(OR(ISBLANK($G931), IFERROR(INDEX(GOOGLEFINANCE($C931, ""price"", WORKDAY(INT($B931), 5)), 2, 2), """")=""""), """", IF($D931=""LONG"", (IFERROR(INDEX(GOOGLEFINANCE($C931, ""price"", WORKDAY(INT($B931), 5)), 2, 2), """")-$G931)/$G931, ($G931-IFE"&amp;"RROR(INDEX(GOOGLEFINANCE($C931, ""price"", WORKDAY(INT($B931), 5)), 2, 2), """"))/$G931)), """")"),"")</f>
        <v/>
      </c>
      <c r="P931" s="47" t="str">
        <f>IFERROR(__xludf.DUMMYFUNCTION("IFERROR(IF(OR(ISBLANK($G931), IFERROR(INDEX(GOOGLEFINANCE($C931, ""price"", WORKDAY(INT($B931), 20)), 2, 2), """")=""""), """", IF($D931=""LONG"", (IFERROR(INDEX(GOOGLEFINANCE($C931, ""price"", WORKDAY(INT($B931), 20)), 2, 2), """")-$G931)/$G931, ($G931-I"&amp;"FERROR(INDEX(GOOGLEFINANCE($C931, ""price"", WORKDAY(INT($B931), 20)), 2, 2), """"))/$G931)), """")"),"")</f>
        <v/>
      </c>
      <c r="Q931" s="44"/>
      <c r="R931" s="44"/>
      <c r="S931" s="44"/>
      <c r="T931" s="44"/>
      <c r="U931" s="44"/>
      <c r="V931" s="44"/>
      <c r="W931" s="44"/>
      <c r="X931" s="44"/>
      <c r="Y931" s="44"/>
      <c r="Z931" s="44"/>
    </row>
    <row r="932">
      <c r="A932" s="44"/>
      <c r="B932" s="45"/>
      <c r="C932" s="44"/>
      <c r="D932" s="44"/>
      <c r="E932" s="44"/>
      <c r="F932" s="44"/>
      <c r="G932" s="46"/>
      <c r="H932" s="44"/>
      <c r="I932" s="44"/>
      <c r="J932" s="44"/>
      <c r="K932" s="44"/>
      <c r="L932" s="46" t="str">
        <f>IFERROR(__xludf.DUMMYFUNCTION("IFERROR(IF(ISBLANK($C932), """", GOOGLEFINANCE($C932, ""price"")), """")"),"")</f>
        <v/>
      </c>
      <c r="M932" s="47" t="str">
        <f t="shared" si="3"/>
        <v/>
      </c>
      <c r="N932" s="47" t="str">
        <f>IFERROR(__xludf.DUMMYFUNCTION("IFERROR(IF(OR(ISBLANK($G932), IFERROR(INDEX(GOOGLEFINANCE($C932, ""price"", WORKDAY(INT($B932), 1)), 2, 2), """")=""""), """", IF($D932=""LONG"", (IFERROR(INDEX(GOOGLEFINANCE($C932, ""price"", WORKDAY(INT($B932), 1)), 2, 2), """")-$G932)/$G932, ($G932-IFE"&amp;"RROR(INDEX(GOOGLEFINANCE($C932, ""price"", WORKDAY(INT($B932), 1)), 2, 2), """"))/$G932)), """")"),"")</f>
        <v/>
      </c>
      <c r="O932" s="47" t="str">
        <f>IFERROR(__xludf.DUMMYFUNCTION("IFERROR(IF(OR(ISBLANK($G932), IFERROR(INDEX(GOOGLEFINANCE($C932, ""price"", WORKDAY(INT($B932), 5)), 2, 2), """")=""""), """", IF($D932=""LONG"", (IFERROR(INDEX(GOOGLEFINANCE($C932, ""price"", WORKDAY(INT($B932), 5)), 2, 2), """")-$G932)/$G932, ($G932-IFE"&amp;"RROR(INDEX(GOOGLEFINANCE($C932, ""price"", WORKDAY(INT($B932), 5)), 2, 2), """"))/$G932)), """")"),"")</f>
        <v/>
      </c>
      <c r="P932" s="47" t="str">
        <f>IFERROR(__xludf.DUMMYFUNCTION("IFERROR(IF(OR(ISBLANK($G932), IFERROR(INDEX(GOOGLEFINANCE($C932, ""price"", WORKDAY(INT($B932), 20)), 2, 2), """")=""""), """", IF($D932=""LONG"", (IFERROR(INDEX(GOOGLEFINANCE($C932, ""price"", WORKDAY(INT($B932), 20)), 2, 2), """")-$G932)/$G932, ($G932-I"&amp;"FERROR(INDEX(GOOGLEFINANCE($C932, ""price"", WORKDAY(INT($B932), 20)), 2, 2), """"))/$G932)), """")"),"")</f>
        <v/>
      </c>
      <c r="Q932" s="44"/>
      <c r="R932" s="44"/>
      <c r="S932" s="44"/>
      <c r="T932" s="44"/>
      <c r="U932" s="44"/>
      <c r="V932" s="44"/>
      <c r="W932" s="44"/>
      <c r="X932" s="44"/>
      <c r="Y932" s="44"/>
      <c r="Z932" s="44"/>
    </row>
    <row r="933">
      <c r="A933" s="44"/>
      <c r="B933" s="45"/>
      <c r="C933" s="44"/>
      <c r="D933" s="44"/>
      <c r="E933" s="44"/>
      <c r="F933" s="44"/>
      <c r="G933" s="46"/>
      <c r="H933" s="44"/>
      <c r="I933" s="44"/>
      <c r="J933" s="44"/>
      <c r="K933" s="44"/>
      <c r="L933" s="46" t="str">
        <f>IFERROR(__xludf.DUMMYFUNCTION("IFERROR(IF(ISBLANK($C933), """", GOOGLEFINANCE($C933, ""price"")), """")"),"")</f>
        <v/>
      </c>
      <c r="M933" s="47" t="str">
        <f t="shared" si="3"/>
        <v/>
      </c>
      <c r="N933" s="47" t="str">
        <f>IFERROR(__xludf.DUMMYFUNCTION("IFERROR(IF(OR(ISBLANK($G933), IFERROR(INDEX(GOOGLEFINANCE($C933, ""price"", WORKDAY(INT($B933), 1)), 2, 2), """")=""""), """", IF($D933=""LONG"", (IFERROR(INDEX(GOOGLEFINANCE($C933, ""price"", WORKDAY(INT($B933), 1)), 2, 2), """")-$G933)/$G933, ($G933-IFE"&amp;"RROR(INDEX(GOOGLEFINANCE($C933, ""price"", WORKDAY(INT($B933), 1)), 2, 2), """"))/$G933)), """")"),"")</f>
        <v/>
      </c>
      <c r="O933" s="47" t="str">
        <f>IFERROR(__xludf.DUMMYFUNCTION("IFERROR(IF(OR(ISBLANK($G933), IFERROR(INDEX(GOOGLEFINANCE($C933, ""price"", WORKDAY(INT($B933), 5)), 2, 2), """")=""""), """", IF($D933=""LONG"", (IFERROR(INDEX(GOOGLEFINANCE($C933, ""price"", WORKDAY(INT($B933), 5)), 2, 2), """")-$G933)/$G933, ($G933-IFE"&amp;"RROR(INDEX(GOOGLEFINANCE($C933, ""price"", WORKDAY(INT($B933), 5)), 2, 2), """"))/$G933)), """")"),"")</f>
        <v/>
      </c>
      <c r="P933" s="47" t="str">
        <f>IFERROR(__xludf.DUMMYFUNCTION("IFERROR(IF(OR(ISBLANK($G933), IFERROR(INDEX(GOOGLEFINANCE($C933, ""price"", WORKDAY(INT($B933), 20)), 2, 2), """")=""""), """", IF($D933=""LONG"", (IFERROR(INDEX(GOOGLEFINANCE($C933, ""price"", WORKDAY(INT($B933), 20)), 2, 2), """")-$G933)/$G933, ($G933-I"&amp;"FERROR(INDEX(GOOGLEFINANCE($C933, ""price"", WORKDAY(INT($B933), 20)), 2, 2), """"))/$G933)), """")"),"")</f>
        <v/>
      </c>
      <c r="Q933" s="44"/>
      <c r="R933" s="44"/>
      <c r="S933" s="44"/>
      <c r="T933" s="44"/>
      <c r="U933" s="44"/>
      <c r="V933" s="44"/>
      <c r="W933" s="44"/>
      <c r="X933" s="44"/>
      <c r="Y933" s="44"/>
      <c r="Z933" s="44"/>
    </row>
    <row r="934">
      <c r="A934" s="44"/>
      <c r="B934" s="45"/>
      <c r="C934" s="44"/>
      <c r="D934" s="44"/>
      <c r="E934" s="44"/>
      <c r="F934" s="44"/>
      <c r="G934" s="46"/>
      <c r="H934" s="44"/>
      <c r="I934" s="44"/>
      <c r="J934" s="44"/>
      <c r="K934" s="44"/>
      <c r="L934" s="46" t="str">
        <f>IFERROR(__xludf.DUMMYFUNCTION("IFERROR(IF(ISBLANK($C934), """", GOOGLEFINANCE($C934, ""price"")), """")"),"")</f>
        <v/>
      </c>
      <c r="M934" s="47" t="str">
        <f t="shared" si="3"/>
        <v/>
      </c>
      <c r="N934" s="47" t="str">
        <f>IFERROR(__xludf.DUMMYFUNCTION("IFERROR(IF(OR(ISBLANK($G934), IFERROR(INDEX(GOOGLEFINANCE($C934, ""price"", WORKDAY(INT($B934), 1)), 2, 2), """")=""""), """", IF($D934=""LONG"", (IFERROR(INDEX(GOOGLEFINANCE($C934, ""price"", WORKDAY(INT($B934), 1)), 2, 2), """")-$G934)/$G934, ($G934-IFE"&amp;"RROR(INDEX(GOOGLEFINANCE($C934, ""price"", WORKDAY(INT($B934), 1)), 2, 2), """"))/$G934)), """")"),"")</f>
        <v/>
      </c>
      <c r="O934" s="47" t="str">
        <f>IFERROR(__xludf.DUMMYFUNCTION("IFERROR(IF(OR(ISBLANK($G934), IFERROR(INDEX(GOOGLEFINANCE($C934, ""price"", WORKDAY(INT($B934), 5)), 2, 2), """")=""""), """", IF($D934=""LONG"", (IFERROR(INDEX(GOOGLEFINANCE($C934, ""price"", WORKDAY(INT($B934), 5)), 2, 2), """")-$G934)/$G934, ($G934-IFE"&amp;"RROR(INDEX(GOOGLEFINANCE($C934, ""price"", WORKDAY(INT($B934), 5)), 2, 2), """"))/$G934)), """")"),"")</f>
        <v/>
      </c>
      <c r="P934" s="47" t="str">
        <f>IFERROR(__xludf.DUMMYFUNCTION("IFERROR(IF(OR(ISBLANK($G934), IFERROR(INDEX(GOOGLEFINANCE($C934, ""price"", WORKDAY(INT($B934), 20)), 2, 2), """")=""""), """", IF($D934=""LONG"", (IFERROR(INDEX(GOOGLEFINANCE($C934, ""price"", WORKDAY(INT($B934), 20)), 2, 2), """")-$G934)/$G934, ($G934-I"&amp;"FERROR(INDEX(GOOGLEFINANCE($C934, ""price"", WORKDAY(INT($B934), 20)), 2, 2), """"))/$G934)), """")"),"")</f>
        <v/>
      </c>
      <c r="Q934" s="44"/>
      <c r="R934" s="44"/>
      <c r="S934" s="44"/>
      <c r="T934" s="44"/>
      <c r="U934" s="44"/>
      <c r="V934" s="44"/>
      <c r="W934" s="44"/>
      <c r="X934" s="44"/>
      <c r="Y934" s="44"/>
      <c r="Z934" s="44"/>
    </row>
    <row r="935">
      <c r="A935" s="44"/>
      <c r="B935" s="45"/>
      <c r="C935" s="44"/>
      <c r="D935" s="44"/>
      <c r="E935" s="44"/>
      <c r="F935" s="44"/>
      <c r="G935" s="46"/>
      <c r="H935" s="44"/>
      <c r="I935" s="44"/>
      <c r="J935" s="44"/>
      <c r="K935" s="44"/>
      <c r="L935" s="46" t="str">
        <f>IFERROR(__xludf.DUMMYFUNCTION("IFERROR(IF(ISBLANK($C935), """", GOOGLEFINANCE($C935, ""price"")), """")"),"")</f>
        <v/>
      </c>
      <c r="M935" s="47" t="str">
        <f t="shared" si="3"/>
        <v/>
      </c>
      <c r="N935" s="47" t="str">
        <f>IFERROR(__xludf.DUMMYFUNCTION("IFERROR(IF(OR(ISBLANK($G935), IFERROR(INDEX(GOOGLEFINANCE($C935, ""price"", WORKDAY(INT($B935), 1)), 2, 2), """")=""""), """", IF($D935=""LONG"", (IFERROR(INDEX(GOOGLEFINANCE($C935, ""price"", WORKDAY(INT($B935), 1)), 2, 2), """")-$G935)/$G935, ($G935-IFE"&amp;"RROR(INDEX(GOOGLEFINANCE($C935, ""price"", WORKDAY(INT($B935), 1)), 2, 2), """"))/$G935)), """")"),"")</f>
        <v/>
      </c>
      <c r="O935" s="47" t="str">
        <f>IFERROR(__xludf.DUMMYFUNCTION("IFERROR(IF(OR(ISBLANK($G935), IFERROR(INDEX(GOOGLEFINANCE($C935, ""price"", WORKDAY(INT($B935), 5)), 2, 2), """")=""""), """", IF($D935=""LONG"", (IFERROR(INDEX(GOOGLEFINANCE($C935, ""price"", WORKDAY(INT($B935), 5)), 2, 2), """")-$G935)/$G935, ($G935-IFE"&amp;"RROR(INDEX(GOOGLEFINANCE($C935, ""price"", WORKDAY(INT($B935), 5)), 2, 2), """"))/$G935)), """")"),"")</f>
        <v/>
      </c>
      <c r="P935" s="47" t="str">
        <f>IFERROR(__xludf.DUMMYFUNCTION("IFERROR(IF(OR(ISBLANK($G935), IFERROR(INDEX(GOOGLEFINANCE($C935, ""price"", WORKDAY(INT($B935), 20)), 2, 2), """")=""""), """", IF($D935=""LONG"", (IFERROR(INDEX(GOOGLEFINANCE($C935, ""price"", WORKDAY(INT($B935), 20)), 2, 2), """")-$G935)/$G935, ($G935-I"&amp;"FERROR(INDEX(GOOGLEFINANCE($C935, ""price"", WORKDAY(INT($B935), 20)), 2, 2), """"))/$G935)), """")"),"")</f>
        <v/>
      </c>
      <c r="Q935" s="44"/>
      <c r="R935" s="44"/>
      <c r="S935" s="44"/>
      <c r="T935" s="44"/>
      <c r="U935" s="44"/>
      <c r="V935" s="44"/>
      <c r="W935" s="44"/>
      <c r="X935" s="44"/>
      <c r="Y935" s="44"/>
      <c r="Z935" s="44"/>
    </row>
    <row r="936">
      <c r="A936" s="44"/>
      <c r="B936" s="45"/>
      <c r="C936" s="44"/>
      <c r="D936" s="44"/>
      <c r="E936" s="44"/>
      <c r="F936" s="44"/>
      <c r="G936" s="46"/>
      <c r="H936" s="44"/>
      <c r="I936" s="44"/>
      <c r="J936" s="44"/>
      <c r="K936" s="44"/>
      <c r="L936" s="46" t="str">
        <f>IFERROR(__xludf.DUMMYFUNCTION("IFERROR(IF(ISBLANK($C936), """", GOOGLEFINANCE($C936, ""price"")), """")"),"")</f>
        <v/>
      </c>
      <c r="M936" s="47" t="str">
        <f t="shared" si="3"/>
        <v/>
      </c>
      <c r="N936" s="47" t="str">
        <f>IFERROR(__xludf.DUMMYFUNCTION("IFERROR(IF(OR(ISBLANK($G936), IFERROR(INDEX(GOOGLEFINANCE($C936, ""price"", WORKDAY(INT($B936), 1)), 2, 2), """")=""""), """", IF($D936=""LONG"", (IFERROR(INDEX(GOOGLEFINANCE($C936, ""price"", WORKDAY(INT($B936), 1)), 2, 2), """")-$G936)/$G936, ($G936-IFE"&amp;"RROR(INDEX(GOOGLEFINANCE($C936, ""price"", WORKDAY(INT($B936), 1)), 2, 2), """"))/$G936)), """")"),"")</f>
        <v/>
      </c>
      <c r="O936" s="47" t="str">
        <f>IFERROR(__xludf.DUMMYFUNCTION("IFERROR(IF(OR(ISBLANK($G936), IFERROR(INDEX(GOOGLEFINANCE($C936, ""price"", WORKDAY(INT($B936), 5)), 2, 2), """")=""""), """", IF($D936=""LONG"", (IFERROR(INDEX(GOOGLEFINANCE($C936, ""price"", WORKDAY(INT($B936), 5)), 2, 2), """")-$G936)/$G936, ($G936-IFE"&amp;"RROR(INDEX(GOOGLEFINANCE($C936, ""price"", WORKDAY(INT($B936), 5)), 2, 2), """"))/$G936)), """")"),"")</f>
        <v/>
      </c>
      <c r="P936" s="47" t="str">
        <f>IFERROR(__xludf.DUMMYFUNCTION("IFERROR(IF(OR(ISBLANK($G936), IFERROR(INDEX(GOOGLEFINANCE($C936, ""price"", WORKDAY(INT($B936), 20)), 2, 2), """")=""""), """", IF($D936=""LONG"", (IFERROR(INDEX(GOOGLEFINANCE($C936, ""price"", WORKDAY(INT($B936), 20)), 2, 2), """")-$G936)/$G936, ($G936-I"&amp;"FERROR(INDEX(GOOGLEFINANCE($C936, ""price"", WORKDAY(INT($B936), 20)), 2, 2), """"))/$G936)), """")"),"")</f>
        <v/>
      </c>
      <c r="Q936" s="44"/>
      <c r="R936" s="44"/>
      <c r="S936" s="44"/>
      <c r="T936" s="44"/>
      <c r="U936" s="44"/>
      <c r="V936" s="44"/>
      <c r="W936" s="44"/>
      <c r="X936" s="44"/>
      <c r="Y936" s="44"/>
      <c r="Z936" s="44"/>
    </row>
    <row r="937">
      <c r="A937" s="44"/>
      <c r="B937" s="45"/>
      <c r="C937" s="44"/>
      <c r="D937" s="44"/>
      <c r="E937" s="44"/>
      <c r="F937" s="44"/>
      <c r="G937" s="46"/>
      <c r="H937" s="44"/>
      <c r="I937" s="44"/>
      <c r="J937" s="44"/>
      <c r="K937" s="44"/>
      <c r="L937" s="46" t="str">
        <f>IFERROR(__xludf.DUMMYFUNCTION("IFERROR(IF(ISBLANK($C937), """", GOOGLEFINANCE($C937, ""price"")), """")"),"")</f>
        <v/>
      </c>
      <c r="M937" s="47" t="str">
        <f t="shared" si="3"/>
        <v/>
      </c>
      <c r="N937" s="47" t="str">
        <f>IFERROR(__xludf.DUMMYFUNCTION("IFERROR(IF(OR(ISBLANK($G937), IFERROR(INDEX(GOOGLEFINANCE($C937, ""price"", WORKDAY(INT($B937), 1)), 2, 2), """")=""""), """", IF($D937=""LONG"", (IFERROR(INDEX(GOOGLEFINANCE($C937, ""price"", WORKDAY(INT($B937), 1)), 2, 2), """")-$G937)/$G937, ($G937-IFE"&amp;"RROR(INDEX(GOOGLEFINANCE($C937, ""price"", WORKDAY(INT($B937), 1)), 2, 2), """"))/$G937)), """")"),"")</f>
        <v/>
      </c>
      <c r="O937" s="47" t="str">
        <f>IFERROR(__xludf.DUMMYFUNCTION("IFERROR(IF(OR(ISBLANK($G937), IFERROR(INDEX(GOOGLEFINANCE($C937, ""price"", WORKDAY(INT($B937), 5)), 2, 2), """")=""""), """", IF($D937=""LONG"", (IFERROR(INDEX(GOOGLEFINANCE($C937, ""price"", WORKDAY(INT($B937), 5)), 2, 2), """")-$G937)/$G937, ($G937-IFE"&amp;"RROR(INDEX(GOOGLEFINANCE($C937, ""price"", WORKDAY(INT($B937), 5)), 2, 2), """"))/$G937)), """")"),"")</f>
        <v/>
      </c>
      <c r="P937" s="47" t="str">
        <f>IFERROR(__xludf.DUMMYFUNCTION("IFERROR(IF(OR(ISBLANK($G937), IFERROR(INDEX(GOOGLEFINANCE($C937, ""price"", WORKDAY(INT($B937), 20)), 2, 2), """")=""""), """", IF($D937=""LONG"", (IFERROR(INDEX(GOOGLEFINANCE($C937, ""price"", WORKDAY(INT($B937), 20)), 2, 2), """")-$G937)/$G937, ($G937-I"&amp;"FERROR(INDEX(GOOGLEFINANCE($C937, ""price"", WORKDAY(INT($B937), 20)), 2, 2), """"))/$G937)), """")"),"")</f>
        <v/>
      </c>
      <c r="Q937" s="44"/>
      <c r="R937" s="44"/>
      <c r="S937" s="44"/>
      <c r="T937" s="44"/>
      <c r="U937" s="44"/>
      <c r="V937" s="44"/>
      <c r="W937" s="44"/>
      <c r="X937" s="44"/>
      <c r="Y937" s="44"/>
      <c r="Z937" s="44"/>
    </row>
    <row r="938">
      <c r="A938" s="44"/>
      <c r="B938" s="45"/>
      <c r="C938" s="44"/>
      <c r="D938" s="44"/>
      <c r="E938" s="44"/>
      <c r="F938" s="44"/>
      <c r="G938" s="46"/>
      <c r="H938" s="44"/>
      <c r="I938" s="44"/>
      <c r="J938" s="44"/>
      <c r="K938" s="44"/>
      <c r="L938" s="46" t="str">
        <f>IFERROR(__xludf.DUMMYFUNCTION("IFERROR(IF(ISBLANK($C938), """", GOOGLEFINANCE($C938, ""price"")), """")"),"")</f>
        <v/>
      </c>
      <c r="M938" s="47" t="str">
        <f t="shared" si="3"/>
        <v/>
      </c>
      <c r="N938" s="47" t="str">
        <f>IFERROR(__xludf.DUMMYFUNCTION("IFERROR(IF(OR(ISBLANK($G938), IFERROR(INDEX(GOOGLEFINANCE($C938, ""price"", WORKDAY(INT($B938), 1)), 2, 2), """")=""""), """", IF($D938=""LONG"", (IFERROR(INDEX(GOOGLEFINANCE($C938, ""price"", WORKDAY(INT($B938), 1)), 2, 2), """")-$G938)/$G938, ($G938-IFE"&amp;"RROR(INDEX(GOOGLEFINANCE($C938, ""price"", WORKDAY(INT($B938), 1)), 2, 2), """"))/$G938)), """")"),"")</f>
        <v/>
      </c>
      <c r="O938" s="47" t="str">
        <f>IFERROR(__xludf.DUMMYFUNCTION("IFERROR(IF(OR(ISBLANK($G938), IFERROR(INDEX(GOOGLEFINANCE($C938, ""price"", WORKDAY(INT($B938), 5)), 2, 2), """")=""""), """", IF($D938=""LONG"", (IFERROR(INDEX(GOOGLEFINANCE($C938, ""price"", WORKDAY(INT($B938), 5)), 2, 2), """")-$G938)/$G938, ($G938-IFE"&amp;"RROR(INDEX(GOOGLEFINANCE($C938, ""price"", WORKDAY(INT($B938), 5)), 2, 2), """"))/$G938)), """")"),"")</f>
        <v/>
      </c>
      <c r="P938" s="47" t="str">
        <f>IFERROR(__xludf.DUMMYFUNCTION("IFERROR(IF(OR(ISBLANK($G938), IFERROR(INDEX(GOOGLEFINANCE($C938, ""price"", WORKDAY(INT($B938), 20)), 2, 2), """")=""""), """", IF($D938=""LONG"", (IFERROR(INDEX(GOOGLEFINANCE($C938, ""price"", WORKDAY(INT($B938), 20)), 2, 2), """")-$G938)/$G938, ($G938-I"&amp;"FERROR(INDEX(GOOGLEFINANCE($C938, ""price"", WORKDAY(INT($B938), 20)), 2, 2), """"))/$G938)), """")"),"")</f>
        <v/>
      </c>
      <c r="Q938" s="44"/>
      <c r="R938" s="44"/>
      <c r="S938" s="44"/>
      <c r="T938" s="44"/>
      <c r="U938" s="44"/>
      <c r="V938" s="44"/>
      <c r="W938" s="44"/>
      <c r="X938" s="44"/>
      <c r="Y938" s="44"/>
      <c r="Z938" s="44"/>
    </row>
    <row r="939">
      <c r="A939" s="44"/>
      <c r="B939" s="45"/>
      <c r="C939" s="44"/>
      <c r="D939" s="44"/>
      <c r="E939" s="44"/>
      <c r="F939" s="44"/>
      <c r="G939" s="46"/>
      <c r="H939" s="44"/>
      <c r="I939" s="44"/>
      <c r="J939" s="44"/>
      <c r="K939" s="44"/>
      <c r="L939" s="46" t="str">
        <f>IFERROR(__xludf.DUMMYFUNCTION("IFERROR(IF(ISBLANK($C939), """", GOOGLEFINANCE($C939, ""price"")), """")"),"")</f>
        <v/>
      </c>
      <c r="M939" s="47" t="str">
        <f t="shared" si="3"/>
        <v/>
      </c>
      <c r="N939" s="47" t="str">
        <f>IFERROR(__xludf.DUMMYFUNCTION("IFERROR(IF(OR(ISBLANK($G939), IFERROR(INDEX(GOOGLEFINANCE($C939, ""price"", WORKDAY(INT($B939), 1)), 2, 2), """")=""""), """", IF($D939=""LONG"", (IFERROR(INDEX(GOOGLEFINANCE($C939, ""price"", WORKDAY(INT($B939), 1)), 2, 2), """")-$G939)/$G939, ($G939-IFE"&amp;"RROR(INDEX(GOOGLEFINANCE($C939, ""price"", WORKDAY(INT($B939), 1)), 2, 2), """"))/$G939)), """")"),"")</f>
        <v/>
      </c>
      <c r="O939" s="47" t="str">
        <f>IFERROR(__xludf.DUMMYFUNCTION("IFERROR(IF(OR(ISBLANK($G939), IFERROR(INDEX(GOOGLEFINANCE($C939, ""price"", WORKDAY(INT($B939), 5)), 2, 2), """")=""""), """", IF($D939=""LONG"", (IFERROR(INDEX(GOOGLEFINANCE($C939, ""price"", WORKDAY(INT($B939), 5)), 2, 2), """")-$G939)/$G939, ($G939-IFE"&amp;"RROR(INDEX(GOOGLEFINANCE($C939, ""price"", WORKDAY(INT($B939), 5)), 2, 2), """"))/$G939)), """")"),"")</f>
        <v/>
      </c>
      <c r="P939" s="47" t="str">
        <f>IFERROR(__xludf.DUMMYFUNCTION("IFERROR(IF(OR(ISBLANK($G939), IFERROR(INDEX(GOOGLEFINANCE($C939, ""price"", WORKDAY(INT($B939), 20)), 2, 2), """")=""""), """", IF($D939=""LONG"", (IFERROR(INDEX(GOOGLEFINANCE($C939, ""price"", WORKDAY(INT($B939), 20)), 2, 2), """")-$G939)/$G939, ($G939-I"&amp;"FERROR(INDEX(GOOGLEFINANCE($C939, ""price"", WORKDAY(INT($B939), 20)), 2, 2), """"))/$G939)), """")"),"")</f>
        <v/>
      </c>
      <c r="Q939" s="44"/>
      <c r="R939" s="44"/>
      <c r="S939" s="44"/>
      <c r="T939" s="44"/>
      <c r="U939" s="44"/>
      <c r="V939" s="44"/>
      <c r="W939" s="44"/>
      <c r="X939" s="44"/>
      <c r="Y939" s="44"/>
      <c r="Z939" s="44"/>
    </row>
    <row r="940">
      <c r="A940" s="44"/>
      <c r="B940" s="45"/>
      <c r="C940" s="44"/>
      <c r="D940" s="44"/>
      <c r="E940" s="44"/>
      <c r="F940" s="44"/>
      <c r="G940" s="46"/>
      <c r="H940" s="44"/>
      <c r="I940" s="44"/>
      <c r="J940" s="44"/>
      <c r="K940" s="44"/>
      <c r="L940" s="46" t="str">
        <f>IFERROR(__xludf.DUMMYFUNCTION("IFERROR(IF(ISBLANK($C940), """", GOOGLEFINANCE($C940, ""price"")), """")"),"")</f>
        <v/>
      </c>
      <c r="M940" s="47" t="str">
        <f t="shared" si="3"/>
        <v/>
      </c>
      <c r="N940" s="47" t="str">
        <f>IFERROR(__xludf.DUMMYFUNCTION("IFERROR(IF(OR(ISBLANK($G940), IFERROR(INDEX(GOOGLEFINANCE($C940, ""price"", WORKDAY(INT($B940), 1)), 2, 2), """")=""""), """", IF($D940=""LONG"", (IFERROR(INDEX(GOOGLEFINANCE($C940, ""price"", WORKDAY(INT($B940), 1)), 2, 2), """")-$G940)/$G940, ($G940-IFE"&amp;"RROR(INDEX(GOOGLEFINANCE($C940, ""price"", WORKDAY(INT($B940), 1)), 2, 2), """"))/$G940)), """")"),"")</f>
        <v/>
      </c>
      <c r="O940" s="47" t="str">
        <f>IFERROR(__xludf.DUMMYFUNCTION("IFERROR(IF(OR(ISBLANK($G940), IFERROR(INDEX(GOOGLEFINANCE($C940, ""price"", WORKDAY(INT($B940), 5)), 2, 2), """")=""""), """", IF($D940=""LONG"", (IFERROR(INDEX(GOOGLEFINANCE($C940, ""price"", WORKDAY(INT($B940), 5)), 2, 2), """")-$G940)/$G940, ($G940-IFE"&amp;"RROR(INDEX(GOOGLEFINANCE($C940, ""price"", WORKDAY(INT($B940), 5)), 2, 2), """"))/$G940)), """")"),"")</f>
        <v/>
      </c>
      <c r="P940" s="47" t="str">
        <f>IFERROR(__xludf.DUMMYFUNCTION("IFERROR(IF(OR(ISBLANK($G940), IFERROR(INDEX(GOOGLEFINANCE($C940, ""price"", WORKDAY(INT($B940), 20)), 2, 2), """")=""""), """", IF($D940=""LONG"", (IFERROR(INDEX(GOOGLEFINANCE($C940, ""price"", WORKDAY(INT($B940), 20)), 2, 2), """")-$G940)/$G940, ($G940-I"&amp;"FERROR(INDEX(GOOGLEFINANCE($C940, ""price"", WORKDAY(INT($B940), 20)), 2, 2), """"))/$G940)), """")"),"")</f>
        <v/>
      </c>
      <c r="Q940" s="44"/>
      <c r="R940" s="44"/>
      <c r="S940" s="44"/>
      <c r="T940" s="44"/>
      <c r="U940" s="44"/>
      <c r="V940" s="44"/>
      <c r="W940" s="44"/>
      <c r="X940" s="44"/>
      <c r="Y940" s="44"/>
      <c r="Z940" s="44"/>
    </row>
    <row r="941">
      <c r="A941" s="44"/>
      <c r="B941" s="45"/>
      <c r="C941" s="44"/>
      <c r="D941" s="44"/>
      <c r="E941" s="44"/>
      <c r="F941" s="44"/>
      <c r="G941" s="46"/>
      <c r="H941" s="44"/>
      <c r="I941" s="44"/>
      <c r="J941" s="44"/>
      <c r="K941" s="44"/>
      <c r="L941" s="46" t="str">
        <f>IFERROR(__xludf.DUMMYFUNCTION("IFERROR(IF(ISBLANK($C941), """", GOOGLEFINANCE($C941, ""price"")), """")"),"")</f>
        <v/>
      </c>
      <c r="M941" s="47" t="str">
        <f t="shared" si="3"/>
        <v/>
      </c>
      <c r="N941" s="47" t="str">
        <f>IFERROR(__xludf.DUMMYFUNCTION("IFERROR(IF(OR(ISBLANK($G941), IFERROR(INDEX(GOOGLEFINANCE($C941, ""price"", WORKDAY(INT($B941), 1)), 2, 2), """")=""""), """", IF($D941=""LONG"", (IFERROR(INDEX(GOOGLEFINANCE($C941, ""price"", WORKDAY(INT($B941), 1)), 2, 2), """")-$G941)/$G941, ($G941-IFE"&amp;"RROR(INDEX(GOOGLEFINANCE($C941, ""price"", WORKDAY(INT($B941), 1)), 2, 2), """"))/$G941)), """")"),"")</f>
        <v/>
      </c>
      <c r="O941" s="47" t="str">
        <f>IFERROR(__xludf.DUMMYFUNCTION("IFERROR(IF(OR(ISBLANK($G941), IFERROR(INDEX(GOOGLEFINANCE($C941, ""price"", WORKDAY(INT($B941), 5)), 2, 2), """")=""""), """", IF($D941=""LONG"", (IFERROR(INDEX(GOOGLEFINANCE($C941, ""price"", WORKDAY(INT($B941), 5)), 2, 2), """")-$G941)/$G941, ($G941-IFE"&amp;"RROR(INDEX(GOOGLEFINANCE($C941, ""price"", WORKDAY(INT($B941), 5)), 2, 2), """"))/$G941)), """")"),"")</f>
        <v/>
      </c>
      <c r="P941" s="47" t="str">
        <f>IFERROR(__xludf.DUMMYFUNCTION("IFERROR(IF(OR(ISBLANK($G941), IFERROR(INDEX(GOOGLEFINANCE($C941, ""price"", WORKDAY(INT($B941), 20)), 2, 2), """")=""""), """", IF($D941=""LONG"", (IFERROR(INDEX(GOOGLEFINANCE($C941, ""price"", WORKDAY(INT($B941), 20)), 2, 2), """")-$G941)/$G941, ($G941-I"&amp;"FERROR(INDEX(GOOGLEFINANCE($C941, ""price"", WORKDAY(INT($B941), 20)), 2, 2), """"))/$G941)), """")"),"")</f>
        <v/>
      </c>
      <c r="Q941" s="44"/>
      <c r="R941" s="44"/>
      <c r="S941" s="44"/>
      <c r="T941" s="44"/>
      <c r="U941" s="44"/>
      <c r="V941" s="44"/>
      <c r="W941" s="44"/>
      <c r="X941" s="44"/>
      <c r="Y941" s="44"/>
      <c r="Z941" s="44"/>
    </row>
    <row r="942">
      <c r="A942" s="44"/>
      <c r="B942" s="45"/>
      <c r="C942" s="44"/>
      <c r="D942" s="44"/>
      <c r="E942" s="44"/>
      <c r="F942" s="44"/>
      <c r="G942" s="46"/>
      <c r="H942" s="44"/>
      <c r="I942" s="44"/>
      <c r="J942" s="44"/>
      <c r="K942" s="44"/>
      <c r="L942" s="46" t="str">
        <f>IFERROR(__xludf.DUMMYFUNCTION("IFERROR(IF(ISBLANK($C942), """", GOOGLEFINANCE($C942, ""price"")), """")"),"")</f>
        <v/>
      </c>
      <c r="M942" s="47" t="str">
        <f t="shared" si="3"/>
        <v/>
      </c>
      <c r="N942" s="47" t="str">
        <f>IFERROR(__xludf.DUMMYFUNCTION("IFERROR(IF(OR(ISBLANK($G942), IFERROR(INDEX(GOOGLEFINANCE($C942, ""price"", WORKDAY(INT($B942), 1)), 2, 2), """")=""""), """", IF($D942=""LONG"", (IFERROR(INDEX(GOOGLEFINANCE($C942, ""price"", WORKDAY(INT($B942), 1)), 2, 2), """")-$G942)/$G942, ($G942-IFE"&amp;"RROR(INDEX(GOOGLEFINANCE($C942, ""price"", WORKDAY(INT($B942), 1)), 2, 2), """"))/$G942)), """")"),"")</f>
        <v/>
      </c>
      <c r="O942" s="47" t="str">
        <f>IFERROR(__xludf.DUMMYFUNCTION("IFERROR(IF(OR(ISBLANK($G942), IFERROR(INDEX(GOOGLEFINANCE($C942, ""price"", WORKDAY(INT($B942), 5)), 2, 2), """")=""""), """", IF($D942=""LONG"", (IFERROR(INDEX(GOOGLEFINANCE($C942, ""price"", WORKDAY(INT($B942), 5)), 2, 2), """")-$G942)/$G942, ($G942-IFE"&amp;"RROR(INDEX(GOOGLEFINANCE($C942, ""price"", WORKDAY(INT($B942), 5)), 2, 2), """"))/$G942)), """")"),"")</f>
        <v/>
      </c>
      <c r="P942" s="47" t="str">
        <f>IFERROR(__xludf.DUMMYFUNCTION("IFERROR(IF(OR(ISBLANK($G942), IFERROR(INDEX(GOOGLEFINANCE($C942, ""price"", WORKDAY(INT($B942), 20)), 2, 2), """")=""""), """", IF($D942=""LONG"", (IFERROR(INDEX(GOOGLEFINANCE($C942, ""price"", WORKDAY(INT($B942), 20)), 2, 2), """")-$G942)/$G942, ($G942-I"&amp;"FERROR(INDEX(GOOGLEFINANCE($C942, ""price"", WORKDAY(INT($B942), 20)), 2, 2), """"))/$G942)), """")"),"")</f>
        <v/>
      </c>
      <c r="Q942" s="44"/>
      <c r="R942" s="44"/>
      <c r="S942" s="44"/>
      <c r="T942" s="44"/>
      <c r="U942" s="44"/>
      <c r="V942" s="44"/>
      <c r="W942" s="44"/>
      <c r="X942" s="44"/>
      <c r="Y942" s="44"/>
      <c r="Z942" s="44"/>
    </row>
    <row r="943">
      <c r="A943" s="44"/>
      <c r="B943" s="45"/>
      <c r="C943" s="44"/>
      <c r="D943" s="44"/>
      <c r="E943" s="44"/>
      <c r="F943" s="44"/>
      <c r="G943" s="46"/>
      <c r="H943" s="44"/>
      <c r="I943" s="44"/>
      <c r="J943" s="44"/>
      <c r="K943" s="44"/>
      <c r="L943" s="46" t="str">
        <f>IFERROR(__xludf.DUMMYFUNCTION("IFERROR(IF(ISBLANK($C943), """", GOOGLEFINANCE($C943, ""price"")), """")"),"")</f>
        <v/>
      </c>
      <c r="M943" s="47" t="str">
        <f t="shared" si="3"/>
        <v/>
      </c>
      <c r="N943" s="47" t="str">
        <f>IFERROR(__xludf.DUMMYFUNCTION("IFERROR(IF(OR(ISBLANK($G943), IFERROR(INDEX(GOOGLEFINANCE($C943, ""price"", WORKDAY(INT($B943), 1)), 2, 2), """")=""""), """", IF($D943=""LONG"", (IFERROR(INDEX(GOOGLEFINANCE($C943, ""price"", WORKDAY(INT($B943), 1)), 2, 2), """")-$G943)/$G943, ($G943-IFE"&amp;"RROR(INDEX(GOOGLEFINANCE($C943, ""price"", WORKDAY(INT($B943), 1)), 2, 2), """"))/$G943)), """")"),"")</f>
        <v/>
      </c>
      <c r="O943" s="47" t="str">
        <f>IFERROR(__xludf.DUMMYFUNCTION("IFERROR(IF(OR(ISBLANK($G943), IFERROR(INDEX(GOOGLEFINANCE($C943, ""price"", WORKDAY(INT($B943), 5)), 2, 2), """")=""""), """", IF($D943=""LONG"", (IFERROR(INDEX(GOOGLEFINANCE($C943, ""price"", WORKDAY(INT($B943), 5)), 2, 2), """")-$G943)/$G943, ($G943-IFE"&amp;"RROR(INDEX(GOOGLEFINANCE($C943, ""price"", WORKDAY(INT($B943), 5)), 2, 2), """"))/$G943)), """")"),"")</f>
        <v/>
      </c>
      <c r="P943" s="47" t="str">
        <f>IFERROR(__xludf.DUMMYFUNCTION("IFERROR(IF(OR(ISBLANK($G943), IFERROR(INDEX(GOOGLEFINANCE($C943, ""price"", WORKDAY(INT($B943), 20)), 2, 2), """")=""""), """", IF($D943=""LONG"", (IFERROR(INDEX(GOOGLEFINANCE($C943, ""price"", WORKDAY(INT($B943), 20)), 2, 2), """")-$G943)/$G943, ($G943-I"&amp;"FERROR(INDEX(GOOGLEFINANCE($C943, ""price"", WORKDAY(INT($B943), 20)), 2, 2), """"))/$G943)), """")"),"")</f>
        <v/>
      </c>
      <c r="Q943" s="44"/>
      <c r="R943" s="44"/>
      <c r="S943" s="44"/>
      <c r="T943" s="44"/>
      <c r="U943" s="44"/>
      <c r="V943" s="44"/>
      <c r="W943" s="44"/>
      <c r="X943" s="44"/>
      <c r="Y943" s="44"/>
      <c r="Z943" s="44"/>
    </row>
    <row r="944">
      <c r="A944" s="44"/>
      <c r="B944" s="45"/>
      <c r="C944" s="44"/>
      <c r="D944" s="44"/>
      <c r="E944" s="44"/>
      <c r="F944" s="44"/>
      <c r="G944" s="46"/>
      <c r="H944" s="44"/>
      <c r="I944" s="44"/>
      <c r="J944" s="44"/>
      <c r="K944" s="44"/>
      <c r="L944" s="46" t="str">
        <f>IFERROR(__xludf.DUMMYFUNCTION("IFERROR(IF(ISBLANK($C944), """", GOOGLEFINANCE($C944, ""price"")), """")"),"")</f>
        <v/>
      </c>
      <c r="M944" s="47" t="str">
        <f t="shared" si="3"/>
        <v/>
      </c>
      <c r="N944" s="47" t="str">
        <f>IFERROR(__xludf.DUMMYFUNCTION("IFERROR(IF(OR(ISBLANK($G944), IFERROR(INDEX(GOOGLEFINANCE($C944, ""price"", WORKDAY(INT($B944), 1)), 2, 2), """")=""""), """", IF($D944=""LONG"", (IFERROR(INDEX(GOOGLEFINANCE($C944, ""price"", WORKDAY(INT($B944), 1)), 2, 2), """")-$G944)/$G944, ($G944-IFE"&amp;"RROR(INDEX(GOOGLEFINANCE($C944, ""price"", WORKDAY(INT($B944), 1)), 2, 2), """"))/$G944)), """")"),"")</f>
        <v/>
      </c>
      <c r="O944" s="47" t="str">
        <f>IFERROR(__xludf.DUMMYFUNCTION("IFERROR(IF(OR(ISBLANK($G944), IFERROR(INDEX(GOOGLEFINANCE($C944, ""price"", WORKDAY(INT($B944), 5)), 2, 2), """")=""""), """", IF($D944=""LONG"", (IFERROR(INDEX(GOOGLEFINANCE($C944, ""price"", WORKDAY(INT($B944), 5)), 2, 2), """")-$G944)/$G944, ($G944-IFE"&amp;"RROR(INDEX(GOOGLEFINANCE($C944, ""price"", WORKDAY(INT($B944), 5)), 2, 2), """"))/$G944)), """")"),"")</f>
        <v/>
      </c>
      <c r="P944" s="47" t="str">
        <f>IFERROR(__xludf.DUMMYFUNCTION("IFERROR(IF(OR(ISBLANK($G944), IFERROR(INDEX(GOOGLEFINANCE($C944, ""price"", WORKDAY(INT($B944), 20)), 2, 2), """")=""""), """", IF($D944=""LONG"", (IFERROR(INDEX(GOOGLEFINANCE($C944, ""price"", WORKDAY(INT($B944), 20)), 2, 2), """")-$G944)/$G944, ($G944-I"&amp;"FERROR(INDEX(GOOGLEFINANCE($C944, ""price"", WORKDAY(INT($B944), 20)), 2, 2), """"))/$G944)), """")"),"")</f>
        <v/>
      </c>
      <c r="Q944" s="44"/>
      <c r="R944" s="44"/>
      <c r="S944" s="44"/>
      <c r="T944" s="44"/>
      <c r="U944" s="44"/>
      <c r="V944" s="44"/>
      <c r="W944" s="44"/>
      <c r="X944" s="44"/>
      <c r="Y944" s="44"/>
      <c r="Z944" s="44"/>
    </row>
    <row r="945">
      <c r="A945" s="44"/>
      <c r="B945" s="45"/>
      <c r="C945" s="44"/>
      <c r="D945" s="44"/>
      <c r="E945" s="44"/>
      <c r="F945" s="44"/>
      <c r="G945" s="46"/>
      <c r="H945" s="44"/>
      <c r="I945" s="44"/>
      <c r="J945" s="44"/>
      <c r="K945" s="44"/>
      <c r="L945" s="46" t="str">
        <f>IFERROR(__xludf.DUMMYFUNCTION("IFERROR(IF(ISBLANK($C945), """", GOOGLEFINANCE($C945, ""price"")), """")"),"")</f>
        <v/>
      </c>
      <c r="M945" s="47" t="str">
        <f t="shared" si="3"/>
        <v/>
      </c>
      <c r="N945" s="47" t="str">
        <f>IFERROR(__xludf.DUMMYFUNCTION("IFERROR(IF(OR(ISBLANK($G945), IFERROR(INDEX(GOOGLEFINANCE($C945, ""price"", WORKDAY(INT($B945), 1)), 2, 2), """")=""""), """", IF($D945=""LONG"", (IFERROR(INDEX(GOOGLEFINANCE($C945, ""price"", WORKDAY(INT($B945), 1)), 2, 2), """")-$G945)/$G945, ($G945-IFE"&amp;"RROR(INDEX(GOOGLEFINANCE($C945, ""price"", WORKDAY(INT($B945), 1)), 2, 2), """"))/$G945)), """")"),"")</f>
        <v/>
      </c>
      <c r="O945" s="47" t="str">
        <f>IFERROR(__xludf.DUMMYFUNCTION("IFERROR(IF(OR(ISBLANK($G945), IFERROR(INDEX(GOOGLEFINANCE($C945, ""price"", WORKDAY(INT($B945), 5)), 2, 2), """")=""""), """", IF($D945=""LONG"", (IFERROR(INDEX(GOOGLEFINANCE($C945, ""price"", WORKDAY(INT($B945), 5)), 2, 2), """")-$G945)/$G945, ($G945-IFE"&amp;"RROR(INDEX(GOOGLEFINANCE($C945, ""price"", WORKDAY(INT($B945), 5)), 2, 2), """"))/$G945)), """")"),"")</f>
        <v/>
      </c>
      <c r="P945" s="47" t="str">
        <f>IFERROR(__xludf.DUMMYFUNCTION("IFERROR(IF(OR(ISBLANK($G945), IFERROR(INDEX(GOOGLEFINANCE($C945, ""price"", WORKDAY(INT($B945), 20)), 2, 2), """")=""""), """", IF($D945=""LONG"", (IFERROR(INDEX(GOOGLEFINANCE($C945, ""price"", WORKDAY(INT($B945), 20)), 2, 2), """")-$G945)/$G945, ($G945-I"&amp;"FERROR(INDEX(GOOGLEFINANCE($C945, ""price"", WORKDAY(INT($B945), 20)), 2, 2), """"))/$G945)), """")"),"")</f>
        <v/>
      </c>
      <c r="Q945" s="44"/>
      <c r="R945" s="44"/>
      <c r="S945" s="44"/>
      <c r="T945" s="44"/>
      <c r="U945" s="44"/>
      <c r="V945" s="44"/>
      <c r="W945" s="44"/>
      <c r="X945" s="44"/>
      <c r="Y945" s="44"/>
      <c r="Z945" s="44"/>
    </row>
    <row r="946">
      <c r="A946" s="44"/>
      <c r="B946" s="45"/>
      <c r="C946" s="44"/>
      <c r="D946" s="44"/>
      <c r="E946" s="44"/>
      <c r="F946" s="44"/>
      <c r="G946" s="46"/>
      <c r="H946" s="44"/>
      <c r="I946" s="44"/>
      <c r="J946" s="44"/>
      <c r="K946" s="44"/>
      <c r="L946" s="46" t="str">
        <f>IFERROR(__xludf.DUMMYFUNCTION("IFERROR(IF(ISBLANK($C946), """", GOOGLEFINANCE($C946, ""price"")), """")"),"")</f>
        <v/>
      </c>
      <c r="M946" s="47" t="str">
        <f t="shared" si="3"/>
        <v/>
      </c>
      <c r="N946" s="47" t="str">
        <f>IFERROR(__xludf.DUMMYFUNCTION("IFERROR(IF(OR(ISBLANK($G946), IFERROR(INDEX(GOOGLEFINANCE($C946, ""price"", WORKDAY(INT($B946), 1)), 2, 2), """")=""""), """", IF($D946=""LONG"", (IFERROR(INDEX(GOOGLEFINANCE($C946, ""price"", WORKDAY(INT($B946), 1)), 2, 2), """")-$G946)/$G946, ($G946-IFE"&amp;"RROR(INDEX(GOOGLEFINANCE($C946, ""price"", WORKDAY(INT($B946), 1)), 2, 2), """"))/$G946)), """")"),"")</f>
        <v/>
      </c>
      <c r="O946" s="47" t="str">
        <f>IFERROR(__xludf.DUMMYFUNCTION("IFERROR(IF(OR(ISBLANK($G946), IFERROR(INDEX(GOOGLEFINANCE($C946, ""price"", WORKDAY(INT($B946), 5)), 2, 2), """")=""""), """", IF($D946=""LONG"", (IFERROR(INDEX(GOOGLEFINANCE($C946, ""price"", WORKDAY(INT($B946), 5)), 2, 2), """")-$G946)/$G946, ($G946-IFE"&amp;"RROR(INDEX(GOOGLEFINANCE($C946, ""price"", WORKDAY(INT($B946), 5)), 2, 2), """"))/$G946)), """")"),"")</f>
        <v/>
      </c>
      <c r="P946" s="47" t="str">
        <f>IFERROR(__xludf.DUMMYFUNCTION("IFERROR(IF(OR(ISBLANK($G946), IFERROR(INDEX(GOOGLEFINANCE($C946, ""price"", WORKDAY(INT($B946), 20)), 2, 2), """")=""""), """", IF($D946=""LONG"", (IFERROR(INDEX(GOOGLEFINANCE($C946, ""price"", WORKDAY(INT($B946), 20)), 2, 2), """")-$G946)/$G946, ($G946-I"&amp;"FERROR(INDEX(GOOGLEFINANCE($C946, ""price"", WORKDAY(INT($B946), 20)), 2, 2), """"))/$G946)), """")"),"")</f>
        <v/>
      </c>
      <c r="Q946" s="44"/>
      <c r="R946" s="44"/>
      <c r="S946" s="44"/>
      <c r="T946" s="44"/>
      <c r="U946" s="44"/>
      <c r="V946" s="44"/>
      <c r="W946" s="44"/>
      <c r="X946" s="44"/>
      <c r="Y946" s="44"/>
      <c r="Z946" s="44"/>
    </row>
    <row r="947">
      <c r="A947" s="44"/>
      <c r="B947" s="45"/>
      <c r="C947" s="44"/>
      <c r="D947" s="44"/>
      <c r="E947" s="44"/>
      <c r="F947" s="44"/>
      <c r="G947" s="46"/>
      <c r="H947" s="44"/>
      <c r="I947" s="44"/>
      <c r="J947" s="44"/>
      <c r="K947" s="44"/>
      <c r="L947" s="46" t="str">
        <f>IFERROR(__xludf.DUMMYFUNCTION("IFERROR(IF(ISBLANK($C947), """", GOOGLEFINANCE($C947, ""price"")), """")"),"")</f>
        <v/>
      </c>
      <c r="M947" s="47" t="str">
        <f t="shared" si="3"/>
        <v/>
      </c>
      <c r="N947" s="47" t="str">
        <f>IFERROR(__xludf.DUMMYFUNCTION("IFERROR(IF(OR(ISBLANK($G947), IFERROR(INDEX(GOOGLEFINANCE($C947, ""price"", WORKDAY(INT($B947), 1)), 2, 2), """")=""""), """", IF($D947=""LONG"", (IFERROR(INDEX(GOOGLEFINANCE($C947, ""price"", WORKDAY(INT($B947), 1)), 2, 2), """")-$G947)/$G947, ($G947-IFE"&amp;"RROR(INDEX(GOOGLEFINANCE($C947, ""price"", WORKDAY(INT($B947), 1)), 2, 2), """"))/$G947)), """")"),"")</f>
        <v/>
      </c>
      <c r="O947" s="47" t="str">
        <f>IFERROR(__xludf.DUMMYFUNCTION("IFERROR(IF(OR(ISBLANK($G947), IFERROR(INDEX(GOOGLEFINANCE($C947, ""price"", WORKDAY(INT($B947), 5)), 2, 2), """")=""""), """", IF($D947=""LONG"", (IFERROR(INDEX(GOOGLEFINANCE($C947, ""price"", WORKDAY(INT($B947), 5)), 2, 2), """")-$G947)/$G947, ($G947-IFE"&amp;"RROR(INDEX(GOOGLEFINANCE($C947, ""price"", WORKDAY(INT($B947), 5)), 2, 2), """"))/$G947)), """")"),"")</f>
        <v/>
      </c>
      <c r="P947" s="47" t="str">
        <f>IFERROR(__xludf.DUMMYFUNCTION("IFERROR(IF(OR(ISBLANK($G947), IFERROR(INDEX(GOOGLEFINANCE($C947, ""price"", WORKDAY(INT($B947), 20)), 2, 2), """")=""""), """", IF($D947=""LONG"", (IFERROR(INDEX(GOOGLEFINANCE($C947, ""price"", WORKDAY(INT($B947), 20)), 2, 2), """")-$G947)/$G947, ($G947-I"&amp;"FERROR(INDEX(GOOGLEFINANCE($C947, ""price"", WORKDAY(INT($B947), 20)), 2, 2), """"))/$G947)), """")"),"")</f>
        <v/>
      </c>
      <c r="Q947" s="44"/>
      <c r="R947" s="44"/>
      <c r="S947" s="44"/>
      <c r="T947" s="44"/>
      <c r="U947" s="44"/>
      <c r="V947" s="44"/>
      <c r="W947" s="44"/>
      <c r="X947" s="44"/>
      <c r="Y947" s="44"/>
      <c r="Z947" s="44"/>
    </row>
    <row r="948">
      <c r="A948" s="44"/>
      <c r="B948" s="45"/>
      <c r="C948" s="44"/>
      <c r="D948" s="44"/>
      <c r="E948" s="44"/>
      <c r="F948" s="44"/>
      <c r="G948" s="46"/>
      <c r="H948" s="44"/>
      <c r="I948" s="44"/>
      <c r="J948" s="44"/>
      <c r="K948" s="44"/>
      <c r="L948" s="46" t="str">
        <f>IFERROR(__xludf.DUMMYFUNCTION("IFERROR(IF(ISBLANK($C948), """", GOOGLEFINANCE($C948, ""price"")), """")"),"")</f>
        <v/>
      </c>
      <c r="M948" s="47" t="str">
        <f t="shared" si="3"/>
        <v/>
      </c>
      <c r="N948" s="47" t="str">
        <f>IFERROR(__xludf.DUMMYFUNCTION("IFERROR(IF(OR(ISBLANK($G948), IFERROR(INDEX(GOOGLEFINANCE($C948, ""price"", WORKDAY(INT($B948), 1)), 2, 2), """")=""""), """", IF($D948=""LONG"", (IFERROR(INDEX(GOOGLEFINANCE($C948, ""price"", WORKDAY(INT($B948), 1)), 2, 2), """")-$G948)/$G948, ($G948-IFE"&amp;"RROR(INDEX(GOOGLEFINANCE($C948, ""price"", WORKDAY(INT($B948), 1)), 2, 2), """"))/$G948)), """")"),"")</f>
        <v/>
      </c>
      <c r="O948" s="47" t="str">
        <f>IFERROR(__xludf.DUMMYFUNCTION("IFERROR(IF(OR(ISBLANK($G948), IFERROR(INDEX(GOOGLEFINANCE($C948, ""price"", WORKDAY(INT($B948), 5)), 2, 2), """")=""""), """", IF($D948=""LONG"", (IFERROR(INDEX(GOOGLEFINANCE($C948, ""price"", WORKDAY(INT($B948), 5)), 2, 2), """")-$G948)/$G948, ($G948-IFE"&amp;"RROR(INDEX(GOOGLEFINANCE($C948, ""price"", WORKDAY(INT($B948), 5)), 2, 2), """"))/$G948)), """")"),"")</f>
        <v/>
      </c>
      <c r="P948" s="47" t="str">
        <f>IFERROR(__xludf.DUMMYFUNCTION("IFERROR(IF(OR(ISBLANK($G948), IFERROR(INDEX(GOOGLEFINANCE($C948, ""price"", WORKDAY(INT($B948), 20)), 2, 2), """")=""""), """", IF($D948=""LONG"", (IFERROR(INDEX(GOOGLEFINANCE($C948, ""price"", WORKDAY(INT($B948), 20)), 2, 2), """")-$G948)/$G948, ($G948-I"&amp;"FERROR(INDEX(GOOGLEFINANCE($C948, ""price"", WORKDAY(INT($B948), 20)), 2, 2), """"))/$G948)), """")"),"")</f>
        <v/>
      </c>
      <c r="Q948" s="44"/>
      <c r="R948" s="44"/>
      <c r="S948" s="44"/>
      <c r="T948" s="44"/>
      <c r="U948" s="44"/>
      <c r="V948" s="44"/>
      <c r="W948" s="44"/>
      <c r="X948" s="44"/>
      <c r="Y948" s="44"/>
      <c r="Z948" s="44"/>
    </row>
    <row r="949">
      <c r="A949" s="44"/>
      <c r="B949" s="45"/>
      <c r="C949" s="44"/>
      <c r="D949" s="44"/>
      <c r="E949" s="44"/>
      <c r="F949" s="44"/>
      <c r="G949" s="46"/>
      <c r="H949" s="44"/>
      <c r="I949" s="44"/>
      <c r="J949" s="44"/>
      <c r="K949" s="44"/>
      <c r="L949" s="46" t="str">
        <f>IFERROR(__xludf.DUMMYFUNCTION("IFERROR(IF(ISBLANK($C949), """", GOOGLEFINANCE($C949, ""price"")), """")"),"")</f>
        <v/>
      </c>
      <c r="M949" s="47" t="str">
        <f t="shared" si="3"/>
        <v/>
      </c>
      <c r="N949" s="47" t="str">
        <f>IFERROR(__xludf.DUMMYFUNCTION("IFERROR(IF(OR(ISBLANK($G949), IFERROR(INDEX(GOOGLEFINANCE($C949, ""price"", WORKDAY(INT($B949), 1)), 2, 2), """")=""""), """", IF($D949=""LONG"", (IFERROR(INDEX(GOOGLEFINANCE($C949, ""price"", WORKDAY(INT($B949), 1)), 2, 2), """")-$G949)/$G949, ($G949-IFE"&amp;"RROR(INDEX(GOOGLEFINANCE($C949, ""price"", WORKDAY(INT($B949), 1)), 2, 2), """"))/$G949)), """")"),"")</f>
        <v/>
      </c>
      <c r="O949" s="47" t="str">
        <f>IFERROR(__xludf.DUMMYFUNCTION("IFERROR(IF(OR(ISBLANK($G949), IFERROR(INDEX(GOOGLEFINANCE($C949, ""price"", WORKDAY(INT($B949), 5)), 2, 2), """")=""""), """", IF($D949=""LONG"", (IFERROR(INDEX(GOOGLEFINANCE($C949, ""price"", WORKDAY(INT($B949), 5)), 2, 2), """")-$G949)/$G949, ($G949-IFE"&amp;"RROR(INDEX(GOOGLEFINANCE($C949, ""price"", WORKDAY(INT($B949), 5)), 2, 2), """"))/$G949)), """")"),"")</f>
        <v/>
      </c>
      <c r="P949" s="47" t="str">
        <f>IFERROR(__xludf.DUMMYFUNCTION("IFERROR(IF(OR(ISBLANK($G949), IFERROR(INDEX(GOOGLEFINANCE($C949, ""price"", WORKDAY(INT($B949), 20)), 2, 2), """")=""""), """", IF($D949=""LONG"", (IFERROR(INDEX(GOOGLEFINANCE($C949, ""price"", WORKDAY(INT($B949), 20)), 2, 2), """")-$G949)/$G949, ($G949-I"&amp;"FERROR(INDEX(GOOGLEFINANCE($C949, ""price"", WORKDAY(INT($B949), 20)), 2, 2), """"))/$G949)), """")"),"")</f>
        <v/>
      </c>
      <c r="Q949" s="44"/>
      <c r="R949" s="44"/>
      <c r="S949" s="44"/>
      <c r="T949" s="44"/>
      <c r="U949" s="44"/>
      <c r="V949" s="44"/>
      <c r="W949" s="44"/>
      <c r="X949" s="44"/>
      <c r="Y949" s="44"/>
      <c r="Z949" s="44"/>
    </row>
    <row r="950">
      <c r="A950" s="44"/>
      <c r="B950" s="45"/>
      <c r="C950" s="44"/>
      <c r="D950" s="44"/>
      <c r="E950" s="44"/>
      <c r="F950" s="44"/>
      <c r="G950" s="46"/>
      <c r="H950" s="44"/>
      <c r="I950" s="44"/>
      <c r="J950" s="44"/>
      <c r="K950" s="44"/>
      <c r="L950" s="46" t="str">
        <f>IFERROR(__xludf.DUMMYFUNCTION("IFERROR(IF(ISBLANK($C950), """", GOOGLEFINANCE($C950, ""price"")), """")"),"")</f>
        <v/>
      </c>
      <c r="M950" s="47" t="str">
        <f t="shared" si="3"/>
        <v/>
      </c>
      <c r="N950" s="47" t="str">
        <f>IFERROR(__xludf.DUMMYFUNCTION("IFERROR(IF(OR(ISBLANK($G950), IFERROR(INDEX(GOOGLEFINANCE($C950, ""price"", WORKDAY(INT($B950), 1)), 2, 2), """")=""""), """", IF($D950=""LONG"", (IFERROR(INDEX(GOOGLEFINANCE($C950, ""price"", WORKDAY(INT($B950), 1)), 2, 2), """")-$G950)/$G950, ($G950-IFE"&amp;"RROR(INDEX(GOOGLEFINANCE($C950, ""price"", WORKDAY(INT($B950), 1)), 2, 2), """"))/$G950)), """")"),"")</f>
        <v/>
      </c>
      <c r="O950" s="47" t="str">
        <f>IFERROR(__xludf.DUMMYFUNCTION("IFERROR(IF(OR(ISBLANK($G950), IFERROR(INDEX(GOOGLEFINANCE($C950, ""price"", WORKDAY(INT($B950), 5)), 2, 2), """")=""""), """", IF($D950=""LONG"", (IFERROR(INDEX(GOOGLEFINANCE($C950, ""price"", WORKDAY(INT($B950), 5)), 2, 2), """")-$G950)/$G950, ($G950-IFE"&amp;"RROR(INDEX(GOOGLEFINANCE($C950, ""price"", WORKDAY(INT($B950), 5)), 2, 2), """"))/$G950)), """")"),"")</f>
        <v/>
      </c>
      <c r="P950" s="47" t="str">
        <f>IFERROR(__xludf.DUMMYFUNCTION("IFERROR(IF(OR(ISBLANK($G950), IFERROR(INDEX(GOOGLEFINANCE($C950, ""price"", WORKDAY(INT($B950), 20)), 2, 2), """")=""""), """", IF($D950=""LONG"", (IFERROR(INDEX(GOOGLEFINANCE($C950, ""price"", WORKDAY(INT($B950), 20)), 2, 2), """")-$G950)/$G950, ($G950-I"&amp;"FERROR(INDEX(GOOGLEFINANCE($C950, ""price"", WORKDAY(INT($B950), 20)), 2, 2), """"))/$G950)), """")"),"")</f>
        <v/>
      </c>
      <c r="Q950" s="44"/>
      <c r="R950" s="44"/>
      <c r="S950" s="44"/>
      <c r="T950" s="44"/>
      <c r="U950" s="44"/>
      <c r="V950" s="44"/>
      <c r="W950" s="44"/>
      <c r="X950" s="44"/>
      <c r="Y950" s="44"/>
      <c r="Z950" s="44"/>
    </row>
    <row r="951">
      <c r="A951" s="44"/>
      <c r="B951" s="45"/>
      <c r="C951" s="44"/>
      <c r="D951" s="44"/>
      <c r="E951" s="44"/>
      <c r="F951" s="44"/>
      <c r="G951" s="46"/>
      <c r="H951" s="44"/>
      <c r="I951" s="44"/>
      <c r="J951" s="44"/>
      <c r="K951" s="44"/>
      <c r="L951" s="46" t="str">
        <f>IFERROR(__xludf.DUMMYFUNCTION("IFERROR(IF(ISBLANK($C951), """", GOOGLEFINANCE($C951, ""price"")), """")"),"")</f>
        <v/>
      </c>
      <c r="M951" s="47" t="str">
        <f t="shared" si="3"/>
        <v/>
      </c>
      <c r="N951" s="47" t="str">
        <f>IFERROR(__xludf.DUMMYFUNCTION("IFERROR(IF(OR(ISBLANK($G951), IFERROR(INDEX(GOOGLEFINANCE($C951, ""price"", WORKDAY(INT($B951), 1)), 2, 2), """")=""""), """", IF($D951=""LONG"", (IFERROR(INDEX(GOOGLEFINANCE($C951, ""price"", WORKDAY(INT($B951), 1)), 2, 2), """")-$G951)/$G951, ($G951-IFE"&amp;"RROR(INDEX(GOOGLEFINANCE($C951, ""price"", WORKDAY(INT($B951), 1)), 2, 2), """"))/$G951)), """")"),"")</f>
        <v/>
      </c>
      <c r="O951" s="47" t="str">
        <f>IFERROR(__xludf.DUMMYFUNCTION("IFERROR(IF(OR(ISBLANK($G951), IFERROR(INDEX(GOOGLEFINANCE($C951, ""price"", WORKDAY(INT($B951), 5)), 2, 2), """")=""""), """", IF($D951=""LONG"", (IFERROR(INDEX(GOOGLEFINANCE($C951, ""price"", WORKDAY(INT($B951), 5)), 2, 2), """")-$G951)/$G951, ($G951-IFE"&amp;"RROR(INDEX(GOOGLEFINANCE($C951, ""price"", WORKDAY(INT($B951), 5)), 2, 2), """"))/$G951)), """")"),"")</f>
        <v/>
      </c>
      <c r="P951" s="47" t="str">
        <f>IFERROR(__xludf.DUMMYFUNCTION("IFERROR(IF(OR(ISBLANK($G951), IFERROR(INDEX(GOOGLEFINANCE($C951, ""price"", WORKDAY(INT($B951), 20)), 2, 2), """")=""""), """", IF($D951=""LONG"", (IFERROR(INDEX(GOOGLEFINANCE($C951, ""price"", WORKDAY(INT($B951), 20)), 2, 2), """")-$G951)/$G951, ($G951-I"&amp;"FERROR(INDEX(GOOGLEFINANCE($C951, ""price"", WORKDAY(INT($B951), 20)), 2, 2), """"))/$G951)), """")"),"")</f>
        <v/>
      </c>
      <c r="Q951" s="44"/>
      <c r="R951" s="44"/>
      <c r="S951" s="44"/>
      <c r="T951" s="44"/>
      <c r="U951" s="44"/>
      <c r="V951" s="44"/>
      <c r="W951" s="44"/>
      <c r="X951" s="44"/>
      <c r="Y951" s="44"/>
      <c r="Z951" s="44"/>
    </row>
    <row r="952">
      <c r="A952" s="44"/>
      <c r="B952" s="45"/>
      <c r="C952" s="44"/>
      <c r="D952" s="44"/>
      <c r="E952" s="44"/>
      <c r="F952" s="44"/>
      <c r="G952" s="46"/>
      <c r="H952" s="44"/>
      <c r="I952" s="44"/>
      <c r="J952" s="44"/>
      <c r="K952" s="44"/>
      <c r="L952" s="46" t="str">
        <f>IFERROR(__xludf.DUMMYFUNCTION("IFERROR(IF(ISBLANK($C952), """", GOOGLEFINANCE($C952, ""price"")), """")"),"")</f>
        <v/>
      </c>
      <c r="M952" s="47" t="str">
        <f t="shared" si="3"/>
        <v/>
      </c>
      <c r="N952" s="47" t="str">
        <f>IFERROR(__xludf.DUMMYFUNCTION("IFERROR(IF(OR(ISBLANK($G952), IFERROR(INDEX(GOOGLEFINANCE($C952, ""price"", WORKDAY(INT($B952), 1)), 2, 2), """")=""""), """", IF($D952=""LONG"", (IFERROR(INDEX(GOOGLEFINANCE($C952, ""price"", WORKDAY(INT($B952), 1)), 2, 2), """")-$G952)/$G952, ($G952-IFE"&amp;"RROR(INDEX(GOOGLEFINANCE($C952, ""price"", WORKDAY(INT($B952), 1)), 2, 2), """"))/$G952)), """")"),"")</f>
        <v/>
      </c>
      <c r="O952" s="47" t="str">
        <f>IFERROR(__xludf.DUMMYFUNCTION("IFERROR(IF(OR(ISBLANK($G952), IFERROR(INDEX(GOOGLEFINANCE($C952, ""price"", WORKDAY(INT($B952), 5)), 2, 2), """")=""""), """", IF($D952=""LONG"", (IFERROR(INDEX(GOOGLEFINANCE($C952, ""price"", WORKDAY(INT($B952), 5)), 2, 2), """")-$G952)/$G952, ($G952-IFE"&amp;"RROR(INDEX(GOOGLEFINANCE($C952, ""price"", WORKDAY(INT($B952), 5)), 2, 2), """"))/$G952)), """")"),"")</f>
        <v/>
      </c>
      <c r="P952" s="47" t="str">
        <f>IFERROR(__xludf.DUMMYFUNCTION("IFERROR(IF(OR(ISBLANK($G952), IFERROR(INDEX(GOOGLEFINANCE($C952, ""price"", WORKDAY(INT($B952), 20)), 2, 2), """")=""""), """", IF($D952=""LONG"", (IFERROR(INDEX(GOOGLEFINANCE($C952, ""price"", WORKDAY(INT($B952), 20)), 2, 2), """")-$G952)/$G952, ($G952-I"&amp;"FERROR(INDEX(GOOGLEFINANCE($C952, ""price"", WORKDAY(INT($B952), 20)), 2, 2), """"))/$G952)), """")"),"")</f>
        <v/>
      </c>
      <c r="Q952" s="44"/>
      <c r="R952" s="44"/>
      <c r="S952" s="44"/>
      <c r="T952" s="44"/>
      <c r="U952" s="44"/>
      <c r="V952" s="44"/>
      <c r="W952" s="44"/>
      <c r="X952" s="44"/>
      <c r="Y952" s="44"/>
      <c r="Z952" s="44"/>
    </row>
    <row r="953">
      <c r="A953" s="44"/>
      <c r="B953" s="45"/>
      <c r="C953" s="44"/>
      <c r="D953" s="44"/>
      <c r="E953" s="44"/>
      <c r="F953" s="44"/>
      <c r="G953" s="46"/>
      <c r="H953" s="44"/>
      <c r="I953" s="44"/>
      <c r="J953" s="44"/>
      <c r="K953" s="44"/>
      <c r="L953" s="46" t="str">
        <f>IFERROR(__xludf.DUMMYFUNCTION("IFERROR(IF(ISBLANK($C953), """", GOOGLEFINANCE($C953, ""price"")), """")"),"")</f>
        <v/>
      </c>
      <c r="M953" s="47" t="str">
        <f t="shared" si="3"/>
        <v/>
      </c>
      <c r="N953" s="47" t="str">
        <f>IFERROR(__xludf.DUMMYFUNCTION("IFERROR(IF(OR(ISBLANK($G953), IFERROR(INDEX(GOOGLEFINANCE($C953, ""price"", WORKDAY(INT($B953), 1)), 2, 2), """")=""""), """", IF($D953=""LONG"", (IFERROR(INDEX(GOOGLEFINANCE($C953, ""price"", WORKDAY(INT($B953), 1)), 2, 2), """")-$G953)/$G953, ($G953-IFE"&amp;"RROR(INDEX(GOOGLEFINANCE($C953, ""price"", WORKDAY(INT($B953), 1)), 2, 2), """"))/$G953)), """")"),"")</f>
        <v/>
      </c>
      <c r="O953" s="47" t="str">
        <f>IFERROR(__xludf.DUMMYFUNCTION("IFERROR(IF(OR(ISBLANK($G953), IFERROR(INDEX(GOOGLEFINANCE($C953, ""price"", WORKDAY(INT($B953), 5)), 2, 2), """")=""""), """", IF($D953=""LONG"", (IFERROR(INDEX(GOOGLEFINANCE($C953, ""price"", WORKDAY(INT($B953), 5)), 2, 2), """")-$G953)/$G953, ($G953-IFE"&amp;"RROR(INDEX(GOOGLEFINANCE($C953, ""price"", WORKDAY(INT($B953), 5)), 2, 2), """"))/$G953)), """")"),"")</f>
        <v/>
      </c>
      <c r="P953" s="47" t="str">
        <f>IFERROR(__xludf.DUMMYFUNCTION("IFERROR(IF(OR(ISBLANK($G953), IFERROR(INDEX(GOOGLEFINANCE($C953, ""price"", WORKDAY(INT($B953), 20)), 2, 2), """")=""""), """", IF($D953=""LONG"", (IFERROR(INDEX(GOOGLEFINANCE($C953, ""price"", WORKDAY(INT($B953), 20)), 2, 2), """")-$G953)/$G953, ($G953-I"&amp;"FERROR(INDEX(GOOGLEFINANCE($C953, ""price"", WORKDAY(INT($B953), 20)), 2, 2), """"))/$G953)), """")"),"")</f>
        <v/>
      </c>
      <c r="Q953" s="44"/>
      <c r="R953" s="44"/>
      <c r="S953" s="44"/>
      <c r="T953" s="44"/>
      <c r="U953" s="44"/>
      <c r="V953" s="44"/>
      <c r="W953" s="44"/>
      <c r="X953" s="44"/>
      <c r="Y953" s="44"/>
      <c r="Z953" s="44"/>
    </row>
    <row r="954">
      <c r="A954" s="44"/>
      <c r="B954" s="45"/>
      <c r="C954" s="44"/>
      <c r="D954" s="44"/>
      <c r="E954" s="44"/>
      <c r="F954" s="44"/>
      <c r="G954" s="46"/>
      <c r="H954" s="44"/>
      <c r="I954" s="44"/>
      <c r="J954" s="44"/>
      <c r="K954" s="44"/>
      <c r="L954" s="46" t="str">
        <f>IFERROR(__xludf.DUMMYFUNCTION("IFERROR(IF(ISBLANK($C954), """", GOOGLEFINANCE($C954, ""price"")), """")"),"")</f>
        <v/>
      </c>
      <c r="M954" s="47" t="str">
        <f t="shared" si="3"/>
        <v/>
      </c>
      <c r="N954" s="47" t="str">
        <f>IFERROR(__xludf.DUMMYFUNCTION("IFERROR(IF(OR(ISBLANK($G954), IFERROR(INDEX(GOOGLEFINANCE($C954, ""price"", WORKDAY(INT($B954), 1)), 2, 2), """")=""""), """", IF($D954=""LONG"", (IFERROR(INDEX(GOOGLEFINANCE($C954, ""price"", WORKDAY(INT($B954), 1)), 2, 2), """")-$G954)/$G954, ($G954-IFE"&amp;"RROR(INDEX(GOOGLEFINANCE($C954, ""price"", WORKDAY(INT($B954), 1)), 2, 2), """"))/$G954)), """")"),"")</f>
        <v/>
      </c>
      <c r="O954" s="47" t="str">
        <f>IFERROR(__xludf.DUMMYFUNCTION("IFERROR(IF(OR(ISBLANK($G954), IFERROR(INDEX(GOOGLEFINANCE($C954, ""price"", WORKDAY(INT($B954), 5)), 2, 2), """")=""""), """", IF($D954=""LONG"", (IFERROR(INDEX(GOOGLEFINANCE($C954, ""price"", WORKDAY(INT($B954), 5)), 2, 2), """")-$G954)/$G954, ($G954-IFE"&amp;"RROR(INDEX(GOOGLEFINANCE($C954, ""price"", WORKDAY(INT($B954), 5)), 2, 2), """"))/$G954)), """")"),"")</f>
        <v/>
      </c>
      <c r="P954" s="47" t="str">
        <f>IFERROR(__xludf.DUMMYFUNCTION("IFERROR(IF(OR(ISBLANK($G954), IFERROR(INDEX(GOOGLEFINANCE($C954, ""price"", WORKDAY(INT($B954), 20)), 2, 2), """")=""""), """", IF($D954=""LONG"", (IFERROR(INDEX(GOOGLEFINANCE($C954, ""price"", WORKDAY(INT($B954), 20)), 2, 2), """")-$G954)/$G954, ($G954-I"&amp;"FERROR(INDEX(GOOGLEFINANCE($C954, ""price"", WORKDAY(INT($B954), 20)), 2, 2), """"))/$G954)), """")"),"")</f>
        <v/>
      </c>
      <c r="Q954" s="44"/>
      <c r="R954" s="44"/>
      <c r="S954" s="44"/>
      <c r="T954" s="44"/>
      <c r="U954" s="44"/>
      <c r="V954" s="44"/>
      <c r="W954" s="44"/>
      <c r="X954" s="44"/>
      <c r="Y954" s="44"/>
      <c r="Z954" s="44"/>
    </row>
    <row r="955">
      <c r="A955" s="44"/>
      <c r="B955" s="45"/>
      <c r="C955" s="44"/>
      <c r="D955" s="44"/>
      <c r="E955" s="44"/>
      <c r="F955" s="44"/>
      <c r="G955" s="46"/>
      <c r="H955" s="44"/>
      <c r="I955" s="44"/>
      <c r="J955" s="44"/>
      <c r="K955" s="44"/>
      <c r="L955" s="46" t="str">
        <f>IFERROR(__xludf.DUMMYFUNCTION("IFERROR(IF(ISBLANK($C955), """", GOOGLEFINANCE($C955, ""price"")), """")"),"")</f>
        <v/>
      </c>
      <c r="M955" s="47" t="str">
        <f t="shared" si="3"/>
        <v/>
      </c>
      <c r="N955" s="47" t="str">
        <f>IFERROR(__xludf.DUMMYFUNCTION("IFERROR(IF(OR(ISBLANK($G955), IFERROR(INDEX(GOOGLEFINANCE($C955, ""price"", WORKDAY(INT($B955), 1)), 2, 2), """")=""""), """", IF($D955=""LONG"", (IFERROR(INDEX(GOOGLEFINANCE($C955, ""price"", WORKDAY(INT($B955), 1)), 2, 2), """")-$G955)/$G955, ($G955-IFE"&amp;"RROR(INDEX(GOOGLEFINANCE($C955, ""price"", WORKDAY(INT($B955), 1)), 2, 2), """"))/$G955)), """")"),"")</f>
        <v/>
      </c>
      <c r="O955" s="47" t="str">
        <f>IFERROR(__xludf.DUMMYFUNCTION("IFERROR(IF(OR(ISBLANK($G955), IFERROR(INDEX(GOOGLEFINANCE($C955, ""price"", WORKDAY(INT($B955), 5)), 2, 2), """")=""""), """", IF($D955=""LONG"", (IFERROR(INDEX(GOOGLEFINANCE($C955, ""price"", WORKDAY(INT($B955), 5)), 2, 2), """")-$G955)/$G955, ($G955-IFE"&amp;"RROR(INDEX(GOOGLEFINANCE($C955, ""price"", WORKDAY(INT($B955), 5)), 2, 2), """"))/$G955)), """")"),"")</f>
        <v/>
      </c>
      <c r="P955" s="47" t="str">
        <f>IFERROR(__xludf.DUMMYFUNCTION("IFERROR(IF(OR(ISBLANK($G955), IFERROR(INDEX(GOOGLEFINANCE($C955, ""price"", WORKDAY(INT($B955), 20)), 2, 2), """")=""""), """", IF($D955=""LONG"", (IFERROR(INDEX(GOOGLEFINANCE($C955, ""price"", WORKDAY(INT($B955), 20)), 2, 2), """")-$G955)/$G955, ($G955-I"&amp;"FERROR(INDEX(GOOGLEFINANCE($C955, ""price"", WORKDAY(INT($B955), 20)), 2, 2), """"))/$G955)), """")"),"")</f>
        <v/>
      </c>
      <c r="Q955" s="44"/>
      <c r="R955" s="44"/>
      <c r="S955" s="44"/>
      <c r="T955" s="44"/>
      <c r="U955" s="44"/>
      <c r="V955" s="44"/>
      <c r="W955" s="44"/>
      <c r="X955" s="44"/>
      <c r="Y955" s="44"/>
      <c r="Z955" s="44"/>
    </row>
    <row r="956">
      <c r="A956" s="44"/>
      <c r="B956" s="45"/>
      <c r="C956" s="44"/>
      <c r="D956" s="44"/>
      <c r="E956" s="44"/>
      <c r="F956" s="44"/>
      <c r="G956" s="46"/>
      <c r="H956" s="44"/>
      <c r="I956" s="44"/>
      <c r="J956" s="44"/>
      <c r="K956" s="44"/>
      <c r="L956" s="46" t="str">
        <f>IFERROR(__xludf.DUMMYFUNCTION("IFERROR(IF(ISBLANK($C956), """", GOOGLEFINANCE($C956, ""price"")), """")"),"")</f>
        <v/>
      </c>
      <c r="M956" s="47" t="str">
        <f t="shared" si="3"/>
        <v/>
      </c>
      <c r="N956" s="47" t="str">
        <f>IFERROR(__xludf.DUMMYFUNCTION("IFERROR(IF(OR(ISBLANK($G956), IFERROR(INDEX(GOOGLEFINANCE($C956, ""price"", WORKDAY(INT($B956), 1)), 2, 2), """")=""""), """", IF($D956=""LONG"", (IFERROR(INDEX(GOOGLEFINANCE($C956, ""price"", WORKDAY(INT($B956), 1)), 2, 2), """")-$G956)/$G956, ($G956-IFE"&amp;"RROR(INDEX(GOOGLEFINANCE($C956, ""price"", WORKDAY(INT($B956), 1)), 2, 2), """"))/$G956)), """")"),"")</f>
        <v/>
      </c>
      <c r="O956" s="47" t="str">
        <f>IFERROR(__xludf.DUMMYFUNCTION("IFERROR(IF(OR(ISBLANK($G956), IFERROR(INDEX(GOOGLEFINANCE($C956, ""price"", WORKDAY(INT($B956), 5)), 2, 2), """")=""""), """", IF($D956=""LONG"", (IFERROR(INDEX(GOOGLEFINANCE($C956, ""price"", WORKDAY(INT($B956), 5)), 2, 2), """")-$G956)/$G956, ($G956-IFE"&amp;"RROR(INDEX(GOOGLEFINANCE($C956, ""price"", WORKDAY(INT($B956), 5)), 2, 2), """"))/$G956)), """")"),"")</f>
        <v/>
      </c>
      <c r="P956" s="47" t="str">
        <f>IFERROR(__xludf.DUMMYFUNCTION("IFERROR(IF(OR(ISBLANK($G956), IFERROR(INDEX(GOOGLEFINANCE($C956, ""price"", WORKDAY(INT($B956), 20)), 2, 2), """")=""""), """", IF($D956=""LONG"", (IFERROR(INDEX(GOOGLEFINANCE($C956, ""price"", WORKDAY(INT($B956), 20)), 2, 2), """")-$G956)/$G956, ($G956-I"&amp;"FERROR(INDEX(GOOGLEFINANCE($C956, ""price"", WORKDAY(INT($B956), 20)), 2, 2), """"))/$G956)), """")"),"")</f>
        <v/>
      </c>
      <c r="Q956" s="44"/>
      <c r="R956" s="44"/>
      <c r="S956" s="44"/>
      <c r="T956" s="44"/>
      <c r="U956" s="44"/>
      <c r="V956" s="44"/>
      <c r="W956" s="44"/>
      <c r="X956" s="44"/>
      <c r="Y956" s="44"/>
      <c r="Z956" s="44"/>
    </row>
    <row r="957">
      <c r="A957" s="44"/>
      <c r="B957" s="45"/>
      <c r="C957" s="44"/>
      <c r="D957" s="44"/>
      <c r="E957" s="44"/>
      <c r="F957" s="44"/>
      <c r="G957" s="46"/>
      <c r="H957" s="44"/>
      <c r="I957" s="44"/>
      <c r="J957" s="44"/>
      <c r="K957" s="44"/>
      <c r="L957" s="46" t="str">
        <f>IFERROR(__xludf.DUMMYFUNCTION("IFERROR(IF(ISBLANK($C957), """", GOOGLEFINANCE($C957, ""price"")), """")"),"")</f>
        <v/>
      </c>
      <c r="M957" s="47" t="str">
        <f t="shared" si="3"/>
        <v/>
      </c>
      <c r="N957" s="47" t="str">
        <f>IFERROR(__xludf.DUMMYFUNCTION("IFERROR(IF(OR(ISBLANK($G957), IFERROR(INDEX(GOOGLEFINANCE($C957, ""price"", WORKDAY(INT($B957), 1)), 2, 2), """")=""""), """", IF($D957=""LONG"", (IFERROR(INDEX(GOOGLEFINANCE($C957, ""price"", WORKDAY(INT($B957), 1)), 2, 2), """")-$G957)/$G957, ($G957-IFE"&amp;"RROR(INDEX(GOOGLEFINANCE($C957, ""price"", WORKDAY(INT($B957), 1)), 2, 2), """"))/$G957)), """")"),"")</f>
        <v/>
      </c>
      <c r="O957" s="47" t="str">
        <f>IFERROR(__xludf.DUMMYFUNCTION("IFERROR(IF(OR(ISBLANK($G957), IFERROR(INDEX(GOOGLEFINANCE($C957, ""price"", WORKDAY(INT($B957), 5)), 2, 2), """")=""""), """", IF($D957=""LONG"", (IFERROR(INDEX(GOOGLEFINANCE($C957, ""price"", WORKDAY(INT($B957), 5)), 2, 2), """")-$G957)/$G957, ($G957-IFE"&amp;"RROR(INDEX(GOOGLEFINANCE($C957, ""price"", WORKDAY(INT($B957), 5)), 2, 2), """"))/$G957)), """")"),"")</f>
        <v/>
      </c>
      <c r="P957" s="47" t="str">
        <f>IFERROR(__xludf.DUMMYFUNCTION("IFERROR(IF(OR(ISBLANK($G957), IFERROR(INDEX(GOOGLEFINANCE($C957, ""price"", WORKDAY(INT($B957), 20)), 2, 2), """")=""""), """", IF($D957=""LONG"", (IFERROR(INDEX(GOOGLEFINANCE($C957, ""price"", WORKDAY(INT($B957), 20)), 2, 2), """")-$G957)/$G957, ($G957-I"&amp;"FERROR(INDEX(GOOGLEFINANCE($C957, ""price"", WORKDAY(INT($B957), 20)), 2, 2), """"))/$G957)), """")"),"")</f>
        <v/>
      </c>
      <c r="Q957" s="44"/>
      <c r="R957" s="44"/>
      <c r="S957" s="44"/>
      <c r="T957" s="44"/>
      <c r="U957" s="44"/>
      <c r="V957" s="44"/>
      <c r="W957" s="44"/>
      <c r="X957" s="44"/>
      <c r="Y957" s="44"/>
      <c r="Z957" s="44"/>
    </row>
    <row r="958">
      <c r="A958" s="44"/>
      <c r="B958" s="45"/>
      <c r="C958" s="44"/>
      <c r="D958" s="44"/>
      <c r="E958" s="44"/>
      <c r="F958" s="44"/>
      <c r="G958" s="46"/>
      <c r="H958" s="44"/>
      <c r="I958" s="44"/>
      <c r="J958" s="44"/>
      <c r="K958" s="44"/>
      <c r="L958" s="46" t="str">
        <f>IFERROR(__xludf.DUMMYFUNCTION("IFERROR(IF(ISBLANK($C958), """", GOOGLEFINANCE($C958, ""price"")), """")"),"")</f>
        <v/>
      </c>
      <c r="M958" s="47" t="str">
        <f t="shared" si="3"/>
        <v/>
      </c>
      <c r="N958" s="47" t="str">
        <f>IFERROR(__xludf.DUMMYFUNCTION("IFERROR(IF(OR(ISBLANK($G958), IFERROR(INDEX(GOOGLEFINANCE($C958, ""price"", WORKDAY(INT($B958), 1)), 2, 2), """")=""""), """", IF($D958=""LONG"", (IFERROR(INDEX(GOOGLEFINANCE($C958, ""price"", WORKDAY(INT($B958), 1)), 2, 2), """")-$G958)/$G958, ($G958-IFE"&amp;"RROR(INDEX(GOOGLEFINANCE($C958, ""price"", WORKDAY(INT($B958), 1)), 2, 2), """"))/$G958)), """")"),"")</f>
        <v/>
      </c>
      <c r="O958" s="47" t="str">
        <f>IFERROR(__xludf.DUMMYFUNCTION("IFERROR(IF(OR(ISBLANK($G958), IFERROR(INDEX(GOOGLEFINANCE($C958, ""price"", WORKDAY(INT($B958), 5)), 2, 2), """")=""""), """", IF($D958=""LONG"", (IFERROR(INDEX(GOOGLEFINANCE($C958, ""price"", WORKDAY(INT($B958), 5)), 2, 2), """")-$G958)/$G958, ($G958-IFE"&amp;"RROR(INDEX(GOOGLEFINANCE($C958, ""price"", WORKDAY(INT($B958), 5)), 2, 2), """"))/$G958)), """")"),"")</f>
        <v/>
      </c>
      <c r="P958" s="47" t="str">
        <f>IFERROR(__xludf.DUMMYFUNCTION("IFERROR(IF(OR(ISBLANK($G958), IFERROR(INDEX(GOOGLEFINANCE($C958, ""price"", WORKDAY(INT($B958), 20)), 2, 2), """")=""""), """", IF($D958=""LONG"", (IFERROR(INDEX(GOOGLEFINANCE($C958, ""price"", WORKDAY(INT($B958), 20)), 2, 2), """")-$G958)/$G958, ($G958-I"&amp;"FERROR(INDEX(GOOGLEFINANCE($C958, ""price"", WORKDAY(INT($B958), 20)), 2, 2), """"))/$G958)), """")"),"")</f>
        <v/>
      </c>
      <c r="Q958" s="44"/>
      <c r="R958" s="44"/>
      <c r="S958" s="44"/>
      <c r="T958" s="44"/>
      <c r="U958" s="44"/>
      <c r="V958" s="44"/>
      <c r="W958" s="44"/>
      <c r="X958" s="44"/>
      <c r="Y958" s="44"/>
      <c r="Z958" s="44"/>
    </row>
    <row r="959">
      <c r="A959" s="44"/>
      <c r="B959" s="45"/>
      <c r="C959" s="44"/>
      <c r="D959" s="44"/>
      <c r="E959" s="44"/>
      <c r="F959" s="44"/>
      <c r="G959" s="46"/>
      <c r="H959" s="44"/>
      <c r="I959" s="44"/>
      <c r="J959" s="44"/>
      <c r="K959" s="44"/>
      <c r="L959" s="46" t="str">
        <f>IFERROR(__xludf.DUMMYFUNCTION("IFERROR(IF(ISBLANK($C959), """", GOOGLEFINANCE($C959, ""price"")), """")"),"")</f>
        <v/>
      </c>
      <c r="M959" s="47" t="str">
        <f t="shared" si="3"/>
        <v/>
      </c>
      <c r="N959" s="47" t="str">
        <f>IFERROR(__xludf.DUMMYFUNCTION("IFERROR(IF(OR(ISBLANK($G959), IFERROR(INDEX(GOOGLEFINANCE($C959, ""price"", WORKDAY(INT($B959), 1)), 2, 2), """")=""""), """", IF($D959=""LONG"", (IFERROR(INDEX(GOOGLEFINANCE($C959, ""price"", WORKDAY(INT($B959), 1)), 2, 2), """")-$G959)/$G959, ($G959-IFE"&amp;"RROR(INDEX(GOOGLEFINANCE($C959, ""price"", WORKDAY(INT($B959), 1)), 2, 2), """"))/$G959)), """")"),"")</f>
        <v/>
      </c>
      <c r="O959" s="47" t="str">
        <f>IFERROR(__xludf.DUMMYFUNCTION("IFERROR(IF(OR(ISBLANK($G959), IFERROR(INDEX(GOOGLEFINANCE($C959, ""price"", WORKDAY(INT($B959), 5)), 2, 2), """")=""""), """", IF($D959=""LONG"", (IFERROR(INDEX(GOOGLEFINANCE($C959, ""price"", WORKDAY(INT($B959), 5)), 2, 2), """")-$G959)/$G959, ($G959-IFE"&amp;"RROR(INDEX(GOOGLEFINANCE($C959, ""price"", WORKDAY(INT($B959), 5)), 2, 2), """"))/$G959)), """")"),"")</f>
        <v/>
      </c>
      <c r="P959" s="47" t="str">
        <f>IFERROR(__xludf.DUMMYFUNCTION("IFERROR(IF(OR(ISBLANK($G959), IFERROR(INDEX(GOOGLEFINANCE($C959, ""price"", WORKDAY(INT($B959), 20)), 2, 2), """")=""""), """", IF($D959=""LONG"", (IFERROR(INDEX(GOOGLEFINANCE($C959, ""price"", WORKDAY(INT($B959), 20)), 2, 2), """")-$G959)/$G959, ($G959-I"&amp;"FERROR(INDEX(GOOGLEFINANCE($C959, ""price"", WORKDAY(INT($B959), 20)), 2, 2), """"))/$G959)), """")"),"")</f>
        <v/>
      </c>
      <c r="Q959" s="44"/>
      <c r="R959" s="44"/>
      <c r="S959" s="44"/>
      <c r="T959" s="44"/>
      <c r="U959" s="44"/>
      <c r="V959" s="44"/>
      <c r="W959" s="44"/>
      <c r="X959" s="44"/>
      <c r="Y959" s="44"/>
      <c r="Z959" s="44"/>
    </row>
    <row r="960">
      <c r="A960" s="44"/>
      <c r="B960" s="45"/>
      <c r="C960" s="44"/>
      <c r="D960" s="44"/>
      <c r="E960" s="44"/>
      <c r="F960" s="44"/>
      <c r="G960" s="46"/>
      <c r="H960" s="44"/>
      <c r="I960" s="44"/>
      <c r="J960" s="44"/>
      <c r="K960" s="44"/>
      <c r="L960" s="46" t="str">
        <f>IFERROR(__xludf.DUMMYFUNCTION("IFERROR(IF(ISBLANK($C960), """", GOOGLEFINANCE($C960, ""price"")), """")"),"")</f>
        <v/>
      </c>
      <c r="M960" s="47" t="str">
        <f t="shared" si="3"/>
        <v/>
      </c>
      <c r="N960" s="47" t="str">
        <f>IFERROR(__xludf.DUMMYFUNCTION("IFERROR(IF(OR(ISBLANK($G960), IFERROR(INDEX(GOOGLEFINANCE($C960, ""price"", WORKDAY(INT($B960), 1)), 2, 2), """")=""""), """", IF($D960=""LONG"", (IFERROR(INDEX(GOOGLEFINANCE($C960, ""price"", WORKDAY(INT($B960), 1)), 2, 2), """")-$G960)/$G960, ($G960-IFE"&amp;"RROR(INDEX(GOOGLEFINANCE($C960, ""price"", WORKDAY(INT($B960), 1)), 2, 2), """"))/$G960)), """")"),"")</f>
        <v/>
      </c>
      <c r="O960" s="47" t="str">
        <f>IFERROR(__xludf.DUMMYFUNCTION("IFERROR(IF(OR(ISBLANK($G960), IFERROR(INDEX(GOOGLEFINANCE($C960, ""price"", WORKDAY(INT($B960), 5)), 2, 2), """")=""""), """", IF($D960=""LONG"", (IFERROR(INDEX(GOOGLEFINANCE($C960, ""price"", WORKDAY(INT($B960), 5)), 2, 2), """")-$G960)/$G960, ($G960-IFE"&amp;"RROR(INDEX(GOOGLEFINANCE($C960, ""price"", WORKDAY(INT($B960), 5)), 2, 2), """"))/$G960)), """")"),"")</f>
        <v/>
      </c>
      <c r="P960" s="47" t="str">
        <f>IFERROR(__xludf.DUMMYFUNCTION("IFERROR(IF(OR(ISBLANK($G960), IFERROR(INDEX(GOOGLEFINANCE($C960, ""price"", WORKDAY(INT($B960), 20)), 2, 2), """")=""""), """", IF($D960=""LONG"", (IFERROR(INDEX(GOOGLEFINANCE($C960, ""price"", WORKDAY(INT($B960), 20)), 2, 2), """")-$G960)/$G960, ($G960-I"&amp;"FERROR(INDEX(GOOGLEFINANCE($C960, ""price"", WORKDAY(INT($B960), 20)), 2, 2), """"))/$G960)), """")"),"")</f>
        <v/>
      </c>
      <c r="Q960" s="44"/>
      <c r="R960" s="44"/>
      <c r="S960" s="44"/>
      <c r="T960" s="44"/>
      <c r="U960" s="44"/>
      <c r="V960" s="44"/>
      <c r="W960" s="44"/>
      <c r="X960" s="44"/>
      <c r="Y960" s="44"/>
      <c r="Z960" s="44"/>
    </row>
    <row r="961">
      <c r="A961" s="44"/>
      <c r="B961" s="45"/>
      <c r="C961" s="44"/>
      <c r="D961" s="44"/>
      <c r="E961" s="44"/>
      <c r="F961" s="44"/>
      <c r="G961" s="46"/>
      <c r="H961" s="44"/>
      <c r="I961" s="44"/>
      <c r="J961" s="44"/>
      <c r="K961" s="44"/>
      <c r="L961" s="46" t="str">
        <f>IFERROR(__xludf.DUMMYFUNCTION("IFERROR(IF(ISBLANK($C961), """", GOOGLEFINANCE($C961, ""price"")), """")"),"")</f>
        <v/>
      </c>
      <c r="M961" s="47" t="str">
        <f t="shared" si="3"/>
        <v/>
      </c>
      <c r="N961" s="47" t="str">
        <f>IFERROR(__xludf.DUMMYFUNCTION("IFERROR(IF(OR(ISBLANK($G961), IFERROR(INDEX(GOOGLEFINANCE($C961, ""price"", WORKDAY(INT($B961), 1)), 2, 2), """")=""""), """", IF($D961=""LONG"", (IFERROR(INDEX(GOOGLEFINANCE($C961, ""price"", WORKDAY(INT($B961), 1)), 2, 2), """")-$G961)/$G961, ($G961-IFE"&amp;"RROR(INDEX(GOOGLEFINANCE($C961, ""price"", WORKDAY(INT($B961), 1)), 2, 2), """"))/$G961)), """")"),"")</f>
        <v/>
      </c>
      <c r="O961" s="47" t="str">
        <f>IFERROR(__xludf.DUMMYFUNCTION("IFERROR(IF(OR(ISBLANK($G961), IFERROR(INDEX(GOOGLEFINANCE($C961, ""price"", WORKDAY(INT($B961), 5)), 2, 2), """")=""""), """", IF($D961=""LONG"", (IFERROR(INDEX(GOOGLEFINANCE($C961, ""price"", WORKDAY(INT($B961), 5)), 2, 2), """")-$G961)/$G961, ($G961-IFE"&amp;"RROR(INDEX(GOOGLEFINANCE($C961, ""price"", WORKDAY(INT($B961), 5)), 2, 2), """"))/$G961)), """")"),"")</f>
        <v/>
      </c>
      <c r="P961" s="47" t="str">
        <f>IFERROR(__xludf.DUMMYFUNCTION("IFERROR(IF(OR(ISBLANK($G961), IFERROR(INDEX(GOOGLEFINANCE($C961, ""price"", WORKDAY(INT($B961), 20)), 2, 2), """")=""""), """", IF($D961=""LONG"", (IFERROR(INDEX(GOOGLEFINANCE($C961, ""price"", WORKDAY(INT($B961), 20)), 2, 2), """")-$G961)/$G961, ($G961-I"&amp;"FERROR(INDEX(GOOGLEFINANCE($C961, ""price"", WORKDAY(INT($B961), 20)), 2, 2), """"))/$G961)), """")"),"")</f>
        <v/>
      </c>
      <c r="Q961" s="44"/>
      <c r="R961" s="44"/>
      <c r="S961" s="44"/>
      <c r="T961" s="44"/>
      <c r="U961" s="44"/>
      <c r="V961" s="44"/>
      <c r="W961" s="44"/>
      <c r="X961" s="44"/>
      <c r="Y961" s="44"/>
      <c r="Z961" s="44"/>
    </row>
    <row r="962">
      <c r="A962" s="44"/>
      <c r="B962" s="45"/>
      <c r="C962" s="44"/>
      <c r="D962" s="44"/>
      <c r="E962" s="44"/>
      <c r="F962" s="44"/>
      <c r="G962" s="46"/>
      <c r="H962" s="44"/>
      <c r="I962" s="44"/>
      <c r="J962" s="44"/>
      <c r="K962" s="44"/>
      <c r="L962" s="46" t="str">
        <f>IFERROR(__xludf.DUMMYFUNCTION("IFERROR(IF(ISBLANK($C962), """", GOOGLEFINANCE($C962, ""price"")), """")"),"")</f>
        <v/>
      </c>
      <c r="M962" s="47" t="str">
        <f t="shared" si="3"/>
        <v/>
      </c>
      <c r="N962" s="47" t="str">
        <f>IFERROR(__xludf.DUMMYFUNCTION("IFERROR(IF(OR(ISBLANK($G962), IFERROR(INDEX(GOOGLEFINANCE($C962, ""price"", WORKDAY(INT($B962), 1)), 2, 2), """")=""""), """", IF($D962=""LONG"", (IFERROR(INDEX(GOOGLEFINANCE($C962, ""price"", WORKDAY(INT($B962), 1)), 2, 2), """")-$G962)/$G962, ($G962-IFE"&amp;"RROR(INDEX(GOOGLEFINANCE($C962, ""price"", WORKDAY(INT($B962), 1)), 2, 2), """"))/$G962)), """")"),"")</f>
        <v/>
      </c>
      <c r="O962" s="47" t="str">
        <f>IFERROR(__xludf.DUMMYFUNCTION("IFERROR(IF(OR(ISBLANK($G962), IFERROR(INDEX(GOOGLEFINANCE($C962, ""price"", WORKDAY(INT($B962), 5)), 2, 2), """")=""""), """", IF($D962=""LONG"", (IFERROR(INDEX(GOOGLEFINANCE($C962, ""price"", WORKDAY(INT($B962), 5)), 2, 2), """")-$G962)/$G962, ($G962-IFE"&amp;"RROR(INDEX(GOOGLEFINANCE($C962, ""price"", WORKDAY(INT($B962), 5)), 2, 2), """"))/$G962)), """")"),"")</f>
        <v/>
      </c>
      <c r="P962" s="47" t="str">
        <f>IFERROR(__xludf.DUMMYFUNCTION("IFERROR(IF(OR(ISBLANK($G962), IFERROR(INDEX(GOOGLEFINANCE($C962, ""price"", WORKDAY(INT($B962), 20)), 2, 2), """")=""""), """", IF($D962=""LONG"", (IFERROR(INDEX(GOOGLEFINANCE($C962, ""price"", WORKDAY(INT($B962), 20)), 2, 2), """")-$G962)/$G962, ($G962-I"&amp;"FERROR(INDEX(GOOGLEFINANCE($C962, ""price"", WORKDAY(INT($B962), 20)), 2, 2), """"))/$G962)), """")"),"")</f>
        <v/>
      </c>
      <c r="Q962" s="44"/>
      <c r="R962" s="44"/>
      <c r="S962" s="44"/>
      <c r="T962" s="44"/>
      <c r="U962" s="44"/>
      <c r="V962" s="44"/>
      <c r="W962" s="44"/>
      <c r="X962" s="44"/>
      <c r="Y962" s="44"/>
      <c r="Z962" s="44"/>
    </row>
    <row r="963">
      <c r="A963" s="44"/>
      <c r="B963" s="45"/>
      <c r="C963" s="44"/>
      <c r="D963" s="44"/>
      <c r="E963" s="44"/>
      <c r="F963" s="44"/>
      <c r="G963" s="46"/>
      <c r="H963" s="44"/>
      <c r="I963" s="44"/>
      <c r="J963" s="44"/>
      <c r="K963" s="44"/>
      <c r="L963" s="46" t="str">
        <f>IFERROR(__xludf.DUMMYFUNCTION("IFERROR(IF(ISBLANK($C963), """", GOOGLEFINANCE($C963, ""price"")), """")"),"")</f>
        <v/>
      </c>
      <c r="M963" s="47" t="str">
        <f t="shared" si="3"/>
        <v/>
      </c>
      <c r="N963" s="47" t="str">
        <f>IFERROR(__xludf.DUMMYFUNCTION("IFERROR(IF(OR(ISBLANK($G963), IFERROR(INDEX(GOOGLEFINANCE($C963, ""price"", WORKDAY(INT($B963), 1)), 2, 2), """")=""""), """", IF($D963=""LONG"", (IFERROR(INDEX(GOOGLEFINANCE($C963, ""price"", WORKDAY(INT($B963), 1)), 2, 2), """")-$G963)/$G963, ($G963-IFE"&amp;"RROR(INDEX(GOOGLEFINANCE($C963, ""price"", WORKDAY(INT($B963), 1)), 2, 2), """"))/$G963)), """")"),"")</f>
        <v/>
      </c>
      <c r="O963" s="47" t="str">
        <f>IFERROR(__xludf.DUMMYFUNCTION("IFERROR(IF(OR(ISBLANK($G963), IFERROR(INDEX(GOOGLEFINANCE($C963, ""price"", WORKDAY(INT($B963), 5)), 2, 2), """")=""""), """", IF($D963=""LONG"", (IFERROR(INDEX(GOOGLEFINANCE($C963, ""price"", WORKDAY(INT($B963), 5)), 2, 2), """")-$G963)/$G963, ($G963-IFE"&amp;"RROR(INDEX(GOOGLEFINANCE($C963, ""price"", WORKDAY(INT($B963), 5)), 2, 2), """"))/$G963)), """")"),"")</f>
        <v/>
      </c>
      <c r="P963" s="47" t="str">
        <f>IFERROR(__xludf.DUMMYFUNCTION("IFERROR(IF(OR(ISBLANK($G963), IFERROR(INDEX(GOOGLEFINANCE($C963, ""price"", WORKDAY(INT($B963), 20)), 2, 2), """")=""""), """", IF($D963=""LONG"", (IFERROR(INDEX(GOOGLEFINANCE($C963, ""price"", WORKDAY(INT($B963), 20)), 2, 2), """")-$G963)/$G963, ($G963-I"&amp;"FERROR(INDEX(GOOGLEFINANCE($C963, ""price"", WORKDAY(INT($B963), 20)), 2, 2), """"))/$G963)), """")"),"")</f>
        <v/>
      </c>
      <c r="Q963" s="44"/>
      <c r="R963" s="44"/>
      <c r="S963" s="44"/>
      <c r="T963" s="44"/>
      <c r="U963" s="44"/>
      <c r="V963" s="44"/>
      <c r="W963" s="44"/>
      <c r="X963" s="44"/>
      <c r="Y963" s="44"/>
      <c r="Z963" s="44"/>
    </row>
    <row r="964">
      <c r="A964" s="44"/>
      <c r="B964" s="45"/>
      <c r="C964" s="44"/>
      <c r="D964" s="44"/>
      <c r="E964" s="44"/>
      <c r="F964" s="44"/>
      <c r="G964" s="46"/>
      <c r="H964" s="44"/>
      <c r="I964" s="44"/>
      <c r="J964" s="44"/>
      <c r="K964" s="44"/>
      <c r="L964" s="46" t="str">
        <f>IFERROR(__xludf.DUMMYFUNCTION("IFERROR(IF(ISBLANK($C964), """", GOOGLEFINANCE($C964, ""price"")), """")"),"")</f>
        <v/>
      </c>
      <c r="M964" s="47" t="str">
        <f t="shared" si="3"/>
        <v/>
      </c>
      <c r="N964" s="47" t="str">
        <f>IFERROR(__xludf.DUMMYFUNCTION("IFERROR(IF(OR(ISBLANK($G964), IFERROR(INDEX(GOOGLEFINANCE($C964, ""price"", WORKDAY(INT($B964), 1)), 2, 2), """")=""""), """", IF($D964=""LONG"", (IFERROR(INDEX(GOOGLEFINANCE($C964, ""price"", WORKDAY(INT($B964), 1)), 2, 2), """")-$G964)/$G964, ($G964-IFE"&amp;"RROR(INDEX(GOOGLEFINANCE($C964, ""price"", WORKDAY(INT($B964), 1)), 2, 2), """"))/$G964)), """")"),"")</f>
        <v/>
      </c>
      <c r="O964" s="47" t="str">
        <f>IFERROR(__xludf.DUMMYFUNCTION("IFERROR(IF(OR(ISBLANK($G964), IFERROR(INDEX(GOOGLEFINANCE($C964, ""price"", WORKDAY(INT($B964), 5)), 2, 2), """")=""""), """", IF($D964=""LONG"", (IFERROR(INDEX(GOOGLEFINANCE($C964, ""price"", WORKDAY(INT($B964), 5)), 2, 2), """")-$G964)/$G964, ($G964-IFE"&amp;"RROR(INDEX(GOOGLEFINANCE($C964, ""price"", WORKDAY(INT($B964), 5)), 2, 2), """"))/$G964)), """")"),"")</f>
        <v/>
      </c>
      <c r="P964" s="47" t="str">
        <f>IFERROR(__xludf.DUMMYFUNCTION("IFERROR(IF(OR(ISBLANK($G964), IFERROR(INDEX(GOOGLEFINANCE($C964, ""price"", WORKDAY(INT($B964), 20)), 2, 2), """")=""""), """", IF($D964=""LONG"", (IFERROR(INDEX(GOOGLEFINANCE($C964, ""price"", WORKDAY(INT($B964), 20)), 2, 2), """")-$G964)/$G964, ($G964-I"&amp;"FERROR(INDEX(GOOGLEFINANCE($C964, ""price"", WORKDAY(INT($B964), 20)), 2, 2), """"))/$G964)), """")"),"")</f>
        <v/>
      </c>
      <c r="Q964" s="44"/>
      <c r="R964" s="44"/>
      <c r="S964" s="44"/>
      <c r="T964" s="44"/>
      <c r="U964" s="44"/>
      <c r="V964" s="44"/>
      <c r="W964" s="44"/>
      <c r="X964" s="44"/>
      <c r="Y964" s="44"/>
      <c r="Z964" s="44"/>
    </row>
    <row r="965">
      <c r="A965" s="44"/>
      <c r="B965" s="45"/>
      <c r="C965" s="44"/>
      <c r="D965" s="44"/>
      <c r="E965" s="44"/>
      <c r="F965" s="44"/>
      <c r="G965" s="46"/>
      <c r="H965" s="44"/>
      <c r="I965" s="44"/>
      <c r="J965" s="44"/>
      <c r="K965" s="44"/>
      <c r="L965" s="46" t="str">
        <f>IFERROR(__xludf.DUMMYFUNCTION("IFERROR(IF(ISBLANK($C965), """", GOOGLEFINANCE($C965, ""price"")), """")"),"")</f>
        <v/>
      </c>
      <c r="M965" s="47" t="str">
        <f t="shared" si="3"/>
        <v/>
      </c>
      <c r="N965" s="47" t="str">
        <f>IFERROR(__xludf.DUMMYFUNCTION("IFERROR(IF(OR(ISBLANK($G965), IFERROR(INDEX(GOOGLEFINANCE($C965, ""price"", WORKDAY(INT($B965), 1)), 2, 2), """")=""""), """", IF($D965=""LONG"", (IFERROR(INDEX(GOOGLEFINANCE($C965, ""price"", WORKDAY(INT($B965), 1)), 2, 2), """")-$G965)/$G965, ($G965-IFE"&amp;"RROR(INDEX(GOOGLEFINANCE($C965, ""price"", WORKDAY(INT($B965), 1)), 2, 2), """"))/$G965)), """")"),"")</f>
        <v/>
      </c>
      <c r="O965" s="47" t="str">
        <f>IFERROR(__xludf.DUMMYFUNCTION("IFERROR(IF(OR(ISBLANK($G965), IFERROR(INDEX(GOOGLEFINANCE($C965, ""price"", WORKDAY(INT($B965), 5)), 2, 2), """")=""""), """", IF($D965=""LONG"", (IFERROR(INDEX(GOOGLEFINANCE($C965, ""price"", WORKDAY(INT($B965), 5)), 2, 2), """")-$G965)/$G965, ($G965-IFE"&amp;"RROR(INDEX(GOOGLEFINANCE($C965, ""price"", WORKDAY(INT($B965), 5)), 2, 2), """"))/$G965)), """")"),"")</f>
        <v/>
      </c>
      <c r="P965" s="47" t="str">
        <f>IFERROR(__xludf.DUMMYFUNCTION("IFERROR(IF(OR(ISBLANK($G965), IFERROR(INDEX(GOOGLEFINANCE($C965, ""price"", WORKDAY(INT($B965), 20)), 2, 2), """")=""""), """", IF($D965=""LONG"", (IFERROR(INDEX(GOOGLEFINANCE($C965, ""price"", WORKDAY(INT($B965), 20)), 2, 2), """")-$G965)/$G965, ($G965-I"&amp;"FERROR(INDEX(GOOGLEFINANCE($C965, ""price"", WORKDAY(INT($B965), 20)), 2, 2), """"))/$G965)), """")"),"")</f>
        <v/>
      </c>
      <c r="Q965" s="44"/>
      <c r="R965" s="44"/>
      <c r="S965" s="44"/>
      <c r="T965" s="44"/>
      <c r="U965" s="44"/>
      <c r="V965" s="44"/>
      <c r="W965" s="44"/>
      <c r="X965" s="44"/>
      <c r="Y965" s="44"/>
      <c r="Z965" s="44"/>
    </row>
    <row r="966">
      <c r="A966" s="44"/>
      <c r="B966" s="45"/>
      <c r="C966" s="44"/>
      <c r="D966" s="44"/>
      <c r="E966" s="44"/>
      <c r="F966" s="44"/>
      <c r="G966" s="46"/>
      <c r="H966" s="44"/>
      <c r="I966" s="44"/>
      <c r="J966" s="44"/>
      <c r="K966" s="44"/>
      <c r="L966" s="46" t="str">
        <f>IFERROR(__xludf.DUMMYFUNCTION("IFERROR(IF(ISBLANK($C966), """", GOOGLEFINANCE($C966, ""price"")), """")"),"")</f>
        <v/>
      </c>
      <c r="M966" s="47" t="str">
        <f t="shared" si="3"/>
        <v/>
      </c>
      <c r="N966" s="47" t="str">
        <f>IFERROR(__xludf.DUMMYFUNCTION("IFERROR(IF(OR(ISBLANK($G966), IFERROR(INDEX(GOOGLEFINANCE($C966, ""price"", WORKDAY(INT($B966), 1)), 2, 2), """")=""""), """", IF($D966=""LONG"", (IFERROR(INDEX(GOOGLEFINANCE($C966, ""price"", WORKDAY(INT($B966), 1)), 2, 2), """")-$G966)/$G966, ($G966-IFE"&amp;"RROR(INDEX(GOOGLEFINANCE($C966, ""price"", WORKDAY(INT($B966), 1)), 2, 2), """"))/$G966)), """")"),"")</f>
        <v/>
      </c>
      <c r="O966" s="47" t="str">
        <f>IFERROR(__xludf.DUMMYFUNCTION("IFERROR(IF(OR(ISBLANK($G966), IFERROR(INDEX(GOOGLEFINANCE($C966, ""price"", WORKDAY(INT($B966), 5)), 2, 2), """")=""""), """", IF($D966=""LONG"", (IFERROR(INDEX(GOOGLEFINANCE($C966, ""price"", WORKDAY(INT($B966), 5)), 2, 2), """")-$G966)/$G966, ($G966-IFE"&amp;"RROR(INDEX(GOOGLEFINANCE($C966, ""price"", WORKDAY(INT($B966), 5)), 2, 2), """"))/$G966)), """")"),"")</f>
        <v/>
      </c>
      <c r="P966" s="47" t="str">
        <f>IFERROR(__xludf.DUMMYFUNCTION("IFERROR(IF(OR(ISBLANK($G966), IFERROR(INDEX(GOOGLEFINANCE($C966, ""price"", WORKDAY(INT($B966), 20)), 2, 2), """")=""""), """", IF($D966=""LONG"", (IFERROR(INDEX(GOOGLEFINANCE($C966, ""price"", WORKDAY(INT($B966), 20)), 2, 2), """")-$G966)/$G966, ($G966-I"&amp;"FERROR(INDEX(GOOGLEFINANCE($C966, ""price"", WORKDAY(INT($B966), 20)), 2, 2), """"))/$G966)), """")"),"")</f>
        <v/>
      </c>
      <c r="Q966" s="44"/>
      <c r="R966" s="44"/>
      <c r="S966" s="44"/>
      <c r="T966" s="44"/>
      <c r="U966" s="44"/>
      <c r="V966" s="44"/>
      <c r="W966" s="44"/>
      <c r="X966" s="44"/>
      <c r="Y966" s="44"/>
      <c r="Z966" s="44"/>
    </row>
    <row r="967">
      <c r="A967" s="44"/>
      <c r="B967" s="45"/>
      <c r="C967" s="44"/>
      <c r="D967" s="44"/>
      <c r="E967" s="44"/>
      <c r="F967" s="44"/>
      <c r="G967" s="46"/>
      <c r="H967" s="44"/>
      <c r="I967" s="44"/>
      <c r="J967" s="44"/>
      <c r="K967" s="44"/>
      <c r="L967" s="46" t="str">
        <f>IFERROR(__xludf.DUMMYFUNCTION("IFERROR(IF(ISBLANK($C967), """", GOOGLEFINANCE($C967, ""price"")), """")"),"")</f>
        <v/>
      </c>
      <c r="M967" s="47" t="str">
        <f t="shared" si="3"/>
        <v/>
      </c>
      <c r="N967" s="47" t="str">
        <f>IFERROR(__xludf.DUMMYFUNCTION("IFERROR(IF(OR(ISBLANK($G967), IFERROR(INDEX(GOOGLEFINANCE($C967, ""price"", WORKDAY(INT($B967), 1)), 2, 2), """")=""""), """", IF($D967=""LONG"", (IFERROR(INDEX(GOOGLEFINANCE($C967, ""price"", WORKDAY(INT($B967), 1)), 2, 2), """")-$G967)/$G967, ($G967-IFE"&amp;"RROR(INDEX(GOOGLEFINANCE($C967, ""price"", WORKDAY(INT($B967), 1)), 2, 2), """"))/$G967)), """")"),"")</f>
        <v/>
      </c>
      <c r="O967" s="47" t="str">
        <f>IFERROR(__xludf.DUMMYFUNCTION("IFERROR(IF(OR(ISBLANK($G967), IFERROR(INDEX(GOOGLEFINANCE($C967, ""price"", WORKDAY(INT($B967), 5)), 2, 2), """")=""""), """", IF($D967=""LONG"", (IFERROR(INDEX(GOOGLEFINANCE($C967, ""price"", WORKDAY(INT($B967), 5)), 2, 2), """")-$G967)/$G967, ($G967-IFE"&amp;"RROR(INDEX(GOOGLEFINANCE($C967, ""price"", WORKDAY(INT($B967), 5)), 2, 2), """"))/$G967)), """")"),"")</f>
        <v/>
      </c>
      <c r="P967" s="47" t="str">
        <f>IFERROR(__xludf.DUMMYFUNCTION("IFERROR(IF(OR(ISBLANK($G967), IFERROR(INDEX(GOOGLEFINANCE($C967, ""price"", WORKDAY(INT($B967), 20)), 2, 2), """")=""""), """", IF($D967=""LONG"", (IFERROR(INDEX(GOOGLEFINANCE($C967, ""price"", WORKDAY(INT($B967), 20)), 2, 2), """")-$G967)/$G967, ($G967-I"&amp;"FERROR(INDEX(GOOGLEFINANCE($C967, ""price"", WORKDAY(INT($B967), 20)), 2, 2), """"))/$G967)), """")"),"")</f>
        <v/>
      </c>
      <c r="Q967" s="44"/>
      <c r="R967" s="44"/>
      <c r="S967" s="44"/>
      <c r="T967" s="44"/>
      <c r="U967" s="44"/>
      <c r="V967" s="44"/>
      <c r="W967" s="44"/>
      <c r="X967" s="44"/>
      <c r="Y967" s="44"/>
      <c r="Z967" s="44"/>
    </row>
    <row r="968">
      <c r="A968" s="44"/>
      <c r="B968" s="45"/>
      <c r="C968" s="44"/>
      <c r="D968" s="44"/>
      <c r="E968" s="44"/>
      <c r="F968" s="44"/>
      <c r="G968" s="46"/>
      <c r="H968" s="44"/>
      <c r="I968" s="44"/>
      <c r="J968" s="44"/>
      <c r="K968" s="44"/>
      <c r="L968" s="46" t="str">
        <f>IFERROR(__xludf.DUMMYFUNCTION("IFERROR(IF(ISBLANK($C968), """", GOOGLEFINANCE($C968, ""price"")), """")"),"")</f>
        <v/>
      </c>
      <c r="M968" s="47" t="str">
        <f t="shared" si="3"/>
        <v/>
      </c>
      <c r="N968" s="47" t="str">
        <f>IFERROR(__xludf.DUMMYFUNCTION("IFERROR(IF(OR(ISBLANK($G968), IFERROR(INDEX(GOOGLEFINANCE($C968, ""price"", WORKDAY(INT($B968), 1)), 2, 2), """")=""""), """", IF($D968=""LONG"", (IFERROR(INDEX(GOOGLEFINANCE($C968, ""price"", WORKDAY(INT($B968), 1)), 2, 2), """")-$G968)/$G968, ($G968-IFE"&amp;"RROR(INDEX(GOOGLEFINANCE($C968, ""price"", WORKDAY(INT($B968), 1)), 2, 2), """"))/$G968)), """")"),"")</f>
        <v/>
      </c>
      <c r="O968" s="47" t="str">
        <f>IFERROR(__xludf.DUMMYFUNCTION("IFERROR(IF(OR(ISBLANK($G968), IFERROR(INDEX(GOOGLEFINANCE($C968, ""price"", WORKDAY(INT($B968), 5)), 2, 2), """")=""""), """", IF($D968=""LONG"", (IFERROR(INDEX(GOOGLEFINANCE($C968, ""price"", WORKDAY(INT($B968), 5)), 2, 2), """")-$G968)/$G968, ($G968-IFE"&amp;"RROR(INDEX(GOOGLEFINANCE($C968, ""price"", WORKDAY(INT($B968), 5)), 2, 2), """"))/$G968)), """")"),"")</f>
        <v/>
      </c>
      <c r="P968" s="47" t="str">
        <f>IFERROR(__xludf.DUMMYFUNCTION("IFERROR(IF(OR(ISBLANK($G968), IFERROR(INDEX(GOOGLEFINANCE($C968, ""price"", WORKDAY(INT($B968), 20)), 2, 2), """")=""""), """", IF($D968=""LONG"", (IFERROR(INDEX(GOOGLEFINANCE($C968, ""price"", WORKDAY(INT($B968), 20)), 2, 2), """")-$G968)/$G968, ($G968-I"&amp;"FERROR(INDEX(GOOGLEFINANCE($C968, ""price"", WORKDAY(INT($B968), 20)), 2, 2), """"))/$G968)), """")"),"")</f>
        <v/>
      </c>
      <c r="Q968" s="44"/>
      <c r="R968" s="44"/>
      <c r="S968" s="44"/>
      <c r="T968" s="44"/>
      <c r="U968" s="44"/>
      <c r="V968" s="44"/>
      <c r="W968" s="44"/>
      <c r="X968" s="44"/>
      <c r="Y968" s="44"/>
      <c r="Z968" s="44"/>
    </row>
    <row r="969">
      <c r="A969" s="44"/>
      <c r="B969" s="45"/>
      <c r="C969" s="44"/>
      <c r="D969" s="44"/>
      <c r="E969" s="44"/>
      <c r="F969" s="44"/>
      <c r="G969" s="46"/>
      <c r="H969" s="44"/>
      <c r="I969" s="44"/>
      <c r="J969" s="44"/>
      <c r="K969" s="44"/>
      <c r="L969" s="46" t="str">
        <f>IFERROR(__xludf.DUMMYFUNCTION("IFERROR(IF(ISBLANK($C969), """", GOOGLEFINANCE($C969, ""price"")), """")"),"")</f>
        <v/>
      </c>
      <c r="M969" s="47" t="str">
        <f t="shared" si="3"/>
        <v/>
      </c>
      <c r="N969" s="47" t="str">
        <f>IFERROR(__xludf.DUMMYFUNCTION("IFERROR(IF(OR(ISBLANK($G969), IFERROR(INDEX(GOOGLEFINANCE($C969, ""price"", WORKDAY(INT($B969), 1)), 2, 2), """")=""""), """", IF($D969=""LONG"", (IFERROR(INDEX(GOOGLEFINANCE($C969, ""price"", WORKDAY(INT($B969), 1)), 2, 2), """")-$G969)/$G969, ($G969-IFE"&amp;"RROR(INDEX(GOOGLEFINANCE($C969, ""price"", WORKDAY(INT($B969), 1)), 2, 2), """"))/$G969)), """")"),"")</f>
        <v/>
      </c>
      <c r="O969" s="47" t="str">
        <f>IFERROR(__xludf.DUMMYFUNCTION("IFERROR(IF(OR(ISBLANK($G969), IFERROR(INDEX(GOOGLEFINANCE($C969, ""price"", WORKDAY(INT($B969), 5)), 2, 2), """")=""""), """", IF($D969=""LONG"", (IFERROR(INDEX(GOOGLEFINANCE($C969, ""price"", WORKDAY(INT($B969), 5)), 2, 2), """")-$G969)/$G969, ($G969-IFE"&amp;"RROR(INDEX(GOOGLEFINANCE($C969, ""price"", WORKDAY(INT($B969), 5)), 2, 2), """"))/$G969)), """")"),"")</f>
        <v/>
      </c>
      <c r="P969" s="47" t="str">
        <f>IFERROR(__xludf.DUMMYFUNCTION("IFERROR(IF(OR(ISBLANK($G969), IFERROR(INDEX(GOOGLEFINANCE($C969, ""price"", WORKDAY(INT($B969), 20)), 2, 2), """")=""""), """", IF($D969=""LONG"", (IFERROR(INDEX(GOOGLEFINANCE($C969, ""price"", WORKDAY(INT($B969), 20)), 2, 2), """")-$G969)/$G969, ($G969-I"&amp;"FERROR(INDEX(GOOGLEFINANCE($C969, ""price"", WORKDAY(INT($B969), 20)), 2, 2), """"))/$G969)), """")"),"")</f>
        <v/>
      </c>
      <c r="Q969" s="44"/>
      <c r="R969" s="44"/>
      <c r="S969" s="44"/>
      <c r="T969" s="44"/>
      <c r="U969" s="44"/>
      <c r="V969" s="44"/>
      <c r="W969" s="44"/>
      <c r="X969" s="44"/>
      <c r="Y969" s="44"/>
      <c r="Z969" s="44"/>
    </row>
    <row r="970">
      <c r="A970" s="44"/>
      <c r="B970" s="45"/>
      <c r="C970" s="44"/>
      <c r="D970" s="44"/>
      <c r="E970" s="44"/>
      <c r="F970" s="44"/>
      <c r="G970" s="46"/>
      <c r="H970" s="44"/>
      <c r="I970" s="44"/>
      <c r="J970" s="44"/>
      <c r="K970" s="44"/>
      <c r="L970" s="46" t="str">
        <f>IFERROR(__xludf.DUMMYFUNCTION("IFERROR(IF(ISBLANK($C970), """", GOOGLEFINANCE($C970, ""price"")), """")"),"")</f>
        <v/>
      </c>
      <c r="M970" s="47" t="str">
        <f t="shared" si="3"/>
        <v/>
      </c>
      <c r="N970" s="47" t="str">
        <f>IFERROR(__xludf.DUMMYFUNCTION("IFERROR(IF(OR(ISBLANK($G970), IFERROR(INDEX(GOOGLEFINANCE($C970, ""price"", WORKDAY(INT($B970), 1)), 2, 2), """")=""""), """", IF($D970=""LONG"", (IFERROR(INDEX(GOOGLEFINANCE($C970, ""price"", WORKDAY(INT($B970), 1)), 2, 2), """")-$G970)/$G970, ($G970-IFE"&amp;"RROR(INDEX(GOOGLEFINANCE($C970, ""price"", WORKDAY(INT($B970), 1)), 2, 2), """"))/$G970)), """")"),"")</f>
        <v/>
      </c>
      <c r="O970" s="47" t="str">
        <f>IFERROR(__xludf.DUMMYFUNCTION("IFERROR(IF(OR(ISBLANK($G970), IFERROR(INDEX(GOOGLEFINANCE($C970, ""price"", WORKDAY(INT($B970), 5)), 2, 2), """")=""""), """", IF($D970=""LONG"", (IFERROR(INDEX(GOOGLEFINANCE($C970, ""price"", WORKDAY(INT($B970), 5)), 2, 2), """")-$G970)/$G970, ($G970-IFE"&amp;"RROR(INDEX(GOOGLEFINANCE($C970, ""price"", WORKDAY(INT($B970), 5)), 2, 2), """"))/$G970)), """")"),"")</f>
        <v/>
      </c>
      <c r="P970" s="47" t="str">
        <f>IFERROR(__xludf.DUMMYFUNCTION("IFERROR(IF(OR(ISBLANK($G970), IFERROR(INDEX(GOOGLEFINANCE($C970, ""price"", WORKDAY(INT($B970), 20)), 2, 2), """")=""""), """", IF($D970=""LONG"", (IFERROR(INDEX(GOOGLEFINANCE($C970, ""price"", WORKDAY(INT($B970), 20)), 2, 2), """")-$G970)/$G970, ($G970-I"&amp;"FERROR(INDEX(GOOGLEFINANCE($C970, ""price"", WORKDAY(INT($B970), 20)), 2, 2), """"))/$G970)), """")"),"")</f>
        <v/>
      </c>
      <c r="Q970" s="44"/>
      <c r="R970" s="44"/>
      <c r="S970" s="44"/>
      <c r="T970" s="44"/>
      <c r="U970" s="44"/>
      <c r="V970" s="44"/>
      <c r="W970" s="44"/>
      <c r="X970" s="44"/>
      <c r="Y970" s="44"/>
      <c r="Z970" s="44"/>
    </row>
    <row r="971">
      <c r="A971" s="44"/>
      <c r="B971" s="45"/>
      <c r="C971" s="44"/>
      <c r="D971" s="44"/>
      <c r="E971" s="44"/>
      <c r="F971" s="44"/>
      <c r="G971" s="46"/>
      <c r="H971" s="44"/>
      <c r="I971" s="44"/>
      <c r="J971" s="44"/>
      <c r="K971" s="44"/>
      <c r="L971" s="46" t="str">
        <f>IFERROR(__xludf.DUMMYFUNCTION("IFERROR(IF(ISBLANK($C971), """", GOOGLEFINANCE($C971, ""price"")), """")"),"")</f>
        <v/>
      </c>
      <c r="M971" s="47" t="str">
        <f t="shared" si="3"/>
        <v/>
      </c>
      <c r="N971" s="47" t="str">
        <f>IFERROR(__xludf.DUMMYFUNCTION("IFERROR(IF(OR(ISBLANK($G971), IFERROR(INDEX(GOOGLEFINANCE($C971, ""price"", WORKDAY(INT($B971), 1)), 2, 2), """")=""""), """", IF($D971=""LONG"", (IFERROR(INDEX(GOOGLEFINANCE($C971, ""price"", WORKDAY(INT($B971), 1)), 2, 2), """")-$G971)/$G971, ($G971-IFE"&amp;"RROR(INDEX(GOOGLEFINANCE($C971, ""price"", WORKDAY(INT($B971), 1)), 2, 2), """"))/$G971)), """")"),"")</f>
        <v/>
      </c>
      <c r="O971" s="47" t="str">
        <f>IFERROR(__xludf.DUMMYFUNCTION("IFERROR(IF(OR(ISBLANK($G971), IFERROR(INDEX(GOOGLEFINANCE($C971, ""price"", WORKDAY(INT($B971), 5)), 2, 2), """")=""""), """", IF($D971=""LONG"", (IFERROR(INDEX(GOOGLEFINANCE($C971, ""price"", WORKDAY(INT($B971), 5)), 2, 2), """")-$G971)/$G971, ($G971-IFE"&amp;"RROR(INDEX(GOOGLEFINANCE($C971, ""price"", WORKDAY(INT($B971), 5)), 2, 2), """"))/$G971)), """")"),"")</f>
        <v/>
      </c>
      <c r="P971" s="47" t="str">
        <f>IFERROR(__xludf.DUMMYFUNCTION("IFERROR(IF(OR(ISBLANK($G971), IFERROR(INDEX(GOOGLEFINANCE($C971, ""price"", WORKDAY(INT($B971), 20)), 2, 2), """")=""""), """", IF($D971=""LONG"", (IFERROR(INDEX(GOOGLEFINANCE($C971, ""price"", WORKDAY(INT($B971), 20)), 2, 2), """")-$G971)/$G971, ($G971-I"&amp;"FERROR(INDEX(GOOGLEFINANCE($C971, ""price"", WORKDAY(INT($B971), 20)), 2, 2), """"))/$G971)), """")"),"")</f>
        <v/>
      </c>
      <c r="Q971" s="44"/>
      <c r="R971" s="44"/>
      <c r="S971" s="44"/>
      <c r="T971" s="44"/>
      <c r="U971" s="44"/>
      <c r="V971" s="44"/>
      <c r="W971" s="44"/>
      <c r="X971" s="44"/>
      <c r="Y971" s="44"/>
      <c r="Z971" s="44"/>
    </row>
    <row r="972">
      <c r="A972" s="44"/>
      <c r="B972" s="45"/>
      <c r="C972" s="44"/>
      <c r="D972" s="44"/>
      <c r="E972" s="44"/>
      <c r="F972" s="44"/>
      <c r="G972" s="46"/>
      <c r="H972" s="44"/>
      <c r="I972" s="44"/>
      <c r="J972" s="44"/>
      <c r="K972" s="44"/>
      <c r="L972" s="46" t="str">
        <f>IFERROR(__xludf.DUMMYFUNCTION("IFERROR(IF(ISBLANK($C972), """", GOOGLEFINANCE($C972, ""price"")), """")"),"")</f>
        <v/>
      </c>
      <c r="M972" s="47" t="str">
        <f t="shared" si="3"/>
        <v/>
      </c>
      <c r="N972" s="47" t="str">
        <f>IFERROR(__xludf.DUMMYFUNCTION("IFERROR(IF(OR(ISBLANK($G972), IFERROR(INDEX(GOOGLEFINANCE($C972, ""price"", WORKDAY(INT($B972), 1)), 2, 2), """")=""""), """", IF($D972=""LONG"", (IFERROR(INDEX(GOOGLEFINANCE($C972, ""price"", WORKDAY(INT($B972), 1)), 2, 2), """")-$G972)/$G972, ($G972-IFE"&amp;"RROR(INDEX(GOOGLEFINANCE($C972, ""price"", WORKDAY(INT($B972), 1)), 2, 2), """"))/$G972)), """")"),"")</f>
        <v/>
      </c>
      <c r="O972" s="47" t="str">
        <f>IFERROR(__xludf.DUMMYFUNCTION("IFERROR(IF(OR(ISBLANK($G972), IFERROR(INDEX(GOOGLEFINANCE($C972, ""price"", WORKDAY(INT($B972), 5)), 2, 2), """")=""""), """", IF($D972=""LONG"", (IFERROR(INDEX(GOOGLEFINANCE($C972, ""price"", WORKDAY(INT($B972), 5)), 2, 2), """")-$G972)/$G972, ($G972-IFE"&amp;"RROR(INDEX(GOOGLEFINANCE($C972, ""price"", WORKDAY(INT($B972), 5)), 2, 2), """"))/$G972)), """")"),"")</f>
        <v/>
      </c>
      <c r="P972" s="47" t="str">
        <f>IFERROR(__xludf.DUMMYFUNCTION("IFERROR(IF(OR(ISBLANK($G972), IFERROR(INDEX(GOOGLEFINANCE($C972, ""price"", WORKDAY(INT($B972), 20)), 2, 2), """")=""""), """", IF($D972=""LONG"", (IFERROR(INDEX(GOOGLEFINANCE($C972, ""price"", WORKDAY(INT($B972), 20)), 2, 2), """")-$G972)/$G972, ($G972-I"&amp;"FERROR(INDEX(GOOGLEFINANCE($C972, ""price"", WORKDAY(INT($B972), 20)), 2, 2), """"))/$G972)), """")"),"")</f>
        <v/>
      </c>
      <c r="Q972" s="44"/>
      <c r="R972" s="44"/>
      <c r="S972" s="44"/>
      <c r="T972" s="44"/>
      <c r="U972" s="44"/>
      <c r="V972" s="44"/>
      <c r="W972" s="44"/>
      <c r="X972" s="44"/>
      <c r="Y972" s="44"/>
      <c r="Z972" s="44"/>
    </row>
    <row r="973">
      <c r="A973" s="44"/>
      <c r="B973" s="45"/>
      <c r="C973" s="44"/>
      <c r="D973" s="44"/>
      <c r="E973" s="44"/>
      <c r="F973" s="44"/>
      <c r="G973" s="46"/>
      <c r="H973" s="44"/>
      <c r="I973" s="44"/>
      <c r="J973" s="44"/>
      <c r="K973" s="44"/>
      <c r="L973" s="46" t="str">
        <f>IFERROR(__xludf.DUMMYFUNCTION("IFERROR(IF(ISBLANK($C973), """", GOOGLEFINANCE($C973, ""price"")), """")"),"")</f>
        <v/>
      </c>
      <c r="M973" s="47" t="str">
        <f t="shared" si="3"/>
        <v/>
      </c>
      <c r="N973" s="47" t="str">
        <f>IFERROR(__xludf.DUMMYFUNCTION("IFERROR(IF(OR(ISBLANK($G973), IFERROR(INDEX(GOOGLEFINANCE($C973, ""price"", WORKDAY(INT($B973), 1)), 2, 2), """")=""""), """", IF($D973=""LONG"", (IFERROR(INDEX(GOOGLEFINANCE($C973, ""price"", WORKDAY(INT($B973), 1)), 2, 2), """")-$G973)/$G973, ($G973-IFE"&amp;"RROR(INDEX(GOOGLEFINANCE($C973, ""price"", WORKDAY(INT($B973), 1)), 2, 2), """"))/$G973)), """")"),"")</f>
        <v/>
      </c>
      <c r="O973" s="47" t="str">
        <f>IFERROR(__xludf.DUMMYFUNCTION("IFERROR(IF(OR(ISBLANK($G973), IFERROR(INDEX(GOOGLEFINANCE($C973, ""price"", WORKDAY(INT($B973), 5)), 2, 2), """")=""""), """", IF($D973=""LONG"", (IFERROR(INDEX(GOOGLEFINANCE($C973, ""price"", WORKDAY(INT($B973), 5)), 2, 2), """")-$G973)/$G973, ($G973-IFE"&amp;"RROR(INDEX(GOOGLEFINANCE($C973, ""price"", WORKDAY(INT($B973), 5)), 2, 2), """"))/$G973)), """")"),"")</f>
        <v/>
      </c>
      <c r="P973" s="47" t="str">
        <f>IFERROR(__xludf.DUMMYFUNCTION("IFERROR(IF(OR(ISBLANK($G973), IFERROR(INDEX(GOOGLEFINANCE($C973, ""price"", WORKDAY(INT($B973), 20)), 2, 2), """")=""""), """", IF($D973=""LONG"", (IFERROR(INDEX(GOOGLEFINANCE($C973, ""price"", WORKDAY(INT($B973), 20)), 2, 2), """")-$G973)/$G973, ($G973-I"&amp;"FERROR(INDEX(GOOGLEFINANCE($C973, ""price"", WORKDAY(INT($B973), 20)), 2, 2), """"))/$G973)), """")"),"")</f>
        <v/>
      </c>
      <c r="Q973" s="44"/>
      <c r="R973" s="44"/>
      <c r="S973" s="44"/>
      <c r="T973" s="44"/>
      <c r="U973" s="44"/>
      <c r="V973" s="44"/>
      <c r="W973" s="44"/>
      <c r="X973" s="44"/>
      <c r="Y973" s="44"/>
      <c r="Z973" s="44"/>
    </row>
    <row r="974">
      <c r="A974" s="44"/>
      <c r="B974" s="45"/>
      <c r="C974" s="44"/>
      <c r="D974" s="44"/>
      <c r="E974" s="44"/>
      <c r="F974" s="44"/>
      <c r="G974" s="46"/>
      <c r="H974" s="44"/>
      <c r="I974" s="44"/>
      <c r="J974" s="44"/>
      <c r="K974" s="44"/>
      <c r="L974" s="46" t="str">
        <f>IFERROR(__xludf.DUMMYFUNCTION("IFERROR(IF(ISBLANK($C974), """", GOOGLEFINANCE($C974, ""price"")), """")"),"")</f>
        <v/>
      </c>
      <c r="M974" s="47" t="str">
        <f t="shared" si="3"/>
        <v/>
      </c>
      <c r="N974" s="47" t="str">
        <f>IFERROR(__xludf.DUMMYFUNCTION("IFERROR(IF(OR(ISBLANK($G974), IFERROR(INDEX(GOOGLEFINANCE($C974, ""price"", WORKDAY(INT($B974), 1)), 2, 2), """")=""""), """", IF($D974=""LONG"", (IFERROR(INDEX(GOOGLEFINANCE($C974, ""price"", WORKDAY(INT($B974), 1)), 2, 2), """")-$G974)/$G974, ($G974-IFE"&amp;"RROR(INDEX(GOOGLEFINANCE($C974, ""price"", WORKDAY(INT($B974), 1)), 2, 2), """"))/$G974)), """")"),"")</f>
        <v/>
      </c>
      <c r="O974" s="47" t="str">
        <f>IFERROR(__xludf.DUMMYFUNCTION("IFERROR(IF(OR(ISBLANK($G974), IFERROR(INDEX(GOOGLEFINANCE($C974, ""price"", WORKDAY(INT($B974), 5)), 2, 2), """")=""""), """", IF($D974=""LONG"", (IFERROR(INDEX(GOOGLEFINANCE($C974, ""price"", WORKDAY(INT($B974), 5)), 2, 2), """")-$G974)/$G974, ($G974-IFE"&amp;"RROR(INDEX(GOOGLEFINANCE($C974, ""price"", WORKDAY(INT($B974), 5)), 2, 2), """"))/$G974)), """")"),"")</f>
        <v/>
      </c>
      <c r="P974" s="47" t="str">
        <f>IFERROR(__xludf.DUMMYFUNCTION("IFERROR(IF(OR(ISBLANK($G974), IFERROR(INDEX(GOOGLEFINANCE($C974, ""price"", WORKDAY(INT($B974), 20)), 2, 2), """")=""""), """", IF($D974=""LONG"", (IFERROR(INDEX(GOOGLEFINANCE($C974, ""price"", WORKDAY(INT($B974), 20)), 2, 2), """")-$G974)/$G974, ($G974-I"&amp;"FERROR(INDEX(GOOGLEFINANCE($C974, ""price"", WORKDAY(INT($B974), 20)), 2, 2), """"))/$G974)), """")"),"")</f>
        <v/>
      </c>
      <c r="Q974" s="44"/>
      <c r="R974" s="44"/>
      <c r="S974" s="44"/>
      <c r="T974" s="44"/>
      <c r="U974" s="44"/>
      <c r="V974" s="44"/>
      <c r="W974" s="44"/>
      <c r="X974" s="44"/>
      <c r="Y974" s="44"/>
      <c r="Z974" s="44"/>
    </row>
    <row r="975">
      <c r="A975" s="44"/>
      <c r="B975" s="45"/>
      <c r="C975" s="44"/>
      <c r="D975" s="44"/>
      <c r="E975" s="44"/>
      <c r="F975" s="44"/>
      <c r="G975" s="46"/>
      <c r="H975" s="44"/>
      <c r="I975" s="44"/>
      <c r="J975" s="44"/>
      <c r="K975" s="44"/>
      <c r="L975" s="46" t="str">
        <f>IFERROR(__xludf.DUMMYFUNCTION("IFERROR(IF(ISBLANK($C975), """", GOOGLEFINANCE($C975, ""price"")), """")"),"")</f>
        <v/>
      </c>
      <c r="M975" s="47" t="str">
        <f t="shared" si="3"/>
        <v/>
      </c>
      <c r="N975" s="47" t="str">
        <f>IFERROR(__xludf.DUMMYFUNCTION("IFERROR(IF(OR(ISBLANK($G975), IFERROR(INDEX(GOOGLEFINANCE($C975, ""price"", WORKDAY(INT($B975), 1)), 2, 2), """")=""""), """", IF($D975=""LONG"", (IFERROR(INDEX(GOOGLEFINANCE($C975, ""price"", WORKDAY(INT($B975), 1)), 2, 2), """")-$G975)/$G975, ($G975-IFE"&amp;"RROR(INDEX(GOOGLEFINANCE($C975, ""price"", WORKDAY(INT($B975), 1)), 2, 2), """"))/$G975)), """")"),"")</f>
        <v/>
      </c>
      <c r="O975" s="47" t="str">
        <f>IFERROR(__xludf.DUMMYFUNCTION("IFERROR(IF(OR(ISBLANK($G975), IFERROR(INDEX(GOOGLEFINANCE($C975, ""price"", WORKDAY(INT($B975), 5)), 2, 2), """")=""""), """", IF($D975=""LONG"", (IFERROR(INDEX(GOOGLEFINANCE($C975, ""price"", WORKDAY(INT($B975), 5)), 2, 2), """")-$G975)/$G975, ($G975-IFE"&amp;"RROR(INDEX(GOOGLEFINANCE($C975, ""price"", WORKDAY(INT($B975), 5)), 2, 2), """"))/$G975)), """")"),"")</f>
        <v/>
      </c>
      <c r="P975" s="47" t="str">
        <f>IFERROR(__xludf.DUMMYFUNCTION("IFERROR(IF(OR(ISBLANK($G975), IFERROR(INDEX(GOOGLEFINANCE($C975, ""price"", WORKDAY(INT($B975), 20)), 2, 2), """")=""""), """", IF($D975=""LONG"", (IFERROR(INDEX(GOOGLEFINANCE($C975, ""price"", WORKDAY(INT($B975), 20)), 2, 2), """")-$G975)/$G975, ($G975-I"&amp;"FERROR(INDEX(GOOGLEFINANCE($C975, ""price"", WORKDAY(INT($B975), 20)), 2, 2), """"))/$G975)), """")"),"")</f>
        <v/>
      </c>
      <c r="Q975" s="44"/>
      <c r="R975" s="44"/>
      <c r="S975" s="44"/>
      <c r="T975" s="44"/>
      <c r="U975" s="44"/>
      <c r="V975" s="44"/>
      <c r="W975" s="44"/>
      <c r="X975" s="44"/>
      <c r="Y975" s="44"/>
      <c r="Z975" s="44"/>
    </row>
    <row r="976">
      <c r="A976" s="44"/>
      <c r="B976" s="45"/>
      <c r="C976" s="44"/>
      <c r="D976" s="44"/>
      <c r="E976" s="44"/>
      <c r="F976" s="44"/>
      <c r="G976" s="46"/>
      <c r="H976" s="44"/>
      <c r="I976" s="44"/>
      <c r="J976" s="44"/>
      <c r="K976" s="44"/>
      <c r="L976" s="46" t="str">
        <f>IFERROR(__xludf.DUMMYFUNCTION("IFERROR(IF(ISBLANK($C976), """", GOOGLEFINANCE($C976, ""price"")), """")"),"")</f>
        <v/>
      </c>
      <c r="M976" s="47" t="str">
        <f t="shared" si="3"/>
        <v/>
      </c>
      <c r="N976" s="47" t="str">
        <f>IFERROR(__xludf.DUMMYFUNCTION("IFERROR(IF(OR(ISBLANK($G976), IFERROR(INDEX(GOOGLEFINANCE($C976, ""price"", WORKDAY(INT($B976), 1)), 2, 2), """")=""""), """", IF($D976=""LONG"", (IFERROR(INDEX(GOOGLEFINANCE($C976, ""price"", WORKDAY(INT($B976), 1)), 2, 2), """")-$G976)/$G976, ($G976-IFE"&amp;"RROR(INDEX(GOOGLEFINANCE($C976, ""price"", WORKDAY(INT($B976), 1)), 2, 2), """"))/$G976)), """")"),"")</f>
        <v/>
      </c>
      <c r="O976" s="47" t="str">
        <f>IFERROR(__xludf.DUMMYFUNCTION("IFERROR(IF(OR(ISBLANK($G976), IFERROR(INDEX(GOOGLEFINANCE($C976, ""price"", WORKDAY(INT($B976), 5)), 2, 2), """")=""""), """", IF($D976=""LONG"", (IFERROR(INDEX(GOOGLEFINANCE($C976, ""price"", WORKDAY(INT($B976), 5)), 2, 2), """")-$G976)/$G976, ($G976-IFE"&amp;"RROR(INDEX(GOOGLEFINANCE($C976, ""price"", WORKDAY(INT($B976), 5)), 2, 2), """"))/$G976)), """")"),"")</f>
        <v/>
      </c>
      <c r="P976" s="47" t="str">
        <f>IFERROR(__xludf.DUMMYFUNCTION("IFERROR(IF(OR(ISBLANK($G976), IFERROR(INDEX(GOOGLEFINANCE($C976, ""price"", WORKDAY(INT($B976), 20)), 2, 2), """")=""""), """", IF($D976=""LONG"", (IFERROR(INDEX(GOOGLEFINANCE($C976, ""price"", WORKDAY(INT($B976), 20)), 2, 2), """")-$G976)/$G976, ($G976-I"&amp;"FERROR(INDEX(GOOGLEFINANCE($C976, ""price"", WORKDAY(INT($B976), 20)), 2, 2), """"))/$G976)), """")"),"")</f>
        <v/>
      </c>
      <c r="Q976" s="44"/>
      <c r="R976" s="44"/>
      <c r="S976" s="44"/>
      <c r="T976" s="44"/>
      <c r="U976" s="44"/>
      <c r="V976" s="44"/>
      <c r="W976" s="44"/>
      <c r="X976" s="44"/>
      <c r="Y976" s="44"/>
      <c r="Z976" s="44"/>
    </row>
    <row r="977">
      <c r="A977" s="44"/>
      <c r="B977" s="45"/>
      <c r="C977" s="44"/>
      <c r="D977" s="44"/>
      <c r="E977" s="44"/>
      <c r="F977" s="44"/>
      <c r="G977" s="46"/>
      <c r="H977" s="44"/>
      <c r="I977" s="44"/>
      <c r="J977" s="44"/>
      <c r="K977" s="44"/>
      <c r="L977" s="46" t="str">
        <f>IFERROR(__xludf.DUMMYFUNCTION("IFERROR(IF(ISBLANK($C977), """", GOOGLEFINANCE($C977, ""price"")), """")"),"")</f>
        <v/>
      </c>
      <c r="M977" s="47" t="str">
        <f t="shared" si="3"/>
        <v/>
      </c>
      <c r="N977" s="47" t="str">
        <f>IFERROR(__xludf.DUMMYFUNCTION("IFERROR(IF(OR(ISBLANK($G977), IFERROR(INDEX(GOOGLEFINANCE($C977, ""price"", WORKDAY(INT($B977), 1)), 2, 2), """")=""""), """", IF($D977=""LONG"", (IFERROR(INDEX(GOOGLEFINANCE($C977, ""price"", WORKDAY(INT($B977), 1)), 2, 2), """")-$G977)/$G977, ($G977-IFE"&amp;"RROR(INDEX(GOOGLEFINANCE($C977, ""price"", WORKDAY(INT($B977), 1)), 2, 2), """"))/$G977)), """")"),"")</f>
        <v/>
      </c>
      <c r="O977" s="47" t="str">
        <f>IFERROR(__xludf.DUMMYFUNCTION("IFERROR(IF(OR(ISBLANK($G977), IFERROR(INDEX(GOOGLEFINANCE($C977, ""price"", WORKDAY(INT($B977), 5)), 2, 2), """")=""""), """", IF($D977=""LONG"", (IFERROR(INDEX(GOOGLEFINANCE($C977, ""price"", WORKDAY(INT($B977), 5)), 2, 2), """")-$G977)/$G977, ($G977-IFE"&amp;"RROR(INDEX(GOOGLEFINANCE($C977, ""price"", WORKDAY(INT($B977), 5)), 2, 2), """"))/$G977)), """")"),"")</f>
        <v/>
      </c>
      <c r="P977" s="47" t="str">
        <f>IFERROR(__xludf.DUMMYFUNCTION("IFERROR(IF(OR(ISBLANK($G977), IFERROR(INDEX(GOOGLEFINANCE($C977, ""price"", WORKDAY(INT($B977), 20)), 2, 2), """")=""""), """", IF($D977=""LONG"", (IFERROR(INDEX(GOOGLEFINANCE($C977, ""price"", WORKDAY(INT($B977), 20)), 2, 2), """")-$G977)/$G977, ($G977-I"&amp;"FERROR(INDEX(GOOGLEFINANCE($C977, ""price"", WORKDAY(INT($B977), 20)), 2, 2), """"))/$G977)), """")"),"")</f>
        <v/>
      </c>
      <c r="Q977" s="44"/>
      <c r="R977" s="44"/>
      <c r="S977" s="44"/>
      <c r="T977" s="44"/>
      <c r="U977" s="44"/>
      <c r="V977" s="44"/>
      <c r="W977" s="44"/>
      <c r="X977" s="44"/>
      <c r="Y977" s="44"/>
      <c r="Z977" s="44"/>
    </row>
    <row r="978">
      <c r="A978" s="44"/>
      <c r="B978" s="45"/>
      <c r="C978" s="44"/>
      <c r="D978" s="44"/>
      <c r="E978" s="44"/>
      <c r="F978" s="44"/>
      <c r="G978" s="46"/>
      <c r="H978" s="44"/>
      <c r="I978" s="44"/>
      <c r="J978" s="44"/>
      <c r="K978" s="44"/>
      <c r="L978" s="46" t="str">
        <f>IFERROR(__xludf.DUMMYFUNCTION("IFERROR(IF(ISBLANK($C978), """", GOOGLEFINANCE($C978, ""price"")), """")"),"")</f>
        <v/>
      </c>
      <c r="M978" s="47" t="str">
        <f t="shared" si="3"/>
        <v/>
      </c>
      <c r="N978" s="47" t="str">
        <f>IFERROR(__xludf.DUMMYFUNCTION("IFERROR(IF(OR(ISBLANK($G978), IFERROR(INDEX(GOOGLEFINANCE($C978, ""price"", WORKDAY(INT($B978), 1)), 2, 2), """")=""""), """", IF($D978=""LONG"", (IFERROR(INDEX(GOOGLEFINANCE($C978, ""price"", WORKDAY(INT($B978), 1)), 2, 2), """")-$G978)/$G978, ($G978-IFE"&amp;"RROR(INDEX(GOOGLEFINANCE($C978, ""price"", WORKDAY(INT($B978), 1)), 2, 2), """"))/$G978)), """")"),"")</f>
        <v/>
      </c>
      <c r="O978" s="47" t="str">
        <f>IFERROR(__xludf.DUMMYFUNCTION("IFERROR(IF(OR(ISBLANK($G978), IFERROR(INDEX(GOOGLEFINANCE($C978, ""price"", WORKDAY(INT($B978), 5)), 2, 2), """")=""""), """", IF($D978=""LONG"", (IFERROR(INDEX(GOOGLEFINANCE($C978, ""price"", WORKDAY(INT($B978), 5)), 2, 2), """")-$G978)/$G978, ($G978-IFE"&amp;"RROR(INDEX(GOOGLEFINANCE($C978, ""price"", WORKDAY(INT($B978), 5)), 2, 2), """"))/$G978)), """")"),"")</f>
        <v/>
      </c>
      <c r="P978" s="47" t="str">
        <f>IFERROR(__xludf.DUMMYFUNCTION("IFERROR(IF(OR(ISBLANK($G978), IFERROR(INDEX(GOOGLEFINANCE($C978, ""price"", WORKDAY(INT($B978), 20)), 2, 2), """")=""""), """", IF($D978=""LONG"", (IFERROR(INDEX(GOOGLEFINANCE($C978, ""price"", WORKDAY(INT($B978), 20)), 2, 2), """")-$G978)/$G978, ($G978-I"&amp;"FERROR(INDEX(GOOGLEFINANCE($C978, ""price"", WORKDAY(INT($B978), 20)), 2, 2), """"))/$G978)), """")"),"")</f>
        <v/>
      </c>
      <c r="Q978" s="44"/>
      <c r="R978" s="44"/>
      <c r="S978" s="44"/>
      <c r="T978" s="44"/>
      <c r="U978" s="44"/>
      <c r="V978" s="44"/>
      <c r="W978" s="44"/>
      <c r="X978" s="44"/>
      <c r="Y978" s="44"/>
      <c r="Z978" s="44"/>
    </row>
    <row r="979">
      <c r="A979" s="44"/>
      <c r="B979" s="45"/>
      <c r="C979" s="44"/>
      <c r="D979" s="44"/>
      <c r="E979" s="44"/>
      <c r="F979" s="44"/>
      <c r="G979" s="46"/>
      <c r="H979" s="44"/>
      <c r="I979" s="44"/>
      <c r="J979" s="44"/>
      <c r="K979" s="44"/>
      <c r="L979" s="46" t="str">
        <f>IFERROR(__xludf.DUMMYFUNCTION("IFERROR(IF(ISBLANK($C979), """", GOOGLEFINANCE($C979, ""price"")), """")"),"")</f>
        <v/>
      </c>
      <c r="M979" s="47" t="str">
        <f t="shared" si="3"/>
        <v/>
      </c>
      <c r="N979" s="47" t="str">
        <f>IFERROR(__xludf.DUMMYFUNCTION("IFERROR(IF(OR(ISBLANK($G979), IFERROR(INDEX(GOOGLEFINANCE($C979, ""price"", WORKDAY(INT($B979), 1)), 2, 2), """")=""""), """", IF($D979=""LONG"", (IFERROR(INDEX(GOOGLEFINANCE($C979, ""price"", WORKDAY(INT($B979), 1)), 2, 2), """")-$G979)/$G979, ($G979-IFE"&amp;"RROR(INDEX(GOOGLEFINANCE($C979, ""price"", WORKDAY(INT($B979), 1)), 2, 2), """"))/$G979)), """")"),"")</f>
        <v/>
      </c>
      <c r="O979" s="47" t="str">
        <f>IFERROR(__xludf.DUMMYFUNCTION("IFERROR(IF(OR(ISBLANK($G979), IFERROR(INDEX(GOOGLEFINANCE($C979, ""price"", WORKDAY(INT($B979), 5)), 2, 2), """")=""""), """", IF($D979=""LONG"", (IFERROR(INDEX(GOOGLEFINANCE($C979, ""price"", WORKDAY(INT($B979), 5)), 2, 2), """")-$G979)/$G979, ($G979-IFE"&amp;"RROR(INDEX(GOOGLEFINANCE($C979, ""price"", WORKDAY(INT($B979), 5)), 2, 2), """"))/$G979)), """")"),"")</f>
        <v/>
      </c>
      <c r="P979" s="47" t="str">
        <f>IFERROR(__xludf.DUMMYFUNCTION("IFERROR(IF(OR(ISBLANK($G979), IFERROR(INDEX(GOOGLEFINANCE($C979, ""price"", WORKDAY(INT($B979), 20)), 2, 2), """")=""""), """", IF($D979=""LONG"", (IFERROR(INDEX(GOOGLEFINANCE($C979, ""price"", WORKDAY(INT($B979), 20)), 2, 2), """")-$G979)/$G979, ($G979-I"&amp;"FERROR(INDEX(GOOGLEFINANCE($C979, ""price"", WORKDAY(INT($B979), 20)), 2, 2), """"))/$G979)), """")"),"")</f>
        <v/>
      </c>
      <c r="Q979" s="44"/>
      <c r="R979" s="44"/>
      <c r="S979" s="44"/>
      <c r="T979" s="44"/>
      <c r="U979" s="44"/>
      <c r="V979" s="44"/>
      <c r="W979" s="44"/>
      <c r="X979" s="44"/>
      <c r="Y979" s="44"/>
      <c r="Z979" s="44"/>
    </row>
    <row r="980">
      <c r="A980" s="44"/>
      <c r="B980" s="45"/>
      <c r="C980" s="44"/>
      <c r="D980" s="44"/>
      <c r="E980" s="44"/>
      <c r="F980" s="44"/>
      <c r="G980" s="46"/>
      <c r="H980" s="44"/>
      <c r="I980" s="44"/>
      <c r="J980" s="44"/>
      <c r="K980" s="44"/>
      <c r="L980" s="46" t="str">
        <f>IFERROR(__xludf.DUMMYFUNCTION("IFERROR(IF(ISBLANK($C980), """", GOOGLEFINANCE($C980, ""price"")), """")"),"")</f>
        <v/>
      </c>
      <c r="M980" s="47" t="str">
        <f t="shared" si="3"/>
        <v/>
      </c>
      <c r="N980" s="47" t="str">
        <f>IFERROR(__xludf.DUMMYFUNCTION("IFERROR(IF(OR(ISBLANK($G980), IFERROR(INDEX(GOOGLEFINANCE($C980, ""price"", WORKDAY(INT($B980), 1)), 2, 2), """")=""""), """", IF($D980=""LONG"", (IFERROR(INDEX(GOOGLEFINANCE($C980, ""price"", WORKDAY(INT($B980), 1)), 2, 2), """")-$G980)/$G980, ($G980-IFE"&amp;"RROR(INDEX(GOOGLEFINANCE($C980, ""price"", WORKDAY(INT($B980), 1)), 2, 2), """"))/$G980)), """")"),"")</f>
        <v/>
      </c>
      <c r="O980" s="47" t="str">
        <f>IFERROR(__xludf.DUMMYFUNCTION("IFERROR(IF(OR(ISBLANK($G980), IFERROR(INDEX(GOOGLEFINANCE($C980, ""price"", WORKDAY(INT($B980), 5)), 2, 2), """")=""""), """", IF($D980=""LONG"", (IFERROR(INDEX(GOOGLEFINANCE($C980, ""price"", WORKDAY(INT($B980), 5)), 2, 2), """")-$G980)/$G980, ($G980-IFE"&amp;"RROR(INDEX(GOOGLEFINANCE($C980, ""price"", WORKDAY(INT($B980), 5)), 2, 2), """"))/$G980)), """")"),"")</f>
        <v/>
      </c>
      <c r="P980" s="47" t="str">
        <f>IFERROR(__xludf.DUMMYFUNCTION("IFERROR(IF(OR(ISBLANK($G980), IFERROR(INDEX(GOOGLEFINANCE($C980, ""price"", WORKDAY(INT($B980), 20)), 2, 2), """")=""""), """", IF($D980=""LONG"", (IFERROR(INDEX(GOOGLEFINANCE($C980, ""price"", WORKDAY(INT($B980), 20)), 2, 2), """")-$G980)/$G980, ($G980-I"&amp;"FERROR(INDEX(GOOGLEFINANCE($C980, ""price"", WORKDAY(INT($B980), 20)), 2, 2), """"))/$G980)), """")"),"")</f>
        <v/>
      </c>
      <c r="Q980" s="44"/>
      <c r="R980" s="44"/>
      <c r="S980" s="44"/>
      <c r="T980" s="44"/>
      <c r="U980" s="44"/>
      <c r="V980" s="44"/>
      <c r="W980" s="44"/>
      <c r="X980" s="44"/>
      <c r="Y980" s="44"/>
      <c r="Z980" s="44"/>
    </row>
    <row r="981">
      <c r="A981" s="44"/>
      <c r="B981" s="45"/>
      <c r="C981" s="44"/>
      <c r="D981" s="44"/>
      <c r="E981" s="44"/>
      <c r="F981" s="44"/>
      <c r="G981" s="46"/>
      <c r="H981" s="44"/>
      <c r="I981" s="44"/>
      <c r="J981" s="44"/>
      <c r="K981" s="44"/>
      <c r="L981" s="46" t="str">
        <f>IFERROR(__xludf.DUMMYFUNCTION("IFERROR(IF(ISBLANK($C981), """", GOOGLEFINANCE($C981, ""price"")), """")"),"")</f>
        <v/>
      </c>
      <c r="M981" s="47" t="str">
        <f t="shared" si="3"/>
        <v/>
      </c>
      <c r="N981" s="47" t="str">
        <f>IFERROR(__xludf.DUMMYFUNCTION("IFERROR(IF(OR(ISBLANK($G981), IFERROR(INDEX(GOOGLEFINANCE($C981, ""price"", WORKDAY(INT($B981), 1)), 2, 2), """")=""""), """", IF($D981=""LONG"", (IFERROR(INDEX(GOOGLEFINANCE($C981, ""price"", WORKDAY(INT($B981), 1)), 2, 2), """")-$G981)/$G981, ($G981-IFE"&amp;"RROR(INDEX(GOOGLEFINANCE($C981, ""price"", WORKDAY(INT($B981), 1)), 2, 2), """"))/$G981)), """")"),"")</f>
        <v/>
      </c>
      <c r="O981" s="47" t="str">
        <f>IFERROR(__xludf.DUMMYFUNCTION("IFERROR(IF(OR(ISBLANK($G981), IFERROR(INDEX(GOOGLEFINANCE($C981, ""price"", WORKDAY(INT($B981), 5)), 2, 2), """")=""""), """", IF($D981=""LONG"", (IFERROR(INDEX(GOOGLEFINANCE($C981, ""price"", WORKDAY(INT($B981), 5)), 2, 2), """")-$G981)/$G981, ($G981-IFE"&amp;"RROR(INDEX(GOOGLEFINANCE($C981, ""price"", WORKDAY(INT($B981), 5)), 2, 2), """"))/$G981)), """")"),"")</f>
        <v/>
      </c>
      <c r="P981" s="47" t="str">
        <f>IFERROR(__xludf.DUMMYFUNCTION("IFERROR(IF(OR(ISBLANK($G981), IFERROR(INDEX(GOOGLEFINANCE($C981, ""price"", WORKDAY(INT($B981), 20)), 2, 2), """")=""""), """", IF($D981=""LONG"", (IFERROR(INDEX(GOOGLEFINANCE($C981, ""price"", WORKDAY(INT($B981), 20)), 2, 2), """")-$G981)/$G981, ($G981-I"&amp;"FERROR(INDEX(GOOGLEFINANCE($C981, ""price"", WORKDAY(INT($B981), 20)), 2, 2), """"))/$G981)), """")"),"")</f>
        <v/>
      </c>
      <c r="Q981" s="44"/>
      <c r="R981" s="44"/>
      <c r="S981" s="44"/>
      <c r="T981" s="44"/>
      <c r="U981" s="44"/>
      <c r="V981" s="44"/>
      <c r="W981" s="44"/>
      <c r="X981" s="44"/>
      <c r="Y981" s="44"/>
      <c r="Z981" s="44"/>
    </row>
    <row r="982">
      <c r="A982" s="44"/>
      <c r="B982" s="45"/>
      <c r="C982" s="44"/>
      <c r="D982" s="44"/>
      <c r="E982" s="44"/>
      <c r="F982" s="44"/>
      <c r="G982" s="46"/>
      <c r="H982" s="44"/>
      <c r="I982" s="44"/>
      <c r="J982" s="44"/>
      <c r="K982" s="44"/>
      <c r="L982" s="46" t="str">
        <f>IFERROR(__xludf.DUMMYFUNCTION("IFERROR(IF(ISBLANK($C982), """", GOOGLEFINANCE($C982, ""price"")), """")"),"")</f>
        <v/>
      </c>
      <c r="M982" s="47" t="str">
        <f t="shared" si="3"/>
        <v/>
      </c>
      <c r="N982" s="47" t="str">
        <f>IFERROR(__xludf.DUMMYFUNCTION("IFERROR(IF(OR(ISBLANK($G982), IFERROR(INDEX(GOOGLEFINANCE($C982, ""price"", WORKDAY(INT($B982), 1)), 2, 2), """")=""""), """", IF($D982=""LONG"", (IFERROR(INDEX(GOOGLEFINANCE($C982, ""price"", WORKDAY(INT($B982), 1)), 2, 2), """")-$G982)/$G982, ($G982-IFE"&amp;"RROR(INDEX(GOOGLEFINANCE($C982, ""price"", WORKDAY(INT($B982), 1)), 2, 2), """"))/$G982)), """")"),"")</f>
        <v/>
      </c>
      <c r="O982" s="47" t="str">
        <f>IFERROR(__xludf.DUMMYFUNCTION("IFERROR(IF(OR(ISBLANK($G982), IFERROR(INDEX(GOOGLEFINANCE($C982, ""price"", WORKDAY(INT($B982), 5)), 2, 2), """")=""""), """", IF($D982=""LONG"", (IFERROR(INDEX(GOOGLEFINANCE($C982, ""price"", WORKDAY(INT($B982), 5)), 2, 2), """")-$G982)/$G982, ($G982-IFE"&amp;"RROR(INDEX(GOOGLEFINANCE($C982, ""price"", WORKDAY(INT($B982), 5)), 2, 2), """"))/$G982)), """")"),"")</f>
        <v/>
      </c>
      <c r="P982" s="47" t="str">
        <f>IFERROR(__xludf.DUMMYFUNCTION("IFERROR(IF(OR(ISBLANK($G982), IFERROR(INDEX(GOOGLEFINANCE($C982, ""price"", WORKDAY(INT($B982), 20)), 2, 2), """")=""""), """", IF($D982=""LONG"", (IFERROR(INDEX(GOOGLEFINANCE($C982, ""price"", WORKDAY(INT($B982), 20)), 2, 2), """")-$G982)/$G982, ($G982-I"&amp;"FERROR(INDEX(GOOGLEFINANCE($C982, ""price"", WORKDAY(INT($B982), 20)), 2, 2), """"))/$G982)), """")"),"")</f>
        <v/>
      </c>
      <c r="Q982" s="44"/>
      <c r="R982" s="44"/>
      <c r="S982" s="44"/>
      <c r="T982" s="44"/>
      <c r="U982" s="44"/>
      <c r="V982" s="44"/>
      <c r="W982" s="44"/>
      <c r="X982" s="44"/>
      <c r="Y982" s="44"/>
      <c r="Z982" s="44"/>
    </row>
    <row r="983">
      <c r="A983" s="44"/>
      <c r="B983" s="45"/>
      <c r="C983" s="44"/>
      <c r="D983" s="44"/>
      <c r="E983" s="44"/>
      <c r="F983" s="44"/>
      <c r="G983" s="46"/>
      <c r="H983" s="44"/>
      <c r="I983" s="44"/>
      <c r="J983" s="44"/>
      <c r="K983" s="44"/>
      <c r="L983" s="46" t="str">
        <f>IFERROR(__xludf.DUMMYFUNCTION("IFERROR(IF(ISBLANK($C983), """", GOOGLEFINANCE($C983, ""price"")), """")"),"")</f>
        <v/>
      </c>
      <c r="M983" s="47" t="str">
        <f t="shared" si="3"/>
        <v/>
      </c>
      <c r="N983" s="47" t="str">
        <f>IFERROR(__xludf.DUMMYFUNCTION("IFERROR(IF(OR(ISBLANK($G983), IFERROR(INDEX(GOOGLEFINANCE($C983, ""price"", WORKDAY(INT($B983), 1)), 2, 2), """")=""""), """", IF($D983=""LONG"", (IFERROR(INDEX(GOOGLEFINANCE($C983, ""price"", WORKDAY(INT($B983), 1)), 2, 2), """")-$G983)/$G983, ($G983-IFE"&amp;"RROR(INDEX(GOOGLEFINANCE($C983, ""price"", WORKDAY(INT($B983), 1)), 2, 2), """"))/$G983)), """")"),"")</f>
        <v/>
      </c>
      <c r="O983" s="47" t="str">
        <f>IFERROR(__xludf.DUMMYFUNCTION("IFERROR(IF(OR(ISBLANK($G983), IFERROR(INDEX(GOOGLEFINANCE($C983, ""price"", WORKDAY(INT($B983), 5)), 2, 2), """")=""""), """", IF($D983=""LONG"", (IFERROR(INDEX(GOOGLEFINANCE($C983, ""price"", WORKDAY(INT($B983), 5)), 2, 2), """")-$G983)/$G983, ($G983-IFE"&amp;"RROR(INDEX(GOOGLEFINANCE($C983, ""price"", WORKDAY(INT($B983), 5)), 2, 2), """"))/$G983)), """")"),"")</f>
        <v/>
      </c>
      <c r="P983" s="47" t="str">
        <f>IFERROR(__xludf.DUMMYFUNCTION("IFERROR(IF(OR(ISBLANK($G983), IFERROR(INDEX(GOOGLEFINANCE($C983, ""price"", WORKDAY(INT($B983), 20)), 2, 2), """")=""""), """", IF($D983=""LONG"", (IFERROR(INDEX(GOOGLEFINANCE($C983, ""price"", WORKDAY(INT($B983), 20)), 2, 2), """")-$G983)/$G983, ($G983-I"&amp;"FERROR(INDEX(GOOGLEFINANCE($C983, ""price"", WORKDAY(INT($B983), 20)), 2, 2), """"))/$G983)), """")"),"")</f>
        <v/>
      </c>
      <c r="Q983" s="44"/>
      <c r="R983" s="44"/>
      <c r="S983" s="44"/>
      <c r="T983" s="44"/>
      <c r="U983" s="44"/>
      <c r="V983" s="44"/>
      <c r="W983" s="44"/>
      <c r="X983" s="44"/>
      <c r="Y983" s="44"/>
      <c r="Z983" s="44"/>
    </row>
    <row r="984">
      <c r="A984" s="44"/>
      <c r="B984" s="45"/>
      <c r="C984" s="44"/>
      <c r="D984" s="44"/>
      <c r="E984" s="44"/>
      <c r="F984" s="44"/>
      <c r="G984" s="46"/>
      <c r="H984" s="44"/>
      <c r="I984" s="44"/>
      <c r="J984" s="44"/>
      <c r="K984" s="44"/>
      <c r="L984" s="46" t="str">
        <f>IFERROR(__xludf.DUMMYFUNCTION("IFERROR(IF(ISBLANK($C984), """", GOOGLEFINANCE($C984, ""price"")), """")"),"")</f>
        <v/>
      </c>
      <c r="M984" s="47" t="str">
        <f t="shared" si="3"/>
        <v/>
      </c>
      <c r="N984" s="47" t="str">
        <f>IFERROR(__xludf.DUMMYFUNCTION("IFERROR(IF(OR(ISBLANK($G984), IFERROR(INDEX(GOOGLEFINANCE($C984, ""price"", WORKDAY(INT($B984), 1)), 2, 2), """")=""""), """", IF($D984=""LONG"", (IFERROR(INDEX(GOOGLEFINANCE($C984, ""price"", WORKDAY(INT($B984), 1)), 2, 2), """")-$G984)/$G984, ($G984-IFE"&amp;"RROR(INDEX(GOOGLEFINANCE($C984, ""price"", WORKDAY(INT($B984), 1)), 2, 2), """"))/$G984)), """")"),"")</f>
        <v/>
      </c>
      <c r="O984" s="47" t="str">
        <f>IFERROR(__xludf.DUMMYFUNCTION("IFERROR(IF(OR(ISBLANK($G984), IFERROR(INDEX(GOOGLEFINANCE($C984, ""price"", WORKDAY(INT($B984), 5)), 2, 2), """")=""""), """", IF($D984=""LONG"", (IFERROR(INDEX(GOOGLEFINANCE($C984, ""price"", WORKDAY(INT($B984), 5)), 2, 2), """")-$G984)/$G984, ($G984-IFE"&amp;"RROR(INDEX(GOOGLEFINANCE($C984, ""price"", WORKDAY(INT($B984), 5)), 2, 2), """"))/$G984)), """")"),"")</f>
        <v/>
      </c>
      <c r="P984" s="47" t="str">
        <f>IFERROR(__xludf.DUMMYFUNCTION("IFERROR(IF(OR(ISBLANK($G984), IFERROR(INDEX(GOOGLEFINANCE($C984, ""price"", WORKDAY(INT($B984), 20)), 2, 2), """")=""""), """", IF($D984=""LONG"", (IFERROR(INDEX(GOOGLEFINANCE($C984, ""price"", WORKDAY(INT($B984), 20)), 2, 2), """")-$G984)/$G984, ($G984-I"&amp;"FERROR(INDEX(GOOGLEFINANCE($C984, ""price"", WORKDAY(INT($B984), 20)), 2, 2), """"))/$G984)), """")"),"")</f>
        <v/>
      </c>
      <c r="Q984" s="44"/>
      <c r="R984" s="44"/>
      <c r="S984" s="44"/>
      <c r="T984" s="44"/>
      <c r="U984" s="44"/>
      <c r="V984" s="44"/>
      <c r="W984" s="44"/>
      <c r="X984" s="44"/>
      <c r="Y984" s="44"/>
      <c r="Z984" s="44"/>
    </row>
    <row r="985">
      <c r="A985" s="44"/>
      <c r="B985" s="45"/>
      <c r="C985" s="44"/>
      <c r="D985" s="44"/>
      <c r="E985" s="44"/>
      <c r="F985" s="44"/>
      <c r="G985" s="46"/>
      <c r="H985" s="44"/>
      <c r="I985" s="44"/>
      <c r="J985" s="44"/>
      <c r="K985" s="44"/>
      <c r="L985" s="46" t="str">
        <f>IFERROR(__xludf.DUMMYFUNCTION("IFERROR(IF(ISBLANK($C985), """", GOOGLEFINANCE($C985, ""price"")), """")"),"")</f>
        <v/>
      </c>
      <c r="M985" s="47" t="str">
        <f t="shared" si="3"/>
        <v/>
      </c>
      <c r="N985" s="47" t="str">
        <f>IFERROR(__xludf.DUMMYFUNCTION("IFERROR(IF(OR(ISBLANK($G985), IFERROR(INDEX(GOOGLEFINANCE($C985, ""price"", WORKDAY(INT($B985), 1)), 2, 2), """")=""""), """", IF($D985=""LONG"", (IFERROR(INDEX(GOOGLEFINANCE($C985, ""price"", WORKDAY(INT($B985), 1)), 2, 2), """")-$G985)/$G985, ($G985-IFE"&amp;"RROR(INDEX(GOOGLEFINANCE($C985, ""price"", WORKDAY(INT($B985), 1)), 2, 2), """"))/$G985)), """")"),"")</f>
        <v/>
      </c>
      <c r="O985" s="47" t="str">
        <f>IFERROR(__xludf.DUMMYFUNCTION("IFERROR(IF(OR(ISBLANK($G985), IFERROR(INDEX(GOOGLEFINANCE($C985, ""price"", WORKDAY(INT($B985), 5)), 2, 2), """")=""""), """", IF($D985=""LONG"", (IFERROR(INDEX(GOOGLEFINANCE($C985, ""price"", WORKDAY(INT($B985), 5)), 2, 2), """")-$G985)/$G985, ($G985-IFE"&amp;"RROR(INDEX(GOOGLEFINANCE($C985, ""price"", WORKDAY(INT($B985), 5)), 2, 2), """"))/$G985)), """")"),"")</f>
        <v/>
      </c>
      <c r="P985" s="47" t="str">
        <f>IFERROR(__xludf.DUMMYFUNCTION("IFERROR(IF(OR(ISBLANK($G985), IFERROR(INDEX(GOOGLEFINANCE($C985, ""price"", WORKDAY(INT($B985), 20)), 2, 2), """")=""""), """", IF($D985=""LONG"", (IFERROR(INDEX(GOOGLEFINANCE($C985, ""price"", WORKDAY(INT($B985), 20)), 2, 2), """")-$G985)/$G985, ($G985-I"&amp;"FERROR(INDEX(GOOGLEFINANCE($C985, ""price"", WORKDAY(INT($B985), 20)), 2, 2), """"))/$G985)), """")"),"")</f>
        <v/>
      </c>
      <c r="Q985" s="44"/>
      <c r="R985" s="44"/>
      <c r="S985" s="44"/>
      <c r="T985" s="44"/>
      <c r="U985" s="44"/>
      <c r="V985" s="44"/>
      <c r="W985" s="44"/>
      <c r="X985" s="44"/>
      <c r="Y985" s="44"/>
      <c r="Z985" s="44"/>
    </row>
    <row r="986">
      <c r="A986" s="44"/>
      <c r="B986" s="45"/>
      <c r="C986" s="44"/>
      <c r="D986" s="44"/>
      <c r="E986" s="44"/>
      <c r="F986" s="44"/>
      <c r="G986" s="46"/>
      <c r="H986" s="44"/>
      <c r="I986" s="44"/>
      <c r="J986" s="44"/>
      <c r="K986" s="44"/>
      <c r="L986" s="46" t="str">
        <f>IFERROR(__xludf.DUMMYFUNCTION("IFERROR(IF(ISBLANK($C986), """", GOOGLEFINANCE($C986, ""price"")), """")"),"")</f>
        <v/>
      </c>
      <c r="M986" s="47" t="str">
        <f t="shared" si="3"/>
        <v/>
      </c>
      <c r="N986" s="47" t="str">
        <f>IFERROR(__xludf.DUMMYFUNCTION("IFERROR(IF(OR(ISBLANK($G986), IFERROR(INDEX(GOOGLEFINANCE($C986, ""price"", WORKDAY(INT($B986), 1)), 2, 2), """")=""""), """", IF($D986=""LONG"", (IFERROR(INDEX(GOOGLEFINANCE($C986, ""price"", WORKDAY(INT($B986), 1)), 2, 2), """")-$G986)/$G986, ($G986-IFE"&amp;"RROR(INDEX(GOOGLEFINANCE($C986, ""price"", WORKDAY(INT($B986), 1)), 2, 2), """"))/$G986)), """")"),"")</f>
        <v/>
      </c>
      <c r="O986" s="47" t="str">
        <f>IFERROR(__xludf.DUMMYFUNCTION("IFERROR(IF(OR(ISBLANK($G986), IFERROR(INDEX(GOOGLEFINANCE($C986, ""price"", WORKDAY(INT($B986), 5)), 2, 2), """")=""""), """", IF($D986=""LONG"", (IFERROR(INDEX(GOOGLEFINANCE($C986, ""price"", WORKDAY(INT($B986), 5)), 2, 2), """")-$G986)/$G986, ($G986-IFE"&amp;"RROR(INDEX(GOOGLEFINANCE($C986, ""price"", WORKDAY(INT($B986), 5)), 2, 2), """"))/$G986)), """")"),"")</f>
        <v/>
      </c>
      <c r="P986" s="47" t="str">
        <f>IFERROR(__xludf.DUMMYFUNCTION("IFERROR(IF(OR(ISBLANK($G986), IFERROR(INDEX(GOOGLEFINANCE($C986, ""price"", WORKDAY(INT($B986), 20)), 2, 2), """")=""""), """", IF($D986=""LONG"", (IFERROR(INDEX(GOOGLEFINANCE($C986, ""price"", WORKDAY(INT($B986), 20)), 2, 2), """")-$G986)/$G986, ($G986-I"&amp;"FERROR(INDEX(GOOGLEFINANCE($C986, ""price"", WORKDAY(INT($B986), 20)), 2, 2), """"))/$G986)), """")"),"")</f>
        <v/>
      </c>
      <c r="Q986" s="44"/>
      <c r="R986" s="44"/>
      <c r="S986" s="44"/>
      <c r="T986" s="44"/>
      <c r="U986" s="44"/>
      <c r="V986" s="44"/>
      <c r="W986" s="44"/>
      <c r="X986" s="44"/>
      <c r="Y986" s="44"/>
      <c r="Z986" s="44"/>
    </row>
    <row r="987">
      <c r="A987" s="44"/>
      <c r="B987" s="45"/>
      <c r="C987" s="44"/>
      <c r="D987" s="44"/>
      <c r="E987" s="44"/>
      <c r="F987" s="44"/>
      <c r="G987" s="46"/>
      <c r="H987" s="44"/>
      <c r="I987" s="44"/>
      <c r="J987" s="44"/>
      <c r="K987" s="44"/>
      <c r="L987" s="46" t="str">
        <f>IFERROR(__xludf.DUMMYFUNCTION("IFERROR(IF(ISBLANK($C987), """", GOOGLEFINANCE($C987, ""price"")), """")"),"")</f>
        <v/>
      </c>
      <c r="M987" s="47" t="str">
        <f t="shared" si="3"/>
        <v/>
      </c>
      <c r="N987" s="47" t="str">
        <f>IFERROR(__xludf.DUMMYFUNCTION("IFERROR(IF(OR(ISBLANK($G987), IFERROR(INDEX(GOOGLEFINANCE($C987, ""price"", WORKDAY(INT($B987), 1)), 2, 2), """")=""""), """", IF($D987=""LONG"", (IFERROR(INDEX(GOOGLEFINANCE($C987, ""price"", WORKDAY(INT($B987), 1)), 2, 2), """")-$G987)/$G987, ($G987-IFE"&amp;"RROR(INDEX(GOOGLEFINANCE($C987, ""price"", WORKDAY(INT($B987), 1)), 2, 2), """"))/$G987)), """")"),"")</f>
        <v/>
      </c>
      <c r="O987" s="47" t="str">
        <f>IFERROR(__xludf.DUMMYFUNCTION("IFERROR(IF(OR(ISBLANK($G987), IFERROR(INDEX(GOOGLEFINANCE($C987, ""price"", WORKDAY(INT($B987), 5)), 2, 2), """")=""""), """", IF($D987=""LONG"", (IFERROR(INDEX(GOOGLEFINANCE($C987, ""price"", WORKDAY(INT($B987), 5)), 2, 2), """")-$G987)/$G987, ($G987-IFE"&amp;"RROR(INDEX(GOOGLEFINANCE($C987, ""price"", WORKDAY(INT($B987), 5)), 2, 2), """"))/$G987)), """")"),"")</f>
        <v/>
      </c>
      <c r="P987" s="47" t="str">
        <f>IFERROR(__xludf.DUMMYFUNCTION("IFERROR(IF(OR(ISBLANK($G987), IFERROR(INDEX(GOOGLEFINANCE($C987, ""price"", WORKDAY(INT($B987), 20)), 2, 2), """")=""""), """", IF($D987=""LONG"", (IFERROR(INDEX(GOOGLEFINANCE($C987, ""price"", WORKDAY(INT($B987), 20)), 2, 2), """")-$G987)/$G987, ($G987-I"&amp;"FERROR(INDEX(GOOGLEFINANCE($C987, ""price"", WORKDAY(INT($B987), 20)), 2, 2), """"))/$G987)), """")"),"")</f>
        <v/>
      </c>
      <c r="Q987" s="44"/>
      <c r="R987" s="44"/>
      <c r="S987" s="44"/>
      <c r="T987" s="44"/>
      <c r="U987" s="44"/>
      <c r="V987" s="44"/>
      <c r="W987" s="44"/>
      <c r="X987" s="44"/>
      <c r="Y987" s="44"/>
      <c r="Z987" s="44"/>
    </row>
    <row r="988">
      <c r="A988" s="44"/>
      <c r="B988" s="45"/>
      <c r="C988" s="44"/>
      <c r="D988" s="44"/>
      <c r="E988" s="44"/>
      <c r="F988" s="44"/>
      <c r="G988" s="46"/>
      <c r="H988" s="44"/>
      <c r="I988" s="44"/>
      <c r="J988" s="44"/>
      <c r="K988" s="44"/>
      <c r="L988" s="46" t="str">
        <f>IFERROR(__xludf.DUMMYFUNCTION("IFERROR(IF(ISBLANK($C988), """", GOOGLEFINANCE($C988, ""price"")), """")"),"")</f>
        <v/>
      </c>
      <c r="M988" s="47" t="str">
        <f t="shared" si="3"/>
        <v/>
      </c>
      <c r="N988" s="47" t="str">
        <f>IFERROR(__xludf.DUMMYFUNCTION("IFERROR(IF(OR(ISBLANK($G988), IFERROR(INDEX(GOOGLEFINANCE($C988, ""price"", WORKDAY(INT($B988), 1)), 2, 2), """")=""""), """", IF($D988=""LONG"", (IFERROR(INDEX(GOOGLEFINANCE($C988, ""price"", WORKDAY(INT($B988), 1)), 2, 2), """")-$G988)/$G988, ($G988-IFE"&amp;"RROR(INDEX(GOOGLEFINANCE($C988, ""price"", WORKDAY(INT($B988), 1)), 2, 2), """"))/$G988)), """")"),"")</f>
        <v/>
      </c>
      <c r="O988" s="47" t="str">
        <f>IFERROR(__xludf.DUMMYFUNCTION("IFERROR(IF(OR(ISBLANK($G988), IFERROR(INDEX(GOOGLEFINANCE($C988, ""price"", WORKDAY(INT($B988), 5)), 2, 2), """")=""""), """", IF($D988=""LONG"", (IFERROR(INDEX(GOOGLEFINANCE($C988, ""price"", WORKDAY(INT($B988), 5)), 2, 2), """")-$G988)/$G988, ($G988-IFE"&amp;"RROR(INDEX(GOOGLEFINANCE($C988, ""price"", WORKDAY(INT($B988), 5)), 2, 2), """"))/$G988)), """")"),"")</f>
        <v/>
      </c>
      <c r="P988" s="47" t="str">
        <f>IFERROR(__xludf.DUMMYFUNCTION("IFERROR(IF(OR(ISBLANK($G988), IFERROR(INDEX(GOOGLEFINANCE($C988, ""price"", WORKDAY(INT($B988), 20)), 2, 2), """")=""""), """", IF($D988=""LONG"", (IFERROR(INDEX(GOOGLEFINANCE($C988, ""price"", WORKDAY(INT($B988), 20)), 2, 2), """")-$G988)/$G988, ($G988-I"&amp;"FERROR(INDEX(GOOGLEFINANCE($C988, ""price"", WORKDAY(INT($B988), 20)), 2, 2), """"))/$G988)), """")"),"")</f>
        <v/>
      </c>
      <c r="Q988" s="44"/>
      <c r="R988" s="44"/>
      <c r="S988" s="44"/>
      <c r="T988" s="44"/>
      <c r="U988" s="44"/>
      <c r="V988" s="44"/>
      <c r="W988" s="44"/>
      <c r="X988" s="44"/>
      <c r="Y988" s="44"/>
      <c r="Z988" s="44"/>
    </row>
    <row r="989">
      <c r="A989" s="44"/>
      <c r="B989" s="45"/>
      <c r="C989" s="44"/>
      <c r="D989" s="44"/>
      <c r="E989" s="44"/>
      <c r="F989" s="44"/>
      <c r="G989" s="46"/>
      <c r="H989" s="44"/>
      <c r="I989" s="44"/>
      <c r="J989" s="44"/>
      <c r="K989" s="44"/>
      <c r="L989" s="46" t="str">
        <f>IFERROR(__xludf.DUMMYFUNCTION("IFERROR(IF(ISBLANK($C989), """", GOOGLEFINANCE($C989, ""price"")), """")"),"")</f>
        <v/>
      </c>
      <c r="M989" s="47" t="str">
        <f t="shared" si="3"/>
        <v/>
      </c>
      <c r="N989" s="47" t="str">
        <f>IFERROR(__xludf.DUMMYFUNCTION("IFERROR(IF(OR(ISBLANK($G989), IFERROR(INDEX(GOOGLEFINANCE($C989, ""price"", WORKDAY(INT($B989), 1)), 2, 2), """")=""""), """", IF($D989=""LONG"", (IFERROR(INDEX(GOOGLEFINANCE($C989, ""price"", WORKDAY(INT($B989), 1)), 2, 2), """")-$G989)/$G989, ($G989-IFE"&amp;"RROR(INDEX(GOOGLEFINANCE($C989, ""price"", WORKDAY(INT($B989), 1)), 2, 2), """"))/$G989)), """")"),"")</f>
        <v/>
      </c>
      <c r="O989" s="47" t="str">
        <f>IFERROR(__xludf.DUMMYFUNCTION("IFERROR(IF(OR(ISBLANK($G989), IFERROR(INDEX(GOOGLEFINANCE($C989, ""price"", WORKDAY(INT($B989), 5)), 2, 2), """")=""""), """", IF($D989=""LONG"", (IFERROR(INDEX(GOOGLEFINANCE($C989, ""price"", WORKDAY(INT($B989), 5)), 2, 2), """")-$G989)/$G989, ($G989-IFE"&amp;"RROR(INDEX(GOOGLEFINANCE($C989, ""price"", WORKDAY(INT($B989), 5)), 2, 2), """"))/$G989)), """")"),"")</f>
        <v/>
      </c>
      <c r="P989" s="47" t="str">
        <f>IFERROR(__xludf.DUMMYFUNCTION("IFERROR(IF(OR(ISBLANK($G989), IFERROR(INDEX(GOOGLEFINANCE($C989, ""price"", WORKDAY(INT($B989), 20)), 2, 2), """")=""""), """", IF($D989=""LONG"", (IFERROR(INDEX(GOOGLEFINANCE($C989, ""price"", WORKDAY(INT($B989), 20)), 2, 2), """")-$G989)/$G989, ($G989-I"&amp;"FERROR(INDEX(GOOGLEFINANCE($C989, ""price"", WORKDAY(INT($B989), 20)), 2, 2), """"))/$G989)), """")"),"")</f>
        <v/>
      </c>
      <c r="Q989" s="44"/>
      <c r="R989" s="44"/>
      <c r="S989" s="44"/>
      <c r="T989" s="44"/>
      <c r="U989" s="44"/>
      <c r="V989" s="44"/>
      <c r="W989" s="44"/>
      <c r="X989" s="44"/>
      <c r="Y989" s="44"/>
      <c r="Z989" s="44"/>
    </row>
    <row r="990">
      <c r="A990" s="44"/>
      <c r="B990" s="45"/>
      <c r="C990" s="44"/>
      <c r="D990" s="44"/>
      <c r="E990" s="44"/>
      <c r="F990" s="44"/>
      <c r="G990" s="46"/>
      <c r="H990" s="44"/>
      <c r="I990" s="44"/>
      <c r="J990" s="44"/>
      <c r="K990" s="44"/>
      <c r="L990" s="46" t="str">
        <f>IFERROR(__xludf.DUMMYFUNCTION("IFERROR(IF(ISBLANK($C990), """", GOOGLEFINANCE($C990, ""price"")), """")"),"")</f>
        <v/>
      </c>
      <c r="M990" s="47" t="str">
        <f t="shared" si="3"/>
        <v/>
      </c>
      <c r="N990" s="47" t="str">
        <f>IFERROR(__xludf.DUMMYFUNCTION("IFERROR(IF(OR(ISBLANK($G990), IFERROR(INDEX(GOOGLEFINANCE($C990, ""price"", WORKDAY(INT($B990), 1)), 2, 2), """")=""""), """", IF($D990=""LONG"", (IFERROR(INDEX(GOOGLEFINANCE($C990, ""price"", WORKDAY(INT($B990), 1)), 2, 2), """")-$G990)/$G990, ($G990-IFE"&amp;"RROR(INDEX(GOOGLEFINANCE($C990, ""price"", WORKDAY(INT($B990), 1)), 2, 2), """"))/$G990)), """")"),"")</f>
        <v/>
      </c>
      <c r="O990" s="47" t="str">
        <f>IFERROR(__xludf.DUMMYFUNCTION("IFERROR(IF(OR(ISBLANK($G990), IFERROR(INDEX(GOOGLEFINANCE($C990, ""price"", WORKDAY(INT($B990), 5)), 2, 2), """")=""""), """", IF($D990=""LONG"", (IFERROR(INDEX(GOOGLEFINANCE($C990, ""price"", WORKDAY(INT($B990), 5)), 2, 2), """")-$G990)/$G990, ($G990-IFE"&amp;"RROR(INDEX(GOOGLEFINANCE($C990, ""price"", WORKDAY(INT($B990), 5)), 2, 2), """"))/$G990)), """")"),"")</f>
        <v/>
      </c>
      <c r="P990" s="47" t="str">
        <f>IFERROR(__xludf.DUMMYFUNCTION("IFERROR(IF(OR(ISBLANK($G990), IFERROR(INDEX(GOOGLEFINANCE($C990, ""price"", WORKDAY(INT($B990), 20)), 2, 2), """")=""""), """", IF($D990=""LONG"", (IFERROR(INDEX(GOOGLEFINANCE($C990, ""price"", WORKDAY(INT($B990), 20)), 2, 2), """")-$G990)/$G990, ($G990-I"&amp;"FERROR(INDEX(GOOGLEFINANCE($C990, ""price"", WORKDAY(INT($B990), 20)), 2, 2), """"))/$G990)), """")"),"")</f>
        <v/>
      </c>
      <c r="Q990" s="44"/>
      <c r="R990" s="44"/>
      <c r="S990" s="44"/>
      <c r="T990" s="44"/>
      <c r="U990" s="44"/>
      <c r="V990" s="44"/>
      <c r="W990" s="44"/>
      <c r="X990" s="44"/>
      <c r="Y990" s="44"/>
      <c r="Z990" s="44"/>
    </row>
    <row r="991">
      <c r="A991" s="44"/>
      <c r="B991" s="45"/>
      <c r="C991" s="44"/>
      <c r="D991" s="44"/>
      <c r="E991" s="44"/>
      <c r="F991" s="44"/>
      <c r="G991" s="46"/>
      <c r="H991" s="44"/>
      <c r="I991" s="44"/>
      <c r="J991" s="44"/>
      <c r="K991" s="44"/>
      <c r="L991" s="46" t="str">
        <f>IFERROR(__xludf.DUMMYFUNCTION("IFERROR(IF(ISBLANK($C991), """", GOOGLEFINANCE($C991, ""price"")), """")"),"")</f>
        <v/>
      </c>
      <c r="M991" s="47" t="str">
        <f t="shared" si="3"/>
        <v/>
      </c>
      <c r="N991" s="47" t="str">
        <f>IFERROR(__xludf.DUMMYFUNCTION("IFERROR(IF(OR(ISBLANK($G991), IFERROR(INDEX(GOOGLEFINANCE($C991, ""price"", WORKDAY(INT($B991), 1)), 2, 2), """")=""""), """", IF($D991=""LONG"", (IFERROR(INDEX(GOOGLEFINANCE($C991, ""price"", WORKDAY(INT($B991), 1)), 2, 2), """")-$G991)/$G991, ($G991-IFE"&amp;"RROR(INDEX(GOOGLEFINANCE($C991, ""price"", WORKDAY(INT($B991), 1)), 2, 2), """"))/$G991)), """")"),"")</f>
        <v/>
      </c>
      <c r="O991" s="47" t="str">
        <f>IFERROR(__xludf.DUMMYFUNCTION("IFERROR(IF(OR(ISBLANK($G991), IFERROR(INDEX(GOOGLEFINANCE($C991, ""price"", WORKDAY(INT($B991), 5)), 2, 2), """")=""""), """", IF($D991=""LONG"", (IFERROR(INDEX(GOOGLEFINANCE($C991, ""price"", WORKDAY(INT($B991), 5)), 2, 2), """")-$G991)/$G991, ($G991-IFE"&amp;"RROR(INDEX(GOOGLEFINANCE($C991, ""price"", WORKDAY(INT($B991), 5)), 2, 2), """"))/$G991)), """")"),"")</f>
        <v/>
      </c>
      <c r="P991" s="47" t="str">
        <f>IFERROR(__xludf.DUMMYFUNCTION("IFERROR(IF(OR(ISBLANK($G991), IFERROR(INDEX(GOOGLEFINANCE($C991, ""price"", WORKDAY(INT($B991), 20)), 2, 2), """")=""""), """", IF($D991=""LONG"", (IFERROR(INDEX(GOOGLEFINANCE($C991, ""price"", WORKDAY(INT($B991), 20)), 2, 2), """")-$G991)/$G991, ($G991-I"&amp;"FERROR(INDEX(GOOGLEFINANCE($C991, ""price"", WORKDAY(INT($B991), 20)), 2, 2), """"))/$G991)), """")"),"")</f>
        <v/>
      </c>
      <c r="Q991" s="44"/>
      <c r="R991" s="44"/>
      <c r="S991" s="44"/>
      <c r="T991" s="44"/>
      <c r="U991" s="44"/>
      <c r="V991" s="44"/>
      <c r="W991" s="44"/>
      <c r="X991" s="44"/>
      <c r="Y991" s="44"/>
      <c r="Z991" s="44"/>
    </row>
    <row r="992">
      <c r="A992" s="44"/>
      <c r="B992" s="45"/>
      <c r="C992" s="44"/>
      <c r="D992" s="44"/>
      <c r="E992" s="44"/>
      <c r="F992" s="44"/>
      <c r="G992" s="46"/>
      <c r="H992" s="44"/>
      <c r="I992" s="44"/>
      <c r="J992" s="44"/>
      <c r="K992" s="44"/>
      <c r="L992" s="46" t="str">
        <f>IFERROR(__xludf.DUMMYFUNCTION("IFERROR(IF(ISBLANK($C992), """", GOOGLEFINANCE($C992, ""price"")), """")"),"")</f>
        <v/>
      </c>
      <c r="M992" s="47" t="str">
        <f t="shared" si="3"/>
        <v/>
      </c>
      <c r="N992" s="47" t="str">
        <f>IFERROR(__xludf.DUMMYFUNCTION("IFERROR(IF(OR(ISBLANK($G992), IFERROR(INDEX(GOOGLEFINANCE($C992, ""price"", WORKDAY(INT($B992), 1)), 2, 2), """")=""""), """", IF($D992=""LONG"", (IFERROR(INDEX(GOOGLEFINANCE($C992, ""price"", WORKDAY(INT($B992), 1)), 2, 2), """")-$G992)/$G992, ($G992-IFE"&amp;"RROR(INDEX(GOOGLEFINANCE($C992, ""price"", WORKDAY(INT($B992), 1)), 2, 2), """"))/$G992)), """")"),"")</f>
        <v/>
      </c>
      <c r="O992" s="47" t="str">
        <f>IFERROR(__xludf.DUMMYFUNCTION("IFERROR(IF(OR(ISBLANK($G992), IFERROR(INDEX(GOOGLEFINANCE($C992, ""price"", WORKDAY(INT($B992), 5)), 2, 2), """")=""""), """", IF($D992=""LONG"", (IFERROR(INDEX(GOOGLEFINANCE($C992, ""price"", WORKDAY(INT($B992), 5)), 2, 2), """")-$G992)/$G992, ($G992-IFE"&amp;"RROR(INDEX(GOOGLEFINANCE($C992, ""price"", WORKDAY(INT($B992), 5)), 2, 2), """"))/$G992)), """")"),"")</f>
        <v/>
      </c>
      <c r="P992" s="47" t="str">
        <f>IFERROR(__xludf.DUMMYFUNCTION("IFERROR(IF(OR(ISBLANK($G992), IFERROR(INDEX(GOOGLEFINANCE($C992, ""price"", WORKDAY(INT($B992), 20)), 2, 2), """")=""""), """", IF($D992=""LONG"", (IFERROR(INDEX(GOOGLEFINANCE($C992, ""price"", WORKDAY(INT($B992), 20)), 2, 2), """")-$G992)/$G992, ($G992-I"&amp;"FERROR(INDEX(GOOGLEFINANCE($C992, ""price"", WORKDAY(INT($B992), 20)), 2, 2), """"))/$G992)), """")"),"")</f>
        <v/>
      </c>
      <c r="Q992" s="44"/>
      <c r="R992" s="44"/>
      <c r="S992" s="44"/>
      <c r="T992" s="44"/>
      <c r="U992" s="44"/>
      <c r="V992" s="44"/>
      <c r="W992" s="44"/>
      <c r="X992" s="44"/>
      <c r="Y992" s="44"/>
      <c r="Z992" s="44"/>
    </row>
    <row r="993">
      <c r="A993" s="44"/>
      <c r="B993" s="45"/>
      <c r="C993" s="44"/>
      <c r="D993" s="44"/>
      <c r="E993" s="44"/>
      <c r="F993" s="44"/>
      <c r="G993" s="46"/>
      <c r="H993" s="44"/>
      <c r="I993" s="44"/>
      <c r="J993" s="44"/>
      <c r="K993" s="44"/>
      <c r="L993" s="46" t="str">
        <f>IFERROR(__xludf.DUMMYFUNCTION("IFERROR(IF(ISBLANK($C993), """", GOOGLEFINANCE($C993, ""price"")), """")"),"")</f>
        <v/>
      </c>
      <c r="M993" s="47" t="str">
        <f t="shared" si="3"/>
        <v/>
      </c>
      <c r="N993" s="47" t="str">
        <f>IFERROR(__xludf.DUMMYFUNCTION("IFERROR(IF(OR(ISBLANK($G993), IFERROR(INDEX(GOOGLEFINANCE($C993, ""price"", WORKDAY(INT($B993), 1)), 2, 2), """")=""""), """", IF($D993=""LONG"", (IFERROR(INDEX(GOOGLEFINANCE($C993, ""price"", WORKDAY(INT($B993), 1)), 2, 2), """")-$G993)/$G993, ($G993-IFE"&amp;"RROR(INDEX(GOOGLEFINANCE($C993, ""price"", WORKDAY(INT($B993), 1)), 2, 2), """"))/$G993)), """")"),"")</f>
        <v/>
      </c>
      <c r="O993" s="47" t="str">
        <f>IFERROR(__xludf.DUMMYFUNCTION("IFERROR(IF(OR(ISBLANK($G993), IFERROR(INDEX(GOOGLEFINANCE($C993, ""price"", WORKDAY(INT($B993), 5)), 2, 2), """")=""""), """", IF($D993=""LONG"", (IFERROR(INDEX(GOOGLEFINANCE($C993, ""price"", WORKDAY(INT($B993), 5)), 2, 2), """")-$G993)/$G993, ($G993-IFE"&amp;"RROR(INDEX(GOOGLEFINANCE($C993, ""price"", WORKDAY(INT($B993), 5)), 2, 2), """"))/$G993)), """")"),"")</f>
        <v/>
      </c>
      <c r="P993" s="47" t="str">
        <f>IFERROR(__xludf.DUMMYFUNCTION("IFERROR(IF(OR(ISBLANK($G993), IFERROR(INDEX(GOOGLEFINANCE($C993, ""price"", WORKDAY(INT($B993), 20)), 2, 2), """")=""""), """", IF($D993=""LONG"", (IFERROR(INDEX(GOOGLEFINANCE($C993, ""price"", WORKDAY(INT($B993), 20)), 2, 2), """")-$G993)/$G993, ($G993-I"&amp;"FERROR(INDEX(GOOGLEFINANCE($C993, ""price"", WORKDAY(INT($B993), 20)), 2, 2), """"))/$G993)), """")"),"")</f>
        <v/>
      </c>
      <c r="Q993" s="44"/>
      <c r="R993" s="44"/>
      <c r="S993" s="44"/>
      <c r="T993" s="44"/>
      <c r="U993" s="44"/>
      <c r="V993" s="44"/>
      <c r="W993" s="44"/>
      <c r="X993" s="44"/>
      <c r="Y993" s="44"/>
      <c r="Z993" s="44"/>
    </row>
    <row r="994">
      <c r="A994" s="44"/>
      <c r="B994" s="45"/>
      <c r="C994" s="44"/>
      <c r="D994" s="44"/>
      <c r="E994" s="44"/>
      <c r="F994" s="44"/>
      <c r="G994" s="46"/>
      <c r="H994" s="44"/>
      <c r="I994" s="44"/>
      <c r="J994" s="44"/>
      <c r="K994" s="44"/>
      <c r="L994" s="46" t="str">
        <f>IFERROR(__xludf.DUMMYFUNCTION("IFERROR(IF(ISBLANK($C994), """", GOOGLEFINANCE($C994, ""price"")), """")"),"")</f>
        <v/>
      </c>
      <c r="M994" s="47" t="str">
        <f t="shared" si="3"/>
        <v/>
      </c>
      <c r="N994" s="47" t="str">
        <f>IFERROR(__xludf.DUMMYFUNCTION("IFERROR(IF(OR(ISBLANK($G994), IFERROR(INDEX(GOOGLEFINANCE($C994, ""price"", WORKDAY(INT($B994), 1)), 2, 2), """")=""""), """", IF($D994=""LONG"", (IFERROR(INDEX(GOOGLEFINANCE($C994, ""price"", WORKDAY(INT($B994), 1)), 2, 2), """")-$G994)/$G994, ($G994-IFE"&amp;"RROR(INDEX(GOOGLEFINANCE($C994, ""price"", WORKDAY(INT($B994), 1)), 2, 2), """"))/$G994)), """")"),"")</f>
        <v/>
      </c>
      <c r="O994" s="47" t="str">
        <f>IFERROR(__xludf.DUMMYFUNCTION("IFERROR(IF(OR(ISBLANK($G994), IFERROR(INDEX(GOOGLEFINANCE($C994, ""price"", WORKDAY(INT($B994), 5)), 2, 2), """")=""""), """", IF($D994=""LONG"", (IFERROR(INDEX(GOOGLEFINANCE($C994, ""price"", WORKDAY(INT($B994), 5)), 2, 2), """")-$G994)/$G994, ($G994-IFE"&amp;"RROR(INDEX(GOOGLEFINANCE($C994, ""price"", WORKDAY(INT($B994), 5)), 2, 2), """"))/$G994)), """")"),"")</f>
        <v/>
      </c>
      <c r="P994" s="47" t="str">
        <f>IFERROR(__xludf.DUMMYFUNCTION("IFERROR(IF(OR(ISBLANK($G994), IFERROR(INDEX(GOOGLEFINANCE($C994, ""price"", WORKDAY(INT($B994), 20)), 2, 2), """")=""""), """", IF($D994=""LONG"", (IFERROR(INDEX(GOOGLEFINANCE($C994, ""price"", WORKDAY(INT($B994), 20)), 2, 2), """")-$G994)/$G994, ($G994-I"&amp;"FERROR(INDEX(GOOGLEFINANCE($C994, ""price"", WORKDAY(INT($B994), 20)), 2, 2), """"))/$G994)), """")"),"")</f>
        <v/>
      </c>
      <c r="Q994" s="44"/>
      <c r="R994" s="44"/>
      <c r="S994" s="44"/>
      <c r="T994" s="44"/>
      <c r="U994" s="44"/>
      <c r="V994" s="44"/>
      <c r="W994" s="44"/>
      <c r="X994" s="44"/>
      <c r="Y994" s="44"/>
      <c r="Z994" s="44"/>
    </row>
    <row r="995">
      <c r="A995" s="44"/>
      <c r="B995" s="45"/>
      <c r="C995" s="44"/>
      <c r="D995" s="44"/>
      <c r="E995" s="44"/>
      <c r="F995" s="44"/>
      <c r="G995" s="46"/>
      <c r="H995" s="44"/>
      <c r="I995" s="44"/>
      <c r="J995" s="44"/>
      <c r="K995" s="44"/>
      <c r="L995" s="46" t="str">
        <f>IFERROR(__xludf.DUMMYFUNCTION("IFERROR(IF(ISBLANK($C995), """", GOOGLEFINANCE($C995, ""price"")), """")"),"")</f>
        <v/>
      </c>
      <c r="M995" s="47" t="str">
        <f t="shared" si="3"/>
        <v/>
      </c>
      <c r="N995" s="47" t="str">
        <f>IFERROR(__xludf.DUMMYFUNCTION("IFERROR(IF(OR(ISBLANK($G995), IFERROR(INDEX(GOOGLEFINANCE($C995, ""price"", WORKDAY(INT($B995), 1)), 2, 2), """")=""""), """", IF($D995=""LONG"", (IFERROR(INDEX(GOOGLEFINANCE($C995, ""price"", WORKDAY(INT($B995), 1)), 2, 2), """")-$G995)/$G995, ($G995-IFE"&amp;"RROR(INDEX(GOOGLEFINANCE($C995, ""price"", WORKDAY(INT($B995), 1)), 2, 2), """"))/$G995)), """")"),"")</f>
        <v/>
      </c>
      <c r="O995" s="47" t="str">
        <f>IFERROR(__xludf.DUMMYFUNCTION("IFERROR(IF(OR(ISBLANK($G995), IFERROR(INDEX(GOOGLEFINANCE($C995, ""price"", WORKDAY(INT($B995), 5)), 2, 2), """")=""""), """", IF($D995=""LONG"", (IFERROR(INDEX(GOOGLEFINANCE($C995, ""price"", WORKDAY(INT($B995), 5)), 2, 2), """")-$G995)/$G995, ($G995-IFE"&amp;"RROR(INDEX(GOOGLEFINANCE($C995, ""price"", WORKDAY(INT($B995), 5)), 2, 2), """"))/$G995)), """")"),"")</f>
        <v/>
      </c>
      <c r="P995" s="47" t="str">
        <f>IFERROR(__xludf.DUMMYFUNCTION("IFERROR(IF(OR(ISBLANK($G995), IFERROR(INDEX(GOOGLEFINANCE($C995, ""price"", WORKDAY(INT($B995), 20)), 2, 2), """")=""""), """", IF($D995=""LONG"", (IFERROR(INDEX(GOOGLEFINANCE($C995, ""price"", WORKDAY(INT($B995), 20)), 2, 2), """")-$G995)/$G995, ($G995-I"&amp;"FERROR(INDEX(GOOGLEFINANCE($C995, ""price"", WORKDAY(INT($B995), 20)), 2, 2), """"))/$G995)), """")"),"")</f>
        <v/>
      </c>
      <c r="Q995" s="44"/>
      <c r="R995" s="44"/>
      <c r="S995" s="44"/>
      <c r="T995" s="44"/>
      <c r="U995" s="44"/>
      <c r="V995" s="44"/>
      <c r="W995" s="44"/>
      <c r="X995" s="44"/>
      <c r="Y995" s="44"/>
      <c r="Z995" s="44"/>
    </row>
    <row r="996">
      <c r="A996" s="44"/>
      <c r="B996" s="45"/>
      <c r="C996" s="44"/>
      <c r="D996" s="44"/>
      <c r="E996" s="44"/>
      <c r="F996" s="44"/>
      <c r="G996" s="46"/>
      <c r="H996" s="44"/>
      <c r="I996" s="44"/>
      <c r="J996" s="44"/>
      <c r="K996" s="44"/>
      <c r="L996" s="46" t="str">
        <f>IFERROR(__xludf.DUMMYFUNCTION("IFERROR(IF(ISBLANK($C996), """", GOOGLEFINANCE($C996, ""price"")), """")"),"")</f>
        <v/>
      </c>
      <c r="M996" s="47" t="str">
        <f t="shared" si="3"/>
        <v/>
      </c>
      <c r="N996" s="47" t="str">
        <f>IFERROR(__xludf.DUMMYFUNCTION("IFERROR(IF(OR(ISBLANK($G996), IFERROR(INDEX(GOOGLEFINANCE($C996, ""price"", WORKDAY(INT($B996), 1)), 2, 2), """")=""""), """", IF($D996=""LONG"", (IFERROR(INDEX(GOOGLEFINANCE($C996, ""price"", WORKDAY(INT($B996), 1)), 2, 2), """")-$G996)/$G996, ($G996-IFE"&amp;"RROR(INDEX(GOOGLEFINANCE($C996, ""price"", WORKDAY(INT($B996), 1)), 2, 2), """"))/$G996)), """")"),"")</f>
        <v/>
      </c>
      <c r="O996" s="47" t="str">
        <f>IFERROR(__xludf.DUMMYFUNCTION("IFERROR(IF(OR(ISBLANK($G996), IFERROR(INDEX(GOOGLEFINANCE($C996, ""price"", WORKDAY(INT($B996), 5)), 2, 2), """")=""""), """", IF($D996=""LONG"", (IFERROR(INDEX(GOOGLEFINANCE($C996, ""price"", WORKDAY(INT($B996), 5)), 2, 2), """")-$G996)/$G996, ($G996-IFE"&amp;"RROR(INDEX(GOOGLEFINANCE($C996, ""price"", WORKDAY(INT($B996), 5)), 2, 2), """"))/$G996)), """")"),"")</f>
        <v/>
      </c>
      <c r="P996" s="47" t="str">
        <f>IFERROR(__xludf.DUMMYFUNCTION("IFERROR(IF(OR(ISBLANK($G996), IFERROR(INDEX(GOOGLEFINANCE($C996, ""price"", WORKDAY(INT($B996), 20)), 2, 2), """")=""""), """", IF($D996=""LONG"", (IFERROR(INDEX(GOOGLEFINANCE($C996, ""price"", WORKDAY(INT($B996), 20)), 2, 2), """")-$G996)/$G996, ($G996-I"&amp;"FERROR(INDEX(GOOGLEFINANCE($C996, ""price"", WORKDAY(INT($B996), 20)), 2, 2), """"))/$G996)), """")"),"")</f>
        <v/>
      </c>
      <c r="Q996" s="44"/>
      <c r="R996" s="44"/>
      <c r="S996" s="44"/>
      <c r="T996" s="44"/>
      <c r="U996" s="44"/>
      <c r="V996" s="44"/>
      <c r="W996" s="44"/>
      <c r="X996" s="44"/>
      <c r="Y996" s="44"/>
      <c r="Z996" s="44"/>
    </row>
    <row r="997">
      <c r="A997" s="44"/>
      <c r="B997" s="45"/>
      <c r="C997" s="44"/>
      <c r="D997" s="44"/>
      <c r="E997" s="44"/>
      <c r="F997" s="44"/>
      <c r="G997" s="46"/>
      <c r="H997" s="44"/>
      <c r="I997" s="44"/>
      <c r="J997" s="44"/>
      <c r="K997" s="44"/>
      <c r="L997" s="46" t="str">
        <f>IFERROR(__xludf.DUMMYFUNCTION("IFERROR(IF(ISBLANK($C997), """", GOOGLEFINANCE($C997, ""price"")), """")"),"")</f>
        <v/>
      </c>
      <c r="M997" s="47" t="str">
        <f t="shared" si="3"/>
        <v/>
      </c>
      <c r="N997" s="47" t="str">
        <f>IFERROR(__xludf.DUMMYFUNCTION("IFERROR(IF(OR(ISBLANK($G997), IFERROR(INDEX(GOOGLEFINANCE($C997, ""price"", WORKDAY(INT($B997), 1)), 2, 2), """")=""""), """", IF($D997=""LONG"", (IFERROR(INDEX(GOOGLEFINANCE($C997, ""price"", WORKDAY(INT($B997), 1)), 2, 2), """")-$G997)/$G997, ($G997-IFE"&amp;"RROR(INDEX(GOOGLEFINANCE($C997, ""price"", WORKDAY(INT($B997), 1)), 2, 2), """"))/$G997)), """")"),"")</f>
        <v/>
      </c>
      <c r="O997" s="47" t="str">
        <f>IFERROR(__xludf.DUMMYFUNCTION("IFERROR(IF(OR(ISBLANK($G997), IFERROR(INDEX(GOOGLEFINANCE($C997, ""price"", WORKDAY(INT($B997), 5)), 2, 2), """")=""""), """", IF($D997=""LONG"", (IFERROR(INDEX(GOOGLEFINANCE($C997, ""price"", WORKDAY(INT($B997), 5)), 2, 2), """")-$G997)/$G997, ($G997-IFE"&amp;"RROR(INDEX(GOOGLEFINANCE($C997, ""price"", WORKDAY(INT($B997), 5)), 2, 2), """"))/$G997)), """")"),"")</f>
        <v/>
      </c>
      <c r="P997" s="47" t="str">
        <f>IFERROR(__xludf.DUMMYFUNCTION("IFERROR(IF(OR(ISBLANK($G997), IFERROR(INDEX(GOOGLEFINANCE($C997, ""price"", WORKDAY(INT($B997), 20)), 2, 2), """")=""""), """", IF($D997=""LONG"", (IFERROR(INDEX(GOOGLEFINANCE($C997, ""price"", WORKDAY(INT($B997), 20)), 2, 2), """")-$G997)/$G997, ($G997-I"&amp;"FERROR(INDEX(GOOGLEFINANCE($C997, ""price"", WORKDAY(INT($B997), 20)), 2, 2), """"))/$G997)), """")"),"")</f>
        <v/>
      </c>
      <c r="Q997" s="44"/>
      <c r="R997" s="44"/>
      <c r="S997" s="44"/>
      <c r="T997" s="44"/>
      <c r="U997" s="44"/>
      <c r="V997" s="44"/>
      <c r="W997" s="44"/>
      <c r="X997" s="44"/>
      <c r="Y997" s="44"/>
      <c r="Z997" s="44"/>
    </row>
    <row r="998">
      <c r="A998" s="44"/>
      <c r="B998" s="45"/>
      <c r="C998" s="44"/>
      <c r="D998" s="44"/>
      <c r="E998" s="44"/>
      <c r="F998" s="44"/>
      <c r="G998" s="46"/>
      <c r="H998" s="44"/>
      <c r="I998" s="44"/>
      <c r="J998" s="44"/>
      <c r="K998" s="44"/>
      <c r="L998" s="46" t="str">
        <f>IFERROR(__xludf.DUMMYFUNCTION("IFERROR(IF(ISBLANK($C998), """", GOOGLEFINANCE($C998, ""price"")), """")"),"")</f>
        <v/>
      </c>
      <c r="M998" s="47" t="str">
        <f t="shared" si="3"/>
        <v/>
      </c>
      <c r="N998" s="47" t="str">
        <f>IFERROR(__xludf.DUMMYFUNCTION("IFERROR(IF(OR(ISBLANK($G998), IFERROR(INDEX(GOOGLEFINANCE($C998, ""price"", WORKDAY(INT($B998), 1)), 2, 2), """")=""""), """", IF($D998=""LONG"", (IFERROR(INDEX(GOOGLEFINANCE($C998, ""price"", WORKDAY(INT($B998), 1)), 2, 2), """")-$G998)/$G998, ($G998-IFE"&amp;"RROR(INDEX(GOOGLEFINANCE($C998, ""price"", WORKDAY(INT($B998), 1)), 2, 2), """"))/$G998)), """")"),"")</f>
        <v/>
      </c>
      <c r="O998" s="47" t="str">
        <f>IFERROR(__xludf.DUMMYFUNCTION("IFERROR(IF(OR(ISBLANK($G998), IFERROR(INDEX(GOOGLEFINANCE($C998, ""price"", WORKDAY(INT($B998), 5)), 2, 2), """")=""""), """", IF($D998=""LONG"", (IFERROR(INDEX(GOOGLEFINANCE($C998, ""price"", WORKDAY(INT($B998), 5)), 2, 2), """")-$G998)/$G998, ($G998-IFE"&amp;"RROR(INDEX(GOOGLEFINANCE($C998, ""price"", WORKDAY(INT($B998), 5)), 2, 2), """"))/$G998)), """")"),"")</f>
        <v/>
      </c>
      <c r="P998" s="47" t="str">
        <f>IFERROR(__xludf.DUMMYFUNCTION("IFERROR(IF(OR(ISBLANK($G998), IFERROR(INDEX(GOOGLEFINANCE($C998, ""price"", WORKDAY(INT($B998), 20)), 2, 2), """")=""""), """", IF($D998=""LONG"", (IFERROR(INDEX(GOOGLEFINANCE($C998, ""price"", WORKDAY(INT($B998), 20)), 2, 2), """")-$G998)/$G998, ($G998-I"&amp;"FERROR(INDEX(GOOGLEFINANCE($C998, ""price"", WORKDAY(INT($B998), 20)), 2, 2), """"))/$G998)), """")"),"")</f>
        <v/>
      </c>
      <c r="Q998" s="44"/>
      <c r="R998" s="44"/>
      <c r="S998" s="44"/>
      <c r="T998" s="44"/>
      <c r="U998" s="44"/>
      <c r="V998" s="44"/>
      <c r="W998" s="44"/>
      <c r="X998" s="44"/>
      <c r="Y998" s="44"/>
      <c r="Z998" s="44"/>
    </row>
    <row r="999">
      <c r="A999" s="44"/>
      <c r="B999" s="45"/>
      <c r="C999" s="44"/>
      <c r="D999" s="44"/>
      <c r="E999" s="44"/>
      <c r="F999" s="44"/>
      <c r="G999" s="46"/>
      <c r="H999" s="44"/>
      <c r="I999" s="44"/>
      <c r="J999" s="44"/>
      <c r="K999" s="44"/>
      <c r="L999" s="46" t="str">
        <f>IFERROR(__xludf.DUMMYFUNCTION("IFERROR(IF(ISBLANK($C999), """", GOOGLEFINANCE($C999, ""price"")), """")"),"")</f>
        <v/>
      </c>
      <c r="M999" s="47" t="str">
        <f t="shared" si="3"/>
        <v/>
      </c>
      <c r="N999" s="47" t="str">
        <f>IFERROR(__xludf.DUMMYFUNCTION("IFERROR(IF(OR(ISBLANK($G999), IFERROR(INDEX(GOOGLEFINANCE($C999, ""price"", WORKDAY(INT($B999), 1)), 2, 2), """")=""""), """", IF($D999=""LONG"", (IFERROR(INDEX(GOOGLEFINANCE($C999, ""price"", WORKDAY(INT($B999), 1)), 2, 2), """")-$G999)/$G999, ($G999-IFE"&amp;"RROR(INDEX(GOOGLEFINANCE($C999, ""price"", WORKDAY(INT($B999), 1)), 2, 2), """"))/$G999)), """")"),"")</f>
        <v/>
      </c>
      <c r="O999" s="47" t="str">
        <f>IFERROR(__xludf.DUMMYFUNCTION("IFERROR(IF(OR(ISBLANK($G999), IFERROR(INDEX(GOOGLEFINANCE($C999, ""price"", WORKDAY(INT($B999), 5)), 2, 2), """")=""""), """", IF($D999=""LONG"", (IFERROR(INDEX(GOOGLEFINANCE($C999, ""price"", WORKDAY(INT($B999), 5)), 2, 2), """")-$G999)/$G999, ($G999-IFE"&amp;"RROR(INDEX(GOOGLEFINANCE($C999, ""price"", WORKDAY(INT($B999), 5)), 2, 2), """"))/$G999)), """")"),"")</f>
        <v/>
      </c>
      <c r="P999" s="47" t="str">
        <f>IFERROR(__xludf.DUMMYFUNCTION("IFERROR(IF(OR(ISBLANK($G999), IFERROR(INDEX(GOOGLEFINANCE($C999, ""price"", WORKDAY(INT($B999), 20)), 2, 2), """")=""""), """", IF($D999=""LONG"", (IFERROR(INDEX(GOOGLEFINANCE($C999, ""price"", WORKDAY(INT($B999), 20)), 2, 2), """")-$G999)/$G999, ($G999-I"&amp;"FERROR(INDEX(GOOGLEFINANCE($C999, ""price"", WORKDAY(INT($B999), 20)), 2, 2), """"))/$G999)), """")"),"")</f>
        <v/>
      </c>
      <c r="Q999" s="44"/>
      <c r="R999" s="44"/>
      <c r="S999" s="44"/>
      <c r="T999" s="44"/>
      <c r="U999" s="44"/>
      <c r="V999" s="44"/>
      <c r="W999" s="44"/>
      <c r="X999" s="44"/>
      <c r="Y999" s="44"/>
      <c r="Z999" s="44"/>
    </row>
    <row r="1000">
      <c r="A1000" s="44"/>
      <c r="B1000" s="45"/>
      <c r="C1000" s="44"/>
      <c r="D1000" s="44"/>
      <c r="E1000" s="44"/>
      <c r="F1000" s="44"/>
      <c r="G1000" s="46"/>
      <c r="H1000" s="44"/>
      <c r="I1000" s="44"/>
      <c r="J1000" s="44"/>
      <c r="K1000" s="44"/>
      <c r="L1000" s="46" t="str">
        <f>IFERROR(__xludf.DUMMYFUNCTION("IFERROR(IF(ISBLANK($C1000), """", GOOGLEFINANCE($C1000, ""price"")), """")"),"")</f>
        <v/>
      </c>
      <c r="M1000" s="47" t="str">
        <f t="shared" si="3"/>
        <v/>
      </c>
      <c r="N1000" s="47" t="str">
        <f>IFERROR(__xludf.DUMMYFUNCTION("IFERROR(IF(OR(ISBLANK($G1000), IFERROR(INDEX(GOOGLEFINANCE($C1000, ""price"", WORKDAY(INT($B1000), 1)), 2, 2), """")=""""), """", IF($D1000=""LONG"", (IFERROR(INDEX(GOOGLEFINANCE($C1000, ""price"", WORKDAY(INT($B1000), 1)), 2, 2), """")-$G1000)/$G1000, ($"&amp;"G1000-IFERROR(INDEX(GOOGLEFINANCE($C1000, ""price"", WORKDAY(INT($B1000), 1)), 2, 2), """"))/$G1000)), """")"),"")</f>
        <v/>
      </c>
      <c r="O1000" s="47" t="str">
        <f>IFERROR(__xludf.DUMMYFUNCTION("IFERROR(IF(OR(ISBLANK($G1000), IFERROR(INDEX(GOOGLEFINANCE($C1000, ""price"", WORKDAY(INT($B1000), 5)), 2, 2), """")=""""), """", IF($D1000=""LONG"", (IFERROR(INDEX(GOOGLEFINANCE($C1000, ""price"", WORKDAY(INT($B1000), 5)), 2, 2), """")-$G1000)/$G1000, ($"&amp;"G1000-IFERROR(INDEX(GOOGLEFINANCE($C1000, ""price"", WORKDAY(INT($B1000), 5)), 2, 2), """"))/$G1000)), """")"),"")</f>
        <v/>
      </c>
      <c r="P1000" s="47" t="str">
        <f>IFERROR(__xludf.DUMMYFUNCTION("IFERROR(IF(OR(ISBLANK($G1000), IFERROR(INDEX(GOOGLEFINANCE($C1000, ""price"", WORKDAY(INT($B1000), 20)), 2, 2), """")=""""), """", IF($D1000=""LONG"", (IFERROR(INDEX(GOOGLEFINANCE($C1000, ""price"", WORKDAY(INT($B1000), 20)), 2, 2), """")-$G1000)/$G1000, "&amp;"($G1000-IFERROR(INDEX(GOOGLEFINANCE($C1000, ""price"", WORKDAY(INT($B1000), 20)), 2, 2), """"))/$G1000)), """")"),"")</f>
        <v/>
      </c>
      <c r="Q1000" s="44"/>
      <c r="R1000" s="44"/>
      <c r="S1000" s="44"/>
      <c r="T1000" s="44"/>
      <c r="U1000" s="44"/>
      <c r="V1000" s="44"/>
      <c r="W1000" s="44"/>
      <c r="X1000" s="44"/>
      <c r="Y1000" s="44"/>
      <c r="Z1000" s="4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row>
    <row r="2">
      <c r="A2" s="9">
        <f t="shared" ref="A2:A177" si="1">ROW()-1</f>
        <v>1</v>
      </c>
      <c r="B2" s="11">
        <v>46216.66736111111</v>
      </c>
      <c r="C2" s="10" t="s">
        <v>43</v>
      </c>
      <c r="D2" s="10" t="s">
        <v>36</v>
      </c>
      <c r="E2" s="10" t="s">
        <v>37</v>
      </c>
      <c r="F2" s="13">
        <v>2.0</v>
      </c>
      <c r="G2" s="14">
        <v>260.12</v>
      </c>
      <c r="H2" s="10" t="s">
        <v>44</v>
      </c>
      <c r="I2" s="10">
        <v>90.1</v>
      </c>
      <c r="O2" s="15">
        <f>IFERROR(__xludf.DUMMYFUNCTION("IF(ISBLANK($C2), """", GOOGLEFINANCE($C2, ""price""))"),229.29)</f>
        <v>229.29</v>
      </c>
      <c r="P2" s="16">
        <f t="shared" ref="P2:P177" si="2">IF(OR(ISBLANK($G2), ISBLANK($O2)), "", IF($D2="LONG", ($O2-$G2)/$G2, ($G2-$O2)/$G2))</f>
        <v>-0.1185222205</v>
      </c>
      <c r="Q2" s="16">
        <f>IFERROR(__xludf.DUMMYFUNCTION("IF(OR(ISBLANK($G2), IFERROR(INDEX(GOOGLEFINANCE($C2, ""price"", WORKDAY(INT($B2), 1)), 2, 2), """")=""""), """", IF($D2=""LONG"", (IFERROR(INDEX(GOOGLEFINANCE($C2, ""price"", WORKDAY(INT($B2), 1)), 2, 2), """")-$G2)/$G2, ($G2-IFERROR(INDEX(GOOGLEFINANCE($"&amp;"C2, ""price"", WORKDAY(INT($B2), 1)), 2, 2), """"))/$G2))"),0.040788866676918396)</f>
        <v>0.04078886668</v>
      </c>
      <c r="R2" s="16">
        <f>IFERROR(__xludf.DUMMYFUNCTION("IF(OR(ISBLANK($G2), IFERROR(INDEX(GOOGLEFINANCE($C2, ""price"", WORKDAY(INT($B2), 5)), 2, 2), """")=""""), """", IF($D2=""LONG"", (IFERROR(INDEX(GOOGLEFINANCE($C2, ""price"", WORKDAY(INT($B2), 5)), 2, 2), """")-$G2)/$G2, ($G2-IFERROR(INDEX(GOOGLEFINANCE($"&amp;"C2, ""price"", WORKDAY(INT($B2), 5)), 2, 2), """"))/$G2))"),0.011840688912809412)</f>
        <v>0.01184068891</v>
      </c>
      <c r="S2" s="16" t="str">
        <f>IFERROR(__xludf.DUMMYFUNCTION("IF(OR(ISBLANK($G2), IFERROR(INDEX(GOOGLEFINANCE($C2, ""price"", WORKDAY(INT($B2), 20)), 2, 2), """")=""""), """", IF($D2=""LONG"", (IFERROR(INDEX(GOOGLEFINANCE($C2, ""price"", WORKDAY(INT($B2), 20)), 2, 2), """")-$G2)/$G2, ($G2-IFERROR(INDEX(GOOGLEFINANCE"&amp;"($C2, ""price"", WORKDAY(INT($B2), 20)), 2, 2), """"))/$G2))"),"")</f>
        <v/>
      </c>
      <c r="T2" s="10" t="s">
        <v>57</v>
      </c>
    </row>
    <row r="3">
      <c r="A3" s="9">
        <f t="shared" si="1"/>
        <v>2</v>
      </c>
      <c r="B3" s="11">
        <v>46216.66736111111</v>
      </c>
      <c r="C3" s="10" t="s">
        <v>60</v>
      </c>
      <c r="D3" s="10" t="s">
        <v>36</v>
      </c>
      <c r="E3" s="10" t="s">
        <v>37</v>
      </c>
      <c r="F3" s="13">
        <v>2.0</v>
      </c>
      <c r="G3" s="14">
        <v>42.43</v>
      </c>
      <c r="H3" s="10" t="s">
        <v>62</v>
      </c>
      <c r="I3" s="10">
        <v>94.7</v>
      </c>
      <c r="O3" s="15">
        <f>IFERROR(__xludf.DUMMYFUNCTION("IF(ISBLANK($C3), """", GOOGLEFINANCE($C3, ""price""))"),47.06)</f>
        <v>47.06</v>
      </c>
      <c r="P3" s="16">
        <f t="shared" si="2"/>
        <v>0.109120905</v>
      </c>
      <c r="Q3" s="16">
        <f>IFERROR(__xludf.DUMMYFUNCTION("IF(OR(ISBLANK($G3), IFERROR(INDEX(GOOGLEFINANCE($C3, ""price"", WORKDAY(INT($B3), 1)), 2, 2), """")=""""), """", IF($D3=""LONG"", (IFERROR(INDEX(GOOGLEFINANCE($C3, ""price"", WORKDAY(INT($B3), 1)), 2, 2), """")-$G3)/$G3, ($G3-IFERROR(INDEX(GOOGLEFINANCE($"&amp;"C3, ""price"", WORKDAY(INT($B3), 1)), 2, 2), """"))/$G3))"),0.008248880509073802)</f>
        <v>0.008248880509</v>
      </c>
      <c r="R3" s="16">
        <f>IFERROR(__xludf.DUMMYFUNCTION("IF(OR(ISBLANK($G3), IFERROR(INDEX(GOOGLEFINANCE($C3, ""price"", WORKDAY(INT($B3), 5)), 2, 2), """")=""""), """", IF($D3=""LONG"", (IFERROR(INDEX(GOOGLEFINANCE($C3, ""price"", WORKDAY(INT($B3), 5)), 2, 2), """")-$G3)/$G3, ($G3-IFERROR(INDEX(GOOGLEFINANCE($"&amp;"C3, ""price"", WORKDAY(INT($B3), 5)), 2, 2), """"))/$G3))"),0.018854584020739976)</f>
        <v>0.01885458402</v>
      </c>
      <c r="S3" s="16" t="str">
        <f>IFERROR(__xludf.DUMMYFUNCTION("IF(OR(ISBLANK($G3), IFERROR(INDEX(GOOGLEFINANCE($C3, ""price"", WORKDAY(INT($B3), 20)), 2, 2), """")=""""), """", IF($D3=""LONG"", (IFERROR(INDEX(GOOGLEFINANCE($C3, ""price"", WORKDAY(INT($B3), 20)), 2, 2), """")-$G3)/$G3, ($G3-IFERROR(INDEX(GOOGLEFINANCE"&amp;"($C3, ""price"", WORKDAY(INT($B3), 20)), 2, 2), """"))/$G3))"),"")</f>
        <v/>
      </c>
      <c r="T3" s="10" t="s">
        <v>68</v>
      </c>
    </row>
    <row r="4">
      <c r="A4" s="9">
        <f t="shared" si="1"/>
        <v>3</v>
      </c>
      <c r="B4" s="11">
        <v>46216.66737268519</v>
      </c>
      <c r="C4" s="10" t="s">
        <v>69</v>
      </c>
      <c r="D4" s="10" t="s">
        <v>36</v>
      </c>
      <c r="E4" s="10" t="s">
        <v>37</v>
      </c>
      <c r="F4" s="13">
        <v>2.0</v>
      </c>
      <c r="G4" s="14">
        <v>257.89</v>
      </c>
      <c r="H4" s="10" t="s">
        <v>71</v>
      </c>
      <c r="I4" s="10">
        <v>95.6</v>
      </c>
      <c r="O4" s="15">
        <f>IFERROR(__xludf.DUMMYFUNCTION("IF(ISBLANK($C4), """", GOOGLEFINANCE($C4, ""price""))"),256.98)</f>
        <v>256.98</v>
      </c>
      <c r="P4" s="16">
        <f t="shared" si="2"/>
        <v>-0.00352863624</v>
      </c>
      <c r="Q4" s="16">
        <f>IFERROR(__xludf.DUMMYFUNCTION("IF(OR(ISBLANK($G4), IFERROR(INDEX(GOOGLEFINANCE($C4, ""price"", WORKDAY(INT($B4), 1)), 2, 2), """")=""""), """", IF($D4=""LONG"", (IFERROR(INDEX(GOOGLEFINANCE($C4, ""price"", WORKDAY(INT($B4), 1)), 2, 2), """")-$G4)/$G4, ($G4-IFERROR(INDEX(GOOGLEFINANCE($"&amp;"C4, ""price"", WORKDAY(INT($B4), 1)), 2, 2), """"))/$G4))"),-0.015665593857846338)</f>
        <v>-0.01566559386</v>
      </c>
      <c r="R4" s="16">
        <f>IFERROR(__xludf.DUMMYFUNCTION("IF(OR(ISBLANK($G4), IFERROR(INDEX(GOOGLEFINANCE($C4, ""price"", WORKDAY(INT($B4), 5)), 2, 2), """")=""""), """", IF($D4=""LONG"", (IFERROR(INDEX(GOOGLEFINANCE($C4, ""price"", WORKDAY(INT($B4), 5)), 2, 2), """")-$G4)/$G4, ($G4-IFERROR(INDEX(GOOGLEFINANCE($"&amp;"C4, ""price"", WORKDAY(INT($B4), 5)), 2, 2), """"))/$G4))"),-0.03517003373531348)</f>
        <v>-0.03517003374</v>
      </c>
      <c r="S4" s="16" t="str">
        <f>IFERROR(__xludf.DUMMYFUNCTION("IF(OR(ISBLANK($G4), IFERROR(INDEX(GOOGLEFINANCE($C4, ""price"", WORKDAY(INT($B4), 20)), 2, 2), """")=""""), """", IF($D4=""LONG"", (IFERROR(INDEX(GOOGLEFINANCE($C4, ""price"", WORKDAY(INT($B4), 20)), 2, 2), """")-$G4)/$G4, ($G4-IFERROR(INDEX(GOOGLEFINANCE"&amp;"($C4, ""price"", WORKDAY(INT($B4), 20)), 2, 2), """"))/$G4))"),"")</f>
        <v/>
      </c>
      <c r="T4" s="10" t="s">
        <v>79</v>
      </c>
    </row>
    <row r="5">
      <c r="A5" s="9">
        <f t="shared" si="1"/>
        <v>4</v>
      </c>
      <c r="B5" s="11">
        <v>46216.66738425926</v>
      </c>
      <c r="C5" s="10" t="s">
        <v>80</v>
      </c>
      <c r="D5" s="10" t="s">
        <v>36</v>
      </c>
      <c r="E5" s="10" t="s">
        <v>37</v>
      </c>
      <c r="F5" s="13">
        <v>2.0</v>
      </c>
      <c r="G5" s="14">
        <v>248.03</v>
      </c>
      <c r="H5" s="10" t="s">
        <v>81</v>
      </c>
      <c r="I5" s="10">
        <v>94.7</v>
      </c>
      <c r="O5" s="15">
        <f>IFERROR(__xludf.DUMMYFUNCTION("IF(ISBLANK($C5), """", GOOGLEFINANCE($C5, ""price""))"),243.87)</f>
        <v>243.87</v>
      </c>
      <c r="P5" s="16">
        <f t="shared" si="2"/>
        <v>-0.01677216466</v>
      </c>
      <c r="Q5" s="16">
        <f>IFERROR(__xludf.DUMMYFUNCTION("IF(OR(ISBLANK($G5), IFERROR(INDEX(GOOGLEFINANCE($C5, ""price"", WORKDAY(INT($B5), 1)), 2, 2), """")=""""), """", IF($D5=""LONG"", (IFERROR(INDEX(GOOGLEFINANCE($C5, ""price"", WORKDAY(INT($B5), 1)), 2, 2), """")-$G5)/$G5, ($G5-IFERROR(INDEX(GOOGLEFINANCE($"&amp;"C5, ""price"", WORKDAY(INT($B5), 1)), 2, 2), """"))/$G5))"),-0.013103253638672742)</f>
        <v>-0.01310325364</v>
      </c>
      <c r="R5" s="16">
        <f>IFERROR(__xludf.DUMMYFUNCTION("IF(OR(ISBLANK($G5), IFERROR(INDEX(GOOGLEFINANCE($C5, ""price"", WORKDAY(INT($B5), 5)), 2, 2), """")=""""), """", IF($D5=""LONG"", (IFERROR(INDEX(GOOGLEFINANCE($C5, ""price"", WORKDAY(INT($B5), 5)), 2, 2), """")-$G5)/$G5, ($G5-IFERROR(INDEX(GOOGLEFINANCE($"&amp;"C5, ""price"", WORKDAY(INT($B5), 5)), 2, 2), """"))/$G5))"),0.02156997137443049)</f>
        <v>0.02156997137</v>
      </c>
      <c r="S5" s="16" t="str">
        <f>IFERROR(__xludf.DUMMYFUNCTION("IF(OR(ISBLANK($G5), IFERROR(INDEX(GOOGLEFINANCE($C5, ""price"", WORKDAY(INT($B5), 20)), 2, 2), """")=""""), """", IF($D5=""LONG"", (IFERROR(INDEX(GOOGLEFINANCE($C5, ""price"", WORKDAY(INT($B5), 20)), 2, 2), """")-$G5)/$G5, ($G5-IFERROR(INDEX(GOOGLEFINANCE"&amp;"($C5, ""price"", WORKDAY(INT($B5), 20)), 2, 2), """"))/$G5))"),"")</f>
        <v/>
      </c>
      <c r="T5" s="10" t="s">
        <v>90</v>
      </c>
    </row>
    <row r="6">
      <c r="A6" s="9">
        <f t="shared" si="1"/>
        <v>5</v>
      </c>
      <c r="B6" s="11">
        <v>46216.66737268519</v>
      </c>
      <c r="C6" s="10" t="s">
        <v>92</v>
      </c>
      <c r="D6" s="10" t="s">
        <v>36</v>
      </c>
      <c r="E6" s="10" t="s">
        <v>37</v>
      </c>
      <c r="F6" s="13">
        <v>2.0</v>
      </c>
      <c r="G6" s="14">
        <v>84.28</v>
      </c>
      <c r="H6" s="10" t="s">
        <v>93</v>
      </c>
      <c r="I6" s="10">
        <v>91.9</v>
      </c>
      <c r="O6" s="15">
        <f>IFERROR(__xludf.DUMMYFUNCTION("IF(ISBLANK($C6), """", GOOGLEFINANCE($C6, ""price""))"),86.85)</f>
        <v>86.85</v>
      </c>
      <c r="P6" s="16">
        <f t="shared" si="2"/>
        <v>0.03049359279</v>
      </c>
      <c r="Q6" s="16">
        <f>IFERROR(__xludf.DUMMYFUNCTION("IF(OR(ISBLANK($G6), IFERROR(INDEX(GOOGLEFINANCE($C6, ""price"", WORKDAY(INT($B6), 1)), 2, 2), """")=""""), """", IF($D6=""LONG"", (IFERROR(INDEX(GOOGLEFINANCE($C6, ""price"", WORKDAY(INT($B6), 1)), 2, 2), """")-$G6)/$G6, ($G6-IFERROR(INDEX(GOOGLEFINANCE($"&amp;"C6, ""price"", WORKDAY(INT($B6), 1)), 2, 2), """"))/$G6))"),-0.014238253440911283)</f>
        <v>-0.01423825344</v>
      </c>
      <c r="R6" s="16">
        <f>IFERROR(__xludf.DUMMYFUNCTION("IF(OR(ISBLANK($G6), IFERROR(INDEX(GOOGLEFINANCE($C6, ""price"", WORKDAY(INT($B6), 5)), 2, 2), """")=""""), """", IF($D6=""LONG"", (IFERROR(INDEX(GOOGLEFINANCE($C6, ""price"", WORKDAY(INT($B6), 5)), 2, 2), """")-$G6)/$G6, ($G6-IFERROR(INDEX(GOOGLEFINANCE($"&amp;"C6, ""price"", WORKDAY(INT($B6), 5)), 2, 2), """"))/$G6))"),-0.025628856193640207)</f>
        <v>-0.02562885619</v>
      </c>
      <c r="S6" s="16" t="str">
        <f>IFERROR(__xludf.DUMMYFUNCTION("IF(OR(ISBLANK($G6), IFERROR(INDEX(GOOGLEFINANCE($C6, ""price"", WORKDAY(INT($B6), 20)), 2, 2), """")=""""), """", IF($D6=""LONG"", (IFERROR(INDEX(GOOGLEFINANCE($C6, ""price"", WORKDAY(INT($B6), 20)), 2, 2), """")-$G6)/$G6, ($G6-IFERROR(INDEX(GOOGLEFINANCE"&amp;"($C6, ""price"", WORKDAY(INT($B6), 20)), 2, 2), """"))/$G6))"),"")</f>
        <v/>
      </c>
      <c r="T6" s="10" t="s">
        <v>96</v>
      </c>
    </row>
    <row r="7">
      <c r="A7" s="9">
        <f t="shared" si="1"/>
        <v>6</v>
      </c>
      <c r="B7" s="11">
        <v>46216.66738425926</v>
      </c>
      <c r="C7" s="10" t="s">
        <v>98</v>
      </c>
      <c r="D7" s="10" t="s">
        <v>36</v>
      </c>
      <c r="E7" s="10" t="s">
        <v>37</v>
      </c>
      <c r="F7" s="13">
        <v>2.0</v>
      </c>
      <c r="G7" s="14">
        <v>31.07</v>
      </c>
      <c r="H7" s="10" t="s">
        <v>100</v>
      </c>
      <c r="I7" s="10">
        <v>93.2</v>
      </c>
      <c r="O7" s="15">
        <f>IFERROR(__xludf.DUMMYFUNCTION("IF(ISBLANK($C7), """", GOOGLEFINANCE($C7, ""price""))"),31.39)</f>
        <v>31.39</v>
      </c>
      <c r="P7" s="16">
        <f t="shared" si="2"/>
        <v>0.01029932411</v>
      </c>
      <c r="Q7" s="16">
        <f>IFERROR(__xludf.DUMMYFUNCTION("IF(OR(ISBLANK($G7), IFERROR(INDEX(GOOGLEFINANCE($C7, ""price"", WORKDAY(INT($B7), 1)), 2, 2), """")=""""), """", IF($D7=""LONG"", (IFERROR(INDEX(GOOGLEFINANCE($C7, ""price"", WORKDAY(INT($B7), 1)), 2, 2), """")-$G7)/$G7, ($G7-IFERROR(INDEX(GOOGLEFINANCE($"&amp;"C7, ""price"", WORKDAY(INT($B7), 1)), 2, 2), """"))/$G7))"),-0.004827808175088464)</f>
        <v>-0.004827808175</v>
      </c>
      <c r="R7" s="16">
        <f>IFERROR(__xludf.DUMMYFUNCTION("IF(OR(ISBLANK($G7), IFERROR(INDEX(GOOGLEFINANCE($C7, ""price"", WORKDAY(INT($B7), 5)), 2, 2), """")=""""), """", IF($D7=""LONG"", (IFERROR(INDEX(GOOGLEFINANCE($C7, ""price"", WORKDAY(INT($B7), 5)), 2, 2), """")-$G7)/$G7, ($G7-IFERROR(INDEX(GOOGLEFINANCE($"&amp;"C7, ""price"", WORKDAY(INT($B7), 5)), 2, 2), """"))/$G7))"),0.0012874155133569085)</f>
        <v>0.001287415513</v>
      </c>
      <c r="S7" s="16" t="str">
        <f>IFERROR(__xludf.DUMMYFUNCTION("IF(OR(ISBLANK($G7), IFERROR(INDEX(GOOGLEFINANCE($C7, ""price"", WORKDAY(INT($B7), 20)), 2, 2), """")=""""), """", IF($D7=""LONG"", (IFERROR(INDEX(GOOGLEFINANCE($C7, ""price"", WORKDAY(INT($B7), 20)), 2, 2), """")-$G7)/$G7, ($G7-IFERROR(INDEX(GOOGLEFINANCE"&amp;"($C7, ""price"", WORKDAY(INT($B7), 20)), 2, 2), """"))/$G7))"),"")</f>
        <v/>
      </c>
      <c r="T7" s="10" t="s">
        <v>107</v>
      </c>
    </row>
    <row r="8">
      <c r="A8" s="9">
        <f t="shared" si="1"/>
        <v>7</v>
      </c>
      <c r="B8" s="11">
        <v>46216.667395833334</v>
      </c>
      <c r="C8" s="10" t="s">
        <v>76</v>
      </c>
      <c r="D8" s="10" t="s">
        <v>36</v>
      </c>
      <c r="E8" s="10" t="s">
        <v>37</v>
      </c>
      <c r="F8" s="13">
        <v>2.0</v>
      </c>
      <c r="G8" s="14">
        <v>271.59</v>
      </c>
      <c r="H8" s="10" t="s">
        <v>109</v>
      </c>
      <c r="I8" s="10">
        <v>94.8</v>
      </c>
      <c r="O8" s="15">
        <f>IFERROR(__xludf.DUMMYFUNCTION("IF(ISBLANK($C8), """", GOOGLEFINANCE($C8, ""price""))"),294.7)</f>
        <v>294.7</v>
      </c>
      <c r="P8" s="16">
        <f t="shared" si="2"/>
        <v>0.08509149821</v>
      </c>
      <c r="Q8" s="16">
        <f>IFERROR(__xludf.DUMMYFUNCTION("IF(OR(ISBLANK($G8), IFERROR(INDEX(GOOGLEFINANCE($C8, ""price"", WORKDAY(INT($B8), 1)), 2, 2), """")=""""), """", IF($D8=""LONG"", (IFERROR(INDEX(GOOGLEFINANCE($C8, ""price"", WORKDAY(INT($B8), 1)), 2, 2), """")-$G8)/$G8, ($G8-IFERROR(INDEX(GOOGLEFINANCE($"&amp;"C8, ""price"", WORKDAY(INT($B8), 1)), 2, 2), """"))/$G8))"),0.002540594278139835)</f>
        <v>0.002540594278</v>
      </c>
      <c r="R8" s="16">
        <f>IFERROR(__xludf.DUMMYFUNCTION("IF(OR(ISBLANK($G8), IFERROR(INDEX(GOOGLEFINANCE($C8, ""price"", WORKDAY(INT($B8), 5)), 2, 2), """")=""""), """", IF($D8=""LONG"", (IFERROR(INDEX(GOOGLEFINANCE($C8, ""price"", WORKDAY(INT($B8), 5)), 2, 2), """")-$G8)/$G8, ($G8-IFERROR(INDEX(GOOGLEFINANCE($"&amp;"C8, ""price"", WORKDAY(INT($B8), 5)), 2, 2), """"))/$G8))"),3.682020692957132E-4)</f>
        <v>0.0003682020693</v>
      </c>
      <c r="S8" s="16" t="str">
        <f>IFERROR(__xludf.DUMMYFUNCTION("IF(OR(ISBLANK($G8), IFERROR(INDEX(GOOGLEFINANCE($C8, ""price"", WORKDAY(INT($B8), 20)), 2, 2), """")=""""), """", IF($D8=""LONG"", (IFERROR(INDEX(GOOGLEFINANCE($C8, ""price"", WORKDAY(INT($B8), 20)), 2, 2), """")-$G8)/$G8, ($G8-IFERROR(INDEX(GOOGLEFINANCE"&amp;"($C8, ""price"", WORKDAY(INT($B8), 20)), 2, 2), """"))/$G8))"),"")</f>
        <v/>
      </c>
      <c r="T8" s="10" t="s">
        <v>116</v>
      </c>
    </row>
    <row r="9">
      <c r="A9" s="9">
        <f t="shared" si="1"/>
        <v>8</v>
      </c>
      <c r="B9" s="11">
        <v>46216.66737268519</v>
      </c>
      <c r="C9" s="10" t="s">
        <v>118</v>
      </c>
      <c r="D9" s="10" t="s">
        <v>119</v>
      </c>
      <c r="E9" s="10" t="s">
        <v>120</v>
      </c>
      <c r="F9" s="13">
        <v>4.0</v>
      </c>
      <c r="G9" s="14">
        <v>138.51</v>
      </c>
      <c r="H9" s="10" t="s">
        <v>121</v>
      </c>
      <c r="I9" s="10">
        <v>10.7</v>
      </c>
      <c r="O9" s="15">
        <f>IFERROR(__xludf.DUMMYFUNCTION("IF(ISBLANK($C9), """", GOOGLEFINANCE($C9, ""price""))"),171.11)</f>
        <v>171.11</v>
      </c>
      <c r="P9" s="16">
        <f t="shared" si="2"/>
        <v>-0.2353620677</v>
      </c>
      <c r="Q9" s="16">
        <f>IFERROR(__xludf.DUMMYFUNCTION("IF(OR(ISBLANK($G9), IFERROR(INDEX(GOOGLEFINANCE($C9, ""price"", WORKDAY(INT($B9), 1)), 2, 2), """")=""""), """", IF($D9=""LONG"", (IFERROR(INDEX(GOOGLEFINANCE($C9, ""price"", WORKDAY(INT($B9), 1)), 2, 2), """")-$G9)/$G9, ($G9-IFERROR(INDEX(GOOGLEFINANCE($"&amp;"C9, ""price"", WORKDAY(INT($B9), 1)), 2, 2), """"))/$G9))"),0.028517796548985553)</f>
        <v>0.02851779655</v>
      </c>
      <c r="R9" s="16">
        <f>IFERROR(__xludf.DUMMYFUNCTION("IF(OR(ISBLANK($G9), IFERROR(INDEX(GOOGLEFINANCE($C9, ""price"", WORKDAY(INT($B9), 5)), 2, 2), """")=""""), """", IF($D9=""LONG"", (IFERROR(INDEX(GOOGLEFINANCE($C9, ""price"", WORKDAY(INT($B9), 5)), 2, 2), """")-$G9)/$G9, ($G9-IFERROR(INDEX(GOOGLEFINANCE($"&amp;"C9, ""price"", WORKDAY(INT($B9), 5)), 2, 2), """"))/$G9))"),-0.044906504945491296)</f>
        <v>-0.04490650495</v>
      </c>
      <c r="S9" s="16" t="str">
        <f>IFERROR(__xludf.DUMMYFUNCTION("IF(OR(ISBLANK($G9), IFERROR(INDEX(GOOGLEFINANCE($C9, ""price"", WORKDAY(INT($B9), 20)), 2, 2), """")=""""), """", IF($D9=""LONG"", (IFERROR(INDEX(GOOGLEFINANCE($C9, ""price"", WORKDAY(INT($B9), 20)), 2, 2), """")-$G9)/$G9, ($G9-IFERROR(INDEX(GOOGLEFINANCE"&amp;"($C9, ""price"", WORKDAY(INT($B9), 20)), 2, 2), """"))/$G9))"),"")</f>
        <v/>
      </c>
      <c r="T9" s="10" t="s">
        <v>130</v>
      </c>
    </row>
    <row r="10">
      <c r="A10" s="9">
        <f t="shared" si="1"/>
        <v>9</v>
      </c>
      <c r="B10" s="11">
        <v>46216.66737268519</v>
      </c>
      <c r="C10" s="10" t="s">
        <v>99</v>
      </c>
      <c r="D10" s="10" t="s">
        <v>36</v>
      </c>
      <c r="E10" s="10" t="s">
        <v>133</v>
      </c>
      <c r="F10" s="13">
        <v>2.0</v>
      </c>
      <c r="G10" s="14">
        <v>31.28</v>
      </c>
      <c r="H10" s="10" t="s">
        <v>135</v>
      </c>
      <c r="I10" s="10">
        <v>71.0</v>
      </c>
      <c r="O10" s="15">
        <f>IFERROR(__xludf.DUMMYFUNCTION("IF(ISBLANK($C10), """", GOOGLEFINANCE($C10, ""price""))"),30.37)</f>
        <v>30.37</v>
      </c>
      <c r="P10" s="16">
        <f t="shared" si="2"/>
        <v>-0.02909207161</v>
      </c>
      <c r="Q10" s="16">
        <f>IFERROR(__xludf.DUMMYFUNCTION("IF(OR(ISBLANK($G10), IFERROR(INDEX(GOOGLEFINANCE($C10, ""price"", WORKDAY(INT($B10), 1)), 2, 2), """")=""""), """", IF($D10=""LONG"", (IFERROR(INDEX(GOOGLEFINANCE($C10, ""price"", WORKDAY(INT($B10), 1)), 2, 2), """")-$G10)/$G10, ($G10-IFERROR(INDEX(GOOGLE"&amp;"FINANCE($C10, ""price"", WORKDAY(INT($B10), 1)), 2, 2), """"))/$G10))"),-0.0326086956521739)</f>
        <v>-0.03260869565</v>
      </c>
      <c r="R10" s="16">
        <f>IFERROR(__xludf.DUMMYFUNCTION("IF(OR(ISBLANK($G10), IFERROR(INDEX(GOOGLEFINANCE($C10, ""price"", WORKDAY(INT($B10), 5)), 2, 2), """")=""""), """", IF($D10=""LONG"", (IFERROR(INDEX(GOOGLEFINANCE($C10, ""price"", WORKDAY(INT($B10), 5)), 2, 2), """")-$G10)/$G10, ($G10-IFERROR(INDEX(GOOGLE"&amp;"FINANCE($C10, ""price"", WORKDAY(INT($B10), 5)), 2, 2), """"))/$G10))"),-0.0268542199488491)</f>
        <v>-0.02685421995</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140</v>
      </c>
    </row>
    <row r="11">
      <c r="A11" s="9">
        <f t="shared" si="1"/>
        <v>10</v>
      </c>
      <c r="B11" s="11">
        <v>46216.66740740741</v>
      </c>
      <c r="C11" s="10" t="s">
        <v>141</v>
      </c>
      <c r="D11" s="10" t="s">
        <v>36</v>
      </c>
      <c r="E11" s="10" t="s">
        <v>37</v>
      </c>
      <c r="F11" s="13">
        <v>2.0</v>
      </c>
      <c r="G11" s="14">
        <v>124.04</v>
      </c>
      <c r="H11" s="10" t="s">
        <v>143</v>
      </c>
      <c r="I11" s="10">
        <v>92.6</v>
      </c>
      <c r="O11" s="15">
        <f>IFERROR(__xludf.DUMMYFUNCTION("IF(ISBLANK($C11), """", GOOGLEFINANCE($C11, ""price""))"),128.37)</f>
        <v>128.37</v>
      </c>
      <c r="P11" s="16">
        <f t="shared" si="2"/>
        <v>0.03490809416</v>
      </c>
      <c r="Q11" s="16">
        <f>IFERROR(__xludf.DUMMYFUNCTION("IF(OR(ISBLANK($G11), IFERROR(INDEX(GOOGLEFINANCE($C11, ""price"", WORKDAY(INT($B11), 1)), 2, 2), """")=""""), """", IF($D11=""LONG"", (IFERROR(INDEX(GOOGLEFINANCE($C11, ""price"", WORKDAY(INT($B11), 1)), 2, 2), """")-$G11)/$G11, ($G11-IFERROR(INDEX(GOOGLE"&amp;"FINANCE($C11, ""price"", WORKDAY(INT($B11), 1)), 2, 2), """"))/$G11))"),-0.026281844566268985)</f>
        <v>-0.02628184457</v>
      </c>
      <c r="R11" s="16">
        <f>IFERROR(__xludf.DUMMYFUNCTION("IF(OR(ISBLANK($G11), IFERROR(INDEX(GOOGLEFINANCE($C11, ""price"", WORKDAY(INT($B11), 5)), 2, 2), """")=""""), """", IF($D11=""LONG"", (IFERROR(INDEX(GOOGLEFINANCE($C11, ""price"", WORKDAY(INT($B11), 5)), 2, 2), """")-$G11)/$G11, ($G11-IFERROR(INDEX(GOOGLE"&amp;"FINANCE($C11, ""price"", WORKDAY(INT($B11), 5)), 2, 2), """"))/$G11))"),0.0029022895840051547)</f>
        <v>0.002902289584</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147</v>
      </c>
    </row>
    <row r="12">
      <c r="A12" s="9">
        <f t="shared" si="1"/>
        <v>11</v>
      </c>
      <c r="B12" s="11">
        <v>46216.66746527778</v>
      </c>
      <c r="C12" s="10" t="s">
        <v>149</v>
      </c>
      <c r="D12" s="10" t="s">
        <v>36</v>
      </c>
      <c r="E12" s="10" t="s">
        <v>37</v>
      </c>
      <c r="F12" s="13">
        <v>2.0</v>
      </c>
      <c r="G12" s="14">
        <v>123.52</v>
      </c>
      <c r="H12" s="10" t="s">
        <v>150</v>
      </c>
      <c r="I12" s="10">
        <v>96.5</v>
      </c>
      <c r="O12" s="15">
        <f>IFERROR(__xludf.DUMMYFUNCTION("IF(ISBLANK($C12), """", GOOGLEFINANCE($C12, ""price""))"),132.79)</f>
        <v>132.79</v>
      </c>
      <c r="P12" s="16">
        <f t="shared" si="2"/>
        <v>0.07504857513</v>
      </c>
      <c r="Q12" s="16">
        <f>IFERROR(__xludf.DUMMYFUNCTION("IF(OR(ISBLANK($G12), IFERROR(INDEX(GOOGLEFINANCE($C12, ""price"", WORKDAY(INT($B12), 1)), 2, 2), """")=""""), """", IF($D12=""LONG"", (IFERROR(INDEX(GOOGLEFINANCE($C12, ""price"", WORKDAY(INT($B12), 1)), 2, 2), """")-$G12)/$G12, ($G12-IFERROR(INDEX(GOOGLE"&amp;"FINANCE($C12, ""price"", WORKDAY(INT($B12), 1)), 2, 2), """"))/$G12))"),-0.011010362694300514)</f>
        <v>-0.01101036269</v>
      </c>
      <c r="R12" s="16">
        <f>IFERROR(__xludf.DUMMYFUNCTION("IF(OR(ISBLANK($G12), IFERROR(INDEX(GOOGLEFINANCE($C12, ""price"", WORKDAY(INT($B12), 5)), 2, 2), """")=""""), """", IF($D12=""LONG"", (IFERROR(INDEX(GOOGLEFINANCE($C12, ""price"", WORKDAY(INT($B12), 5)), 2, 2), """")-$G12)/$G12, ($G12-IFERROR(INDEX(GOOGLE"&amp;"FINANCE($C12, ""price"", WORKDAY(INT($B12), 5)), 2, 2), """"))/$G12))"),-0.009067357512953289)</f>
        <v>-0.009067357513</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157</v>
      </c>
    </row>
    <row r="13">
      <c r="A13" s="9">
        <f t="shared" si="1"/>
        <v>12</v>
      </c>
      <c r="B13" s="11">
        <v>46216.66740740741</v>
      </c>
      <c r="C13" s="10" t="s">
        <v>158</v>
      </c>
      <c r="D13" s="10" t="s">
        <v>36</v>
      </c>
      <c r="E13" s="10" t="s">
        <v>37</v>
      </c>
      <c r="F13" s="13">
        <v>2.0</v>
      </c>
      <c r="G13" s="14">
        <v>74.88</v>
      </c>
      <c r="H13" s="10" t="s">
        <v>160</v>
      </c>
      <c r="I13" s="10">
        <v>95.4</v>
      </c>
      <c r="O13" s="15">
        <f>IFERROR(__xludf.DUMMYFUNCTION("IF(ISBLANK($C13), """", GOOGLEFINANCE($C13, ""price""))"),72.06)</f>
        <v>72.06</v>
      </c>
      <c r="P13" s="16">
        <f t="shared" si="2"/>
        <v>-0.03766025641</v>
      </c>
      <c r="Q13" s="16">
        <f>IFERROR(__xludf.DUMMYFUNCTION("IF(OR(ISBLANK($G13), IFERROR(INDEX(GOOGLEFINANCE($C13, ""price"", WORKDAY(INT($B13), 1)), 2, 2), """")=""""), """", IF($D13=""LONG"", (IFERROR(INDEX(GOOGLEFINANCE($C13, ""price"", WORKDAY(INT($B13), 1)), 2, 2), """")-$G13)/$G13, ($G13-IFERROR(INDEX(GOOGLE"&amp;"FINANCE($C13, ""price"", WORKDAY(INT($B13), 1)), 2, 2), """"))/$G13))"),-0.003205128205128137)</f>
        <v>-0.003205128205</v>
      </c>
      <c r="R13" s="16">
        <f>IFERROR(__xludf.DUMMYFUNCTION("IF(OR(ISBLANK($G13), IFERROR(INDEX(GOOGLEFINANCE($C13, ""price"", WORKDAY(INT($B13), 5)), 2, 2), """")=""""), """", IF($D13=""LONG"", (IFERROR(INDEX(GOOGLEFINANCE($C13, ""price"", WORKDAY(INT($B13), 5)), 2, 2), """")-$G13)/$G13, ($G13-IFERROR(INDEX(GOOGLE"&amp;"FINANCE($C13, ""price"", WORKDAY(INT($B13), 5)), 2, 2), """"))/$G13))"),-0.011084401709401687)</f>
        <v>-0.01108440171</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164</v>
      </c>
    </row>
    <row r="14">
      <c r="A14" s="9">
        <f t="shared" si="1"/>
        <v>13</v>
      </c>
      <c r="B14" s="11">
        <v>46216.66740740741</v>
      </c>
      <c r="C14" s="10" t="s">
        <v>166</v>
      </c>
      <c r="D14" s="10" t="s">
        <v>36</v>
      </c>
      <c r="E14" s="10" t="s">
        <v>37</v>
      </c>
      <c r="F14" s="13">
        <v>2.0</v>
      </c>
      <c r="G14" s="14">
        <v>124.25</v>
      </c>
      <c r="H14" s="10" t="s">
        <v>168</v>
      </c>
      <c r="I14" s="10">
        <v>90.0</v>
      </c>
      <c r="O14" s="15">
        <f>IFERROR(__xludf.DUMMYFUNCTION("IF(ISBLANK($C14), """", GOOGLEFINANCE($C14, ""price""))"),132.06)</f>
        <v>132.06</v>
      </c>
      <c r="P14" s="16">
        <f t="shared" si="2"/>
        <v>0.06285714286</v>
      </c>
      <c r="Q14" s="16">
        <f>IFERROR(__xludf.DUMMYFUNCTION("IF(OR(ISBLANK($G14), IFERROR(INDEX(GOOGLEFINANCE($C14, ""price"", WORKDAY(INT($B14), 1)), 2, 2), """")=""""), """", IF($D14=""LONG"", (IFERROR(INDEX(GOOGLEFINANCE($C14, ""price"", WORKDAY(INT($B14), 1)), 2, 2), """")-$G14)/$G14, ($G14-IFERROR(INDEX(GOOGLE"&amp;"FINANCE($C14, ""price"", WORKDAY(INT($B14), 1)), 2, 2), """"))/$G14))"),-0.002494969818913499)</f>
        <v>-0.002494969819</v>
      </c>
      <c r="R14" s="16">
        <f>IFERROR(__xludf.DUMMYFUNCTION("IF(OR(ISBLANK($G14), IFERROR(INDEX(GOOGLEFINANCE($C14, ""price"", WORKDAY(INT($B14), 5)), 2, 2), """")=""""), """", IF($D14=""LONG"", (IFERROR(INDEX(GOOGLEFINANCE($C14, ""price"", WORKDAY(INT($B14), 5)), 2, 2), """")-$G14)/$G14, ($G14-IFERROR(INDEX(GOOGLE"&amp;"FINANCE($C14, ""price"", WORKDAY(INT($B14), 5)), 2, 2), """"))/$G14))"),6.43863179074433E-4)</f>
        <v>0.0006438631791</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177</v>
      </c>
    </row>
    <row r="15">
      <c r="A15" s="9">
        <f t="shared" si="1"/>
        <v>14</v>
      </c>
      <c r="B15" s="11">
        <v>46216.667395833334</v>
      </c>
      <c r="C15" s="10" t="s">
        <v>180</v>
      </c>
      <c r="D15" s="10" t="s">
        <v>36</v>
      </c>
      <c r="E15" s="10" t="s">
        <v>37</v>
      </c>
      <c r="F15" s="13">
        <v>2.0</v>
      </c>
      <c r="G15" s="14">
        <v>429.13</v>
      </c>
      <c r="H15" s="10" t="s">
        <v>182</v>
      </c>
      <c r="I15" s="10">
        <v>89.4</v>
      </c>
      <c r="O15" s="15">
        <f>IFERROR(__xludf.DUMMYFUNCTION("IF(ISBLANK($C15), """", GOOGLEFINANCE($C15, ""price""))"),403.97)</f>
        <v>403.97</v>
      </c>
      <c r="P15" s="16">
        <f t="shared" si="2"/>
        <v>-0.05863025191</v>
      </c>
      <c r="Q15" s="16">
        <f>IFERROR(__xludf.DUMMYFUNCTION("IF(OR(ISBLANK($G15), IFERROR(INDEX(GOOGLEFINANCE($C15, ""price"", WORKDAY(INT($B15), 1)), 2, 2), """")=""""), """", IF($D15=""LONG"", (IFERROR(INDEX(GOOGLEFINANCE($C15, ""price"", WORKDAY(INT($B15), 1)), 2, 2), """")-$G15)/$G15, ($G15-IFERROR(INDEX(GOOGLE"&amp;"FINANCE($C15, ""price"", WORKDAY(INT($B15), 1)), 2, 2), """"))/$G15))"),-0.00918136695173956)</f>
        <v>-0.009181366952</v>
      </c>
      <c r="R15" s="16">
        <f>IFERROR(__xludf.DUMMYFUNCTION("IF(OR(ISBLANK($G15), IFERROR(INDEX(GOOGLEFINANCE($C15, ""price"", WORKDAY(INT($B15), 5)), 2, 2), """")=""""), """", IF($D15=""LONG"", (IFERROR(INDEX(GOOGLEFINANCE($C15, ""price"", WORKDAY(INT($B15), 5)), 2, 2), """")-$G15)/$G15, ($G15-IFERROR(INDEX(GOOGLE"&amp;"FINANCE($C15, ""price"", WORKDAY(INT($B15), 5)), 2, 2), """"))/$G15))"),-0.017663645049285727)</f>
        <v>-0.01766364505</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192</v>
      </c>
    </row>
    <row r="16">
      <c r="A16" s="9">
        <f t="shared" si="1"/>
        <v>15</v>
      </c>
      <c r="B16" s="11">
        <v>46216.66740740741</v>
      </c>
      <c r="C16" s="10" t="s">
        <v>104</v>
      </c>
      <c r="D16" s="10" t="s">
        <v>36</v>
      </c>
      <c r="E16" s="10" t="s">
        <v>37</v>
      </c>
      <c r="F16" s="13">
        <v>2.0</v>
      </c>
      <c r="G16" s="14">
        <v>123.44</v>
      </c>
      <c r="H16" s="10" t="s">
        <v>193</v>
      </c>
      <c r="I16" s="10">
        <v>96.2</v>
      </c>
      <c r="O16" s="15">
        <f>IFERROR(__xludf.DUMMYFUNCTION("IF(ISBLANK($C16), """", GOOGLEFINANCE($C16, ""price""))"),127.45)</f>
        <v>127.45</v>
      </c>
      <c r="P16" s="16">
        <f t="shared" si="2"/>
        <v>0.03248541802</v>
      </c>
      <c r="Q16" s="16">
        <f>IFERROR(__xludf.DUMMYFUNCTION("IF(OR(ISBLANK($G16), IFERROR(INDEX(GOOGLEFINANCE($C16, ""price"", WORKDAY(INT($B16), 1)), 2, 2), """")=""""), """", IF($D16=""LONG"", (IFERROR(INDEX(GOOGLEFINANCE($C16, ""price"", WORKDAY(INT($B16), 1)), 2, 2), """")-$G16)/$G16, ($G16-IFERROR(INDEX(GOOGLE"&amp;"FINANCE($C16, ""price"", WORKDAY(INT($B16), 1)), 2, 2), """"))/$G16))"),-0.026733635774465303)</f>
        <v>-0.02673363577</v>
      </c>
      <c r="R16" s="16">
        <f>IFERROR(__xludf.DUMMYFUNCTION("IF(OR(ISBLANK($G16), IFERROR(INDEX(GOOGLEFINANCE($C16, ""price"", WORKDAY(INT($B16), 5)), 2, 2), """")=""""), """", IF($D16=""LONG"", (IFERROR(INDEX(GOOGLEFINANCE($C16, ""price"", WORKDAY(INT($B16), 5)), 2, 2), """")-$G16)/$G16, ($G16-IFERROR(INDEX(GOOGLE"&amp;"FINANCE($C16, ""price"", WORKDAY(INT($B16), 5)), 2, 2), """"))/$G16))"),0.01061244329228777)</f>
        <v>0.01061244329</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200</v>
      </c>
    </row>
    <row r="17">
      <c r="A17" s="9">
        <f t="shared" si="1"/>
        <v>16</v>
      </c>
      <c r="B17" s="11">
        <v>46216.66736111111</v>
      </c>
      <c r="C17" s="10" t="s">
        <v>201</v>
      </c>
      <c r="D17" s="10" t="s">
        <v>36</v>
      </c>
      <c r="E17" s="10" t="s">
        <v>37</v>
      </c>
      <c r="F17" s="13">
        <v>2.0</v>
      </c>
      <c r="G17" s="14">
        <v>131.51</v>
      </c>
      <c r="H17" s="10" t="s">
        <v>203</v>
      </c>
      <c r="I17" s="10">
        <v>97.7</v>
      </c>
      <c r="O17" s="15">
        <f>IFERROR(__xludf.DUMMYFUNCTION("IF(ISBLANK($C17), """", GOOGLEFINANCE($C17, ""price""))"),134.82)</f>
        <v>134.82</v>
      </c>
      <c r="P17" s="16">
        <f t="shared" si="2"/>
        <v>0.02516918865</v>
      </c>
      <c r="Q17" s="16">
        <f>IFERROR(__xludf.DUMMYFUNCTION("IF(OR(ISBLANK($G17), IFERROR(INDEX(GOOGLEFINANCE($C17, ""price"", WORKDAY(INT($B17), 1)), 2, 2), """")=""""), """", IF($D17=""LONG"", (IFERROR(INDEX(GOOGLEFINANCE($C17, ""price"", WORKDAY(INT($B17), 1)), 2, 2), """")-$G17)/$G17, ($G17-IFERROR(INDEX(GOOGLE"&amp;"FINANCE($C17, ""price"", WORKDAY(INT($B17), 1)), 2, 2), """"))/$G17))"),4.56239069272316E-4)</f>
        <v>0.0004562390693</v>
      </c>
      <c r="R17" s="16">
        <f>IFERROR(__xludf.DUMMYFUNCTION("IF(OR(ISBLANK($G17), IFERROR(INDEX(GOOGLEFINANCE($C17, ""price"", WORKDAY(INT($B17), 5)), 2, 2), """")=""""), """", IF($D17=""LONG"", (IFERROR(INDEX(GOOGLEFINANCE($C17, ""price"", WORKDAY(INT($B17), 5)), 2, 2), """")-$G17)/$G17, ($G17-IFERROR(INDEX(GOOGLE"&amp;"FINANCE($C17, ""price"", WORKDAY(INT($B17), 5)), 2, 2), """"))/$G17))"),0.016272526804045433)</f>
        <v>0.0162725268</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211</v>
      </c>
    </row>
    <row r="18">
      <c r="A18" s="9">
        <f t="shared" si="1"/>
        <v>17</v>
      </c>
      <c r="B18" s="11">
        <v>46216.66740740741</v>
      </c>
      <c r="C18" s="10" t="s">
        <v>212</v>
      </c>
      <c r="D18" s="10" t="s">
        <v>119</v>
      </c>
      <c r="E18" s="10" t="s">
        <v>120</v>
      </c>
      <c r="F18" s="13">
        <v>4.0</v>
      </c>
      <c r="G18" s="14">
        <v>114.8</v>
      </c>
      <c r="H18" s="10" t="s">
        <v>213</v>
      </c>
      <c r="I18" s="10">
        <v>5.7</v>
      </c>
      <c r="O18" s="15">
        <f>IFERROR(__xludf.DUMMYFUNCTION("IF(ISBLANK($C18), """", GOOGLEFINANCE($C18, ""price""))"),112.07)</f>
        <v>112.07</v>
      </c>
      <c r="P18" s="16">
        <f t="shared" si="2"/>
        <v>0.0237804878</v>
      </c>
      <c r="Q18" s="16">
        <f>IFERROR(__xludf.DUMMYFUNCTION("IF(OR(ISBLANK($G18), IFERROR(INDEX(GOOGLEFINANCE($C18, ""price"", WORKDAY(INT($B18), 1)), 2, 2), """")=""""), """", IF($D18=""LONG"", (IFERROR(INDEX(GOOGLEFINANCE($C18, ""price"", WORKDAY(INT($B18), 1)), 2, 2), """")-$G18)/$G18, ($G18-IFERROR(INDEX(GOOGLE"&amp;"FINANCE($C18, ""price"", WORKDAY(INT($B18), 1)), 2, 2), """"))/$G18))"),0.009581881533100996)</f>
        <v>0.009581881533</v>
      </c>
      <c r="R18" s="16">
        <f>IFERROR(__xludf.DUMMYFUNCTION("IF(OR(ISBLANK($G18), IFERROR(INDEX(GOOGLEFINANCE($C18, ""price"", WORKDAY(INT($B18), 5)), 2, 2), """")=""""), """", IF($D18=""LONG"", (IFERROR(INDEX(GOOGLEFINANCE($C18, ""price"", WORKDAY(INT($B18), 5)), 2, 2), """")-$G18)/$G18, ($G18-IFERROR(INDEX(GOOGLE"&amp;"FINANCE($C18, ""price"", WORKDAY(INT($B18), 5)), 2, 2), """"))/$G18))"),0.022648083623693333)</f>
        <v>0.02264808362</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221</v>
      </c>
    </row>
    <row r="19">
      <c r="A19" s="9">
        <f t="shared" si="1"/>
        <v>18</v>
      </c>
      <c r="B19" s="11">
        <v>46216.66743055556</v>
      </c>
      <c r="C19" s="10" t="s">
        <v>114</v>
      </c>
      <c r="D19" s="10" t="s">
        <v>36</v>
      </c>
      <c r="E19" s="10" t="s">
        <v>37</v>
      </c>
      <c r="F19" s="13">
        <v>2.0</v>
      </c>
      <c r="G19" s="14">
        <v>233.65</v>
      </c>
      <c r="H19" s="10" t="s">
        <v>225</v>
      </c>
      <c r="I19" s="10">
        <v>98.6</v>
      </c>
      <c r="O19" s="15">
        <f>IFERROR(__xludf.DUMMYFUNCTION("IF(ISBLANK($C19), """", GOOGLEFINANCE($C19, ""price""))"),237.66)</f>
        <v>237.66</v>
      </c>
      <c r="P19" s="16">
        <f t="shared" si="2"/>
        <v>0.01716242243</v>
      </c>
      <c r="Q19" s="16">
        <f>IFERROR(__xludf.DUMMYFUNCTION("IF(OR(ISBLANK($G19), IFERROR(INDEX(GOOGLEFINANCE($C19, ""price"", WORKDAY(INT($B19), 1)), 2, 2), """")=""""), """", IF($D19=""LONG"", (IFERROR(INDEX(GOOGLEFINANCE($C19, ""price"", WORKDAY(INT($B19), 1)), 2, 2), """")-$G19)/$G19, ($G19-IFERROR(INDEX(GOOGLE"&amp;"FINANCE($C19, ""price"", WORKDAY(INT($B19), 1)), 2, 2), """"))/$G19))"),-0.015150866680932984)</f>
        <v>-0.01515086668</v>
      </c>
      <c r="R19" s="16">
        <f>IFERROR(__xludf.DUMMYFUNCTION("IF(OR(ISBLANK($G19), IFERROR(INDEX(GOOGLEFINANCE($C19, ""price"", WORKDAY(INT($B19), 5)), 2, 2), """")=""""), """", IF($D19=""LONG"", (IFERROR(INDEX(GOOGLEFINANCE($C19, ""price"", WORKDAY(INT($B19), 5)), 2, 2), """")-$G19)/$G19, ($G19-IFERROR(INDEX(GOOGLE"&amp;"FINANCE($C19, ""price"", WORKDAY(INT($B19), 5)), 2, 2), """"))/$G19))"),-0.033811256152364674)</f>
        <v>-0.03381125615</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231</v>
      </c>
    </row>
    <row r="20">
      <c r="A20" s="9">
        <f t="shared" si="1"/>
        <v>19</v>
      </c>
      <c r="B20" s="11">
        <v>46216.66743055556</v>
      </c>
      <c r="C20" s="10" t="s">
        <v>82</v>
      </c>
      <c r="D20" s="10" t="s">
        <v>36</v>
      </c>
      <c r="E20" s="10" t="s">
        <v>37</v>
      </c>
      <c r="F20" s="13">
        <v>2.0</v>
      </c>
      <c r="G20" s="14">
        <v>155.99</v>
      </c>
      <c r="H20" s="10" t="s">
        <v>233</v>
      </c>
      <c r="I20" s="10">
        <v>91.5</v>
      </c>
      <c r="O20" s="15">
        <f>IFERROR(__xludf.DUMMYFUNCTION("IF(ISBLANK($C20), """", GOOGLEFINANCE($C20, ""price""))"),170.61)</f>
        <v>170.61</v>
      </c>
      <c r="P20" s="16">
        <f t="shared" si="2"/>
        <v>0.09372395666</v>
      </c>
      <c r="Q20" s="16">
        <f>IFERROR(__xludf.DUMMYFUNCTION("IF(OR(ISBLANK($G20), IFERROR(INDEX(GOOGLEFINANCE($C20, ""price"", WORKDAY(INT($B20), 1)), 2, 2), """")=""""), """", IF($D20=""LONG"", (IFERROR(INDEX(GOOGLEFINANCE($C20, ""price"", WORKDAY(INT($B20), 1)), 2, 2), """")-$G20)/$G20, ($G20-IFERROR(INDEX(GOOGLE"&amp;"FINANCE($C20, ""price"", WORKDAY(INT($B20), 1)), 2, 2), """"))/$G20))"),0.015257388294121387)</f>
        <v>0.01525738829</v>
      </c>
      <c r="R20" s="16">
        <f>IFERROR(__xludf.DUMMYFUNCTION("IF(OR(ISBLANK($G20), IFERROR(INDEX(GOOGLEFINANCE($C20, ""price"", WORKDAY(INT($B20), 5)), 2, 2), """")=""""), """", IF($D20=""LONG"", (IFERROR(INDEX(GOOGLEFINANCE($C20, ""price"", WORKDAY(INT($B20), 5)), 2, 2), """")-$G20)/$G20, ($G20-IFERROR(INDEX(GOOGLE"&amp;"FINANCE($C20, ""price"", WORKDAY(INT($B20), 5)), 2, 2), """"))/$G20))"),-0.035130457080582204)</f>
        <v>-0.03513045708</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241</v>
      </c>
    </row>
    <row r="21">
      <c r="A21" s="9">
        <f t="shared" si="1"/>
        <v>20</v>
      </c>
      <c r="B21" s="11">
        <v>46216.66740740741</v>
      </c>
      <c r="C21" s="10" t="s">
        <v>243</v>
      </c>
      <c r="D21" s="10" t="s">
        <v>119</v>
      </c>
      <c r="E21" s="10" t="s">
        <v>120</v>
      </c>
      <c r="F21" s="13">
        <v>4.0</v>
      </c>
      <c r="G21" s="14">
        <v>125.13</v>
      </c>
      <c r="H21" s="10" t="s">
        <v>244</v>
      </c>
      <c r="I21" s="10">
        <v>5.2</v>
      </c>
      <c r="O21" s="15">
        <f>IFERROR(__xludf.DUMMYFUNCTION("IF(ISBLANK($C21), """", GOOGLEFINANCE($C21, ""price""))"),118.55)</f>
        <v>118.55</v>
      </c>
      <c r="P21" s="16">
        <f t="shared" si="2"/>
        <v>0.05258531128</v>
      </c>
      <c r="Q21" s="16">
        <f>IFERROR(__xludf.DUMMYFUNCTION("IF(OR(ISBLANK($G21), IFERROR(INDEX(GOOGLEFINANCE($C21, ""price"", WORKDAY(INT($B21), 1)), 2, 2), """")=""""), """", IF($D21=""LONG"", (IFERROR(INDEX(GOOGLEFINANCE($C21, ""price"", WORKDAY(INT($B21), 1)), 2, 2), """")-$G21)/$G21, ($G21-IFERROR(INDEX(GOOGLE"&amp;"FINANCE($C21, ""price"", WORKDAY(INT($B21), 1)), 2, 2), """"))/$G21))"),-0.00783185487093426)</f>
        <v>-0.007831854871</v>
      </c>
      <c r="R21" s="16">
        <f>IFERROR(__xludf.DUMMYFUNCTION("IF(OR(ISBLANK($G21), IFERROR(INDEX(GOOGLEFINANCE($C21, ""price"", WORKDAY(INT($B21), 5)), 2, 2), """")=""""), """", IF($D21=""LONG"", (IFERROR(INDEX(GOOGLEFINANCE($C21, ""price"", WORKDAY(INT($B21), 5)), 2, 2), """")-$G21)/$G21, ($G21-IFERROR(INDEX(GOOGLE"&amp;"FINANCE($C21, ""price"", WORKDAY(INT($B21), 5)), 2, 2), """"))/$G21))"),0.015983377287620875)</f>
        <v>0.01598337729</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249</v>
      </c>
    </row>
    <row r="22">
      <c r="A22" s="9">
        <f t="shared" si="1"/>
        <v>21</v>
      </c>
      <c r="B22" s="11">
        <v>46216.66736111111</v>
      </c>
      <c r="C22" s="10" t="s">
        <v>123</v>
      </c>
      <c r="D22" s="10" t="s">
        <v>36</v>
      </c>
      <c r="E22" s="10" t="s">
        <v>37</v>
      </c>
      <c r="F22" s="13">
        <v>2.0</v>
      </c>
      <c r="G22" s="14">
        <v>17.93</v>
      </c>
      <c r="H22" s="10" t="s">
        <v>250</v>
      </c>
      <c r="I22" s="10">
        <v>94.9</v>
      </c>
      <c r="O22" s="15">
        <f>IFERROR(__xludf.DUMMYFUNCTION("IF(ISBLANK($C22), """", GOOGLEFINANCE($C22, ""price""))"),17.36)</f>
        <v>17.36</v>
      </c>
      <c r="P22" s="16">
        <f t="shared" si="2"/>
        <v>-0.03179029559</v>
      </c>
      <c r="Q22" s="16">
        <f>IFERROR(__xludf.DUMMYFUNCTION("IF(OR(ISBLANK($G22), IFERROR(INDEX(GOOGLEFINANCE($C22, ""price"", WORKDAY(INT($B22), 1)), 2, 2), """")=""""), """", IF($D22=""LONG"", (IFERROR(INDEX(GOOGLEFINANCE($C22, ""price"", WORKDAY(INT($B22), 1)), 2, 2), """")-$G22)/$G22, ($G22-IFERROR(INDEX(GOOGLE"&amp;"FINANCE($C22, ""price"", WORKDAY(INT($B22), 1)), 2, 2), """"))/$G22))"),-0.0044617958728387225)</f>
        <v>-0.004461795873</v>
      </c>
      <c r="R22" s="16">
        <f>IFERROR(__xludf.DUMMYFUNCTION("IF(OR(ISBLANK($G22), IFERROR(INDEX(GOOGLEFINANCE($C22, ""price"", WORKDAY(INT($B22), 5)), 2, 2), """")=""""), """", IF($D22=""LONG"", (IFERROR(INDEX(GOOGLEFINANCE($C22, ""price"", WORKDAY(INT($B22), 5)), 2, 2), """")-$G22)/$G22, ($G22-IFERROR(INDEX(GOOGLE"&amp;"FINANCE($C22, ""price"", WORKDAY(INT($B22), 5)), 2, 2), """"))/$G22))"),0.007250418293363023)</f>
        <v>0.007250418293</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255</v>
      </c>
    </row>
    <row r="23">
      <c r="A23" s="9">
        <f t="shared" si="1"/>
        <v>22</v>
      </c>
      <c r="B23" s="11">
        <v>46216.66744212963</v>
      </c>
      <c r="C23" s="10" t="s">
        <v>258</v>
      </c>
      <c r="D23" s="10" t="s">
        <v>36</v>
      </c>
      <c r="E23" s="10" t="s">
        <v>37</v>
      </c>
      <c r="F23" s="13">
        <v>2.0</v>
      </c>
      <c r="G23" s="14">
        <v>113.65</v>
      </c>
      <c r="H23" s="10" t="s">
        <v>259</v>
      </c>
      <c r="I23" s="10">
        <v>94.3</v>
      </c>
      <c r="O23" s="15">
        <f>IFERROR(__xludf.DUMMYFUNCTION("IF(ISBLANK($C23), """", GOOGLEFINANCE($C23, ""price""))"),113.62)</f>
        <v>113.62</v>
      </c>
      <c r="P23" s="16">
        <f t="shared" si="2"/>
        <v>-0.0002639683238</v>
      </c>
      <c r="Q23" s="16">
        <f>IFERROR(__xludf.DUMMYFUNCTION("IF(OR(ISBLANK($G23), IFERROR(INDEX(GOOGLEFINANCE($C23, ""price"", WORKDAY(INT($B23), 1)), 2, 2), """")=""""), """", IF($D23=""LONG"", (IFERROR(INDEX(GOOGLEFINANCE($C23, ""price"", WORKDAY(INT($B23), 1)), 2, 2), """")-$G23)/$G23, ($G23-IFERROR(INDEX(GOOGLE"&amp;"FINANCE($C23, ""price"", WORKDAY(INT($B23), 1)), 2, 2), """"))/$G23))"),0.021293444786625496)</f>
        <v>0.02129344479</v>
      </c>
      <c r="R23" s="16">
        <f>IFERROR(__xludf.DUMMYFUNCTION("IF(OR(ISBLANK($G23), IFERROR(INDEX(GOOGLEFINANCE($C23, ""price"", WORKDAY(INT($B23), 5)), 2, 2), """")=""""), """", IF($D23=""LONG"", (IFERROR(INDEX(GOOGLEFINANCE($C23, ""price"", WORKDAY(INT($B23), 5)), 2, 2), """")-$G23)/$G23, ($G23-IFERROR(INDEX(GOOGLE"&amp;"FINANCE($C23, ""price"", WORKDAY(INT($B23), 5)), 2, 2), """"))/$G23))"),0.02498900131984152)</f>
        <v>0.02498900132</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266</v>
      </c>
    </row>
    <row r="24">
      <c r="A24" s="9">
        <f t="shared" si="1"/>
        <v>23</v>
      </c>
      <c r="B24" s="11">
        <v>46216.66736111111</v>
      </c>
      <c r="C24" s="10" t="s">
        <v>267</v>
      </c>
      <c r="D24" s="10" t="s">
        <v>36</v>
      </c>
      <c r="E24" s="10" t="s">
        <v>37</v>
      </c>
      <c r="F24" s="13">
        <v>2.0</v>
      </c>
      <c r="G24" s="14">
        <v>189.6</v>
      </c>
      <c r="H24" s="10" t="s">
        <v>268</v>
      </c>
      <c r="I24" s="10">
        <v>97.9</v>
      </c>
      <c r="O24" s="15">
        <f>IFERROR(__xludf.DUMMYFUNCTION("IF(ISBLANK($C24), """", GOOGLEFINANCE($C24, ""price""))"),213.26)</f>
        <v>213.26</v>
      </c>
      <c r="P24" s="16">
        <f t="shared" si="2"/>
        <v>0.1247890295</v>
      </c>
      <c r="Q24" s="16">
        <f>IFERROR(__xludf.DUMMYFUNCTION("IF(OR(ISBLANK($G24), IFERROR(INDEX(GOOGLEFINANCE($C24, ""price"", WORKDAY(INT($B24), 1)), 2, 2), """")=""""), """", IF($D24=""LONG"", (IFERROR(INDEX(GOOGLEFINANCE($C24, ""price"", WORKDAY(INT($B24), 1)), 2, 2), """")-$G24)/$G24, ($G24-IFERROR(INDEX(GOOGLE"&amp;"FINANCE($C24, ""price"", WORKDAY(INT($B24), 1)), 2, 2), """"))/$G24))"),-0.009546413502109717)</f>
        <v>-0.009546413502</v>
      </c>
      <c r="R24" s="16">
        <f>IFERROR(__xludf.DUMMYFUNCTION("IF(OR(ISBLANK($G24), IFERROR(INDEX(GOOGLEFINANCE($C24, ""price"", WORKDAY(INT($B24), 5)), 2, 2), """")=""""), """", IF($D24=""LONG"", (IFERROR(INDEX(GOOGLEFINANCE($C24, ""price"", WORKDAY(INT($B24), 5)), 2, 2), """")-$G24)/$G24, ($G24-IFERROR(INDEX(GOOGLE"&amp;"FINANCE($C24, ""price"", WORKDAY(INT($B24), 5)), 2, 2), """"))/$G24))"),-0.003059071729957722)</f>
        <v>-0.00305907173</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274</v>
      </c>
    </row>
    <row r="25">
      <c r="A25" s="9">
        <f t="shared" si="1"/>
        <v>24</v>
      </c>
      <c r="B25" s="11">
        <v>46216.66741898148</v>
      </c>
      <c r="C25" s="10" t="s">
        <v>154</v>
      </c>
      <c r="D25" s="10" t="s">
        <v>36</v>
      </c>
      <c r="E25" s="10" t="s">
        <v>37</v>
      </c>
      <c r="F25" s="13">
        <v>2.0</v>
      </c>
      <c r="G25" s="14">
        <v>160.66</v>
      </c>
      <c r="H25" s="10" t="s">
        <v>277</v>
      </c>
      <c r="I25" s="10">
        <v>93.1</v>
      </c>
      <c r="O25" s="15">
        <f>IFERROR(__xludf.DUMMYFUNCTION("IF(ISBLANK($C25), """", GOOGLEFINANCE($C25, ""price""))"),160.11)</f>
        <v>160.11</v>
      </c>
      <c r="P25" s="16">
        <f t="shared" si="2"/>
        <v>-0.003423378563</v>
      </c>
      <c r="Q25" s="16">
        <f>IFERROR(__xludf.DUMMYFUNCTION("IF(OR(ISBLANK($G25), IFERROR(INDEX(GOOGLEFINANCE($C25, ""price"", WORKDAY(INT($B25), 1)), 2, 2), """")=""""), """", IF($D25=""LONG"", (IFERROR(INDEX(GOOGLEFINANCE($C25, ""price"", WORKDAY(INT($B25), 1)), 2, 2), """")-$G25)/$G25, ($G25-IFERROR(INDEX(GOOGLE"&amp;"FINANCE($C25, ""price"", WORKDAY(INT($B25), 1)), 2, 2), """"))/$G25))"),0.03840408315697757)</f>
        <v>0.03840408316</v>
      </c>
      <c r="R25" s="16">
        <f>IFERROR(__xludf.DUMMYFUNCTION("IF(OR(ISBLANK($G25), IFERROR(INDEX(GOOGLEFINANCE($C25, ""price"", WORKDAY(INT($B25), 5)), 2, 2), """")=""""), """", IF($D25=""LONG"", (IFERROR(INDEX(GOOGLEFINANCE($C25, ""price"", WORKDAY(INT($B25), 5)), 2, 2), """")-$G25)/$G25, ($G25-IFERROR(INDEX(GOOGLE"&amp;"FINANCE($C25, ""price"", WORKDAY(INT($B25), 5)), 2, 2), """"))/$G25))"),-0.0018672973982321857)</f>
        <v>-0.001867297398</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284</v>
      </c>
    </row>
    <row r="26">
      <c r="A26" s="9">
        <f t="shared" si="1"/>
        <v>25</v>
      </c>
      <c r="B26" s="11">
        <v>46216.66737268519</v>
      </c>
      <c r="C26" s="10" t="s">
        <v>63</v>
      </c>
      <c r="D26" s="10" t="s">
        <v>36</v>
      </c>
      <c r="E26" s="10" t="s">
        <v>37</v>
      </c>
      <c r="F26" s="13">
        <v>2.0</v>
      </c>
      <c r="G26" s="14">
        <v>151.25</v>
      </c>
      <c r="H26" s="10" t="s">
        <v>285</v>
      </c>
      <c r="I26" s="10">
        <v>85.9</v>
      </c>
      <c r="O26" s="15">
        <f>IFERROR(__xludf.DUMMYFUNCTION("IF(ISBLANK($C26), """", GOOGLEFINANCE($C26, ""price""))"),158.82)</f>
        <v>158.82</v>
      </c>
      <c r="P26" s="16">
        <f t="shared" si="2"/>
        <v>0.05004958678</v>
      </c>
      <c r="Q26" s="16">
        <f>IFERROR(__xludf.DUMMYFUNCTION("IF(OR(ISBLANK($G26), IFERROR(INDEX(GOOGLEFINANCE($C26, ""price"", WORKDAY(INT($B26), 1)), 2, 2), """")=""""), """", IF($D26=""LONG"", (IFERROR(INDEX(GOOGLEFINANCE($C26, ""price"", WORKDAY(INT($B26), 1)), 2, 2), """")-$G26)/$G26, ($G26-IFERROR(INDEX(GOOGLE"&amp;"FINANCE($C26, ""price"", WORKDAY(INT($B26), 1)), 2, 2), """"))/$G26))"),0.021487603305785124)</f>
        <v>0.02148760331</v>
      </c>
      <c r="R26" s="16">
        <f>IFERROR(__xludf.DUMMYFUNCTION("IF(OR(ISBLANK($G26), IFERROR(INDEX(GOOGLEFINANCE($C26, ""price"", WORKDAY(INT($B26), 5)), 2, 2), """")=""""), """", IF($D26=""LONG"", (IFERROR(INDEX(GOOGLEFINANCE($C26, ""price"", WORKDAY(INT($B26), 5)), 2, 2), """")-$G26)/$G26, ($G26-IFERROR(INDEX(GOOGLE"&amp;"FINANCE($C26, ""price"", WORKDAY(INT($B26), 5)), 2, 2), """"))/$G26))"),0.037553719008264506)</f>
        <v>0.03755371901</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289</v>
      </c>
    </row>
    <row r="27">
      <c r="A27" s="9">
        <f t="shared" si="1"/>
        <v>26</v>
      </c>
      <c r="B27" s="11">
        <v>46216.6674537037</v>
      </c>
      <c r="C27" s="10" t="s">
        <v>191</v>
      </c>
      <c r="D27" s="10" t="s">
        <v>36</v>
      </c>
      <c r="E27" s="10" t="s">
        <v>37</v>
      </c>
      <c r="F27" s="13">
        <v>2.0</v>
      </c>
      <c r="G27" s="14">
        <v>22.59</v>
      </c>
      <c r="H27" s="10" t="s">
        <v>290</v>
      </c>
      <c r="I27" s="10">
        <v>96.6</v>
      </c>
      <c r="O27" s="15">
        <f>IFERROR(__xludf.DUMMYFUNCTION("IF(ISBLANK($C27), """", GOOGLEFINANCE($C27, ""price""))"),27.01)</f>
        <v>27.01</v>
      </c>
      <c r="P27" s="16">
        <f t="shared" si="2"/>
        <v>0.1956617973</v>
      </c>
      <c r="Q27" s="16">
        <f>IFERROR(__xludf.DUMMYFUNCTION("IF(OR(ISBLANK($G27), IFERROR(INDEX(GOOGLEFINANCE($C27, ""price"", WORKDAY(INT($B27), 1)), 2, 2), """")=""""), """", IF($D27=""LONG"", (IFERROR(INDEX(GOOGLEFINANCE($C27, ""price"", WORKDAY(INT($B27), 1)), 2, 2), """")-$G27)/$G27, ($G27-IFERROR(INDEX(GOOGLE"&amp;"FINANCE($C27, ""price"", WORKDAY(INT($B27), 1)), 2, 2), """"))/$G27))"),-0.03497122620628593)</f>
        <v>-0.03497122621</v>
      </c>
      <c r="R27" s="16">
        <f>IFERROR(__xludf.DUMMYFUNCTION("IF(OR(ISBLANK($G27), IFERROR(INDEX(GOOGLEFINANCE($C27, ""price"", WORKDAY(INT($B27), 5)), 2, 2), """")=""""), """", IF($D27=""LONG"", (IFERROR(INDEX(GOOGLEFINANCE($C27, ""price"", WORKDAY(INT($B27), 5)), 2, 2), """")-$G27)/$G27, ($G27-IFERROR(INDEX(GOOGLE"&amp;"FINANCE($C27, ""price"", WORKDAY(INT($B27), 5)), 2, 2), """"))/$G27))"),-0.023019034971226187)</f>
        <v>-0.02301903497</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298</v>
      </c>
    </row>
    <row r="28">
      <c r="A28" s="9">
        <f t="shared" si="1"/>
        <v>27</v>
      </c>
      <c r="B28" s="11">
        <v>46216.6674537037</v>
      </c>
      <c r="C28" s="10" t="s">
        <v>300</v>
      </c>
      <c r="D28" s="10" t="s">
        <v>36</v>
      </c>
      <c r="E28" s="10" t="s">
        <v>37</v>
      </c>
      <c r="F28" s="13">
        <v>2.0</v>
      </c>
      <c r="G28" s="14">
        <v>290.34</v>
      </c>
      <c r="H28" s="10" t="s">
        <v>301</v>
      </c>
      <c r="I28" s="10">
        <v>94.0</v>
      </c>
      <c r="O28" s="15">
        <f>IFERROR(__xludf.DUMMYFUNCTION("IF(ISBLANK($C28), """", GOOGLEFINANCE($C28, ""price""))"),233.43)</f>
        <v>233.43</v>
      </c>
      <c r="P28" s="16">
        <f t="shared" si="2"/>
        <v>-0.1960115726</v>
      </c>
      <c r="Q28" s="16">
        <f>IFERROR(__xludf.DUMMYFUNCTION("IF(OR(ISBLANK($G28), IFERROR(INDEX(GOOGLEFINANCE($C28, ""price"", WORKDAY(INT($B28), 1)), 2, 2), """")=""""), """", IF($D28=""LONG"", (IFERROR(INDEX(GOOGLEFINANCE($C28, ""price"", WORKDAY(INT($B28), 1)), 2, 2), """")-$G28)/$G28, ($G28-IFERROR(INDEX(GOOGLE"&amp;"FINANCE($C28, ""price"", WORKDAY(INT($B28), 1)), 2, 2), """"))/$G28))"),-0.25235930288627123)</f>
        <v>-0.2523593029</v>
      </c>
      <c r="R28" s="16">
        <f>IFERROR(__xludf.DUMMYFUNCTION("IF(OR(ISBLANK($G28), IFERROR(INDEX(GOOGLEFINANCE($C28, ""price"", WORKDAY(INT($B28), 5)), 2, 2), """")=""""), """", IF($D28=""LONG"", (IFERROR(INDEX(GOOGLEFINANCE($C28, ""price"", WORKDAY(INT($B28), 5)), 2, 2), """")-$G28)/$G28, ($G28-IFERROR(INDEX(GOOGLE"&amp;"FINANCE($C28, ""price"", WORKDAY(INT($B28), 5)), 2, 2), """"))/$G28))"),-0.26637735069229174)</f>
        <v>-0.2663773507</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309</v>
      </c>
    </row>
    <row r="29">
      <c r="A29" s="9">
        <f t="shared" si="1"/>
        <v>28</v>
      </c>
      <c r="B29" s="11">
        <v>46216.66737268519</v>
      </c>
      <c r="C29" s="10" t="s">
        <v>310</v>
      </c>
      <c r="D29" s="10" t="s">
        <v>36</v>
      </c>
      <c r="E29" s="10" t="s">
        <v>133</v>
      </c>
      <c r="F29" s="13">
        <v>2.0</v>
      </c>
      <c r="G29" s="14">
        <v>207.47</v>
      </c>
      <c r="H29" s="10" t="s">
        <v>311</v>
      </c>
      <c r="I29" s="10">
        <v>87.0</v>
      </c>
      <c r="O29" s="15">
        <f>IFERROR(__xludf.DUMMYFUNCTION("IF(ISBLANK($C29), """", GOOGLEFINANCE($C29, ""price""))"),232.43)</f>
        <v>232.43</v>
      </c>
      <c r="P29" s="16">
        <f t="shared" si="2"/>
        <v>0.1203065503</v>
      </c>
      <c r="Q29" s="16">
        <f>IFERROR(__xludf.DUMMYFUNCTION("IF(OR(ISBLANK($G29), IFERROR(INDEX(GOOGLEFINANCE($C29, ""price"", WORKDAY(INT($B29), 1)), 2, 2), """")=""""), """", IF($D29=""LONG"", (IFERROR(INDEX(GOOGLEFINANCE($C29, ""price"", WORKDAY(INT($B29), 1)), 2, 2), """")-$G29)/$G29, ($G29-IFERROR(INDEX(GOOGLE"&amp;"FINANCE($C29, ""price"", WORKDAY(INT($B29), 1)), 2, 2), """"))/$G29))"),0.001735190629970664)</f>
        <v>0.00173519063</v>
      </c>
      <c r="R29" s="16">
        <f>IFERROR(__xludf.DUMMYFUNCTION("IF(OR(ISBLANK($G29), IFERROR(INDEX(GOOGLEFINANCE($C29, ""price"", WORKDAY(INT($B29), 5)), 2, 2), """")=""""), """", IF($D29=""LONG"", (IFERROR(INDEX(GOOGLEFINANCE($C29, ""price"", WORKDAY(INT($B29), 5)), 2, 2), """")-$G29)/$G29, ($G29-IFERROR(INDEX(GOOGLE"&amp;"FINANCE($C29, ""price"", WORKDAY(INT($B29), 5)), 2, 2), """"))/$G29))"),-0.01720730708054173)</f>
        <v>-0.01720730708</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318</v>
      </c>
    </row>
    <row r="30">
      <c r="A30" s="9">
        <f t="shared" si="1"/>
        <v>29</v>
      </c>
      <c r="B30" s="11">
        <v>46216.66737268519</v>
      </c>
      <c r="C30" s="10" t="s">
        <v>319</v>
      </c>
      <c r="D30" s="10" t="s">
        <v>36</v>
      </c>
      <c r="E30" s="10" t="s">
        <v>37</v>
      </c>
      <c r="F30" s="13">
        <v>2.0</v>
      </c>
      <c r="G30" s="14">
        <v>161.71</v>
      </c>
      <c r="H30" s="10" t="s">
        <v>321</v>
      </c>
      <c r="I30" s="10">
        <v>94.0</v>
      </c>
      <c r="O30" s="15">
        <f>IFERROR(__xludf.DUMMYFUNCTION("IF(ISBLANK($C30), """", GOOGLEFINANCE($C30, ""price""))"),152.28)</f>
        <v>152.28</v>
      </c>
      <c r="P30" s="16">
        <f t="shared" si="2"/>
        <v>-0.05831426628</v>
      </c>
      <c r="Q30" s="16">
        <f>IFERROR(__xludf.DUMMYFUNCTION("IF(OR(ISBLANK($G30), IFERROR(INDEX(GOOGLEFINANCE($C30, ""price"", WORKDAY(INT($B30), 1)), 2, 2), """")=""""), """", IF($D30=""LONG"", (IFERROR(INDEX(GOOGLEFINANCE($C30, ""price"", WORKDAY(INT($B30), 1)), 2, 2), """")-$G30)/$G30, ($G30-IFERROR(INDEX(GOOGLE"&amp;"FINANCE($C30, ""price"", WORKDAY(INT($B30), 1)), 2, 2), """"))/$G30))"),-0.02182920042050585)</f>
        <v>-0.02182920042</v>
      </c>
      <c r="R30" s="16">
        <f>IFERROR(__xludf.DUMMYFUNCTION("IF(OR(ISBLANK($G30), IFERROR(INDEX(GOOGLEFINANCE($C30, ""price"", WORKDAY(INT($B30), 5)), 2, 2), """")=""""), """", IF($D30=""LONG"", (IFERROR(INDEX(GOOGLEFINANCE($C30, ""price"", WORKDAY(INT($B30), 5)), 2, 2), """")-$G30)/$G30, ($G30-IFERROR(INDEX(GOOGLE"&amp;"FINANCE($C30, ""price"", WORKDAY(INT($B30), 5)), 2, 2), """"))/$G30))"),-0.08867726176488779)</f>
        <v>-0.08867726176</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327</v>
      </c>
    </row>
    <row r="31">
      <c r="A31" s="9">
        <f t="shared" si="1"/>
        <v>30</v>
      </c>
      <c r="B31" s="11">
        <v>46216.6674537037</v>
      </c>
      <c r="C31" s="10" t="s">
        <v>170</v>
      </c>
      <c r="D31" s="10" t="s">
        <v>36</v>
      </c>
      <c r="E31" s="10" t="s">
        <v>37</v>
      </c>
      <c r="F31" s="13">
        <v>2.0</v>
      </c>
      <c r="G31" s="14">
        <v>70.81</v>
      </c>
      <c r="H31" s="10" t="s">
        <v>330</v>
      </c>
      <c r="I31" s="10">
        <v>90.6</v>
      </c>
      <c r="O31" s="15">
        <f>IFERROR(__xludf.DUMMYFUNCTION("IF(ISBLANK($C31), """", GOOGLEFINANCE($C31, ""price""))"),66.8)</f>
        <v>66.8</v>
      </c>
      <c r="P31" s="16">
        <f t="shared" si="2"/>
        <v>-0.05663041943</v>
      </c>
      <c r="Q31" s="16">
        <f>IFERROR(__xludf.DUMMYFUNCTION("IF(OR(ISBLANK($G31), IFERROR(INDEX(GOOGLEFINANCE($C31, ""price"", WORKDAY(INT($B31), 1)), 2, 2), """")=""""), """", IF($D31=""LONG"", (IFERROR(INDEX(GOOGLEFINANCE($C31, ""price"", WORKDAY(INT($B31), 1)), 2, 2), """")-$G31)/$G31, ($G31-IFERROR(INDEX(GOOGLE"&amp;"FINANCE($C31, ""price"", WORKDAY(INT($B31), 1)), 2, 2), """"))/$G31))"),0.006919926564044554)</f>
        <v>0.006919926564</v>
      </c>
      <c r="R31" s="16">
        <f>IFERROR(__xludf.DUMMYFUNCTION("IF(OR(ISBLANK($G31), IFERROR(INDEX(GOOGLEFINANCE($C31, ""price"", WORKDAY(INT($B31), 5)), 2, 2), """")=""""), """", IF($D31=""LONG"", (IFERROR(INDEX(GOOGLEFINANCE($C31, ""price"", WORKDAY(INT($B31), 5)), 2, 2), """")-$G31)/$G31, ($G31-IFERROR(INDEX(GOOGLE"&amp;"FINANCE($C31, ""price"", WORKDAY(INT($B31), 5)), 2, 2), """"))/$G31))"),-0.006355034599632861)</f>
        <v>-0.0063550346</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335</v>
      </c>
    </row>
    <row r="32">
      <c r="A32" s="9">
        <f t="shared" si="1"/>
        <v>31</v>
      </c>
      <c r="B32" s="11">
        <v>46216.66761574074</v>
      </c>
      <c r="C32" s="10" t="s">
        <v>337</v>
      </c>
      <c r="D32" s="10" t="s">
        <v>119</v>
      </c>
      <c r="E32" s="10" t="s">
        <v>120</v>
      </c>
      <c r="F32" s="13">
        <v>4.0</v>
      </c>
      <c r="G32" s="14">
        <v>42.71</v>
      </c>
      <c r="H32" s="10" t="s">
        <v>338</v>
      </c>
      <c r="I32" s="10">
        <v>13.0</v>
      </c>
      <c r="O32" s="15">
        <f>IFERROR(__xludf.DUMMYFUNCTION("IF(ISBLANK($C32), """", GOOGLEFINANCE($C32, ""price""))"),46.99)</f>
        <v>46.99</v>
      </c>
      <c r="P32" s="16">
        <f t="shared" si="2"/>
        <v>-0.1002107235</v>
      </c>
      <c r="Q32" s="16">
        <f>IFERROR(__xludf.DUMMYFUNCTION("IF(OR(ISBLANK($G32), IFERROR(INDEX(GOOGLEFINANCE($C32, ""price"", WORKDAY(INT($B32), 1)), 2, 2), """")=""""), """", IF($D32=""LONG"", (IFERROR(INDEX(GOOGLEFINANCE($C32, ""price"", WORKDAY(INT($B32), 1)), 2, 2), """")-$G32)/$G32, ($G32-IFERROR(INDEX(GOOGLE"&amp;"FINANCE($C32, ""price"", WORKDAY(INT($B32), 1)), 2, 2), """"))/$G32))"),0.005619292905642753)</f>
        <v>0.005619292906</v>
      </c>
      <c r="R32" s="16">
        <f>IFERROR(__xludf.DUMMYFUNCTION("IF(OR(ISBLANK($G32), IFERROR(INDEX(GOOGLEFINANCE($C32, ""price"", WORKDAY(INT($B32), 5)), 2, 2), """")=""""), """", IF($D32=""LONG"", (IFERROR(INDEX(GOOGLEFINANCE($C32, ""price"", WORKDAY(INT($B32), 5)), 2, 2), """")-$G32)/$G32, ($G32-IFERROR(INDEX(GOOGLE"&amp;"FINANCE($C32, ""price"", WORKDAY(INT($B32), 5)), 2, 2), """"))/$G32))"),-0.018496839147740557)</f>
        <v>-0.01849683915</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346</v>
      </c>
    </row>
    <row r="33">
      <c r="A33" s="9">
        <f t="shared" si="1"/>
        <v>32</v>
      </c>
      <c r="B33" s="11">
        <v>46216.66744212963</v>
      </c>
      <c r="C33" s="10" t="s">
        <v>348</v>
      </c>
      <c r="D33" s="10" t="s">
        <v>36</v>
      </c>
      <c r="E33" s="10" t="s">
        <v>37</v>
      </c>
      <c r="F33" s="13">
        <v>2.0</v>
      </c>
      <c r="G33" s="14">
        <v>266.73</v>
      </c>
      <c r="H33" s="10" t="s">
        <v>349</v>
      </c>
      <c r="I33" s="10">
        <v>96.1</v>
      </c>
      <c r="O33" s="15">
        <f>IFERROR(__xludf.DUMMYFUNCTION("IF(ISBLANK($C33), """", GOOGLEFINANCE($C33, ""price""))"),364.24)</f>
        <v>364.24</v>
      </c>
      <c r="P33" s="16">
        <f t="shared" si="2"/>
        <v>0.3655756758</v>
      </c>
      <c r="Q33" s="16">
        <f>IFERROR(__xludf.DUMMYFUNCTION("IF(OR(ISBLANK($G33), IFERROR(INDEX(GOOGLEFINANCE($C33, ""price"", WORKDAY(INT($B33), 1)), 2, 2), """")=""""), """", IF($D33=""LONG"", (IFERROR(INDEX(GOOGLEFINANCE($C33, ""price"", WORKDAY(INT($B33), 1)), 2, 2), """")-$G33)/$G33, ($G33-IFERROR(INDEX(GOOGLE"&amp;"FINANCE($C33, ""price"", WORKDAY(INT($B33), 1)), 2, 2), """"))/$G33))"),-0.02481910546245268)</f>
        <v>-0.02481910546</v>
      </c>
      <c r="R33" s="16">
        <f>IFERROR(__xludf.DUMMYFUNCTION("IF(OR(ISBLANK($G33), IFERROR(INDEX(GOOGLEFINANCE($C33, ""price"", WORKDAY(INT($B33), 5)), 2, 2), """")=""""), """", IF($D33=""LONG"", (IFERROR(INDEX(GOOGLEFINANCE($C33, ""price"", WORKDAY(INT($B33), 5)), 2, 2), """")-$G33)/$G33, ($G33-IFERROR(INDEX(GOOGLE"&amp;"FINANCE($C33, ""price"", WORKDAY(INT($B33), 5)), 2, 2), """"))/$G33))"),-0.00764818355640543)</f>
        <v>-0.007648183556</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357</v>
      </c>
    </row>
    <row r="34">
      <c r="A34" s="9">
        <f t="shared" si="1"/>
        <v>33</v>
      </c>
      <c r="B34" s="11">
        <v>46216.66746527778</v>
      </c>
      <c r="C34" s="10" t="s">
        <v>358</v>
      </c>
      <c r="D34" s="10" t="s">
        <v>119</v>
      </c>
      <c r="E34" s="10" t="s">
        <v>120</v>
      </c>
      <c r="F34" s="13">
        <v>4.0</v>
      </c>
      <c r="G34" s="14">
        <v>47.37</v>
      </c>
      <c r="H34" s="10" t="s">
        <v>359</v>
      </c>
      <c r="I34" s="10">
        <v>2.6</v>
      </c>
      <c r="O34" s="15">
        <f>IFERROR(__xludf.DUMMYFUNCTION("IF(ISBLANK($C34), """", GOOGLEFINANCE($C34, ""price""))"),51.54)</f>
        <v>51.54</v>
      </c>
      <c r="P34" s="16">
        <f t="shared" si="2"/>
        <v>-0.08803039899</v>
      </c>
      <c r="Q34" s="16">
        <f>IFERROR(__xludf.DUMMYFUNCTION("IF(OR(ISBLANK($G34), IFERROR(INDEX(GOOGLEFINANCE($C34, ""price"", WORKDAY(INT($B34), 1)), 2, 2), """")=""""), """", IF($D34=""LONG"", (IFERROR(INDEX(GOOGLEFINANCE($C34, ""price"", WORKDAY(INT($B34), 1)), 2, 2), """")-$G34)/$G34, ($G34-IFERROR(INDEX(GOOGLE"&amp;"FINANCE($C34, ""price"", WORKDAY(INT($B34), 1)), 2, 2), """"))/$G34))"),-0.003588769263246817)</f>
        <v>-0.003588769263</v>
      </c>
      <c r="R34" s="16">
        <f>IFERROR(__xludf.DUMMYFUNCTION("IF(OR(ISBLANK($G34), IFERROR(INDEX(GOOGLEFINANCE($C34, ""price"", WORKDAY(INT($B34), 5)), 2, 2), """")=""""), """", IF($D34=""LONG"", (IFERROR(INDEX(GOOGLEFINANCE($C34, ""price"", WORKDAY(INT($B34), 5)), 2, 2), """")-$G34)/$G34, ($G34-IFERROR(INDEX(GOOGLE"&amp;"FINANCE($C34, ""price"", WORKDAY(INT($B34), 5)), 2, 2), """"))/$G34))"),0.02068819928224608)</f>
        <v>0.02068819928</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366</v>
      </c>
    </row>
    <row r="35">
      <c r="A35" s="9">
        <f t="shared" si="1"/>
        <v>34</v>
      </c>
      <c r="B35" s="11">
        <v>46216.66738425926</v>
      </c>
      <c r="C35" s="10" t="s">
        <v>367</v>
      </c>
      <c r="D35" s="10" t="s">
        <v>36</v>
      </c>
      <c r="E35" s="10" t="s">
        <v>37</v>
      </c>
      <c r="F35" s="13">
        <v>2.0</v>
      </c>
      <c r="G35" s="14">
        <v>108.59</v>
      </c>
      <c r="H35" s="10" t="s">
        <v>368</v>
      </c>
      <c r="I35" s="10">
        <v>96.2</v>
      </c>
      <c r="O35" s="15">
        <f>IFERROR(__xludf.DUMMYFUNCTION("IF(ISBLANK($C35), """", GOOGLEFINANCE($C35, ""price""))"),100.82)</f>
        <v>100.82</v>
      </c>
      <c r="P35" s="16">
        <f t="shared" si="2"/>
        <v>-0.07155355005</v>
      </c>
      <c r="Q35" s="16">
        <f>IFERROR(__xludf.DUMMYFUNCTION("IF(OR(ISBLANK($G35), IFERROR(INDEX(GOOGLEFINANCE($C35, ""price"", WORKDAY(INT($B35), 1)), 2, 2), """")=""""), """", IF($D35=""LONG"", (IFERROR(INDEX(GOOGLEFINANCE($C35, ""price"", WORKDAY(INT($B35), 1)), 2, 2), """")-$G35)/$G35, ($G35-IFERROR(INDEX(GOOGLE"&amp;"FINANCE($C35, ""price"", WORKDAY(INT($B35), 1)), 2, 2), """"))/$G35))"),0.0037756699511925277)</f>
        <v>0.003775669951</v>
      </c>
      <c r="R35" s="16">
        <f>IFERROR(__xludf.DUMMYFUNCTION("IF(OR(ISBLANK($G35), IFERROR(INDEX(GOOGLEFINANCE($C35, ""price"", WORKDAY(INT($B35), 5)), 2, 2), """")=""""), """", IF($D35=""LONG"", (IFERROR(INDEX(GOOGLEFINANCE($C35, ""price"", WORKDAY(INT($B35), 5)), 2, 2), """")-$G35)/$G35, ($G35-IFERROR(INDEX(GOOGLE"&amp;"FINANCE($C35, ""price"", WORKDAY(INT($B35), 5)), 2, 2), """"))/$G35))"),-0.02108849802007557)</f>
        <v>-0.02108849802</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375</v>
      </c>
    </row>
    <row r="36">
      <c r="A36" s="9">
        <f t="shared" si="1"/>
        <v>35</v>
      </c>
      <c r="B36" s="11">
        <v>46216.66740740741</v>
      </c>
      <c r="C36" s="10" t="s">
        <v>181</v>
      </c>
      <c r="D36" s="10" t="s">
        <v>119</v>
      </c>
      <c r="E36" s="10" t="s">
        <v>120</v>
      </c>
      <c r="F36" s="13">
        <v>4.0</v>
      </c>
      <c r="G36" s="14">
        <v>59.32</v>
      </c>
      <c r="H36" s="10" t="s">
        <v>376</v>
      </c>
      <c r="I36" s="10">
        <v>17.5</v>
      </c>
      <c r="O36" s="15">
        <f>IFERROR(__xludf.DUMMYFUNCTION("IF(ISBLANK($C36), """", GOOGLEFINANCE($C36, ""price""))"),57.32)</f>
        <v>57.32</v>
      </c>
      <c r="P36" s="16">
        <f t="shared" si="2"/>
        <v>0.03371544167</v>
      </c>
      <c r="Q36" s="16">
        <f>IFERROR(__xludf.DUMMYFUNCTION("IF(OR(ISBLANK($G36), IFERROR(INDEX(GOOGLEFINANCE($C36, ""price"", WORKDAY(INT($B36), 1)), 2, 2), """")=""""), """", IF($D36=""LONG"", (IFERROR(INDEX(GOOGLEFINANCE($C36, ""price"", WORKDAY(INT($B36), 1)), 2, 2), """")-$G36)/$G36, ($G36-IFERROR(INDEX(GOOGLE"&amp;"FINANCE($C36, ""price"", WORKDAY(INT($B36), 1)), 2, 2), """"))/$G36))"),0.009777478084962885)</f>
        <v>0.009777478085</v>
      </c>
      <c r="R36" s="16">
        <f>IFERROR(__xludf.DUMMYFUNCTION("IF(OR(ISBLANK($G36), IFERROR(INDEX(GOOGLEFINANCE($C36, ""price"", WORKDAY(INT($B36), 5)), 2, 2), """")=""""), """", IF($D36=""LONG"", (IFERROR(INDEX(GOOGLEFINANCE($C36, ""price"", WORKDAY(INT($B36), 5)), 2, 2), """")-$G36)/$G36, ($G36-IFERROR(INDEX(GOOGLE"&amp;"FINANCE($C36, ""price"", WORKDAY(INT($B36), 5)), 2, 2), """"))/$G36))"),0.01618341200269725)</f>
        <v>0.016183412</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387</v>
      </c>
    </row>
    <row r="37">
      <c r="A37" s="9">
        <f t="shared" si="1"/>
        <v>36</v>
      </c>
      <c r="B37" s="11">
        <v>46216.66747685185</v>
      </c>
      <c r="C37" s="10" t="s">
        <v>108</v>
      </c>
      <c r="D37" s="10" t="s">
        <v>36</v>
      </c>
      <c r="E37" s="10" t="s">
        <v>37</v>
      </c>
      <c r="F37" s="13">
        <v>2.0</v>
      </c>
      <c r="G37" s="14">
        <v>126.36</v>
      </c>
      <c r="H37" s="10" t="s">
        <v>390</v>
      </c>
      <c r="I37" s="10">
        <v>94.8</v>
      </c>
      <c r="O37" s="15">
        <f>IFERROR(__xludf.DUMMYFUNCTION("IF(ISBLANK($C37), """", GOOGLEFINANCE($C37, ""price""))"),129.68)</f>
        <v>129.68</v>
      </c>
      <c r="P37" s="16">
        <f t="shared" si="2"/>
        <v>0.02627413739</v>
      </c>
      <c r="Q37" s="16">
        <f>IFERROR(__xludf.DUMMYFUNCTION("IF(OR(ISBLANK($G37), IFERROR(INDEX(GOOGLEFINANCE($C37, ""price"", WORKDAY(INT($B37), 1)), 2, 2), """")=""""), """", IF($D37=""LONG"", (IFERROR(INDEX(GOOGLEFINANCE($C37, ""price"", WORKDAY(INT($B37), 1)), 2, 2), """")-$G37)/$G37, ($G37-IFERROR(INDEX(GOOGLE"&amp;"FINANCE($C37, ""price"", WORKDAY(INT($B37), 1)), 2, 2), """"))/$G37))"),-0.014245014245014223)</f>
        <v>-0.01424501425</v>
      </c>
      <c r="R37" s="16">
        <f>IFERROR(__xludf.DUMMYFUNCTION("IF(OR(ISBLANK($G37), IFERROR(INDEX(GOOGLEFINANCE($C37, ""price"", WORKDAY(INT($B37), 5)), 2, 2), """")=""""), """", IF($D37=""LONG"", (IFERROR(INDEX(GOOGLEFINANCE($C37, ""price"", WORKDAY(INT($B37), 5)), 2, 2), """")-$G37)/$G37, ($G37-IFERROR(INDEX(GOOGLE"&amp;"FINANCE($C37, ""price"", WORKDAY(INT($B37), 5)), 2, 2), """"))/$G37))"),1.5827793605568234E-4)</f>
        <v>0.0001582779361</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396</v>
      </c>
    </row>
    <row r="38">
      <c r="A38" s="9">
        <f t="shared" si="1"/>
        <v>37</v>
      </c>
      <c r="B38" s="11">
        <v>46216.6675</v>
      </c>
      <c r="C38" s="10" t="s">
        <v>398</v>
      </c>
      <c r="D38" s="10" t="s">
        <v>36</v>
      </c>
      <c r="E38" s="10" t="s">
        <v>133</v>
      </c>
      <c r="F38" s="13">
        <v>2.0</v>
      </c>
      <c r="G38" s="14">
        <v>71.39</v>
      </c>
      <c r="H38" s="10" t="s">
        <v>399</v>
      </c>
      <c r="I38" s="10">
        <v>91.3</v>
      </c>
      <c r="O38" s="15">
        <f>IFERROR(__xludf.DUMMYFUNCTION("IF(ISBLANK($C38), """", GOOGLEFINANCE($C38, ""price""))"),71.9)</f>
        <v>71.9</v>
      </c>
      <c r="P38" s="16">
        <f t="shared" si="2"/>
        <v>0.007143857683</v>
      </c>
      <c r="Q38" s="16">
        <f>IFERROR(__xludf.DUMMYFUNCTION("IF(OR(ISBLANK($G38), IFERROR(INDEX(GOOGLEFINANCE($C38, ""price"", WORKDAY(INT($B38), 1)), 2, 2), """")=""""), """", IF($D38=""LONG"", (IFERROR(INDEX(GOOGLEFINANCE($C38, ""price"", WORKDAY(INT($B38), 1)), 2, 2), """")-$G38)/$G38, ($G38-IFERROR(INDEX(GOOGLE"&amp;"FINANCE($C38, ""price"", WORKDAY(INT($B38), 1)), 2, 2), """"))/$G38))"),-0.002241210253536862)</f>
        <v>-0.002241210254</v>
      </c>
      <c r="R38" s="16">
        <f>IFERROR(__xludf.DUMMYFUNCTION("IF(OR(ISBLANK($G38), IFERROR(INDEX(GOOGLEFINANCE($C38, ""price"", WORKDAY(INT($B38), 5)), 2, 2), """")=""""), """", IF($D38=""LONG"", (IFERROR(INDEX(GOOGLEFINANCE($C38, ""price"", WORKDAY(INT($B38), 5)), 2, 2), """")-$G38)/$G38, ($G38-IFERROR(INDEX(GOOGLE"&amp;"FINANCE($C38, ""price"", WORKDAY(INT($B38), 5)), 2, 2), """"))/$G38))"),0.003501891021151422)</f>
        <v>0.003501891021</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407</v>
      </c>
    </row>
    <row r="39">
      <c r="A39" s="9">
        <f t="shared" si="1"/>
        <v>38</v>
      </c>
      <c r="B39" s="11">
        <v>46216.66747685185</v>
      </c>
      <c r="C39" s="10" t="s">
        <v>408</v>
      </c>
      <c r="D39" s="10" t="s">
        <v>36</v>
      </c>
      <c r="E39" s="10" t="s">
        <v>37</v>
      </c>
      <c r="F39" s="13">
        <v>2.0</v>
      </c>
      <c r="G39" s="14">
        <v>242.58</v>
      </c>
      <c r="H39" s="10" t="s">
        <v>409</v>
      </c>
      <c r="I39" s="10">
        <v>94.2</v>
      </c>
      <c r="O39" s="15">
        <f>IFERROR(__xludf.DUMMYFUNCTION("IF(ISBLANK($C39), """", GOOGLEFINANCE($C39, ""price""))"),250.14)</f>
        <v>250.14</v>
      </c>
      <c r="P39" s="16">
        <f t="shared" si="2"/>
        <v>0.0311649765</v>
      </c>
      <c r="Q39" s="16">
        <f>IFERROR(__xludf.DUMMYFUNCTION("IF(OR(ISBLANK($G39), IFERROR(INDEX(GOOGLEFINANCE($C39, ""price"", WORKDAY(INT($B39), 1)), 2, 2), """")=""""), """", IF($D39=""LONG"", (IFERROR(INDEX(GOOGLEFINANCE($C39, ""price"", WORKDAY(INT($B39), 1)), 2, 2), """")-$G39)/$G39, ($G39-IFERROR(INDEX(GOOGLE"&amp;"FINANCE($C39, ""price"", WORKDAY(INT($B39), 1)), 2, 2), """"))/$G39))"),-0.00300931651413974)</f>
        <v>-0.003009316514</v>
      </c>
      <c r="R39" s="16">
        <f>IFERROR(__xludf.DUMMYFUNCTION("IF(OR(ISBLANK($G39), IFERROR(INDEX(GOOGLEFINANCE($C39, ""price"", WORKDAY(INT($B39), 5)), 2, 2), """")=""""), """", IF($D39=""LONG"", (IFERROR(INDEX(GOOGLEFINANCE($C39, ""price"", WORKDAY(INT($B39), 5)), 2, 2), """")-$G39)/$G39, ($G39-IFERROR(INDEX(GOOGLE"&amp;"FINANCE($C39, ""price"", WORKDAY(INT($B39), 5)), 2, 2), """"))/$G39))"),0.028279330530134327)</f>
        <v>0.02827933053</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417</v>
      </c>
    </row>
    <row r="40">
      <c r="A40" s="9">
        <f t="shared" si="1"/>
        <v>39</v>
      </c>
      <c r="B40" s="11">
        <v>46216.66740740741</v>
      </c>
      <c r="C40" s="10" t="s">
        <v>331</v>
      </c>
      <c r="D40" s="10" t="s">
        <v>36</v>
      </c>
      <c r="E40" s="10" t="s">
        <v>37</v>
      </c>
      <c r="F40" s="13">
        <v>2.0</v>
      </c>
      <c r="G40" s="14">
        <v>252.84</v>
      </c>
      <c r="H40" s="10" t="s">
        <v>421</v>
      </c>
      <c r="I40" s="10">
        <v>93.9</v>
      </c>
      <c r="O40" s="15">
        <f>IFERROR(__xludf.DUMMYFUNCTION("IF(ISBLANK($C40), """", GOOGLEFINANCE($C40, ""price""))"),252.76)</f>
        <v>252.76</v>
      </c>
      <c r="P40" s="16">
        <f t="shared" si="2"/>
        <v>-0.000316405632</v>
      </c>
      <c r="Q40" s="16">
        <f>IFERROR(__xludf.DUMMYFUNCTION("IF(OR(ISBLANK($G40), IFERROR(INDEX(GOOGLEFINANCE($C40, ""price"", WORKDAY(INT($B40), 1)), 2, 2), """")=""""), """", IF($D40=""LONG"", (IFERROR(INDEX(GOOGLEFINANCE($C40, ""price"", WORKDAY(INT($B40), 1)), 2, 2), """")-$G40)/$G40, ($G40-IFERROR(INDEX(GOOGLE"&amp;"FINANCE($C40, ""price"", WORKDAY(INT($B40), 1)), 2, 2), """"))/$G40))"),-0.003796867584243031)</f>
        <v>-0.003796867584</v>
      </c>
      <c r="R40" s="16">
        <f>IFERROR(__xludf.DUMMYFUNCTION("IF(OR(ISBLANK($G40), IFERROR(INDEX(GOOGLEFINANCE($C40, ""price"", WORKDAY(INT($B40), 5)), 2, 2), """")=""""), """", IF($D40=""LONG"", (IFERROR(INDEX(GOOGLEFINANCE($C40, ""price"", WORKDAY(INT($B40), 5)), 2, 2), """")-$G40)/$G40, ($G40-IFERROR(INDEX(GOOGLE"&amp;"FINANCE($C40, ""price"", WORKDAY(INT($B40), 5)), 2, 2), """"))/$G40))"),-0.010678690080683503)</f>
        <v>-0.01067869008</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425</v>
      </c>
    </row>
    <row r="41">
      <c r="A41" s="9">
        <f t="shared" si="1"/>
        <v>40</v>
      </c>
      <c r="B41" s="11">
        <v>46216.66752314815</v>
      </c>
      <c r="C41" s="10" t="s">
        <v>204</v>
      </c>
      <c r="D41" s="10" t="s">
        <v>36</v>
      </c>
      <c r="E41" s="10" t="s">
        <v>37</v>
      </c>
      <c r="F41" s="13">
        <v>2.0</v>
      </c>
      <c r="G41" s="14">
        <v>359.74</v>
      </c>
      <c r="H41" s="10" t="s">
        <v>429</v>
      </c>
      <c r="I41" s="10">
        <v>92.0</v>
      </c>
      <c r="O41" s="15">
        <f>IFERROR(__xludf.DUMMYFUNCTION("IF(ISBLANK($C41), """", GOOGLEFINANCE($C41, ""price""))"),348.6)</f>
        <v>348.6</v>
      </c>
      <c r="P41" s="16">
        <f t="shared" si="2"/>
        <v>-0.03096680936</v>
      </c>
      <c r="Q41" s="16">
        <f>IFERROR(__xludf.DUMMYFUNCTION("IF(OR(ISBLANK($G41), IFERROR(INDEX(GOOGLEFINANCE($C41, ""price"", WORKDAY(INT($B41), 1)), 2, 2), """")=""""), """", IF($D41=""LONG"", (IFERROR(INDEX(GOOGLEFINANCE($C41, ""price"", WORKDAY(INT($B41), 1)), 2, 2), """")-$G41)/$G41, ($G41-IFERROR(INDEX(GOOGLE"&amp;"FINANCE($C41, ""price"", WORKDAY(INT($B41), 1)), 2, 2), """"))/$G41))"),-0.0058097514871852775)</f>
        <v>-0.005809751487</v>
      </c>
      <c r="R41" s="16">
        <f>IFERROR(__xludf.DUMMYFUNCTION("IF(OR(ISBLANK($G41), IFERROR(INDEX(GOOGLEFINANCE($C41, ""price"", WORKDAY(INT($B41), 5)), 2, 2), """")=""""), """", IF($D41=""LONG"", (IFERROR(INDEX(GOOGLEFINANCE($C41, ""price"", WORKDAY(INT($B41), 5)), 2, 2), """")-$G41)/$G41, ($G41-IFERROR(INDEX(GOOGLE"&amp;"FINANCE($C41, ""price"", WORKDAY(INT($B41), 5)), 2, 2), """"))/$G41))"),-0.02062600767220775)</f>
        <v>-0.02062600767</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436</v>
      </c>
    </row>
    <row r="42">
      <c r="A42" s="9">
        <f t="shared" si="1"/>
        <v>41</v>
      </c>
      <c r="B42" s="11">
        <v>46216.66752314815</v>
      </c>
      <c r="C42" s="10" t="s">
        <v>437</v>
      </c>
      <c r="D42" s="10" t="s">
        <v>36</v>
      </c>
      <c r="E42" s="10" t="s">
        <v>37</v>
      </c>
      <c r="F42" s="13">
        <v>2.0</v>
      </c>
      <c r="G42" s="14">
        <v>181.12</v>
      </c>
      <c r="H42" s="10" t="s">
        <v>438</v>
      </c>
      <c r="I42" s="10">
        <v>89.5</v>
      </c>
      <c r="O42" s="15">
        <f>IFERROR(__xludf.DUMMYFUNCTION("IF(ISBLANK($C42), """", GOOGLEFINANCE($C42, ""price""))"),192.32)</f>
        <v>192.32</v>
      </c>
      <c r="P42" s="16">
        <f t="shared" si="2"/>
        <v>0.06183745583</v>
      </c>
      <c r="Q42" s="16">
        <f>IFERROR(__xludf.DUMMYFUNCTION("IF(OR(ISBLANK($G42), IFERROR(INDEX(GOOGLEFINANCE($C42, ""price"", WORKDAY(INT($B42), 1)), 2, 2), """")=""""), """", IF($D42=""LONG"", (IFERROR(INDEX(GOOGLEFINANCE($C42, ""price"", WORKDAY(INT($B42), 1)), 2, 2), """")-$G42)/$G42, ($G42-IFERROR(INDEX(GOOGLE"&amp;"FINANCE($C42, ""price"", WORKDAY(INT($B42), 1)), 2, 2), """"))/$G42))"),0.008005742049469902)</f>
        <v>0.008005742049</v>
      </c>
      <c r="R42" s="16">
        <f>IFERROR(__xludf.DUMMYFUNCTION("IF(OR(ISBLANK($G42), IFERROR(INDEX(GOOGLEFINANCE($C42, ""price"", WORKDAY(INT($B42), 5)), 2, 2), """")=""""), """", IF($D42=""LONG"", (IFERROR(INDEX(GOOGLEFINANCE($C42, ""price"", WORKDAY(INT($B42), 5)), 2, 2), """")-$G42)/$G42, ($G42-IFERROR(INDEX(GOOGLE"&amp;"FINANCE($C42, ""price"", WORKDAY(INT($B42), 5)), 2, 2), """"))/$G42))"),-0.06498454063604246)</f>
        <v>-0.06498454064</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446</v>
      </c>
    </row>
    <row r="43">
      <c r="A43" s="9">
        <f t="shared" si="1"/>
        <v>42</v>
      </c>
      <c r="B43" s="11">
        <v>46216.66753472222</v>
      </c>
      <c r="C43" s="10" t="s">
        <v>232</v>
      </c>
      <c r="D43" s="10" t="s">
        <v>119</v>
      </c>
      <c r="E43" s="10" t="s">
        <v>120</v>
      </c>
      <c r="F43" s="13">
        <v>4.0</v>
      </c>
      <c r="G43" s="14">
        <v>79.83</v>
      </c>
      <c r="H43" s="10" t="s">
        <v>449</v>
      </c>
      <c r="I43" s="10">
        <v>7.9</v>
      </c>
      <c r="O43" s="15">
        <f>IFERROR(__xludf.DUMMYFUNCTION("IF(ISBLANK($C43), """", GOOGLEFINANCE($C43, ""price""))"),74.92)</f>
        <v>74.92</v>
      </c>
      <c r="P43" s="16">
        <f t="shared" si="2"/>
        <v>0.06150569961</v>
      </c>
      <c r="Q43" s="16">
        <f>IFERROR(__xludf.DUMMYFUNCTION("IF(OR(ISBLANK($G43), IFERROR(INDEX(GOOGLEFINANCE($C43, ""price"", WORKDAY(INT($B43), 1)), 2, 2), """")=""""), """", IF($D43=""LONG"", (IFERROR(INDEX(GOOGLEFINANCE($C43, ""price"", WORKDAY(INT($B43), 1)), 2, 2), """")-$G43)/$G43, ($G43-IFERROR(INDEX(GOOGLE"&amp;"FINANCE($C43, ""price"", WORKDAY(INT($B43), 1)), 2, 2), """"))/$G43))"),0.009770762871101105)</f>
        <v>0.009770762871</v>
      </c>
      <c r="R43" s="16">
        <f>IFERROR(__xludf.DUMMYFUNCTION("IF(OR(ISBLANK($G43), IFERROR(INDEX(GOOGLEFINANCE($C43, ""price"", WORKDAY(INT($B43), 5)), 2, 2), """")=""""), """", IF($D43=""LONG"", (IFERROR(INDEX(GOOGLEFINANCE($C43, ""price"", WORKDAY(INT($B43), 5)), 2, 2), """")-$G43)/$G43, ($G43-IFERROR(INDEX(GOOGLE"&amp;"FINANCE($C43, ""price"", WORKDAY(INT($B43), 5)), 2, 2), """"))/$G43))"),0.020668921458098354)</f>
        <v>0.02066892146</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456</v>
      </c>
    </row>
    <row r="44">
      <c r="A44" s="9">
        <f t="shared" si="1"/>
        <v>43</v>
      </c>
      <c r="B44" s="11">
        <v>46216.667546296296</v>
      </c>
      <c r="C44" s="10" t="s">
        <v>457</v>
      </c>
      <c r="D44" s="10" t="s">
        <v>119</v>
      </c>
      <c r="E44" s="10" t="s">
        <v>120</v>
      </c>
      <c r="F44" s="13">
        <v>4.0</v>
      </c>
      <c r="G44" s="14">
        <v>191.66</v>
      </c>
      <c r="H44" s="10" t="s">
        <v>458</v>
      </c>
      <c r="I44" s="10">
        <v>4.1</v>
      </c>
      <c r="O44" s="15">
        <f>IFERROR(__xludf.DUMMYFUNCTION("IF(ISBLANK($C44), """", GOOGLEFINANCE($C44, ""price""))"),189.63)</f>
        <v>189.63</v>
      </c>
      <c r="P44" s="16">
        <f t="shared" si="2"/>
        <v>0.01059167275</v>
      </c>
      <c r="Q44" s="16">
        <f>IFERROR(__xludf.DUMMYFUNCTION("IF(OR(ISBLANK($G44), IFERROR(INDEX(GOOGLEFINANCE($C44, ""price"", WORKDAY(INT($B44), 1)), 2, 2), """")=""""), """", IF($D44=""LONG"", (IFERROR(INDEX(GOOGLEFINANCE($C44, ""price"", WORKDAY(INT($B44), 1)), 2, 2), """")-$G44)/$G44, ($G44-IFERROR(INDEX(GOOGLE"&amp;"FINANCE($C44, ""price"", WORKDAY(INT($B44), 1)), 2, 2), """"))/$G44))"),0.005061045601586136)</f>
        <v>0.005061045602</v>
      </c>
      <c r="R44" s="16">
        <f>IFERROR(__xludf.DUMMYFUNCTION("IF(OR(ISBLANK($G44), IFERROR(INDEX(GOOGLEFINANCE($C44, ""price"", WORKDAY(INT($B44), 5)), 2, 2), """")=""""), """", IF($D44=""LONG"", (IFERROR(INDEX(GOOGLEFINANCE($C44, ""price"", WORKDAY(INT($B44), 5)), 2, 2), """")-$G44)/$G44, ($G44-IFERROR(INDEX(GOOGLE"&amp;"FINANCE($C44, ""price"", WORKDAY(INT($B44), 5)), 2, 2), """"))/$G44))"),-0.019409370760722106)</f>
        <v>-0.01940937076</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463</v>
      </c>
    </row>
    <row r="45">
      <c r="A45" s="9">
        <f t="shared" si="1"/>
        <v>44</v>
      </c>
      <c r="B45" s="11">
        <v>46216.66752314815</v>
      </c>
      <c r="C45" s="10" t="s">
        <v>464</v>
      </c>
      <c r="D45" s="10" t="s">
        <v>119</v>
      </c>
      <c r="E45" s="10" t="s">
        <v>120</v>
      </c>
      <c r="F45" s="13">
        <v>4.0</v>
      </c>
      <c r="G45" s="14">
        <v>270.3</v>
      </c>
      <c r="H45" s="10" t="s">
        <v>465</v>
      </c>
      <c r="I45" s="10">
        <v>8.8</v>
      </c>
      <c r="O45" s="15">
        <f>IFERROR(__xludf.DUMMYFUNCTION("IF(ISBLANK($C45), """", GOOGLEFINANCE($C45, ""price""))"),292.53)</f>
        <v>292.53</v>
      </c>
      <c r="P45" s="16">
        <f t="shared" si="2"/>
        <v>-0.08224195339</v>
      </c>
      <c r="Q45" s="16">
        <f>IFERROR(__xludf.DUMMYFUNCTION("IF(OR(ISBLANK($G45), IFERROR(INDEX(GOOGLEFINANCE($C45, ""price"", WORKDAY(INT($B45), 1)), 2, 2), """")=""""), """", IF($D45=""LONG"", (IFERROR(INDEX(GOOGLEFINANCE($C45, ""price"", WORKDAY(INT($B45), 1)), 2, 2), """")-$G45)/$G45, ($G45-IFERROR(INDEX(GOOGLE"&amp;"FINANCE($C45, ""price"", WORKDAY(INT($B45), 1)), 2, 2), """"))/$G45))"),0.005364409914909318)</f>
        <v>0.005364409915</v>
      </c>
      <c r="R45" s="16">
        <f>IFERROR(__xludf.DUMMYFUNCTION("IF(OR(ISBLANK($G45), IFERROR(INDEX(GOOGLEFINANCE($C45, ""price"", WORKDAY(INT($B45), 5)), 2, 2), """")=""""), """", IF($D45=""LONG"", (IFERROR(INDEX(GOOGLEFINANCE($C45, ""price"", WORKDAY(INT($B45), 5)), 2, 2), """")-$G45)/$G45, ($G45-IFERROR(INDEX(GOOGLE"&amp;"FINANCE($C45, ""price"", WORKDAY(INT($B45), 5)), 2, 2), """"))/$G45))"),-0.027044025157232712)</f>
        <v>-0.02704402516</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469</v>
      </c>
    </row>
    <row r="46">
      <c r="A46" s="9">
        <f t="shared" si="1"/>
        <v>45</v>
      </c>
      <c r="B46" s="11">
        <v>46216.667592592596</v>
      </c>
      <c r="C46" s="10" t="s">
        <v>471</v>
      </c>
      <c r="D46" s="10" t="s">
        <v>36</v>
      </c>
      <c r="E46" s="10" t="s">
        <v>37</v>
      </c>
      <c r="F46" s="13">
        <v>2.0</v>
      </c>
      <c r="G46" s="14">
        <v>372.85</v>
      </c>
      <c r="H46" s="10" t="s">
        <v>472</v>
      </c>
      <c r="I46" s="10">
        <v>95.1</v>
      </c>
      <c r="O46" s="15">
        <f>IFERROR(__xludf.DUMMYFUNCTION("IF(ISBLANK($C46), """", GOOGLEFINANCE($C46, ""price""))"),386.92)</f>
        <v>386.92</v>
      </c>
      <c r="P46" s="16">
        <f t="shared" si="2"/>
        <v>0.0377363551</v>
      </c>
      <c r="Q46" s="16">
        <f>IFERROR(__xludf.DUMMYFUNCTION("IF(OR(ISBLANK($G46), IFERROR(INDEX(GOOGLEFINANCE($C46, ""price"", WORKDAY(INT($B46), 1)), 2, 2), """")=""""), """", IF($D46=""LONG"", (IFERROR(INDEX(GOOGLEFINANCE($C46, ""price"", WORKDAY(INT($B46), 1)), 2, 2), """")-$G46)/$G46, ($G46-IFERROR(INDEX(GOOGLE"&amp;"FINANCE($C46, ""price"", WORKDAY(INT($B46), 1)), 2, 2), """"))/$G46))"),-0.008984846452997245)</f>
        <v>-0.008984846453</v>
      </c>
      <c r="R46" s="16">
        <f>IFERROR(__xludf.DUMMYFUNCTION("IF(OR(ISBLANK($G46), IFERROR(INDEX(GOOGLEFINANCE($C46, ""price"", WORKDAY(INT($B46), 5)), 2, 2), """")=""""), """", IF($D46=""LONG"", (IFERROR(INDEX(GOOGLEFINANCE($C46, ""price"", WORKDAY(INT($B46), 5)), 2, 2), """")-$G46)/$G46, ($G46-IFERROR(INDEX(GOOGLE"&amp;"FINANCE($C46, ""price"", WORKDAY(INT($B46), 5)), 2, 2), """"))/$G46))"),-0.006034598363953332)</f>
        <v>-0.006034598364</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475</v>
      </c>
    </row>
    <row r="47">
      <c r="A47" s="9">
        <f t="shared" si="1"/>
        <v>46</v>
      </c>
      <c r="B47" s="11">
        <v>46216.667546296296</v>
      </c>
      <c r="C47" s="10" t="s">
        <v>41</v>
      </c>
      <c r="D47" s="10" t="s">
        <v>36</v>
      </c>
      <c r="E47" s="10" t="s">
        <v>37</v>
      </c>
      <c r="F47" s="13">
        <v>2.0</v>
      </c>
      <c r="G47" s="14">
        <v>178.61</v>
      </c>
      <c r="H47" s="10" t="s">
        <v>478</v>
      </c>
      <c r="I47" s="10">
        <v>88.7</v>
      </c>
      <c r="O47" s="15">
        <f>IFERROR(__xludf.DUMMYFUNCTION("IF(ISBLANK($C47), """", GOOGLEFINANCE($C47, ""price""))"),186.02)</f>
        <v>186.02</v>
      </c>
      <c r="P47" s="16">
        <f t="shared" si="2"/>
        <v>0.0414870388</v>
      </c>
      <c r="Q47" s="16">
        <f>IFERROR(__xludf.DUMMYFUNCTION("IF(OR(ISBLANK($G47), IFERROR(INDEX(GOOGLEFINANCE($C47, ""price"", WORKDAY(INT($B47), 1)), 2, 2), """")=""""), """", IF($D47=""LONG"", (IFERROR(INDEX(GOOGLEFINANCE($C47, ""price"", WORKDAY(INT($B47), 1)), 2, 2), """")-$G47)/$G47, ($G47-IFERROR(INDEX(GOOGLE"&amp;"FINANCE($C47, ""price"", WORKDAY(INT($B47), 1)), 2, 2), """"))/$G47))"),0.0021275404512625016)</f>
        <v>0.002127540451</v>
      </c>
      <c r="R47" s="16">
        <f>IFERROR(__xludf.DUMMYFUNCTION("IF(OR(ISBLANK($G47), IFERROR(INDEX(GOOGLEFINANCE($C47, ""price"", WORKDAY(INT($B47), 5)), 2, 2), """")=""""), """", IF($D47=""LONG"", (IFERROR(INDEX(GOOGLEFINANCE($C47, ""price"", WORKDAY(INT($B47), 5)), 2, 2), """")-$G47)/$G47, ($G47-IFERROR(INDEX(GOOGLE"&amp;"FINANCE($C47, ""price"", WORKDAY(INT($B47), 5)), 2, 2), """"))/$G47))"),0.0315771793292648)</f>
        <v>0.03157717933</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482</v>
      </c>
    </row>
    <row r="48">
      <c r="A48" s="9">
        <f t="shared" si="1"/>
        <v>47</v>
      </c>
      <c r="B48" s="11">
        <v>46216.66746527778</v>
      </c>
      <c r="C48" s="10" t="s">
        <v>483</v>
      </c>
      <c r="D48" s="10" t="s">
        <v>36</v>
      </c>
      <c r="E48" s="10" t="s">
        <v>87</v>
      </c>
      <c r="F48" s="13">
        <v>2.0</v>
      </c>
      <c r="G48" s="14">
        <v>112.86</v>
      </c>
      <c r="H48" s="10" t="s">
        <v>485</v>
      </c>
      <c r="I48" s="10">
        <v>85.4</v>
      </c>
      <c r="O48" s="15">
        <f>IFERROR(__xludf.DUMMYFUNCTION("IF(ISBLANK($C48), """", GOOGLEFINANCE($C48, ""price""))"),103.2)</f>
        <v>103.2</v>
      </c>
      <c r="P48" s="16">
        <f t="shared" si="2"/>
        <v>-0.0855927698</v>
      </c>
      <c r="Q48" s="16">
        <f>IFERROR(__xludf.DUMMYFUNCTION("IF(OR(ISBLANK($G48), IFERROR(INDEX(GOOGLEFINANCE($C48, ""price"", WORKDAY(INT($B48), 1)), 2, 2), """")=""""), """", IF($D48=""LONG"", (IFERROR(INDEX(GOOGLEFINANCE($C48, ""price"", WORKDAY(INT($B48), 1)), 2, 2), """")-$G48)/$G48, ($G48-IFERROR(INDEX(GOOGLE"&amp;"FINANCE($C48, ""price"", WORKDAY(INT($B48), 1)), 2, 2), """"))/$G48))"),0.007177033492822987)</f>
        <v>0.007177033493</v>
      </c>
      <c r="R48" s="16">
        <f>IFERROR(__xludf.DUMMYFUNCTION("IF(OR(ISBLANK($G48), IFERROR(INDEX(GOOGLEFINANCE($C48, ""price"", WORKDAY(INT($B48), 5)), 2, 2), """")=""""), """", IF($D48=""LONG"", (IFERROR(INDEX(GOOGLEFINANCE($C48, ""price"", WORKDAY(INT($B48), 5)), 2, 2), """")-$G48)/$G48, ($G48-IFERROR(INDEX(GOOGLE"&amp;"FINANCE($C48, ""price"", WORKDAY(INT($B48), 5)), 2, 2), """"))/$G48))"),0.0025695552011342038)</f>
        <v>0.002569555201</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495</v>
      </c>
    </row>
    <row r="49">
      <c r="A49" s="9">
        <f t="shared" si="1"/>
        <v>48</v>
      </c>
      <c r="B49" s="11">
        <v>46216.66751157407</v>
      </c>
      <c r="C49" s="10" t="s">
        <v>442</v>
      </c>
      <c r="D49" s="10" t="s">
        <v>36</v>
      </c>
      <c r="E49" s="10" t="s">
        <v>37</v>
      </c>
      <c r="F49" s="13">
        <v>2.0</v>
      </c>
      <c r="G49" s="14">
        <v>546.91</v>
      </c>
      <c r="H49" s="10" t="s">
        <v>498</v>
      </c>
      <c r="I49" s="10">
        <v>98.7</v>
      </c>
      <c r="O49" s="15">
        <f>IFERROR(__xludf.DUMMYFUNCTION("IF(ISBLANK($C49), """", GOOGLEFINANCE($C49, ""price""))"),522.46)</f>
        <v>522.46</v>
      </c>
      <c r="P49" s="16">
        <f t="shared" si="2"/>
        <v>-0.04470571026</v>
      </c>
      <c r="Q49" s="16">
        <f>IFERROR(__xludf.DUMMYFUNCTION("IF(OR(ISBLANK($G49), IFERROR(INDEX(GOOGLEFINANCE($C49, ""price"", WORKDAY(INT($B49), 1)), 2, 2), """")=""""), """", IF($D49=""LONG"", (IFERROR(INDEX(GOOGLEFINANCE($C49, ""price"", WORKDAY(INT($B49), 1)), 2, 2), """")-$G49)/$G49, ($G49-IFERROR(INDEX(GOOGLE"&amp;"FINANCE($C49, ""price"", WORKDAY(INT($B49), 1)), 2, 2), """"))/$G49))"),6.399590426213139E-4)</f>
        <v>0.0006399590426</v>
      </c>
      <c r="R49" s="16">
        <f>IFERROR(__xludf.DUMMYFUNCTION("IF(OR(ISBLANK($G49), IFERROR(INDEX(GOOGLEFINANCE($C49, ""price"", WORKDAY(INT($B49), 5)), 2, 2), """")=""""), """", IF($D49=""LONG"", (IFERROR(INDEX(GOOGLEFINANCE($C49, ""price"", WORKDAY(INT($B49), 5)), 2, 2), """")-$G49)/$G49, ($G49-IFERROR(INDEX(GOOGLE"&amp;"FINANCE($C49, ""price"", WORKDAY(INT($B49), 5)), 2, 2), """"))/$G49))"),-0.035526869137517965)</f>
        <v>-0.03552686914</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504</v>
      </c>
    </row>
    <row r="50">
      <c r="A50" s="9">
        <f t="shared" si="1"/>
        <v>49</v>
      </c>
      <c r="B50" s="11">
        <v>46216.66756944444</v>
      </c>
      <c r="C50" s="10" t="s">
        <v>505</v>
      </c>
      <c r="D50" s="10" t="s">
        <v>119</v>
      </c>
      <c r="E50" s="10" t="s">
        <v>120</v>
      </c>
      <c r="F50" s="13">
        <v>4.0</v>
      </c>
      <c r="G50" s="14">
        <v>24.48</v>
      </c>
      <c r="H50" s="10" t="s">
        <v>509</v>
      </c>
      <c r="I50" s="10">
        <v>6.6</v>
      </c>
      <c r="O50" s="15">
        <f>IFERROR(__xludf.DUMMYFUNCTION("IF(ISBLANK($C50), """", GOOGLEFINANCE($C50, ""price""))"),26.2)</f>
        <v>26.2</v>
      </c>
      <c r="P50" s="16">
        <f t="shared" si="2"/>
        <v>-0.07026143791</v>
      </c>
      <c r="Q50" s="16">
        <f>IFERROR(__xludf.DUMMYFUNCTION("IF(OR(ISBLANK($G50), IFERROR(INDEX(GOOGLEFINANCE($C50, ""price"", WORKDAY(INT($B50), 1)), 2, 2), """")=""""), """", IF($D50=""LONG"", (IFERROR(INDEX(GOOGLEFINANCE($C50, ""price"", WORKDAY(INT($B50), 1)), 2, 2), """")-$G50)/$G50, ($G50-IFERROR(INDEX(GOOGLE"&amp;"FINANCE($C50, ""price"", WORKDAY(INT($B50), 1)), 2, 2), """"))/$G50))"),0.009395424836601324)</f>
        <v>0.009395424837</v>
      </c>
      <c r="R50" s="16">
        <f>IFERROR(__xludf.DUMMYFUNCTION("IF(OR(ISBLANK($G50), IFERROR(INDEX(GOOGLEFINANCE($C50, ""price"", WORKDAY(INT($B50), 5)), 2, 2), """")=""""), """", IF($D50=""LONG"", (IFERROR(INDEX(GOOGLEFINANCE($C50, ""price"", WORKDAY(INT($B50), 5)), 2, 2), """")-$G50)/$G50, ($G50-IFERROR(INDEX(GOOGLE"&amp;"FINANCE($C50, ""price"", WORKDAY(INT($B50), 5)), 2, 2), """"))/$G50))"),-0.011029411764705864)</f>
        <v>-0.01102941176</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514</v>
      </c>
    </row>
    <row r="51">
      <c r="A51" s="9">
        <f t="shared" si="1"/>
        <v>50</v>
      </c>
      <c r="B51" s="11">
        <v>46216.667592592596</v>
      </c>
      <c r="C51" s="10" t="s">
        <v>269</v>
      </c>
      <c r="D51" s="10" t="s">
        <v>36</v>
      </c>
      <c r="E51" s="10" t="s">
        <v>37</v>
      </c>
      <c r="F51" s="13">
        <v>2.0</v>
      </c>
      <c r="G51" s="14">
        <v>178.14</v>
      </c>
      <c r="H51" s="10" t="s">
        <v>515</v>
      </c>
      <c r="I51" s="10">
        <v>88.8</v>
      </c>
      <c r="O51" s="15">
        <f>IFERROR(__xludf.DUMMYFUNCTION("IF(ISBLANK($C51), """", GOOGLEFINANCE($C51, ""price""))"),184.92)</f>
        <v>184.92</v>
      </c>
      <c r="P51" s="16">
        <f t="shared" si="2"/>
        <v>0.03805995285</v>
      </c>
      <c r="Q51" s="16">
        <f>IFERROR(__xludf.DUMMYFUNCTION("IF(OR(ISBLANK($G51), IFERROR(INDEX(GOOGLEFINANCE($C51, ""price"", WORKDAY(INT($B51), 1)), 2, 2), """")=""""), """", IF($D51=""LONG"", (IFERROR(INDEX(GOOGLEFINANCE($C51, ""price"", WORKDAY(INT($B51), 1)), 2, 2), """")-$G51)/$G51, ($G51-IFERROR(INDEX(GOOGLE"&amp;"FINANCE($C51, ""price"", WORKDAY(INT($B51), 1)), 2, 2), """"))/$G51))"),0.030930728640395307)</f>
        <v>0.03093072864</v>
      </c>
      <c r="R51" s="16">
        <f>IFERROR(__xludf.DUMMYFUNCTION("IF(OR(ISBLANK($G51), IFERROR(INDEX(GOOGLEFINANCE($C51, ""price"", WORKDAY(INT($B51), 5)), 2, 2), """")=""""), """", IF($D51=""LONG"", (IFERROR(INDEX(GOOGLEFINANCE($C51, ""price"", WORKDAY(INT($B51), 5)), 2, 2), """")-$G51)/$G51, ($G51-IFERROR(INDEX(GOOGLE"&amp;"FINANCE($C51, ""price"", WORKDAY(INT($B51), 5)), 2, 2), """"))/$G51))"),0.02492421690805)</f>
        <v>0.02492421691</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521</v>
      </c>
    </row>
    <row r="52">
      <c r="A52" s="9">
        <f t="shared" si="1"/>
        <v>51</v>
      </c>
      <c r="B52" s="11">
        <v>46216.66763888889</v>
      </c>
      <c r="C52" s="10" t="s">
        <v>248</v>
      </c>
      <c r="D52" s="10" t="s">
        <v>36</v>
      </c>
      <c r="E52" s="10" t="s">
        <v>37</v>
      </c>
      <c r="F52" s="13">
        <v>2.0</v>
      </c>
      <c r="G52" s="14">
        <v>70.36</v>
      </c>
      <c r="H52" s="10" t="s">
        <v>522</v>
      </c>
      <c r="I52" s="10">
        <v>89.9</v>
      </c>
      <c r="O52" s="15">
        <f>IFERROR(__xludf.DUMMYFUNCTION("IF(ISBLANK($C52), """", GOOGLEFINANCE($C52, ""price""))"),72.43)</f>
        <v>72.43</v>
      </c>
      <c r="P52" s="16">
        <f t="shared" si="2"/>
        <v>0.02942012507</v>
      </c>
      <c r="Q52" s="16">
        <f>IFERROR(__xludf.DUMMYFUNCTION("IF(OR(ISBLANK($G52), IFERROR(INDEX(GOOGLEFINANCE($C52, ""price"", WORKDAY(INT($B52), 1)), 2, 2), """")=""""), """", IF($D52=""LONG"", (IFERROR(INDEX(GOOGLEFINANCE($C52, ""price"", WORKDAY(INT($B52), 1)), 2, 2), """")-$G52)/$G52, ($G52-IFERROR(INDEX(GOOGLE"&amp;"FINANCE($C52, ""price"", WORKDAY(INT($B52), 1)), 2, 2), """"))/$G52))"),-5.685048322911633E-4)</f>
        <v>-0.0005685048323</v>
      </c>
      <c r="R52" s="16">
        <f>IFERROR(__xludf.DUMMYFUNCTION("IF(OR(ISBLANK($G52), IFERROR(INDEX(GOOGLEFINANCE($C52, ""price"", WORKDAY(INT($B52), 5)), 2, 2), """")=""""), """", IF($D52=""LONG"", (IFERROR(INDEX(GOOGLEFINANCE($C52, ""price"", WORKDAY(INT($B52), 5)), 2, 2), """")-$G52)/$G52, ($G52-IFERROR(INDEX(GOOGLE"&amp;"FINANCE($C52, ""price"", WORKDAY(INT($B52), 5)), 2, 2), """"))/$G52))"),0.01620238772029563)</f>
        <v>0.01620238772</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529</v>
      </c>
    </row>
    <row r="53">
      <c r="A53" s="9">
        <f t="shared" si="1"/>
        <v>52</v>
      </c>
      <c r="B53" s="11">
        <v>46216.66753472222</v>
      </c>
      <c r="C53" s="10" t="s">
        <v>530</v>
      </c>
      <c r="D53" s="10" t="s">
        <v>36</v>
      </c>
      <c r="E53" s="10" t="s">
        <v>133</v>
      </c>
      <c r="F53" s="13">
        <v>2.0</v>
      </c>
      <c r="G53" s="14">
        <v>163.94</v>
      </c>
      <c r="H53" s="10" t="s">
        <v>532</v>
      </c>
      <c r="I53" s="10">
        <v>85.1</v>
      </c>
      <c r="O53" s="15">
        <f>IFERROR(__xludf.DUMMYFUNCTION("IF(ISBLANK($C53), """", GOOGLEFINANCE($C53, ""price""))"),191.48)</f>
        <v>191.48</v>
      </c>
      <c r="P53" s="16">
        <f t="shared" si="2"/>
        <v>0.1679882884</v>
      </c>
      <c r="Q53" s="16">
        <f>IFERROR(__xludf.DUMMYFUNCTION("IF(OR(ISBLANK($G53), IFERROR(INDEX(GOOGLEFINANCE($C53, ""price"", WORKDAY(INT($B53), 1)), 2, 2), """")=""""), """", IF($D53=""LONG"", (IFERROR(INDEX(GOOGLEFINANCE($C53, ""price"", WORKDAY(INT($B53), 1)), 2, 2), """")-$G53)/$G53, ($G53-IFERROR(INDEX(GOOGLE"&amp;"FINANCE($C53, ""price"", WORKDAY(INT($B53), 1)), 2, 2), """"))/$G53))"),0.06471879956081501)</f>
        <v>0.06471879956</v>
      </c>
      <c r="R53" s="16">
        <f>IFERROR(__xludf.DUMMYFUNCTION("IF(OR(ISBLANK($G53), IFERROR(INDEX(GOOGLEFINANCE($C53, ""price"", WORKDAY(INT($B53), 5)), 2, 2), """")=""""), """", IF($D53=""LONG"", (IFERROR(INDEX(GOOGLEFINANCE($C53, ""price"", WORKDAY(INT($B53), 5)), 2, 2), """")-$G53)/$G53, ($G53-IFERROR(INDEX(GOOGLE"&amp;"FINANCE($C53, ""price"", WORKDAY(INT($B53), 5)), 2, 2), """"))/$G53))"),-0.016957423447602787)</f>
        <v>-0.01695742345</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538</v>
      </c>
    </row>
    <row r="54">
      <c r="A54" s="9">
        <f t="shared" si="1"/>
        <v>53</v>
      </c>
      <c r="B54" s="11">
        <v>46216.66775462963</v>
      </c>
      <c r="C54" s="10" t="s">
        <v>539</v>
      </c>
      <c r="D54" s="10" t="s">
        <v>36</v>
      </c>
      <c r="E54" s="10" t="s">
        <v>133</v>
      </c>
      <c r="F54" s="13">
        <v>2.0</v>
      </c>
      <c r="G54" s="14">
        <v>26.17</v>
      </c>
      <c r="H54" s="10" t="s">
        <v>541</v>
      </c>
      <c r="I54" s="10">
        <v>93.5</v>
      </c>
      <c r="O54" s="15">
        <f>IFERROR(__xludf.DUMMYFUNCTION("IF(ISBLANK($C54), """", GOOGLEFINANCE($C54, ""price""))"),28.1)</f>
        <v>28.1</v>
      </c>
      <c r="P54" s="16">
        <f t="shared" si="2"/>
        <v>0.07374856706</v>
      </c>
      <c r="Q54" s="16">
        <f>IFERROR(__xludf.DUMMYFUNCTION("IF(OR(ISBLANK($G54), IFERROR(INDEX(GOOGLEFINANCE($C54, ""price"", WORKDAY(INT($B54), 1)), 2, 2), """")=""""), """", IF($D54=""LONG"", (IFERROR(INDEX(GOOGLEFINANCE($C54, ""price"", WORKDAY(INT($B54), 1)), 2, 2), """")-$G54)/$G54, ($G54-IFERROR(INDEX(GOOGLE"&amp;"FINANCE($C54, ""price"", WORKDAY(INT($B54), 1)), 2, 2), """"))/$G54))"),0.01528467711119597)</f>
        <v>0.01528467711</v>
      </c>
      <c r="R54" s="16">
        <f>IFERROR(__xludf.DUMMYFUNCTION("IF(OR(ISBLANK($G54), IFERROR(INDEX(GOOGLEFINANCE($C54, ""price"", WORKDAY(INT($B54), 5)), 2, 2), """")=""""), """", IF($D54=""LONG"", (IFERROR(INDEX(GOOGLEFINANCE($C54, ""price"", WORKDAY(INT($B54), 5)), 2, 2), """")-$G54)/$G54, ($G54-IFERROR(INDEX(GOOGLE"&amp;"FINANCE($C54, ""price"", WORKDAY(INT($B54), 5)), 2, 2), """"))/$G54))"),0.019487963316774857)</f>
        <v>0.01948796332</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546</v>
      </c>
    </row>
    <row r="55">
      <c r="A55" s="9">
        <f t="shared" si="1"/>
        <v>54</v>
      </c>
      <c r="B55" s="11">
        <v>46216.66775462963</v>
      </c>
      <c r="C55" s="10" t="s">
        <v>548</v>
      </c>
      <c r="D55" s="10" t="s">
        <v>36</v>
      </c>
      <c r="E55" s="10" t="s">
        <v>37</v>
      </c>
      <c r="F55" s="13">
        <v>2.0</v>
      </c>
      <c r="G55" s="14">
        <v>92.05</v>
      </c>
      <c r="H55" s="10" t="s">
        <v>550</v>
      </c>
      <c r="I55" s="10">
        <v>89.7</v>
      </c>
      <c r="O55" s="15">
        <f>IFERROR(__xludf.DUMMYFUNCTION("IF(ISBLANK($C55), """", GOOGLEFINANCE($C55, ""price""))"),92.26)</f>
        <v>92.26</v>
      </c>
      <c r="P55" s="16">
        <f t="shared" si="2"/>
        <v>0.002281368821</v>
      </c>
      <c r="Q55" s="16">
        <f>IFERROR(__xludf.DUMMYFUNCTION("IF(OR(ISBLANK($G55), IFERROR(INDEX(GOOGLEFINANCE($C55, ""price"", WORKDAY(INT($B55), 1)), 2, 2), """")=""""), """", IF($D55=""LONG"", (IFERROR(INDEX(GOOGLEFINANCE($C55, ""price"", WORKDAY(INT($B55), 1)), 2, 2), """")-$G55)/$G55, ($G55-IFERROR(INDEX(GOOGLE"&amp;"FINANCE($C55, ""price"", WORKDAY(INT($B55), 1)), 2, 2), """"))/$G55))"),0.0038022813688213856)</f>
        <v>0.003802281369</v>
      </c>
      <c r="R55" s="16">
        <f>IFERROR(__xludf.DUMMYFUNCTION("IF(OR(ISBLANK($G55), IFERROR(INDEX(GOOGLEFINANCE($C55, ""price"", WORKDAY(INT($B55), 5)), 2, 2), """")=""""), """", IF($D55=""LONG"", (IFERROR(INDEX(GOOGLEFINANCE($C55, ""price"", WORKDAY(INT($B55), 5)), 2, 2), """")-$G55)/$G55, ($G55-IFERROR(INDEX(GOOGLE"&amp;"FINANCE($C55, ""price"", WORKDAY(INT($B55), 5)), 2, 2), """"))/$G55))"),0.04562737642585554)</f>
        <v>0.04562737643</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555</v>
      </c>
    </row>
    <row r="56">
      <c r="A56" s="9">
        <f t="shared" si="1"/>
        <v>55</v>
      </c>
      <c r="B56" s="11">
        <v>46216.667650462965</v>
      </c>
      <c r="C56" s="10" t="s">
        <v>556</v>
      </c>
      <c r="D56" s="10" t="s">
        <v>119</v>
      </c>
      <c r="E56" s="10" t="s">
        <v>120</v>
      </c>
      <c r="F56" s="13">
        <v>4.0</v>
      </c>
      <c r="G56" s="14">
        <v>50.23</v>
      </c>
      <c r="H56" s="10" t="s">
        <v>558</v>
      </c>
      <c r="I56" s="10">
        <v>5.9</v>
      </c>
      <c r="O56" s="15">
        <f>IFERROR(__xludf.DUMMYFUNCTION("IF(ISBLANK($C56), """", GOOGLEFINANCE($C56, ""price""))"),55.37)</f>
        <v>55.37</v>
      </c>
      <c r="P56" s="16">
        <f t="shared" si="2"/>
        <v>-0.1023292853</v>
      </c>
      <c r="Q56" s="16">
        <f>IFERROR(__xludf.DUMMYFUNCTION("IF(OR(ISBLANK($G56), IFERROR(INDEX(GOOGLEFINANCE($C56, ""price"", WORKDAY(INT($B56), 1)), 2, 2), """")=""""), """", IF($D56=""LONG"", (IFERROR(INDEX(GOOGLEFINANCE($C56, ""price"", WORKDAY(INT($B56), 1)), 2, 2), """")-$G56)/$G56, ($G56-IFERROR(INDEX(GOOGLE"&amp;"FINANCE($C56, ""price"", WORKDAY(INT($B56), 1)), 2, 2), """"))/$G56))"),0.014533147521401491)</f>
        <v>0.01453314752</v>
      </c>
      <c r="R56" s="16">
        <f>IFERROR(__xludf.DUMMYFUNCTION("IF(OR(ISBLANK($G56), IFERROR(INDEX(GOOGLEFINANCE($C56, ""price"", WORKDAY(INT($B56), 5)), 2, 2), """")=""""), """", IF($D56=""LONG"", (IFERROR(INDEX(GOOGLEFINANCE($C56, ""price"", WORKDAY(INT($B56), 5)), 2, 2), """")-$G56)/$G56, ($G56-IFERROR(INDEX(GOOGLE"&amp;"FINANCE($C56, ""price"", WORKDAY(INT($B56), 5)), 2, 2), """"))/$G56))"),-0.026279116066095967)</f>
        <v>-0.02627911607</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563</v>
      </c>
    </row>
    <row r="57">
      <c r="A57" s="9">
        <f t="shared" si="1"/>
        <v>56</v>
      </c>
      <c r="B57" s="11">
        <v>46216.66775462963</v>
      </c>
      <c r="C57" s="10" t="s">
        <v>564</v>
      </c>
      <c r="D57" s="10" t="s">
        <v>36</v>
      </c>
      <c r="E57" s="10" t="s">
        <v>133</v>
      </c>
      <c r="F57" s="13">
        <v>2.0</v>
      </c>
      <c r="G57" s="14">
        <v>425.41</v>
      </c>
      <c r="H57" s="10" t="s">
        <v>565</v>
      </c>
      <c r="I57" s="10">
        <v>78.1</v>
      </c>
      <c r="O57" s="15">
        <f>IFERROR(__xludf.DUMMYFUNCTION("IF(ISBLANK($C57), """", GOOGLEFINANCE($C57, ""price""))"),391.4)</f>
        <v>391.4</v>
      </c>
      <c r="P57" s="16">
        <f t="shared" si="2"/>
        <v>-0.07994640464</v>
      </c>
      <c r="Q57" s="16">
        <f>IFERROR(__xludf.DUMMYFUNCTION("IF(OR(ISBLANK($G57), IFERROR(INDEX(GOOGLEFINANCE($C57, ""price"", WORKDAY(INT($B57), 1)), 2, 2), """")=""""), """", IF($D57=""LONG"", (IFERROR(INDEX(GOOGLEFINANCE($C57, ""price"", WORKDAY(INT($B57), 1)), 2, 2), """")-$G57)/$G57, ($G57-IFERROR(INDEX(GOOGLE"&amp;"FINANCE($C57, ""price"", WORKDAY(INT($B57), 1)), 2, 2), """"))/$G57))"),0.003243929385769012)</f>
        <v>0.003243929386</v>
      </c>
      <c r="R57" s="16">
        <f>IFERROR(__xludf.DUMMYFUNCTION("IF(OR(ISBLANK($G57), IFERROR(INDEX(GOOGLEFINANCE($C57, ""price"", WORKDAY(INT($B57), 5)), 2, 2), """")=""""), """", IF($D57=""LONG"", (IFERROR(INDEX(GOOGLEFINANCE($C57, ""price"", WORKDAY(INT($B57), 5)), 2, 2), """")-$G57)/$G57, ($G57-IFERROR(INDEX(GOOGLE"&amp;"FINANCE($C57, ""price"", WORKDAY(INT($B57), 5)), 2, 2), """"))/$G57))"),-0.10150208034601914)</f>
        <v>-0.1015020803</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572</v>
      </c>
    </row>
    <row r="58">
      <c r="A58" s="9">
        <f t="shared" si="1"/>
        <v>57</v>
      </c>
      <c r="B58" s="11">
        <v>46216.66763888889</v>
      </c>
      <c r="C58" s="10" t="s">
        <v>134</v>
      </c>
      <c r="D58" s="10" t="s">
        <v>36</v>
      </c>
      <c r="E58" s="10" t="s">
        <v>37</v>
      </c>
      <c r="F58" s="13">
        <v>2.0</v>
      </c>
      <c r="G58" s="14">
        <v>271.85</v>
      </c>
      <c r="H58" s="10" t="s">
        <v>574</v>
      </c>
      <c r="I58" s="10">
        <v>97.1</v>
      </c>
      <c r="O58" s="15">
        <f>IFERROR(__xludf.DUMMYFUNCTION("IF(ISBLANK($C58), """", GOOGLEFINANCE($C58, ""price""))"),283.46)</f>
        <v>283.46</v>
      </c>
      <c r="P58" s="16">
        <f t="shared" si="2"/>
        <v>0.04270737539</v>
      </c>
      <c r="Q58" s="16">
        <f>IFERROR(__xludf.DUMMYFUNCTION("IF(OR(ISBLANK($G58), IFERROR(INDEX(GOOGLEFINANCE($C58, ""price"", WORKDAY(INT($B58), 1)), 2, 2), """")=""""), """", IF($D58=""LONG"", (IFERROR(INDEX(GOOGLEFINANCE($C58, ""price"", WORKDAY(INT($B58), 1)), 2, 2), """")-$G58)/$G58, ($G58-IFERROR(INDEX(GOOGLE"&amp;"FINANCE($C58, ""price"", WORKDAY(INT($B58), 1)), 2, 2), """"))/$G58))"),-0.007724848261909224)</f>
        <v>-0.007724848262</v>
      </c>
      <c r="R58" s="16">
        <f>IFERROR(__xludf.DUMMYFUNCTION("IF(OR(ISBLANK($G58), IFERROR(INDEX(GOOGLEFINANCE($C58, ""price"", WORKDAY(INT($B58), 5)), 2, 2), """")=""""), """", IF($D58=""LONG"", (IFERROR(INDEX(GOOGLEFINANCE($C58, ""price"", WORKDAY(INT($B58), 5)), 2, 2), """")-$G58)/$G58, ($G58-IFERROR(INDEX(GOOGLE"&amp;"FINANCE($C58, ""price"", WORKDAY(INT($B58), 5)), 2, 2), """"))/$G58))"),-0.011771197351480762)</f>
        <v>-0.01177119735</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580</v>
      </c>
    </row>
    <row r="59">
      <c r="A59" s="9">
        <f t="shared" si="1"/>
        <v>58</v>
      </c>
      <c r="B59" s="11">
        <v>46216.66773148148</v>
      </c>
      <c r="C59" s="10" t="s">
        <v>454</v>
      </c>
      <c r="D59" s="10" t="s">
        <v>36</v>
      </c>
      <c r="E59" s="10" t="s">
        <v>37</v>
      </c>
      <c r="F59" s="13">
        <v>2.0</v>
      </c>
      <c r="G59" s="14">
        <v>121.17</v>
      </c>
      <c r="H59" s="10" t="s">
        <v>582</v>
      </c>
      <c r="I59" s="10">
        <v>89.9</v>
      </c>
      <c r="O59" s="15">
        <f>IFERROR(__xludf.DUMMYFUNCTION("IF(ISBLANK($C59), """", GOOGLEFINANCE($C59, ""price""))"),129.12)</f>
        <v>129.12</v>
      </c>
      <c r="P59" s="16">
        <f t="shared" si="2"/>
        <v>0.06561029958</v>
      </c>
      <c r="Q59" s="16">
        <f>IFERROR(__xludf.DUMMYFUNCTION("IF(OR(ISBLANK($G59), IFERROR(INDEX(GOOGLEFINANCE($C59, ""price"", WORKDAY(INT($B59), 1)), 2, 2), """")=""""), """", IF($D59=""LONG"", (IFERROR(INDEX(GOOGLEFINANCE($C59, ""price"", WORKDAY(INT($B59), 1)), 2, 2), """")-$G59)/$G59, ($G59-IFERROR(INDEX(GOOGLE"&amp;"FINANCE($C59, ""price"", WORKDAY(INT($B59), 1)), 2, 2), """"))/$G59))"),-0.006767351654700069)</f>
        <v>-0.006767351655</v>
      </c>
      <c r="R59" s="16">
        <f>IFERROR(__xludf.DUMMYFUNCTION("IF(OR(ISBLANK($G59), IFERROR(INDEX(GOOGLEFINANCE($C59, ""price"", WORKDAY(INT($B59), 5)), 2, 2), """")=""""), """", IF($D59=""LONG"", (IFERROR(INDEX(GOOGLEFINANCE($C59, ""price"", WORKDAY(INT($B59), 5)), 2, 2), """")-$G59)/$G59, ($G59-IFERROR(INDEX(GOOGLE"&amp;"FINANCE($C59, ""price"", WORKDAY(INT($B59), 5)), 2, 2), """"))/$G59))"),-0.030122967731286667)</f>
        <v>-0.03012296773</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590</v>
      </c>
    </row>
    <row r="60">
      <c r="A60" s="9">
        <f t="shared" si="1"/>
        <v>59</v>
      </c>
      <c r="B60" s="11">
        <v>46216.667650462965</v>
      </c>
      <c r="C60" s="10" t="s">
        <v>400</v>
      </c>
      <c r="D60" s="10" t="s">
        <v>36</v>
      </c>
      <c r="E60" s="10" t="s">
        <v>37</v>
      </c>
      <c r="F60" s="13">
        <v>2.0</v>
      </c>
      <c r="G60" s="14">
        <v>496.95</v>
      </c>
      <c r="H60" s="10" t="s">
        <v>592</v>
      </c>
      <c r="I60" s="10">
        <v>92.8</v>
      </c>
      <c r="O60" s="15">
        <f>IFERROR(__xludf.DUMMYFUNCTION("IF(ISBLANK($C60), """", GOOGLEFINANCE($C60, ""price""))"),524.61)</f>
        <v>524.61</v>
      </c>
      <c r="P60" s="16">
        <f t="shared" si="2"/>
        <v>0.05565952309</v>
      </c>
      <c r="Q60" s="16">
        <f>IFERROR(__xludf.DUMMYFUNCTION("IF(OR(ISBLANK($G60), IFERROR(INDEX(GOOGLEFINANCE($C60, ""price"", WORKDAY(INT($B60), 1)), 2, 2), """")=""""), """", IF($D60=""LONG"", (IFERROR(INDEX(GOOGLEFINANCE($C60, ""price"", WORKDAY(INT($B60), 1)), 2, 2), """")-$G60)/$G60, ($G60-IFERROR(INDEX(GOOGLE"&amp;"FINANCE($C60, ""price"", WORKDAY(INT($B60), 1)), 2, 2), """"))/$G60))"),-0.011791930777744267)</f>
        <v>-0.01179193078</v>
      </c>
      <c r="R60" s="16">
        <f>IFERROR(__xludf.DUMMYFUNCTION("IF(OR(ISBLANK($G60), IFERROR(INDEX(GOOGLEFINANCE($C60, ""price"", WORKDAY(INT($B60), 5)), 2, 2), """")=""""), """", IF($D60=""LONG"", (IFERROR(INDEX(GOOGLEFINANCE($C60, ""price"", WORKDAY(INT($B60), 5)), 2, 2), """")-$G60)/$G60, ($G60-IFERROR(INDEX(GOOGLE"&amp;"FINANCE($C60, ""price"", WORKDAY(INT($B60), 5)), 2, 2), """"))/$G60))"),-0.011469966797464511)</f>
        <v>-0.0114699668</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598</v>
      </c>
    </row>
    <row r="61">
      <c r="A61" s="9">
        <f t="shared" si="1"/>
        <v>60</v>
      </c>
      <c r="B61" s="11">
        <v>46216.66773148148</v>
      </c>
      <c r="C61" s="10" t="s">
        <v>600</v>
      </c>
      <c r="D61" s="10" t="s">
        <v>36</v>
      </c>
      <c r="E61" s="10" t="s">
        <v>37</v>
      </c>
      <c r="F61" s="13">
        <v>2.0</v>
      </c>
      <c r="G61" s="14">
        <v>229.85</v>
      </c>
      <c r="H61" s="10" t="s">
        <v>601</v>
      </c>
      <c r="I61" s="10">
        <v>94.1</v>
      </c>
      <c r="O61" s="15">
        <f>IFERROR(__xludf.DUMMYFUNCTION("IF(ISBLANK($C61), """", GOOGLEFINANCE($C61, ""price""))"),265.51)</f>
        <v>265.51</v>
      </c>
      <c r="P61" s="16">
        <f t="shared" si="2"/>
        <v>0.1551446596</v>
      </c>
      <c r="Q61" s="16">
        <f>IFERROR(__xludf.DUMMYFUNCTION("IF(OR(ISBLANK($G61), IFERROR(INDEX(GOOGLEFINANCE($C61, ""price"", WORKDAY(INT($B61), 1)), 2, 2), """")=""""), """", IF($D61=""LONG"", (IFERROR(INDEX(GOOGLEFINANCE($C61, ""price"", WORKDAY(INT($B61), 1)), 2, 2), """")-$G61)/$G61, ($G61-IFERROR(INDEX(GOOGLE"&amp;"FINANCE($C61, ""price"", WORKDAY(INT($B61), 1)), 2, 2), """"))/$G61))"),0.005916902327605019)</f>
        <v>0.005916902328</v>
      </c>
      <c r="R61" s="16">
        <f>IFERROR(__xludf.DUMMYFUNCTION("IF(OR(ISBLANK($G61), IFERROR(INDEX(GOOGLEFINANCE($C61, ""price"", WORKDAY(INT($B61), 5)), 2, 2), """")=""""), """", IF($D61=""LONG"", (IFERROR(INDEX(GOOGLEFINANCE($C61, ""price"", WORKDAY(INT($B61), 5)), 2, 2), """")-$G61)/$G61, ($G61-IFERROR(INDEX(GOOGLE"&amp;"FINANCE($C61, ""price"", WORKDAY(INT($B61), 5)), 2, 2), """"))/$G61))"),-0.04415923428322822)</f>
        <v>-0.04415923428</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609</v>
      </c>
    </row>
    <row r="62">
      <c r="A62" s="9">
        <f t="shared" si="1"/>
        <v>61</v>
      </c>
      <c r="B62" s="11">
        <v>46216.667719907404</v>
      </c>
      <c r="C62" s="10" t="s">
        <v>129</v>
      </c>
      <c r="D62" s="10" t="s">
        <v>119</v>
      </c>
      <c r="E62" s="10" t="s">
        <v>120</v>
      </c>
      <c r="F62" s="13">
        <v>4.0</v>
      </c>
      <c r="G62" s="14">
        <v>57.67</v>
      </c>
      <c r="H62" s="10" t="s">
        <v>611</v>
      </c>
      <c r="I62" s="10">
        <v>3.3</v>
      </c>
      <c r="O62" s="15">
        <f>IFERROR(__xludf.DUMMYFUNCTION("IF(ISBLANK($C62), """", GOOGLEFINANCE($C62, ""price""))"),62.75)</f>
        <v>62.75</v>
      </c>
      <c r="P62" s="16">
        <f t="shared" si="2"/>
        <v>-0.08808739379</v>
      </c>
      <c r="Q62" s="16">
        <f>IFERROR(__xludf.DUMMYFUNCTION("IF(OR(ISBLANK($G62), IFERROR(INDEX(GOOGLEFINANCE($C62, ""price"", WORKDAY(INT($B62), 1)), 2, 2), """")=""""), """", IF($D62=""LONG"", (IFERROR(INDEX(GOOGLEFINANCE($C62, ""price"", WORKDAY(INT($B62), 1)), 2, 2), """")-$G62)/$G62, ($G62-IFERROR(INDEX(GOOGLE"&amp;"FINANCE($C62, ""price"", WORKDAY(INT($B62), 1)), 2, 2), """"))/$G62))"),-0.001907404196289222)</f>
        <v>-0.001907404196</v>
      </c>
      <c r="R62" s="16">
        <f>IFERROR(__xludf.DUMMYFUNCTION("IF(OR(ISBLANK($G62), IFERROR(INDEX(GOOGLEFINANCE($C62, ""price"", WORKDAY(INT($B62), 5)), 2, 2), """")=""""), """", IF($D62=""LONG"", (IFERROR(INDEX(GOOGLEFINANCE($C62, ""price"", WORKDAY(INT($B62), 5)), 2, 2), """")-$G62)/$G62, ($G62-IFERROR(INDEX(GOOGLE"&amp;"FINANCE($C62, ""price"", WORKDAY(INT($B62), 5)), 2, 2), """"))/$G62))"),0.04369689613317155)</f>
        <v>0.04369689613</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617</v>
      </c>
    </row>
    <row r="63">
      <c r="A63" s="9">
        <f t="shared" si="1"/>
        <v>62</v>
      </c>
      <c r="B63" s="11">
        <v>46216.66773148148</v>
      </c>
      <c r="C63" s="10" t="s">
        <v>618</v>
      </c>
      <c r="D63" s="10" t="s">
        <v>36</v>
      </c>
      <c r="E63" s="10" t="s">
        <v>133</v>
      </c>
      <c r="F63" s="13">
        <v>2.0</v>
      </c>
      <c r="G63" s="14">
        <v>247.07</v>
      </c>
      <c r="H63" s="10" t="s">
        <v>621</v>
      </c>
      <c r="I63" s="10">
        <v>97.7</v>
      </c>
      <c r="O63" s="15">
        <f>IFERROR(__xludf.DUMMYFUNCTION("IF(ISBLANK($C63), """", GOOGLEFINANCE($C63, ""price""))"),254.06)</f>
        <v>254.06</v>
      </c>
      <c r="P63" s="16">
        <f t="shared" si="2"/>
        <v>0.02829157729</v>
      </c>
      <c r="Q63" s="16">
        <f>IFERROR(__xludf.DUMMYFUNCTION("IF(OR(ISBLANK($G63), IFERROR(INDEX(GOOGLEFINANCE($C63, ""price"", WORKDAY(INT($B63), 1)), 2, 2), """")=""""), """", IF($D63=""LONG"", (IFERROR(INDEX(GOOGLEFINANCE($C63, ""price"", WORKDAY(INT($B63), 1)), 2, 2), """")-$G63)/$G63, ($G63-IFERROR(INDEX(GOOGLE"&amp;"FINANCE($C63, ""price"", WORKDAY(INT($B63), 1)), 2, 2), """"))/$G63))"),-0.03480794916420445)</f>
        <v>-0.03480794916</v>
      </c>
      <c r="R63" s="16">
        <f>IFERROR(__xludf.DUMMYFUNCTION("IF(OR(ISBLANK($G63), IFERROR(INDEX(GOOGLEFINANCE($C63, ""price"", WORKDAY(INT($B63), 5)), 2, 2), """")=""""), """", IF($D63=""LONG"", (IFERROR(INDEX(GOOGLEFINANCE($C63, ""price"", WORKDAY(INT($B63), 5)), 2, 2), """")-$G63)/$G63, ($G63-IFERROR(INDEX(GOOGLE"&amp;"FINANCE($C63, ""price"", WORKDAY(INT($B63), 5)), 2, 2), """"))/$G63))"),-0.08928643704213382)</f>
        <v>-0.08928643704</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630</v>
      </c>
    </row>
    <row r="64">
      <c r="A64" s="9">
        <f t="shared" si="1"/>
        <v>63</v>
      </c>
      <c r="B64" s="11">
        <v>46216.66744212963</v>
      </c>
      <c r="C64" s="10" t="s">
        <v>426</v>
      </c>
      <c r="D64" s="10" t="s">
        <v>36</v>
      </c>
      <c r="E64" s="10" t="s">
        <v>37</v>
      </c>
      <c r="F64" s="13">
        <v>2.0</v>
      </c>
      <c r="G64" s="14">
        <v>528.46</v>
      </c>
      <c r="H64" s="10" t="s">
        <v>632</v>
      </c>
      <c r="I64" s="10">
        <v>89.8</v>
      </c>
      <c r="O64" s="15">
        <f>IFERROR(__xludf.DUMMYFUNCTION("IF(ISBLANK($C64), """", GOOGLEFINANCE($C64, ""price""))"),580.02)</f>
        <v>580.02</v>
      </c>
      <c r="P64" s="16">
        <f t="shared" si="2"/>
        <v>0.09756651402</v>
      </c>
      <c r="Q64" s="16">
        <f>IFERROR(__xludf.DUMMYFUNCTION("IF(OR(ISBLANK($G64), IFERROR(INDEX(GOOGLEFINANCE($C64, ""price"", WORKDAY(INT($B64), 1)), 2, 2), """")=""""), """", IF($D64=""LONG"", (IFERROR(INDEX(GOOGLEFINANCE($C64, ""price"", WORKDAY(INT($B64), 1)), 2, 2), """")-$G64)/$G64, ($G64-IFERROR(INDEX(GOOGLE"&amp;"FINANCE($C64, ""price"", WORKDAY(INT($B64), 1)), 2, 2), """"))/$G64))"),0.010615751428679585)</f>
        <v>0.01061575143</v>
      </c>
      <c r="R64" s="16">
        <f>IFERROR(__xludf.DUMMYFUNCTION("IF(OR(ISBLANK($G64), IFERROR(INDEX(GOOGLEFINANCE($C64, ""price"", WORKDAY(INT($B64), 5)), 2, 2), """")=""""), """", IF($D64=""LONG"", (IFERROR(INDEX(GOOGLEFINANCE($C64, ""price"", WORKDAY(INT($B64), 5)), 2, 2), """")-$G64)/$G64, ($G64-IFERROR(INDEX(GOOGLE"&amp;"FINANCE($C64, ""price"", WORKDAY(INT($B64), 5)), 2, 2), """"))/$G64))"),-0.00421980850017034)</f>
        <v>-0.0042198085</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636</v>
      </c>
    </row>
    <row r="65">
      <c r="A65" s="9">
        <f t="shared" si="1"/>
        <v>64</v>
      </c>
      <c r="B65" s="11">
        <v>46216.66769675926</v>
      </c>
      <c r="C65" s="10" t="s">
        <v>174</v>
      </c>
      <c r="D65" s="10" t="s">
        <v>36</v>
      </c>
      <c r="E65" s="10" t="s">
        <v>37</v>
      </c>
      <c r="F65" s="13">
        <v>2.0</v>
      </c>
      <c r="G65" s="14">
        <v>24.46</v>
      </c>
      <c r="H65" s="10" t="s">
        <v>638</v>
      </c>
      <c r="I65" s="10">
        <v>94.1</v>
      </c>
      <c r="O65" s="15">
        <f>IFERROR(__xludf.DUMMYFUNCTION("IF(ISBLANK($C65), """", GOOGLEFINANCE($C65, ""price""))"),25.09)</f>
        <v>25.09</v>
      </c>
      <c r="P65" s="16">
        <f t="shared" si="2"/>
        <v>0.02575633688</v>
      </c>
      <c r="Q65" s="16">
        <f>IFERROR(__xludf.DUMMYFUNCTION("IF(OR(ISBLANK($G65), IFERROR(INDEX(GOOGLEFINANCE($C65, ""price"", WORKDAY(INT($B65), 1)), 2, 2), """")=""""), """", IF($D65=""LONG"", (IFERROR(INDEX(GOOGLEFINANCE($C65, ""price"", WORKDAY(INT($B65), 1)), 2, 2), """")-$G65)/$G65, ($G65-IFERROR(INDEX(GOOGLE"&amp;"FINANCE($C65, ""price"", WORKDAY(INT($B65), 1)), 2, 2), """"))/$G65))"),0.01430907604251831)</f>
        <v>0.01430907604</v>
      </c>
      <c r="R65" s="16">
        <f>IFERROR(__xludf.DUMMYFUNCTION("IF(OR(ISBLANK($G65), IFERROR(INDEX(GOOGLEFINANCE($C65, ""price"", WORKDAY(INT($B65), 5)), 2, 2), """")=""""), """", IF($D65=""LONG"", (IFERROR(INDEX(GOOGLEFINANCE($C65, ""price"", WORKDAY(INT($B65), 5)), 2, 2), """")-$G65)/$G65, ($G65-IFERROR(INDEX(GOOGLE"&amp;"FINANCE($C65, ""price"", WORKDAY(INT($B65), 5)), 2, 2), """"))/$G65))"),0.03352412101390025)</f>
        <v>0.03352412101</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644</v>
      </c>
    </row>
    <row r="66">
      <c r="A66" s="9">
        <f t="shared" si="1"/>
        <v>65</v>
      </c>
      <c r="B66" s="11">
        <v>46216.66773148148</v>
      </c>
      <c r="C66" s="10" t="s">
        <v>645</v>
      </c>
      <c r="D66" s="10" t="s">
        <v>119</v>
      </c>
      <c r="E66" s="10" t="s">
        <v>120</v>
      </c>
      <c r="F66" s="13">
        <v>4.0</v>
      </c>
      <c r="G66" s="14">
        <v>232.88</v>
      </c>
      <c r="H66" s="10" t="s">
        <v>649</v>
      </c>
      <c r="I66" s="10">
        <v>6.3</v>
      </c>
      <c r="O66" s="15">
        <f>IFERROR(__xludf.DUMMYFUNCTION("IF(ISBLANK($C66), """", GOOGLEFINANCE($C66, ""price""))"),272.0)</f>
        <v>272</v>
      </c>
      <c r="P66" s="16">
        <f t="shared" si="2"/>
        <v>-0.1679835108</v>
      </c>
      <c r="Q66" s="16">
        <f>IFERROR(__xludf.DUMMYFUNCTION("IF(OR(ISBLANK($G66), IFERROR(INDEX(GOOGLEFINANCE($C66, ""price"", WORKDAY(INT($B66), 1)), 2, 2), """")=""""), """", IF($D66=""LONG"", (IFERROR(INDEX(GOOGLEFINANCE($C66, ""price"", WORKDAY(INT($B66), 1)), 2, 2), """")-$G66)/$G66, ($G66-IFERROR(INDEX(GOOGLE"&amp;"FINANCE($C66, ""price"", WORKDAY(INT($B66), 1)), 2, 2), """"))/$G66))"),-0.0054963929920989404)</f>
        <v>-0.005496392992</v>
      </c>
      <c r="R66" s="16">
        <f>IFERROR(__xludf.DUMMYFUNCTION("IF(OR(ISBLANK($G66), IFERROR(INDEX(GOOGLEFINANCE($C66, ""price"", WORKDAY(INT($B66), 5)), 2, 2), """")=""""), """", IF($D66=""LONG"", (IFERROR(INDEX(GOOGLEFINANCE($C66, ""price"", WORKDAY(INT($B66), 5)), 2, 2), """")-$G66)/$G66, ($G66-IFERROR(INDEX(GOOGLE"&amp;"FINANCE($C66, ""price"", WORKDAY(INT($B66), 5)), 2, 2), """"))/$G66))"),0.009189282033665348)</f>
        <v>0.009189282034</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656</v>
      </c>
    </row>
    <row r="67">
      <c r="A67" s="9">
        <f t="shared" si="1"/>
        <v>66</v>
      </c>
      <c r="B67" s="11">
        <v>46216.667708333334</v>
      </c>
      <c r="C67" s="10" t="s">
        <v>162</v>
      </c>
      <c r="D67" s="10" t="s">
        <v>36</v>
      </c>
      <c r="E67" s="10" t="s">
        <v>37</v>
      </c>
      <c r="F67" s="13">
        <v>2.0</v>
      </c>
      <c r="G67" s="14">
        <v>47.93</v>
      </c>
      <c r="H67" s="10" t="s">
        <v>659</v>
      </c>
      <c r="I67" s="10">
        <v>94.1</v>
      </c>
      <c r="O67" s="15">
        <f>IFERROR(__xludf.DUMMYFUNCTION("IF(ISBLANK($C67), """", GOOGLEFINANCE($C67, ""price""))"),46.94)</f>
        <v>46.94</v>
      </c>
      <c r="P67" s="16">
        <f t="shared" si="2"/>
        <v>-0.02065512205</v>
      </c>
      <c r="Q67" s="16">
        <f>IFERROR(__xludf.DUMMYFUNCTION("IF(OR(ISBLANK($G67), IFERROR(INDEX(GOOGLEFINANCE($C67, ""price"", WORKDAY(INT($B67), 1)), 2, 2), """")=""""), """", IF($D67=""LONG"", (IFERROR(INDEX(GOOGLEFINANCE($C67, ""price"", WORKDAY(INT($B67), 1)), 2, 2), """")-$G67)/$G67, ($G67-IFERROR(INDEX(GOOGLE"&amp;"FINANCE($C67, ""price"", WORKDAY(INT($B67), 1)), 2, 2), """"))/$G67))"),-0.007719591070310817)</f>
        <v>-0.00771959107</v>
      </c>
      <c r="R67" s="16">
        <f>IFERROR(__xludf.DUMMYFUNCTION("IF(OR(ISBLANK($G67), IFERROR(INDEX(GOOGLEFINANCE($C67, ""price"", WORKDAY(INT($B67), 5)), 2, 2), """")=""""), """", IF($D67=""LONG"", (IFERROR(INDEX(GOOGLEFINANCE($C67, ""price"", WORKDAY(INT($B67), 5)), 2, 2), """")-$G67)/$G67, ($G67-IFERROR(INDEX(GOOGLE"&amp;"FINANCE($C67, ""price"", WORKDAY(INT($B67), 5)), 2, 2), """"))/$G67))"),0.008554141456290501)</f>
        <v>0.008554141456</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665</v>
      </c>
    </row>
    <row r="68">
      <c r="A68" s="9">
        <f t="shared" si="1"/>
        <v>67</v>
      </c>
      <c r="B68" s="11">
        <v>46216.6675</v>
      </c>
      <c r="C68" s="10" t="s">
        <v>422</v>
      </c>
      <c r="D68" s="10" t="s">
        <v>119</v>
      </c>
      <c r="E68" s="10" t="s">
        <v>120</v>
      </c>
      <c r="F68" s="13">
        <v>4.0</v>
      </c>
      <c r="G68" s="14">
        <v>247.34</v>
      </c>
      <c r="H68" s="10" t="s">
        <v>667</v>
      </c>
      <c r="I68" s="10">
        <v>11.7</v>
      </c>
      <c r="O68" s="15">
        <f>IFERROR(__xludf.DUMMYFUNCTION("IF(ISBLANK($C68), """", GOOGLEFINANCE($C68, ""price""))"),272.26)</f>
        <v>272.26</v>
      </c>
      <c r="P68" s="16">
        <f t="shared" si="2"/>
        <v>-0.1007520013</v>
      </c>
      <c r="Q68" s="16">
        <f>IFERROR(__xludf.DUMMYFUNCTION("IF(OR(ISBLANK($G68), IFERROR(INDEX(GOOGLEFINANCE($C68, ""price"", WORKDAY(INT($B68), 1)), 2, 2), """")=""""), """", IF($D68=""LONG"", (IFERROR(INDEX(GOOGLEFINANCE($C68, ""price"", WORKDAY(INT($B68), 1)), 2, 2), """")-$G68)/$G68, ($G68-IFERROR(INDEX(GOOGLE"&amp;"FINANCE($C68, ""price"", WORKDAY(INT($B68), 1)), 2, 2), """"))/$G68))"),-6.064526562626574E-4)</f>
        <v>-0.0006064526563</v>
      </c>
      <c r="R68" s="16">
        <f>IFERROR(__xludf.DUMMYFUNCTION("IF(OR(ISBLANK($G68), IFERROR(INDEX(GOOGLEFINANCE($C68, ""price"", WORKDAY(INT($B68), 5)), 2, 2), """")=""""), """", IF($D68=""LONG"", (IFERROR(INDEX(GOOGLEFINANCE($C68, ""price"", WORKDAY(INT($B68), 5)), 2, 2), """")-$G68)/$G68, ($G68-IFERROR(INDEX(GOOGLE"&amp;"FINANCE($C68, ""price"", WORKDAY(INT($B68), 5)), 2, 2), """"))/$G68))"),-0.010713996927306565)</f>
        <v>-0.01071399693</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672</v>
      </c>
    </row>
    <row r="69">
      <c r="A69" s="9">
        <f t="shared" si="1"/>
        <v>68</v>
      </c>
      <c r="B69" s="11">
        <v>46216.66775462963</v>
      </c>
      <c r="C69" s="10" t="s">
        <v>342</v>
      </c>
      <c r="D69" s="10" t="s">
        <v>36</v>
      </c>
      <c r="E69" s="10" t="s">
        <v>37</v>
      </c>
      <c r="F69" s="13">
        <v>2.0</v>
      </c>
      <c r="G69" s="14">
        <v>59.53</v>
      </c>
      <c r="H69" s="10" t="s">
        <v>674</v>
      </c>
      <c r="I69" s="10">
        <v>90.3</v>
      </c>
      <c r="O69" s="15">
        <f>IFERROR(__xludf.DUMMYFUNCTION("IF(ISBLANK($C69), """", GOOGLEFINANCE($C69, ""price""))"),63.0)</f>
        <v>63</v>
      </c>
      <c r="P69" s="16">
        <f t="shared" si="2"/>
        <v>0.05828993785</v>
      </c>
      <c r="Q69" s="16">
        <f>IFERROR(__xludf.DUMMYFUNCTION("IF(OR(ISBLANK($G69), IFERROR(INDEX(GOOGLEFINANCE($C69, ""price"", WORKDAY(INT($B69), 1)), 2, 2), """")=""""), """", IF($D69=""LONG"", (IFERROR(INDEX(GOOGLEFINANCE($C69, ""price"", WORKDAY(INT($B69), 1)), 2, 2), """")-$G69)/$G69, ($G69-IFERROR(INDEX(GOOGLE"&amp;"FINANCE($C69, ""price"", WORKDAY(INT($B69), 1)), 2, 2), """"))/$G69))"),0.018310095750041933)</f>
        <v>0.01831009575</v>
      </c>
      <c r="R69" s="16">
        <f>IFERROR(__xludf.DUMMYFUNCTION("IF(OR(ISBLANK($G69), IFERROR(INDEX(GOOGLEFINANCE($C69, ""price"", WORKDAY(INT($B69), 5)), 2, 2), """")=""""), """", IF($D69=""LONG"", (IFERROR(INDEX(GOOGLEFINANCE($C69, ""price"", WORKDAY(INT($B69), 5)), 2, 2), """")-$G69)/$G69, ($G69-IFERROR(INDEX(GOOGLE"&amp;"FINANCE($C69, ""price"", WORKDAY(INT($B69), 5)), 2, 2), """"))/$G69))"),0.014950445153704025)</f>
        <v>0.01495044515</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681</v>
      </c>
    </row>
    <row r="70">
      <c r="A70" s="9">
        <f t="shared" si="1"/>
        <v>69</v>
      </c>
      <c r="B70" s="11">
        <v>46216.66775462963</v>
      </c>
      <c r="C70" s="10" t="s">
        <v>682</v>
      </c>
      <c r="D70" s="10" t="s">
        <v>36</v>
      </c>
      <c r="E70" s="10" t="s">
        <v>133</v>
      </c>
      <c r="F70" s="13">
        <v>2.0</v>
      </c>
      <c r="G70" s="14">
        <v>68.27</v>
      </c>
      <c r="H70" s="10" t="s">
        <v>683</v>
      </c>
      <c r="I70" s="10">
        <v>65.3</v>
      </c>
      <c r="O70" s="15">
        <f>IFERROR(__xludf.DUMMYFUNCTION("IF(ISBLANK($C70), """", GOOGLEFINANCE($C70, ""price""))"),64.2)</f>
        <v>64.2</v>
      </c>
      <c r="P70" s="16">
        <f t="shared" si="2"/>
        <v>-0.05961622968</v>
      </c>
      <c r="Q70" s="16">
        <f>IFERROR(__xludf.DUMMYFUNCTION("IF(OR(ISBLANK($G70), IFERROR(INDEX(GOOGLEFINANCE($C70, ""price"", WORKDAY(INT($B70), 1)), 2, 2), """")=""""), """", IF($D70=""LONG"", (IFERROR(INDEX(GOOGLEFINANCE($C70, ""price"", WORKDAY(INT($B70), 1)), 2, 2), """")-$G70)/$G70, ($G70-IFERROR(INDEX(GOOGLE"&amp;"FINANCE($C70, ""price"", WORKDAY(INT($B70), 1)), 2, 2), """"))/$G70))"),0.006591475025633556)</f>
        <v>0.006591475026</v>
      </c>
      <c r="R70" s="16">
        <f>IFERROR(__xludf.DUMMYFUNCTION("IF(OR(ISBLANK($G70), IFERROR(INDEX(GOOGLEFINANCE($C70, ""price"", WORKDAY(INT($B70), 5)), 2, 2), """")=""""), """", IF($D70=""LONG"", (IFERROR(INDEX(GOOGLEFINANCE($C70, ""price"", WORKDAY(INT($B70), 5)), 2, 2), """")-$G70)/$G70, ($G70-IFERROR(INDEX(GOOGLE"&amp;"FINANCE($C70, ""price"", WORKDAY(INT($B70), 5)), 2, 2), """"))/$G70))"),-0.03559396513842087)</f>
        <v>-0.03559396514</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690</v>
      </c>
    </row>
    <row r="71">
      <c r="A71" s="9">
        <f t="shared" si="1"/>
        <v>70</v>
      </c>
      <c r="B71" s="11">
        <v>46216.66740740741</v>
      </c>
      <c r="C71" s="10" t="s">
        <v>691</v>
      </c>
      <c r="D71" s="10" t="s">
        <v>36</v>
      </c>
      <c r="E71" s="10" t="s">
        <v>133</v>
      </c>
      <c r="F71" s="13">
        <v>2.0</v>
      </c>
      <c r="G71" s="14">
        <v>28.41</v>
      </c>
      <c r="H71" s="10" t="s">
        <v>692</v>
      </c>
      <c r="I71" s="10">
        <v>56.0</v>
      </c>
      <c r="O71" s="15">
        <f>IFERROR(__xludf.DUMMYFUNCTION("IF(ISBLANK($C71), """", GOOGLEFINANCE($C71, ""price""))"),31.69)</f>
        <v>31.69</v>
      </c>
      <c r="P71" s="16">
        <f t="shared" si="2"/>
        <v>0.1154523055</v>
      </c>
      <c r="Q71" s="16">
        <f>IFERROR(__xludf.DUMMYFUNCTION("IF(OR(ISBLANK($G71), IFERROR(INDEX(GOOGLEFINANCE($C71, ""price"", WORKDAY(INT($B71), 1)), 2, 2), """")=""""), """", IF($D71=""LONG"", (IFERROR(INDEX(GOOGLEFINANCE($C71, ""price"", WORKDAY(INT($B71), 1)), 2, 2), """")-$G71)/$G71, ($G71-IFERROR(INDEX(GOOGLE"&amp;"FINANCE($C71, ""price"", WORKDAY(INT($B71), 1)), 2, 2), """"))/$G71))"),0.011263639563533977)</f>
        <v>0.01126363956</v>
      </c>
      <c r="R71" s="16">
        <f>IFERROR(__xludf.DUMMYFUNCTION("IF(OR(ISBLANK($G71), IFERROR(INDEX(GOOGLEFINANCE($C71, ""price"", WORKDAY(INT($B71), 5)), 2, 2), """")=""""), """", IF($D71=""LONG"", (IFERROR(INDEX(GOOGLEFINANCE($C71, ""price"", WORKDAY(INT($B71), 5)), 2, 2), """")-$G71)/$G71, ($G71-IFERROR(INDEX(GOOGLE"&amp;"FINANCE($C71, ""price"", WORKDAY(INT($B71), 5)), 2, 2), """"))/$G71))"),0.04399859204505456)</f>
        <v>0.04399859205</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700</v>
      </c>
    </row>
    <row r="72">
      <c r="A72" s="9">
        <f t="shared" si="1"/>
        <v>71</v>
      </c>
      <c r="B72" s="11">
        <v>46216.66743055556</v>
      </c>
      <c r="C72" s="10" t="s">
        <v>701</v>
      </c>
      <c r="D72" s="10" t="s">
        <v>119</v>
      </c>
      <c r="E72" s="10" t="s">
        <v>120</v>
      </c>
      <c r="F72" s="13">
        <v>4.0</v>
      </c>
      <c r="G72" s="14">
        <v>26.39</v>
      </c>
      <c r="H72" s="10" t="s">
        <v>702</v>
      </c>
      <c r="I72" s="10">
        <v>13.4</v>
      </c>
      <c r="O72" s="15">
        <f>IFERROR(__xludf.DUMMYFUNCTION("IF(ISBLANK($C72), """", GOOGLEFINANCE($C72, ""price""))"),26.54)</f>
        <v>26.54</v>
      </c>
      <c r="P72" s="16">
        <f t="shared" si="2"/>
        <v>-0.005683971201</v>
      </c>
      <c r="Q72" s="16">
        <f>IFERROR(__xludf.DUMMYFUNCTION("IF(OR(ISBLANK($G72), IFERROR(INDEX(GOOGLEFINANCE($C72, ""price"", WORKDAY(INT($B72), 1)), 2, 2), """")=""""), """", IF($D72=""LONG"", (IFERROR(INDEX(GOOGLEFINANCE($C72, ""price"", WORKDAY(INT($B72), 1)), 2, 2), """")-$G72)/$G72, ($G72-IFERROR(INDEX(GOOGLE"&amp;"FINANCE($C72, ""price"", WORKDAY(INT($B72), 1)), 2, 2), """"))/$G72))"),0.0041682455475558705)</f>
        <v>0.004168245548</v>
      </c>
      <c r="R72" s="16">
        <f>IFERROR(__xludf.DUMMYFUNCTION("IF(OR(ISBLANK($G72), IFERROR(INDEX(GOOGLEFINANCE($C72, ""price"", WORKDAY(INT($B72), 5)), 2, 2), """")=""""), """", IF($D72=""LONG"", (IFERROR(INDEX(GOOGLEFINANCE($C72, ""price"", WORKDAY(INT($B72), 5)), 2, 2), """")-$G72)/$G72, ($G72-IFERROR(INDEX(GOOGLE"&amp;"FINANCE($C72, ""price"", WORKDAY(INT($B72), 5)), 2, 2), """"))/$G72))"),-0.017051913603637715)</f>
        <v>-0.0170519136</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710</v>
      </c>
    </row>
    <row r="73">
      <c r="A73" s="9">
        <f t="shared" si="1"/>
        <v>72</v>
      </c>
      <c r="B73" s="11">
        <v>46216.66744212963</v>
      </c>
      <c r="C73" s="10" t="s">
        <v>424</v>
      </c>
      <c r="D73" s="10" t="s">
        <v>36</v>
      </c>
      <c r="E73" s="10" t="s">
        <v>37</v>
      </c>
      <c r="F73" s="13">
        <v>2.0</v>
      </c>
      <c r="G73" s="14">
        <v>83.46</v>
      </c>
      <c r="H73" s="10" t="s">
        <v>714</v>
      </c>
      <c r="I73" s="10">
        <v>96.7</v>
      </c>
      <c r="O73" s="15">
        <f>IFERROR(__xludf.DUMMYFUNCTION("IF(ISBLANK($C73), """", GOOGLEFINANCE($C73, ""price""))"),84.35)</f>
        <v>84.35</v>
      </c>
      <c r="P73" s="16">
        <f t="shared" si="2"/>
        <v>0.01066379104</v>
      </c>
      <c r="Q73" s="16">
        <f>IFERROR(__xludf.DUMMYFUNCTION("IF(OR(ISBLANK($G73), IFERROR(INDEX(GOOGLEFINANCE($C73, ""price"", WORKDAY(INT($B73), 1)), 2, 2), """")=""""), """", IF($D73=""LONG"", (IFERROR(INDEX(GOOGLEFINANCE($C73, ""price"", WORKDAY(INT($B73), 1)), 2, 2), """")-$G73)/$G73, ($G73-IFERROR(INDEX(GOOGLE"&amp;"FINANCE($C73, ""price"", WORKDAY(INT($B73), 1)), 2, 2), """"))/$G73))"),-0.007308890486460573)</f>
        <v>-0.007308890486</v>
      </c>
      <c r="R73" s="16">
        <f>IFERROR(__xludf.DUMMYFUNCTION("IF(OR(ISBLANK($G73), IFERROR(INDEX(GOOGLEFINANCE($C73, ""price"", WORKDAY(INT($B73), 5)), 2, 2), """")=""""), """", IF($D73=""LONG"", (IFERROR(INDEX(GOOGLEFINANCE($C73, ""price"", WORKDAY(INT($B73), 5)), 2, 2), """")-$G73)/$G73, ($G73-IFERROR(INDEX(GOOGLE"&amp;"FINANCE($C73, ""price"", WORKDAY(INT($B73), 5)), 2, 2), """"))/$G73))"),-0.03211119098969557)</f>
        <v>-0.03211119099</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719</v>
      </c>
    </row>
    <row r="74">
      <c r="A74" s="9">
        <f t="shared" si="1"/>
        <v>73</v>
      </c>
      <c r="B74" s="11">
        <v>46216.66752314815</v>
      </c>
      <c r="C74" s="10" t="s">
        <v>721</v>
      </c>
      <c r="D74" s="10" t="s">
        <v>36</v>
      </c>
      <c r="E74" s="10" t="s">
        <v>133</v>
      </c>
      <c r="F74" s="13">
        <v>2.0</v>
      </c>
      <c r="G74" s="14">
        <v>420.98</v>
      </c>
      <c r="H74" s="10" t="s">
        <v>724</v>
      </c>
      <c r="I74" s="10">
        <v>76.1</v>
      </c>
      <c r="O74" s="15">
        <f>IFERROR(__xludf.DUMMYFUNCTION("IF(ISBLANK($C74), """", GOOGLEFINANCE($C74, ""price""))"),413.07)</f>
        <v>413.07</v>
      </c>
      <c r="P74" s="16">
        <f t="shared" si="2"/>
        <v>-0.01878949119</v>
      </c>
      <c r="Q74" s="16">
        <f>IFERROR(__xludf.DUMMYFUNCTION("IF(OR(ISBLANK($G74), IFERROR(INDEX(GOOGLEFINANCE($C74, ""price"", WORKDAY(INT($B74), 1)), 2, 2), """")=""""), """", IF($D74=""LONG"", (IFERROR(INDEX(GOOGLEFINANCE($C74, ""price"", WORKDAY(INT($B74), 1)), 2, 2), """")-$G74)/$G74, ($G74-IFERROR(INDEX(GOOGLE"&amp;"FINANCE($C74, ""price"", WORKDAY(INT($B74), 1)), 2, 2), """"))/$G74))"),0.02441921231412412)</f>
        <v>0.02441921231</v>
      </c>
      <c r="R74" s="16">
        <f>IFERROR(__xludf.DUMMYFUNCTION("IF(OR(ISBLANK($G74), IFERROR(INDEX(GOOGLEFINANCE($C74, ""price"", WORKDAY(INT($B74), 5)), 2, 2), """")=""""), """", IF($D74=""LONG"", (IFERROR(INDEX(GOOGLEFINANCE($C74, ""price"", WORKDAY(INT($B74), 5)), 2, 2), """")-$G74)/$G74, ($G74-IFERROR(INDEX(GOOGLE"&amp;"FINANCE($C74, ""price"", WORKDAY(INT($B74), 5)), 2, 2), """"))/$G74))"),-0.02152121240914058)</f>
        <v>-0.02152121241</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729</v>
      </c>
    </row>
    <row r="75">
      <c r="A75" s="9">
        <f t="shared" si="1"/>
        <v>74</v>
      </c>
      <c r="B75" s="11">
        <v>46216.66748842593</v>
      </c>
      <c r="C75" s="10" t="s">
        <v>731</v>
      </c>
      <c r="D75" s="10" t="s">
        <v>36</v>
      </c>
      <c r="E75" s="10" t="s">
        <v>133</v>
      </c>
      <c r="F75" s="13">
        <v>2.0</v>
      </c>
      <c r="G75" s="14">
        <v>69.71</v>
      </c>
      <c r="H75" s="10" t="s">
        <v>732</v>
      </c>
      <c r="I75" s="10">
        <v>89.3</v>
      </c>
      <c r="O75" s="15">
        <f>IFERROR(__xludf.DUMMYFUNCTION("IF(ISBLANK($C75), """", GOOGLEFINANCE($C75, ""price""))"),66.7)</f>
        <v>66.7</v>
      </c>
      <c r="P75" s="16">
        <f t="shared" si="2"/>
        <v>-0.04317888395</v>
      </c>
      <c r="Q75" s="16">
        <f>IFERROR(__xludf.DUMMYFUNCTION("IF(OR(ISBLANK($G75), IFERROR(INDEX(GOOGLEFINANCE($C75, ""price"", WORKDAY(INT($B75), 1)), 2, 2), """")=""""), """", IF($D75=""LONG"", (IFERROR(INDEX(GOOGLEFINANCE($C75, ""price"", WORKDAY(INT($B75), 1)), 2, 2), """")-$G75)/$G75, ($G75-IFERROR(INDEX(GOOGLE"&amp;"FINANCE($C75, ""price"", WORKDAY(INT($B75), 1)), 2, 2), """"))/$G75))"),-0.014201692727011835)</f>
        <v>-0.01420169273</v>
      </c>
      <c r="R75" s="16">
        <f>IFERROR(__xludf.DUMMYFUNCTION("IF(OR(ISBLANK($G75), IFERROR(INDEX(GOOGLEFINANCE($C75, ""price"", WORKDAY(INT($B75), 5)), 2, 2), """")=""""), """", IF($D75=""LONG"", (IFERROR(INDEX(GOOGLEFINANCE($C75, ""price"", WORKDAY(INT($B75), 5)), 2, 2), """")-$G75)/$G75, ($G75-IFERROR(INDEX(GOOGLE"&amp;"FINANCE($C75, ""price"", WORKDAY(INT($B75), 5)), 2, 2), """"))/$G75))"),-0.013054081193515947)</f>
        <v>-0.01305408119</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738</v>
      </c>
    </row>
    <row r="76">
      <c r="A76" s="9">
        <f t="shared" si="1"/>
        <v>75</v>
      </c>
      <c r="B76" s="11">
        <v>46216.66747685185</v>
      </c>
      <c r="C76" s="10" t="s">
        <v>339</v>
      </c>
      <c r="D76" s="10" t="s">
        <v>119</v>
      </c>
      <c r="E76" s="10" t="s">
        <v>120</v>
      </c>
      <c r="F76" s="13">
        <v>4.0</v>
      </c>
      <c r="G76" s="14">
        <v>30.38</v>
      </c>
      <c r="H76" s="10" t="s">
        <v>742</v>
      </c>
      <c r="I76" s="10">
        <v>5.5</v>
      </c>
      <c r="O76" s="15">
        <f>IFERROR(__xludf.DUMMYFUNCTION("IF(ISBLANK($C76), """", GOOGLEFINANCE($C76, ""price""))"),30.3)</f>
        <v>30.3</v>
      </c>
      <c r="P76" s="16">
        <f t="shared" si="2"/>
        <v>0.002633311389</v>
      </c>
      <c r="Q76" s="16">
        <f>IFERROR(__xludf.DUMMYFUNCTION("IF(OR(ISBLANK($G76), IFERROR(INDEX(GOOGLEFINANCE($C76, ""price"", WORKDAY(INT($B76), 1)), 2, 2), """")=""""), """", IF($D76=""LONG"", (IFERROR(INDEX(GOOGLEFINANCE($C76, ""price"", WORKDAY(INT($B76), 1)), 2, 2), """")-$G76)/$G76, ($G76-IFERROR(INDEX(GOOGLE"&amp;"FINANCE($C76, ""price"", WORKDAY(INT($B76), 1)), 2, 2), """"))/$G76))"),0.0023041474654377976)</f>
        <v>0.002304147465</v>
      </c>
      <c r="R76" s="16">
        <f>IFERROR(__xludf.DUMMYFUNCTION("IF(OR(ISBLANK($G76), IFERROR(INDEX(GOOGLEFINANCE($C76, ""price"", WORKDAY(INT($B76), 5)), 2, 2), """")=""""), """", IF($D76=""LONG"", (IFERROR(INDEX(GOOGLEFINANCE($C76, ""price"", WORKDAY(INT($B76), 5)), 2, 2), """")-$G76)/$G76, ($G76-IFERROR(INDEX(GOOGLE"&amp;"FINANCE($C76, ""price"", WORKDAY(INT($B76), 5)), 2, 2), """"))/$G76))"),3.291639236339042E-4)</f>
        <v>0.0003291639236</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750</v>
      </c>
    </row>
    <row r="77">
      <c r="A77" s="9">
        <f t="shared" si="1"/>
        <v>76</v>
      </c>
      <c r="B77" s="11">
        <v>46216.667662037034</v>
      </c>
      <c r="C77" s="10" t="s">
        <v>288</v>
      </c>
      <c r="D77" s="10" t="s">
        <v>36</v>
      </c>
      <c r="E77" s="10" t="s">
        <v>37</v>
      </c>
      <c r="F77" s="13">
        <v>2.0</v>
      </c>
      <c r="G77" s="14">
        <v>19.25</v>
      </c>
      <c r="H77" s="10" t="s">
        <v>752</v>
      </c>
      <c r="I77" s="10">
        <v>95.7</v>
      </c>
      <c r="O77" s="15">
        <f>IFERROR(__xludf.DUMMYFUNCTION("IF(ISBLANK($C77), """", GOOGLEFINANCE($C77, ""price""))"),19.18)</f>
        <v>19.18</v>
      </c>
      <c r="P77" s="16">
        <f t="shared" si="2"/>
        <v>-0.003636363636</v>
      </c>
      <c r="Q77" s="16">
        <f>IFERROR(__xludf.DUMMYFUNCTION("IF(OR(ISBLANK($G77), IFERROR(INDEX(GOOGLEFINANCE($C77, ""price"", WORKDAY(INT($B77), 1)), 2, 2), """")=""""), """", IF($D77=""LONG"", (IFERROR(INDEX(GOOGLEFINANCE($C77, ""price"", WORKDAY(INT($B77), 1)), 2, 2), """")-$G77)/$G77, ($G77-IFERROR(INDEX(GOOGLE"&amp;"FINANCE($C77, ""price"", WORKDAY(INT($B77), 1)), 2, 2), """"))/$G77))"),-0.025454545454545372)</f>
        <v>-0.02545454545</v>
      </c>
      <c r="R77" s="16">
        <f>IFERROR(__xludf.DUMMYFUNCTION("IF(OR(ISBLANK($G77), IFERROR(INDEX(GOOGLEFINANCE($C77, ""price"", WORKDAY(INT($B77), 5)), 2, 2), """")=""""), """", IF($D77=""LONG"", (IFERROR(INDEX(GOOGLEFINANCE($C77, ""price"", WORKDAY(INT($B77), 5)), 2, 2), """")-$G77)/$G77, ($G77-IFERROR(INDEX(GOOGLE"&amp;"FINANCE($C77, ""price"", WORKDAY(INT($B77), 5)), 2, 2), """"))/$G77))"),-0.01194805194805197)</f>
        <v>-0.01194805195</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756</v>
      </c>
    </row>
    <row r="78">
      <c r="A78" s="9">
        <f t="shared" si="1"/>
        <v>77</v>
      </c>
      <c r="B78" s="11">
        <v>46216.66744212963</v>
      </c>
      <c r="C78" s="10" t="s">
        <v>757</v>
      </c>
      <c r="D78" s="10" t="s">
        <v>119</v>
      </c>
      <c r="E78" s="10" t="s">
        <v>120</v>
      </c>
      <c r="F78" s="13">
        <v>4.0</v>
      </c>
      <c r="G78" s="14">
        <v>122.42</v>
      </c>
      <c r="H78" s="10" t="s">
        <v>760</v>
      </c>
      <c r="I78" s="10">
        <v>14.6</v>
      </c>
      <c r="O78" s="15">
        <f>IFERROR(__xludf.DUMMYFUNCTION("IF(ISBLANK($C78), """", GOOGLEFINANCE($C78, ""price""))"),121.96)</f>
        <v>121.96</v>
      </c>
      <c r="P78" s="16">
        <f t="shared" si="2"/>
        <v>0.003757555955</v>
      </c>
      <c r="Q78" s="16">
        <f>IFERROR(__xludf.DUMMYFUNCTION("IF(OR(ISBLANK($G78), IFERROR(INDEX(GOOGLEFINANCE($C78, ""price"", WORKDAY(INT($B78), 1)), 2, 2), """")=""""), """", IF($D78=""LONG"", (IFERROR(INDEX(GOOGLEFINANCE($C78, ""price"", WORKDAY(INT($B78), 1)), 2, 2), """")-$G78)/$G78, ($G78-IFERROR(INDEX(GOOGLE"&amp;"FINANCE($C78, ""price"", WORKDAY(INT($B78), 1)), 2, 2), """"))/$G78))"),-0.0019604639764743905)</f>
        <v>-0.001960463976</v>
      </c>
      <c r="R78" s="16">
        <f>IFERROR(__xludf.DUMMYFUNCTION("IF(OR(ISBLANK($G78), IFERROR(INDEX(GOOGLEFINANCE($C78, ""price"", WORKDAY(INT($B78), 5)), 2, 2), """")=""""), """", IF($D78=""LONG"", (IFERROR(INDEX(GOOGLEFINANCE($C78, ""price"", WORKDAY(INT($B78), 5)), 2, 2), """")-$G78)/$G78, ($G78-IFERROR(INDEX(GOOGLE"&amp;"FINANCE($C78, ""price"", WORKDAY(INT($B78), 5)), 2, 2), """"))/$G78))"),-0.014785165822578028)</f>
        <v>-0.01478516582</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767</v>
      </c>
    </row>
    <row r="79">
      <c r="A79" s="9">
        <f t="shared" si="1"/>
        <v>78</v>
      </c>
      <c r="B79" s="11">
        <v>46216.66741898148</v>
      </c>
      <c r="C79" s="10" t="s">
        <v>728</v>
      </c>
      <c r="D79" s="10" t="s">
        <v>36</v>
      </c>
      <c r="E79" s="10" t="s">
        <v>37</v>
      </c>
      <c r="F79" s="13">
        <v>2.0</v>
      </c>
      <c r="G79" s="14">
        <v>92.11</v>
      </c>
      <c r="H79" s="10" t="s">
        <v>772</v>
      </c>
      <c r="I79" s="10">
        <v>99.3</v>
      </c>
      <c r="O79" s="15">
        <f>IFERROR(__xludf.DUMMYFUNCTION("IF(ISBLANK($C79), """", GOOGLEFINANCE($C79, ""price""))"),107.96)</f>
        <v>107.96</v>
      </c>
      <c r="P79" s="16">
        <f t="shared" si="2"/>
        <v>0.1720768646</v>
      </c>
      <c r="Q79" s="16">
        <f>IFERROR(__xludf.DUMMYFUNCTION("IF(OR(ISBLANK($G79), IFERROR(INDEX(GOOGLEFINANCE($C79, ""price"", WORKDAY(INT($B79), 1)), 2, 2), """")=""""), """", IF($D79=""LONG"", (IFERROR(INDEX(GOOGLEFINANCE($C79, ""price"", WORKDAY(INT($B79), 1)), 2, 2), """")-$G79)/$G79, ($G79-IFERROR(INDEX(GOOGLE"&amp;"FINANCE($C79, ""price"", WORKDAY(INT($B79), 1)), 2, 2), """"))/$G79))"),-0.034198241233308065)</f>
        <v>-0.03419824123</v>
      </c>
      <c r="R79" s="16">
        <f>IFERROR(__xludf.DUMMYFUNCTION("IF(OR(ISBLANK($G79), IFERROR(INDEX(GOOGLEFINANCE($C79, ""price"", WORKDAY(INT($B79), 5)), 2, 2), """")=""""), """", IF($D79=""LONG"", (IFERROR(INDEX(GOOGLEFINANCE($C79, ""price"", WORKDAY(INT($B79), 5)), 2, 2), """")-$G79)/$G79, ($G79-IFERROR(INDEX(GOOGLE"&amp;"FINANCE($C79, ""price"", WORKDAY(INT($B79), 5)), 2, 2), """"))/$G79))"),0.10368038215177502)</f>
        <v>0.1036803822</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779</v>
      </c>
    </row>
    <row r="80">
      <c r="A80" s="9">
        <f t="shared" si="1"/>
        <v>79</v>
      </c>
      <c r="B80" s="11">
        <v>46216.667546296296</v>
      </c>
      <c r="C80" s="10" t="s">
        <v>95</v>
      </c>
      <c r="D80" s="10" t="s">
        <v>36</v>
      </c>
      <c r="E80" s="10" t="s">
        <v>37</v>
      </c>
      <c r="F80" s="13">
        <v>2.0</v>
      </c>
      <c r="G80" s="14">
        <v>183.21</v>
      </c>
      <c r="H80" s="10" t="s">
        <v>782</v>
      </c>
      <c r="I80" s="10">
        <v>91.5</v>
      </c>
      <c r="O80" s="15">
        <f>IFERROR(__xludf.DUMMYFUNCTION("IF(ISBLANK($C80), """", GOOGLEFINANCE($C80, ""price""))"),181.77)</f>
        <v>181.77</v>
      </c>
      <c r="P80" s="16">
        <f t="shared" si="2"/>
        <v>-0.007859832979</v>
      </c>
      <c r="Q80" s="16">
        <f>IFERROR(__xludf.DUMMYFUNCTION("IF(OR(ISBLANK($G80), IFERROR(INDEX(GOOGLEFINANCE($C80, ""price"", WORKDAY(INT($B80), 1)), 2, 2), """")=""""), """", IF($D80=""LONG"", (IFERROR(INDEX(GOOGLEFINANCE($C80, ""price"", WORKDAY(INT($B80), 1)), 2, 2), """")-$G80)/$G80, ($G80-IFERROR(INDEX(GOOGLE"&amp;"FINANCE($C80, ""price"", WORKDAY(INT($B80), 1)), 2, 2), """"))/$G80))"),-0.009006058621254328)</f>
        <v>-0.009006058621</v>
      </c>
      <c r="R80" s="16">
        <f>IFERROR(__xludf.DUMMYFUNCTION("IF(OR(ISBLANK($G80), IFERROR(INDEX(GOOGLEFINANCE($C80, ""price"", WORKDAY(INT($B80), 5)), 2, 2), """")=""""), """", IF($D80=""LONG"", (IFERROR(INDEX(GOOGLEFINANCE($C80, ""price"", WORKDAY(INT($B80), 5)), 2, 2), """")-$G80)/$G80, ($G80-IFERROR(INDEX(GOOGLE"&amp;"FINANCE($C80, ""price"", WORKDAY(INT($B80), 5)), 2, 2), """"))/$G80))"),-0.012826810763604575)</f>
        <v>-0.01282681076</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785</v>
      </c>
    </row>
    <row r="81">
      <c r="A81" s="9">
        <f t="shared" si="1"/>
        <v>80</v>
      </c>
      <c r="B81" s="11">
        <v>46216.667546296296</v>
      </c>
      <c r="C81" s="10" t="s">
        <v>372</v>
      </c>
      <c r="D81" s="10" t="s">
        <v>119</v>
      </c>
      <c r="E81" s="10" t="s">
        <v>120</v>
      </c>
      <c r="F81" s="13">
        <v>4.0</v>
      </c>
      <c r="G81" s="14">
        <v>141.03</v>
      </c>
      <c r="H81" s="10" t="s">
        <v>788</v>
      </c>
      <c r="I81" s="10">
        <v>50.0</v>
      </c>
      <c r="O81" s="15">
        <f>IFERROR(__xludf.DUMMYFUNCTION("IF(ISBLANK($C81), """", GOOGLEFINANCE($C81, ""price""))"),133.37)</f>
        <v>133.37</v>
      </c>
      <c r="P81" s="16">
        <f t="shared" si="2"/>
        <v>0.05431468482</v>
      </c>
      <c r="Q81" s="16">
        <f>IFERROR(__xludf.DUMMYFUNCTION("IF(OR(ISBLANK($G81), IFERROR(INDEX(GOOGLEFINANCE($C81, ""price"", WORKDAY(INT($B81), 1)), 2, 2), """")=""""), """", IF($D81=""LONG"", (IFERROR(INDEX(GOOGLEFINANCE($C81, ""price"", WORKDAY(INT($B81), 1)), 2, 2), """")-$G81)/$G81, ($G81-IFERROR(INDEX(GOOGLE"&amp;"FINANCE($C81, ""price"", WORKDAY(INT($B81), 1)), 2, 2), """"))/$G81))"),-0.004538041551442859)</f>
        <v>-0.004538041551</v>
      </c>
      <c r="R81" s="16">
        <f>IFERROR(__xludf.DUMMYFUNCTION("IF(OR(ISBLANK($G81), IFERROR(INDEX(GOOGLEFINANCE($C81, ""price"", WORKDAY(INT($B81), 5)), 2, 2), """")=""""), """", IF($D81=""LONG"", (IFERROR(INDEX(GOOGLEFINANCE($C81, ""price"", WORKDAY(INT($B81), 5)), 2, 2), """")-$G81)/$G81, ($G81-IFERROR(INDEX(GOOGLE"&amp;"FINANCE($C81, ""price"", WORKDAY(INT($B81), 5)), 2, 2), """"))/$G81))"),0.045734950010635954)</f>
        <v>0.04573495001</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794</v>
      </c>
    </row>
    <row r="82">
      <c r="A82" s="9">
        <f t="shared" si="1"/>
        <v>81</v>
      </c>
      <c r="B82" s="11">
        <v>46216.66752314815</v>
      </c>
      <c r="C82" s="10" t="s">
        <v>184</v>
      </c>
      <c r="D82" s="10" t="s">
        <v>36</v>
      </c>
      <c r="E82" s="10" t="s">
        <v>37</v>
      </c>
      <c r="F82" s="13">
        <v>2.0</v>
      </c>
      <c r="G82" s="14">
        <v>292.83</v>
      </c>
      <c r="H82" s="10" t="s">
        <v>795</v>
      </c>
      <c r="I82" s="10">
        <v>92.4</v>
      </c>
      <c r="O82" s="15">
        <f>IFERROR(__xludf.DUMMYFUNCTION("IF(ISBLANK($C82), """", GOOGLEFINANCE($C82, ""price""))"),281.63)</f>
        <v>281.63</v>
      </c>
      <c r="P82" s="16">
        <f t="shared" si="2"/>
        <v>-0.03824744732</v>
      </c>
      <c r="Q82" s="16">
        <f>IFERROR(__xludf.DUMMYFUNCTION("IF(OR(ISBLANK($G82), IFERROR(INDEX(GOOGLEFINANCE($C82, ""price"", WORKDAY(INT($B82), 1)), 2, 2), """")=""""), """", IF($D82=""LONG"", (IFERROR(INDEX(GOOGLEFINANCE($C82, ""price"", WORKDAY(INT($B82), 1)), 2, 2), """")-$G82)/$G82, ($G82-IFERROR(INDEX(GOOGLE"&amp;"FINANCE($C82, ""price"", WORKDAY(INT($B82), 1)), 2, 2), """"))/$G82))"),-0.0032100536147252594)</f>
        <v>-0.003210053615</v>
      </c>
      <c r="R82" s="16">
        <f>IFERROR(__xludf.DUMMYFUNCTION("IF(OR(ISBLANK($G82), IFERROR(INDEX(GOOGLEFINANCE($C82, ""price"", WORKDAY(INT($B82), 5)), 2, 2), """")=""""), """", IF($D82=""LONG"", (IFERROR(INDEX(GOOGLEFINANCE($C82, ""price"", WORKDAY(INT($B82), 5)), 2, 2), """")-$G82)/$G82, ($G82-IFERROR(INDEX(GOOGLE"&amp;"FINANCE($C82, ""price"", WORKDAY(INT($B82), 5)), 2, 2), """"))/$G82))"),-0.041696547484888775)</f>
        <v>-0.04169654748</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802</v>
      </c>
    </row>
    <row r="83">
      <c r="A83" s="9">
        <f t="shared" si="1"/>
        <v>82</v>
      </c>
      <c r="B83" s="11">
        <v>46216.667546296296</v>
      </c>
      <c r="C83" s="10" t="s">
        <v>431</v>
      </c>
      <c r="D83" s="10" t="s">
        <v>119</v>
      </c>
      <c r="E83" s="10" t="s">
        <v>120</v>
      </c>
      <c r="F83" s="13">
        <v>4.0</v>
      </c>
      <c r="G83" s="14">
        <v>144.56</v>
      </c>
      <c r="H83" s="10" t="s">
        <v>803</v>
      </c>
      <c r="I83" s="10">
        <v>5.0</v>
      </c>
      <c r="O83" s="15">
        <f>IFERROR(__xludf.DUMMYFUNCTION("IF(ISBLANK($C83), """", GOOGLEFINANCE($C83, ""price""))"),154.84)</f>
        <v>154.84</v>
      </c>
      <c r="P83" s="16">
        <f t="shared" si="2"/>
        <v>-0.0711123409</v>
      </c>
      <c r="Q83" s="16">
        <f>IFERROR(__xludf.DUMMYFUNCTION("IF(OR(ISBLANK($G83), IFERROR(INDEX(GOOGLEFINANCE($C83, ""price"", WORKDAY(INT($B83), 1)), 2, 2), """")=""""), """", IF($D83=""LONG"", (IFERROR(INDEX(GOOGLEFINANCE($C83, ""price"", WORKDAY(INT($B83), 1)), 2, 2), """")-$G83)/$G83, ($G83-IFERROR(INDEX(GOOGLE"&amp;"FINANCE($C83, ""price"", WORKDAY(INT($B83), 1)), 2, 2), """"))/$G83))"),-0.00366629773104594)</f>
        <v>-0.003666297731</v>
      </c>
      <c r="R83" s="16">
        <f>IFERROR(__xludf.DUMMYFUNCTION("IF(OR(ISBLANK($G83), IFERROR(INDEX(GOOGLEFINANCE($C83, ""price"", WORKDAY(INT($B83), 5)), 2, 2), """")=""""), """", IF($D83=""LONG"", (IFERROR(INDEX(GOOGLEFINANCE($C83, ""price"", WORKDAY(INT($B83), 5)), 2, 2), """")-$G83)/$G83, ($G83-IFERROR(INDEX(GOOGLE"&amp;"FINANCE($C83, ""price"", WORKDAY(INT($B83), 5)), 2, 2), """"))/$G83))"),-0.026286662977310537)</f>
        <v>-0.02628666298</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809</v>
      </c>
    </row>
    <row r="84">
      <c r="A84" s="9">
        <f t="shared" si="1"/>
        <v>83</v>
      </c>
      <c r="B84" s="11">
        <v>46216.66747685185</v>
      </c>
      <c r="C84" s="10" t="s">
        <v>594</v>
      </c>
      <c r="D84" s="10" t="s">
        <v>36</v>
      </c>
      <c r="E84" s="10" t="s">
        <v>37</v>
      </c>
      <c r="F84" s="13">
        <v>2.0</v>
      </c>
      <c r="G84" s="14">
        <v>79.9</v>
      </c>
      <c r="H84" s="10" t="s">
        <v>812</v>
      </c>
      <c r="I84" s="10">
        <v>97.7</v>
      </c>
      <c r="O84" s="15">
        <f>IFERROR(__xludf.DUMMYFUNCTION("IF(ISBLANK($C84), """", GOOGLEFINANCE($C84, ""price""))"),79.97)</f>
        <v>79.97</v>
      </c>
      <c r="P84" s="16">
        <f t="shared" si="2"/>
        <v>0.0008760951189</v>
      </c>
      <c r="Q84" s="16">
        <f>IFERROR(__xludf.DUMMYFUNCTION("IF(OR(ISBLANK($G84), IFERROR(INDEX(GOOGLEFINANCE($C84, ""price"", WORKDAY(INT($B84), 1)), 2, 2), """")=""""), """", IF($D84=""LONG"", (IFERROR(INDEX(GOOGLEFINANCE($C84, ""price"", WORKDAY(INT($B84), 1)), 2, 2), """")-$G84)/$G84, ($G84-IFERROR(INDEX(GOOGLE"&amp;"FINANCE($C84, ""price"", WORKDAY(INT($B84), 1)), 2, 2), """"))/$G84))"),-0.011264080100125227)</f>
        <v>-0.0112640801</v>
      </c>
      <c r="R84" s="16">
        <f>IFERROR(__xludf.DUMMYFUNCTION("IF(OR(ISBLANK($G84), IFERROR(INDEX(GOOGLEFINANCE($C84, ""price"", WORKDAY(INT($B84), 5)), 2, 2), """")=""""), """", IF($D84=""LONG"", (IFERROR(INDEX(GOOGLEFINANCE($C84, ""price"", WORKDAY(INT($B84), 5)), 2, 2), """")-$G84)/$G84, ($G84-IFERROR(INDEX(GOOGLE"&amp;"FINANCE($C84, ""price"", WORKDAY(INT($B84), 5)), 2, 2), """"))/$G84))"),-0.0012515644555695685)</f>
        <v>-0.001251564456</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818</v>
      </c>
    </row>
    <row r="85">
      <c r="A85" s="9">
        <f t="shared" si="1"/>
        <v>84</v>
      </c>
      <c r="B85" s="11">
        <v>46216.667546296296</v>
      </c>
      <c r="C85" s="10" t="s">
        <v>603</v>
      </c>
      <c r="D85" s="10" t="s">
        <v>119</v>
      </c>
      <c r="E85" s="10" t="s">
        <v>120</v>
      </c>
      <c r="F85" s="13">
        <v>4.0</v>
      </c>
      <c r="G85" s="14">
        <v>44.16</v>
      </c>
      <c r="H85" s="10" t="s">
        <v>820</v>
      </c>
      <c r="I85" s="10">
        <v>12.5</v>
      </c>
      <c r="O85" s="15">
        <f>IFERROR(__xludf.DUMMYFUNCTION("IF(ISBLANK($C85), """", GOOGLEFINANCE($C85, ""price""))"),56.89)</f>
        <v>56.89</v>
      </c>
      <c r="P85" s="16">
        <f t="shared" si="2"/>
        <v>-0.2882699275</v>
      </c>
      <c r="Q85" s="16">
        <f>IFERROR(__xludf.DUMMYFUNCTION("IF(OR(ISBLANK($G85), IFERROR(INDEX(GOOGLEFINANCE($C85, ""price"", WORKDAY(INT($B85), 1)), 2, 2), """")=""""), """", IF($D85=""LONG"", (IFERROR(INDEX(GOOGLEFINANCE($C85, ""price"", WORKDAY(INT($B85), 1)), 2, 2), """")-$G85)/$G85, ($G85-IFERROR(INDEX(GOOGLE"&amp;"FINANCE($C85, ""price"", WORKDAY(INT($B85), 1)), 2, 2), """"))/$G85))"),0.025588768115941928)</f>
        <v>0.02558876812</v>
      </c>
      <c r="R85" s="16">
        <f>IFERROR(__xludf.DUMMYFUNCTION("IF(OR(ISBLANK($G85), IFERROR(INDEX(GOOGLEFINANCE($C85, ""price"", WORKDAY(INT($B85), 5)), 2, 2), """")=""""), """", IF($D85=""LONG"", (IFERROR(INDEX(GOOGLEFINANCE($C85, ""price"", WORKDAY(INT($B85), 5)), 2, 2), """")-$G85)/$G85, ($G85-IFERROR(INDEX(GOOGLE"&amp;"FINANCE($C85, ""price"", WORKDAY(INT($B85), 5)), 2, 2), """"))/$G85))"),-0.010869565217391396)</f>
        <v>-0.01086956522</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821</v>
      </c>
    </row>
    <row r="86">
      <c r="A86" s="9">
        <f t="shared" si="1"/>
        <v>85</v>
      </c>
      <c r="B86" s="11">
        <v>46216.66758101852</v>
      </c>
      <c r="C86" s="10" t="s">
        <v>52</v>
      </c>
      <c r="D86" s="10" t="s">
        <v>36</v>
      </c>
      <c r="E86" s="10" t="s">
        <v>37</v>
      </c>
      <c r="F86" s="13">
        <v>2.0</v>
      </c>
      <c r="G86" s="14">
        <v>114.2</v>
      </c>
      <c r="H86" s="10" t="s">
        <v>823</v>
      </c>
      <c r="I86" s="10">
        <v>95.3</v>
      </c>
      <c r="O86" s="15">
        <f>IFERROR(__xludf.DUMMYFUNCTION("IF(ISBLANK($C86), """", GOOGLEFINANCE($C86, ""price""))"),118.38)</f>
        <v>118.38</v>
      </c>
      <c r="P86" s="16">
        <f t="shared" si="2"/>
        <v>0.03660245184</v>
      </c>
      <c r="Q86" s="16">
        <f>IFERROR(__xludf.DUMMYFUNCTION("IF(OR(ISBLANK($G86), IFERROR(INDEX(GOOGLEFINANCE($C86, ""price"", WORKDAY(INT($B86), 1)), 2, 2), """")=""""), """", IF($D86=""LONG"", (IFERROR(INDEX(GOOGLEFINANCE($C86, ""price"", WORKDAY(INT($B86), 1)), 2, 2), """")-$G86)/$G86, ($G86-IFERROR(INDEX(GOOGLE"&amp;"FINANCE($C86, ""price"", WORKDAY(INT($B86), 1)), 2, 2), """"))/$G86))"),0.005954465849386976)</f>
        <v>0.005954465849</v>
      </c>
      <c r="R86" s="16">
        <f>IFERROR(__xludf.DUMMYFUNCTION("IF(OR(ISBLANK($G86), IFERROR(INDEX(GOOGLEFINANCE($C86, ""price"", WORKDAY(INT($B86), 5)), 2, 2), """")=""""), """", IF($D86=""LONG"", (IFERROR(INDEX(GOOGLEFINANCE($C86, ""price"", WORKDAY(INT($B86), 5)), 2, 2), """")-$G86)/$G86, ($G86-IFERROR(INDEX(GOOGLE"&amp;"FINANCE($C86, ""price"", WORKDAY(INT($B86), 5)), 2, 2), """"))/$G86))"),0.01269702276707533)</f>
        <v>0.01269702277</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830</v>
      </c>
    </row>
    <row r="87">
      <c r="A87" s="9">
        <f t="shared" si="1"/>
        <v>86</v>
      </c>
      <c r="B87" s="11">
        <v>46216.66743055556</v>
      </c>
      <c r="C87" s="10" t="s">
        <v>217</v>
      </c>
      <c r="D87" s="10" t="s">
        <v>36</v>
      </c>
      <c r="E87" s="10" t="s">
        <v>37</v>
      </c>
      <c r="F87" s="13">
        <v>2.0</v>
      </c>
      <c r="G87" s="14">
        <v>373.03</v>
      </c>
      <c r="H87" s="10" t="s">
        <v>831</v>
      </c>
      <c r="I87" s="10">
        <v>86.7</v>
      </c>
      <c r="O87" s="15">
        <f>IFERROR(__xludf.DUMMYFUNCTION("IF(ISBLANK($C87), """", GOOGLEFINANCE($C87, ""price""))"),399.7)</f>
        <v>399.7</v>
      </c>
      <c r="P87" s="16">
        <f t="shared" si="2"/>
        <v>0.07149559017</v>
      </c>
      <c r="Q87" s="16">
        <f>IFERROR(__xludf.DUMMYFUNCTION("IF(OR(ISBLANK($G87), IFERROR(INDEX(GOOGLEFINANCE($C87, ""price"", WORKDAY(INT($B87), 1)), 2, 2), """")=""""), """", IF($D87=""LONG"", (IFERROR(INDEX(GOOGLEFINANCE($C87, ""price"", WORKDAY(INT($B87), 1)), 2, 2), """")-$G87)/$G87, ($G87-IFERROR(INDEX(GOOGLE"&amp;"FINANCE($C87, ""price"", WORKDAY(INT($B87), 1)), 2, 2), """"))/$G87))"),0.009007318446237604)</f>
        <v>0.009007318446</v>
      </c>
      <c r="R87" s="16">
        <f>IFERROR(__xludf.DUMMYFUNCTION("IF(OR(ISBLANK($G87), IFERROR(INDEX(GOOGLEFINANCE($C87, ""price"", WORKDAY(INT($B87), 5)), 2, 2), """")=""""), """", IF($D87=""LONG"", (IFERROR(INDEX(GOOGLEFINANCE($C87, ""price"", WORKDAY(INT($B87), 5)), 2, 2), """")-$G87)/$G87, ($G87-IFERROR(INDEX(GOOGLE"&amp;"FINANCE($C87, ""price"", WORKDAY(INT($B87), 5)), 2, 2), """"))/$G87))"),-0.04152481033697009)</f>
        <v>-0.04152481034</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837</v>
      </c>
    </row>
    <row r="88">
      <c r="A88" s="9">
        <f t="shared" si="1"/>
        <v>87</v>
      </c>
      <c r="B88" s="11">
        <v>46216.667592592596</v>
      </c>
      <c r="C88" s="10" t="s">
        <v>66</v>
      </c>
      <c r="D88" s="10" t="s">
        <v>36</v>
      </c>
      <c r="E88" s="10" t="s">
        <v>37</v>
      </c>
      <c r="F88" s="13">
        <v>2.0</v>
      </c>
      <c r="G88" s="14">
        <v>280.02</v>
      </c>
      <c r="H88" s="10" t="s">
        <v>838</v>
      </c>
      <c r="I88" s="10">
        <v>78.1</v>
      </c>
      <c r="O88" s="15">
        <f>IFERROR(__xludf.DUMMYFUNCTION("IF(ISBLANK($C88), """", GOOGLEFINANCE($C88, ""price""))"),296.4)</f>
        <v>296.4</v>
      </c>
      <c r="P88" s="16">
        <f t="shared" si="2"/>
        <v>0.05849582173</v>
      </c>
      <c r="Q88" s="16">
        <f>IFERROR(__xludf.DUMMYFUNCTION("IF(OR(ISBLANK($G88), IFERROR(INDEX(GOOGLEFINANCE($C88, ""price"", WORKDAY(INT($B88), 1)), 2, 2), """")=""""), """", IF($D88=""LONG"", (IFERROR(INDEX(GOOGLEFINANCE($C88, ""price"", WORKDAY(INT($B88), 1)), 2, 2), """")-$G88)/$G88, ($G88-IFERROR(INDEX(GOOGLE"&amp;"FINANCE($C88, ""price"", WORKDAY(INT($B88), 1)), 2, 2), """"))/$G88))"),-0.010856367402328275)</f>
        <v>-0.0108563674</v>
      </c>
      <c r="R88" s="16">
        <f>IFERROR(__xludf.DUMMYFUNCTION("IF(OR(ISBLANK($G88), IFERROR(INDEX(GOOGLEFINANCE($C88, ""price"", WORKDAY(INT($B88), 5)), 2, 2), """")=""""), """", IF($D88=""LONG"", (IFERROR(INDEX(GOOGLEFINANCE($C88, ""price"", WORKDAY(INT($B88), 5)), 2, 2), """")-$G88)/$G88, ($G88-IFERROR(INDEX(GOOGLE"&amp;"FINANCE($C88, ""price"", WORKDAY(INT($B88), 5)), 2, 2), """"))/$G88))"),-0.016248839368616368)</f>
        <v>-0.01624883937</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844</v>
      </c>
    </row>
    <row r="89">
      <c r="A89" s="9">
        <f t="shared" si="1"/>
        <v>88</v>
      </c>
      <c r="B89" s="11">
        <v>46216.66762731481</v>
      </c>
      <c r="C89" s="10" t="s">
        <v>845</v>
      </c>
      <c r="D89" s="10" t="s">
        <v>119</v>
      </c>
      <c r="E89" s="10" t="s">
        <v>120</v>
      </c>
      <c r="F89" s="13">
        <v>4.0</v>
      </c>
      <c r="G89" s="14">
        <v>234.2</v>
      </c>
      <c r="H89" s="10" t="s">
        <v>846</v>
      </c>
      <c r="I89" s="10">
        <v>4.5</v>
      </c>
      <c r="O89" s="15">
        <f>IFERROR(__xludf.DUMMYFUNCTION("IF(ISBLANK($C89), """", GOOGLEFINANCE($C89, ""price""))"),261.48)</f>
        <v>261.48</v>
      </c>
      <c r="P89" s="16">
        <f t="shared" si="2"/>
        <v>-0.1164816396</v>
      </c>
      <c r="Q89" s="16">
        <f>IFERROR(__xludf.DUMMYFUNCTION("IF(OR(ISBLANK($G89), IFERROR(INDEX(GOOGLEFINANCE($C89, ""price"", WORKDAY(INT($B89), 1)), 2, 2), """")=""""), """", IF($D89=""LONG"", (IFERROR(INDEX(GOOGLEFINANCE($C89, ""price"", WORKDAY(INT($B89), 1)), 2, 2), """")-$G89)/$G89, ($G89-IFERROR(INDEX(GOOGLE"&amp;"FINANCE($C89, ""price"", WORKDAY(INT($B89), 1)), 2, 2), """"))/$G89))"),0.0036293766011955353)</f>
        <v>0.003629376601</v>
      </c>
      <c r="R89" s="16">
        <f>IFERROR(__xludf.DUMMYFUNCTION("IF(OR(ISBLANK($G89), IFERROR(INDEX(GOOGLEFINANCE($C89, ""price"", WORKDAY(INT($B89), 5)), 2, 2), """")=""""), """", IF($D89=""LONG"", (IFERROR(INDEX(GOOGLEFINANCE($C89, ""price"", WORKDAY(INT($B89), 5)), 2, 2), """")-$G89)/$G89, ($G89-IFERROR(INDEX(GOOGLE"&amp;"FINANCE($C89, ""price"", WORKDAY(INT($B89), 5)), 2, 2), """"))/$G89))"),0.015841161400512296)</f>
        <v>0.0158411614</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852</v>
      </c>
    </row>
    <row r="90">
      <c r="A90" s="9">
        <f t="shared" si="1"/>
        <v>89</v>
      </c>
      <c r="B90" s="11">
        <v>46216.66751157407</v>
      </c>
      <c r="C90" s="10" t="s">
        <v>222</v>
      </c>
      <c r="D90" s="10" t="s">
        <v>36</v>
      </c>
      <c r="E90" s="10" t="s">
        <v>37</v>
      </c>
      <c r="F90" s="13">
        <v>2.0</v>
      </c>
      <c r="G90" s="14">
        <v>480.51</v>
      </c>
      <c r="H90" s="10" t="s">
        <v>855</v>
      </c>
      <c r="I90" s="10">
        <v>94.3</v>
      </c>
      <c r="O90" s="15">
        <f>IFERROR(__xludf.DUMMYFUNCTION("IF(ISBLANK($C90), """", GOOGLEFINANCE($C90, ""price""))"),484.03)</f>
        <v>484.03</v>
      </c>
      <c r="P90" s="16">
        <f t="shared" si="2"/>
        <v>0.007325549937</v>
      </c>
      <c r="Q90" s="16">
        <f>IFERROR(__xludf.DUMMYFUNCTION("IF(OR(ISBLANK($G90), IFERROR(INDEX(GOOGLEFINANCE($C90, ""price"", WORKDAY(INT($B90), 1)), 2, 2), """")=""""), """", IF($D90=""LONG"", (IFERROR(INDEX(GOOGLEFINANCE($C90, ""price"", WORKDAY(INT($B90), 1)), 2, 2), """")-$G90)/$G90, ($G90-IFERROR(INDEX(GOOGLE"&amp;"FINANCE($C90, ""price"", WORKDAY(INT($B90), 1)), 2, 2), """"))/$G90))"),-0.008740712992445504)</f>
        <v>-0.008740712992</v>
      </c>
      <c r="R90" s="16">
        <f>IFERROR(__xludf.DUMMYFUNCTION("IF(OR(ISBLANK($G90), IFERROR(INDEX(GOOGLEFINANCE($C90, ""price"", WORKDAY(INT($B90), 5)), 2, 2), """")=""""), """", IF($D90=""LONG"", (IFERROR(INDEX(GOOGLEFINANCE($C90, ""price"", WORKDAY(INT($B90), 5)), 2, 2), """")-$G90)/$G90, ($G90-IFERROR(INDEX(GOOGLE"&amp;"FINANCE($C90, ""price"", WORKDAY(INT($B90), 5)), 2, 2), """"))/$G90))"),-2.081122141056566E-5)</f>
        <v>-0.00002081122141</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859</v>
      </c>
    </row>
    <row r="91">
      <c r="A91" s="9">
        <f t="shared" si="1"/>
        <v>90</v>
      </c>
      <c r="B91" s="11">
        <v>46216.66758101852</v>
      </c>
      <c r="C91" s="10" t="s">
        <v>58</v>
      </c>
      <c r="D91" s="10" t="s">
        <v>36</v>
      </c>
      <c r="E91" s="10" t="s">
        <v>37</v>
      </c>
      <c r="F91" s="13">
        <v>2.0</v>
      </c>
      <c r="G91" s="14">
        <v>353.47</v>
      </c>
      <c r="H91" s="10" t="s">
        <v>860</v>
      </c>
      <c r="I91" s="10">
        <v>95.1</v>
      </c>
      <c r="O91" s="15">
        <f>IFERROR(__xludf.DUMMYFUNCTION("IF(ISBLANK($C91), """", GOOGLEFINANCE($C91, ""price""))"),374.55)</f>
        <v>374.55</v>
      </c>
      <c r="P91" s="16">
        <f t="shared" si="2"/>
        <v>0.0596373101</v>
      </c>
      <c r="Q91" s="16">
        <f>IFERROR(__xludf.DUMMYFUNCTION("IF(OR(ISBLANK($G91), IFERROR(INDEX(GOOGLEFINANCE($C91, ""price"", WORKDAY(INT($B91), 1)), 2, 2), """")=""""), """", IF($D91=""LONG"", (IFERROR(INDEX(GOOGLEFINANCE($C91, ""price"", WORKDAY(INT($B91), 1)), 2, 2), """")-$G91)/$G91, ($G91-IFERROR(INDEX(GOOGLE"&amp;"FINANCE($C91, ""price"", WORKDAY(INT($B91), 1)), 2, 2), """"))/$G91))"),7.355645457888672E-4)</f>
        <v>0.0007355645458</v>
      </c>
      <c r="R91" s="16">
        <f>IFERROR(__xludf.DUMMYFUNCTION("IF(OR(ISBLANK($G91), IFERROR(INDEX(GOOGLEFINANCE($C91, ""price"", WORKDAY(INT($B91), 5)), 2, 2), """")=""""), """", IF($D91=""LONG"", (IFERROR(INDEX(GOOGLEFINANCE($C91, ""price"", WORKDAY(INT($B91), 5)), 2, 2), """")-$G91)/$G91, ($G91-IFERROR(INDEX(GOOGLE"&amp;"FINANCE($C91, ""price"", WORKDAY(INT($B91), 5)), 2, 2), """"))/$G91))"),-0.03443007893173399)</f>
        <v>-0.03443007893</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865</v>
      </c>
    </row>
    <row r="92">
      <c r="A92" s="9">
        <f t="shared" si="1"/>
        <v>91</v>
      </c>
      <c r="B92" s="11">
        <v>46216.667604166665</v>
      </c>
      <c r="C92" s="10" t="s">
        <v>770</v>
      </c>
      <c r="D92" s="10" t="s">
        <v>36</v>
      </c>
      <c r="E92" s="10" t="s">
        <v>37</v>
      </c>
      <c r="F92" s="13">
        <v>2.0</v>
      </c>
      <c r="G92" s="14">
        <v>73.48</v>
      </c>
      <c r="H92" s="10" t="s">
        <v>867</v>
      </c>
      <c r="I92" s="10">
        <v>93.6</v>
      </c>
      <c r="O92" s="15">
        <f>IFERROR(__xludf.DUMMYFUNCTION("IF(ISBLANK($C92), """", GOOGLEFINANCE($C92, ""price""))"),72.51)</f>
        <v>72.51</v>
      </c>
      <c r="P92" s="16">
        <f t="shared" si="2"/>
        <v>-0.01320087099</v>
      </c>
      <c r="Q92" s="16">
        <f>IFERROR(__xludf.DUMMYFUNCTION("IF(OR(ISBLANK($G92), IFERROR(INDEX(GOOGLEFINANCE($C92, ""price"", WORKDAY(INT($B92), 1)), 2, 2), """")=""""), """", IF($D92=""LONG"", (IFERROR(INDEX(GOOGLEFINANCE($C92, ""price"", WORKDAY(INT($B92), 1)), 2, 2), """")-$G92)/$G92, ($G92-IFERROR(INDEX(GOOGLE"&amp;"FINANCE($C92, ""price"", WORKDAY(INT($B92), 1)), 2, 2), """"))/$G92))"),0.02286336418072935)</f>
        <v>0.02286336418</v>
      </c>
      <c r="R92" s="16">
        <f>IFERROR(__xludf.DUMMYFUNCTION("IF(OR(ISBLANK($G92), IFERROR(INDEX(GOOGLEFINANCE($C92, ""price"", WORKDAY(INT($B92), 5)), 2, 2), """")=""""), """", IF($D92=""LONG"", (IFERROR(INDEX(GOOGLEFINANCE($C92, ""price"", WORKDAY(INT($B92), 5)), 2, 2), """")-$G92)/$G92, ($G92-IFERROR(INDEX(GOOGLE"&amp;"FINANCE($C92, ""price"", WORKDAY(INT($B92), 5)), 2, 2), """"))/$G92))"),-0.010615133369624403)</f>
        <v>-0.01061513337</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871</v>
      </c>
    </row>
    <row r="93">
      <c r="A93" s="9">
        <f t="shared" si="1"/>
        <v>92</v>
      </c>
      <c r="B93" s="11">
        <v>46216.66751157407</v>
      </c>
      <c r="C93" s="10" t="s">
        <v>663</v>
      </c>
      <c r="D93" s="10" t="s">
        <v>36</v>
      </c>
      <c r="E93" s="10" t="s">
        <v>37</v>
      </c>
      <c r="F93" s="13">
        <v>2.0</v>
      </c>
      <c r="G93" s="14">
        <v>75.75</v>
      </c>
      <c r="H93" s="10" t="s">
        <v>873</v>
      </c>
      <c r="I93" s="10">
        <v>93.6</v>
      </c>
      <c r="O93" s="15">
        <f>IFERROR(__xludf.DUMMYFUNCTION("IF(ISBLANK($C93), """", GOOGLEFINANCE($C93, ""price""))"),71.2)</f>
        <v>71.2</v>
      </c>
      <c r="P93" s="16">
        <f t="shared" si="2"/>
        <v>-0.0600660066</v>
      </c>
      <c r="Q93" s="16">
        <f>IFERROR(__xludf.DUMMYFUNCTION("IF(OR(ISBLANK($G93), IFERROR(INDEX(GOOGLEFINANCE($C93, ""price"", WORKDAY(INT($B93), 1)), 2, 2), """")=""""), """", IF($D93=""LONG"", (IFERROR(INDEX(GOOGLEFINANCE($C93, ""price"", WORKDAY(INT($B93), 1)), 2, 2), """")-$G93)/$G93, ($G93-IFERROR(INDEX(GOOGLE"&amp;"FINANCE($C93, ""price"", WORKDAY(INT($B93), 1)), 2, 2), """"))/$G93))"),-0.008844884488448867)</f>
        <v>-0.008844884488</v>
      </c>
      <c r="R93" s="16">
        <f>IFERROR(__xludf.DUMMYFUNCTION("IF(OR(ISBLANK($G93), IFERROR(INDEX(GOOGLEFINANCE($C93, ""price"", WORKDAY(INT($B93), 5)), 2, 2), """")=""""), """", IF($D93=""LONG"", (IFERROR(INDEX(GOOGLEFINANCE($C93, ""price"", WORKDAY(INT($B93), 5)), 2, 2), """")-$G93)/$G93, ($G93-IFERROR(INDEX(GOOGLE"&amp;"FINANCE($C93, ""price"", WORKDAY(INT($B93), 5)), 2, 2), """"))/$G93))"),-0.03788778877887795)</f>
        <v>-0.03788778878</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877</v>
      </c>
    </row>
    <row r="94">
      <c r="A94" s="9">
        <f t="shared" si="1"/>
        <v>93</v>
      </c>
      <c r="B94" s="11">
        <v>46216.66758101852</v>
      </c>
      <c r="C94" s="10" t="s">
        <v>323</v>
      </c>
      <c r="D94" s="10" t="s">
        <v>36</v>
      </c>
      <c r="E94" s="10" t="s">
        <v>37</v>
      </c>
      <c r="F94" s="13">
        <v>2.0</v>
      </c>
      <c r="G94" s="14">
        <v>206.34</v>
      </c>
      <c r="H94" s="10" t="s">
        <v>879</v>
      </c>
      <c r="I94" s="10">
        <v>93.0</v>
      </c>
      <c r="O94" s="15">
        <f>IFERROR(__xludf.DUMMYFUNCTION("IF(ISBLANK($C94), """", GOOGLEFINANCE($C94, ""price""))"),209.7)</f>
        <v>209.7</v>
      </c>
      <c r="P94" s="16">
        <f t="shared" si="2"/>
        <v>0.01628380343</v>
      </c>
      <c r="Q94" s="16">
        <f>IFERROR(__xludf.DUMMYFUNCTION("IF(OR(ISBLANK($G94), IFERROR(INDEX(GOOGLEFINANCE($C94, ""price"", WORKDAY(INT($B94), 1)), 2, 2), """")=""""), """", IF($D94=""LONG"", (IFERROR(INDEX(GOOGLEFINANCE($C94, ""price"", WORKDAY(INT($B94), 1)), 2, 2), """")-$G94)/$G94, ($G94-IFERROR(INDEX(GOOGLE"&amp;"FINANCE($C94, ""price"", WORKDAY(INT($B94), 1)), 2, 2), """"))/$G94))"),0.001502374721333732)</f>
        <v>0.001502374721</v>
      </c>
      <c r="R94" s="16">
        <f>IFERROR(__xludf.DUMMYFUNCTION("IF(OR(ISBLANK($G94), IFERROR(INDEX(GOOGLEFINANCE($C94, ""price"", WORKDAY(INT($B94), 5)), 2, 2), """")=""""), """", IF($D94=""LONG"", (IFERROR(INDEX(GOOGLEFINANCE($C94, ""price"", WORKDAY(INT($B94), 5)), 2, 2), """")-$G94)/$G94, ($G94-IFERROR(INDEX(GOOGLE"&amp;"FINANCE($C94, ""price"", WORKDAY(INT($B94), 5)), 2, 2), """"))/$G94))"),0.014296791703014388)</f>
        <v>0.0142967917</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883</v>
      </c>
    </row>
    <row r="95">
      <c r="A95" s="9">
        <f t="shared" si="1"/>
        <v>94</v>
      </c>
      <c r="B95" s="11">
        <v>46216.66756944444</v>
      </c>
      <c r="C95" s="10" t="s">
        <v>341</v>
      </c>
      <c r="D95" s="10" t="s">
        <v>36</v>
      </c>
      <c r="E95" s="10" t="s">
        <v>37</v>
      </c>
      <c r="F95" s="13">
        <v>2.0</v>
      </c>
      <c r="G95" s="14">
        <v>59.53</v>
      </c>
      <c r="H95" s="10" t="s">
        <v>884</v>
      </c>
      <c r="I95" s="10">
        <v>93.6</v>
      </c>
      <c r="O95" s="15">
        <f>IFERROR(__xludf.DUMMYFUNCTION("IF(ISBLANK($C95), """", GOOGLEFINANCE($C95, ""price""))"),62.99)</f>
        <v>62.99</v>
      </c>
      <c r="P95" s="16">
        <f t="shared" si="2"/>
        <v>0.05812195532</v>
      </c>
      <c r="Q95" s="16">
        <f>IFERROR(__xludf.DUMMYFUNCTION("IF(OR(ISBLANK($G95), IFERROR(INDEX(GOOGLEFINANCE($C95, ""price"", WORKDAY(INT($B95), 1)), 2, 2), """")=""""), """", IF($D95=""LONG"", (IFERROR(INDEX(GOOGLEFINANCE($C95, ""price"", WORKDAY(INT($B95), 1)), 2, 2), """")-$G95)/$G95, ($G95-IFERROR(INDEX(GOOGLE"&amp;"FINANCE($C95, ""price"", WORKDAY(INT($B95), 1)), 2, 2), """"))/$G95))"),0.02250965899546441)</f>
        <v>0.022509659</v>
      </c>
      <c r="R95" s="16">
        <f>IFERROR(__xludf.DUMMYFUNCTION("IF(OR(ISBLANK($G95), IFERROR(INDEX(GOOGLEFINANCE($C95, ""price"", WORKDAY(INT($B95), 5)), 2, 2), """")=""""), """", IF($D95=""LONG"", (IFERROR(INDEX(GOOGLEFINANCE($C95, ""price"", WORKDAY(INT($B95), 5)), 2, 2), """")-$G95)/$G95, ($G95-IFERROR(INDEX(GOOGLE"&amp;"FINANCE($C95, ""price"", WORKDAY(INT($B95), 5)), 2, 2), """"))/$G95))"),-0.010918864438098414)</f>
        <v>-0.01091886444</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888</v>
      </c>
    </row>
    <row r="96">
      <c r="A96" s="9">
        <f t="shared" si="1"/>
        <v>95</v>
      </c>
      <c r="B96" s="11">
        <v>46216.6675</v>
      </c>
      <c r="C96" s="10" t="s">
        <v>55</v>
      </c>
      <c r="D96" s="10" t="s">
        <v>36</v>
      </c>
      <c r="E96" s="10" t="s">
        <v>37</v>
      </c>
      <c r="F96" s="13">
        <v>2.0</v>
      </c>
      <c r="G96" s="14">
        <v>1184.59</v>
      </c>
      <c r="H96" s="10" t="s">
        <v>891</v>
      </c>
      <c r="I96" s="10">
        <v>92.9</v>
      </c>
      <c r="O96" s="15">
        <f>IFERROR(__xludf.DUMMYFUNCTION("IF(ISBLANK($C96), """", GOOGLEFINANCE($C96, ""price""))"),1191.94)</f>
        <v>1191.94</v>
      </c>
      <c r="P96" s="16">
        <f t="shared" si="2"/>
        <v>0.006204678412</v>
      </c>
      <c r="Q96" s="16">
        <f>IFERROR(__xludf.DUMMYFUNCTION("IF(OR(ISBLANK($G96), IFERROR(INDEX(GOOGLEFINANCE($C96, ""price"", WORKDAY(INT($B96), 1)), 2, 2), """")=""""), """", IF($D96=""LONG"", (IFERROR(INDEX(GOOGLEFINANCE($C96, ""price"", WORKDAY(INT($B96), 1)), 2, 2), """")-$G96)/$G96, ($G96-IFERROR(INDEX(GOOGLE"&amp;"FINANCE($C96, ""price"", WORKDAY(INT($B96), 1)), 2, 2), """"))/$G96))"),-0.027055774571792736)</f>
        <v>-0.02705577457</v>
      </c>
      <c r="R96" s="16">
        <f>IFERROR(__xludf.DUMMYFUNCTION("IF(OR(ISBLANK($G96), IFERROR(INDEX(GOOGLEFINANCE($C96, ""price"", WORKDAY(INT($B96), 5)), 2, 2), """")=""""), """", IF($D96=""LONG"", (IFERROR(INDEX(GOOGLEFINANCE($C96, ""price"", WORKDAY(INT($B96), 5)), 2, 2), """")-$G96)/$G96, ($G96-IFERROR(INDEX(GOOGLE"&amp;"FINANCE($C96, ""price"", WORKDAY(INT($B96), 5)), 2, 2), """"))/$G96))"),-0.03181691555728128)</f>
        <v>-0.03181691556</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893</v>
      </c>
    </row>
    <row r="97">
      <c r="A97" s="9">
        <f t="shared" si="1"/>
        <v>96</v>
      </c>
      <c r="B97" s="11">
        <v>46216.66744212963</v>
      </c>
      <c r="C97" s="10" t="s">
        <v>72</v>
      </c>
      <c r="D97" s="10" t="s">
        <v>36</v>
      </c>
      <c r="E97" s="10" t="s">
        <v>87</v>
      </c>
      <c r="F97" s="13">
        <v>2.0</v>
      </c>
      <c r="G97" s="14">
        <v>1391.61</v>
      </c>
      <c r="H97" s="10" t="s">
        <v>894</v>
      </c>
      <c r="I97" s="10">
        <v>88.1</v>
      </c>
      <c r="O97" s="15">
        <f>IFERROR(__xludf.DUMMYFUNCTION("IF(ISBLANK($C97), """", GOOGLEFINANCE($C97, ""price""))"),1282.58)</f>
        <v>1282.58</v>
      </c>
      <c r="P97" s="16">
        <f t="shared" si="2"/>
        <v>-0.0783481004</v>
      </c>
      <c r="Q97" s="16">
        <f>IFERROR(__xludf.DUMMYFUNCTION("IF(OR(ISBLANK($G97), IFERROR(INDEX(GOOGLEFINANCE($C97, ""price"", WORKDAY(INT($B97), 1)), 2, 2), """")=""""), """", IF($D97=""LONG"", (IFERROR(INDEX(GOOGLEFINANCE($C97, ""price"", WORKDAY(INT($B97), 1)), 2, 2), """")-$G97)/$G97, ($G97-IFERROR(INDEX(GOOGLE"&amp;"FINANCE($C97, ""price"", WORKDAY(INT($B97), 1)), 2, 2), """"))/$G97))"),-0.014759882438326806)</f>
        <v>-0.01475988244</v>
      </c>
      <c r="R97" s="16">
        <f>IFERROR(__xludf.DUMMYFUNCTION("IF(OR(ISBLANK($G97), IFERROR(INDEX(GOOGLEFINANCE($C97, ""price"", WORKDAY(INT($B97), 5)), 2, 2), """")=""""), """", IF($D97=""LONG"", (IFERROR(INDEX(GOOGLEFINANCE($C97, ""price"", WORKDAY(INT($B97), 5)), 2, 2), """")-$G97)/$G97, ($G97-IFERROR(INDEX(GOOGLE"&amp;"FINANCE($C97, ""price"", WORKDAY(INT($B97), 5)), 2, 2), """"))/$G97))"),-0.014652093618183164)</f>
        <v>-0.01465209362</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899</v>
      </c>
    </row>
    <row r="98">
      <c r="A98" s="9">
        <f t="shared" si="1"/>
        <v>97</v>
      </c>
      <c r="B98" s="11">
        <v>46216.66738425926</v>
      </c>
      <c r="C98" s="10" t="s">
        <v>351</v>
      </c>
      <c r="D98" s="10" t="s">
        <v>36</v>
      </c>
      <c r="E98" s="10" t="s">
        <v>37</v>
      </c>
      <c r="F98" s="13">
        <v>2.0</v>
      </c>
      <c r="G98" s="14">
        <v>219.55</v>
      </c>
      <c r="H98" s="10" t="s">
        <v>901</v>
      </c>
      <c r="I98" s="10">
        <v>88.4</v>
      </c>
      <c r="O98" s="15">
        <f>IFERROR(__xludf.DUMMYFUNCTION("IF(ISBLANK($C98), """", GOOGLEFINANCE($C98, ""price""))"),221.83)</f>
        <v>221.83</v>
      </c>
      <c r="P98" s="16">
        <f t="shared" si="2"/>
        <v>0.01038487816</v>
      </c>
      <c r="Q98" s="16">
        <f>IFERROR(__xludf.DUMMYFUNCTION("IF(OR(ISBLANK($G98), IFERROR(INDEX(GOOGLEFINANCE($C98, ""price"", WORKDAY(INT($B98), 1)), 2, 2), """")=""""), """", IF($D98=""LONG"", (IFERROR(INDEX(GOOGLEFINANCE($C98, ""price"", WORKDAY(INT($B98), 1)), 2, 2), """")-$G98)/$G98, ($G98-IFERROR(INDEX(GOOGLE"&amp;"FINANCE($C98, ""price"", WORKDAY(INT($B98), 1)), 2, 2), """"))/$G98))"),0.007879754042359324)</f>
        <v>0.007879754042</v>
      </c>
      <c r="R98" s="16">
        <f>IFERROR(__xludf.DUMMYFUNCTION("IF(OR(ISBLANK($G98), IFERROR(INDEX(GOOGLEFINANCE($C98, ""price"", WORKDAY(INT($B98), 5)), 2, 2), """")=""""), """", IF($D98=""LONG"", (IFERROR(INDEX(GOOGLEFINANCE($C98, ""price"", WORKDAY(INT($B98), 5)), 2, 2), """")-$G98)/$G98, ($G98-IFERROR(INDEX(GOOGLE"&amp;"FINANCE($C98, ""price"", WORKDAY(INT($B98), 5)), 2, 2), """"))/$G98))"),0.03935322250056928)</f>
        <v>0.0393532225</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903</v>
      </c>
    </row>
    <row r="99">
      <c r="A99" s="9">
        <f t="shared" si="1"/>
        <v>98</v>
      </c>
      <c r="B99" s="11">
        <v>46216.66752314815</v>
      </c>
      <c r="C99" s="10" t="s">
        <v>215</v>
      </c>
      <c r="D99" s="10" t="s">
        <v>36</v>
      </c>
      <c r="E99" s="10" t="s">
        <v>37</v>
      </c>
      <c r="F99" s="13">
        <v>2.0</v>
      </c>
      <c r="G99" s="14">
        <v>97.05</v>
      </c>
      <c r="H99" s="10" t="s">
        <v>906</v>
      </c>
      <c r="I99" s="10">
        <v>88.5</v>
      </c>
      <c r="O99" s="15">
        <f>IFERROR(__xludf.DUMMYFUNCTION("IF(ISBLANK($C99), """", GOOGLEFINANCE($C99, ""price""))"),94.16)</f>
        <v>94.16</v>
      </c>
      <c r="P99" s="16">
        <f t="shared" si="2"/>
        <v>-0.02977846471</v>
      </c>
      <c r="Q99" s="16">
        <f>IFERROR(__xludf.DUMMYFUNCTION("IF(OR(ISBLANK($G99), IFERROR(INDEX(GOOGLEFINANCE($C99, ""price"", WORKDAY(INT($B99), 1)), 2, 2), """")=""""), """", IF($D99=""LONG"", (IFERROR(INDEX(GOOGLEFINANCE($C99, ""price"", WORKDAY(INT($B99), 1)), 2, 2), """")-$G99)/$G99, ($G99-IFERROR(INDEX(GOOGLE"&amp;"FINANCE($C99, ""price"", WORKDAY(INT($B99), 1)), 2, 2), """"))/$G99))"),0.009891808346213374)</f>
        <v>0.009891808346</v>
      </c>
      <c r="R99" s="16">
        <f>IFERROR(__xludf.DUMMYFUNCTION("IF(OR(ISBLANK($G99), IFERROR(INDEX(GOOGLEFINANCE($C99, ""price"", WORKDAY(INT($B99), 5)), 2, 2), """")=""""), """", IF($D99=""LONG"", (IFERROR(INDEX(GOOGLEFINANCE($C99, ""price"", WORKDAY(INT($B99), 5)), 2, 2), """")-$G99)/$G99, ($G99-IFERROR(INDEX(GOOGLE"&amp;"FINANCE($C99, ""price"", WORKDAY(INT($B99), 5)), 2, 2), """"))/$G99))"),-0.016486347243688762)</f>
        <v>-0.01648634724</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910</v>
      </c>
    </row>
    <row r="100">
      <c r="A100" s="9">
        <f t="shared" si="1"/>
        <v>99</v>
      </c>
      <c r="B100" s="11">
        <v>46216.667592592596</v>
      </c>
      <c r="C100" s="10" t="s">
        <v>234</v>
      </c>
      <c r="D100" s="10" t="s">
        <v>36</v>
      </c>
      <c r="E100" s="10" t="s">
        <v>37</v>
      </c>
      <c r="F100" s="13">
        <v>2.0</v>
      </c>
      <c r="G100" s="14">
        <v>62.35</v>
      </c>
      <c r="H100" s="10" t="s">
        <v>911</v>
      </c>
      <c r="I100" s="10">
        <v>93.4</v>
      </c>
      <c r="O100" s="15">
        <f>IFERROR(__xludf.DUMMYFUNCTION("IF(ISBLANK($C100), """", GOOGLEFINANCE($C100, ""price""))"),63.81)</f>
        <v>63.81</v>
      </c>
      <c r="P100" s="16">
        <f t="shared" si="2"/>
        <v>0.02341619888</v>
      </c>
      <c r="Q100" s="16">
        <f>IFERROR(__xludf.DUMMYFUNCTION("IF(OR(ISBLANK($G100), IFERROR(INDEX(GOOGLEFINANCE($C100, ""price"", WORKDAY(INT($B100), 1)), 2, 2), """")=""""), """", IF($D100=""LONG"", (IFERROR(INDEX(GOOGLEFINANCE($C100, ""price"", WORKDAY(INT($B100), 1)), 2, 2), """")-$G100)/$G100, ($G100-IFERROR(IND"&amp;"EX(GOOGLEFINANCE($C100, ""price"", WORKDAY(INT($B100), 1)), 2, 2), """"))/$G100))"),-0.0033680834001603983)</f>
        <v>-0.0033680834</v>
      </c>
      <c r="R100" s="16">
        <f>IFERROR(__xludf.DUMMYFUNCTION("IF(OR(ISBLANK($G100), IFERROR(INDEX(GOOGLEFINANCE($C100, ""price"", WORKDAY(INT($B100), 5)), 2, 2), """")=""""), """", IF($D100=""LONG"", (IFERROR(INDEX(GOOGLEFINANCE($C100, ""price"", WORKDAY(INT($B100), 5)), 2, 2), """")-$G100)/$G100, ($G100-IFERROR(IND"&amp;"EX(GOOGLEFINANCE($C100, ""price"", WORKDAY(INT($B100), 5)), 2, 2), """"))/$G100))"),0.01267040898155572)</f>
        <v>0.01267040898</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914</v>
      </c>
    </row>
    <row r="101">
      <c r="A101" s="9">
        <f t="shared" si="1"/>
        <v>100</v>
      </c>
      <c r="B101" s="11">
        <v>46216.667604166665</v>
      </c>
      <c r="C101" s="10" t="s">
        <v>347</v>
      </c>
      <c r="D101" s="10" t="s">
        <v>36</v>
      </c>
      <c r="E101" s="10" t="s">
        <v>37</v>
      </c>
      <c r="F101" s="13">
        <v>2.0</v>
      </c>
      <c r="G101" s="14">
        <v>276.5</v>
      </c>
      <c r="H101" s="10" t="s">
        <v>916</v>
      </c>
      <c r="I101" s="10">
        <v>95.6</v>
      </c>
      <c r="O101" s="15">
        <f>IFERROR(__xludf.DUMMYFUNCTION("IF(ISBLANK($C101), """", GOOGLEFINANCE($C101, ""price""))"),316.53)</f>
        <v>316.53</v>
      </c>
      <c r="P101" s="16">
        <f t="shared" si="2"/>
        <v>0.1447739602</v>
      </c>
      <c r="Q101" s="16">
        <f>IFERROR(__xludf.DUMMYFUNCTION("IF(OR(ISBLANK($G101), IFERROR(INDEX(GOOGLEFINANCE($C101, ""price"", WORKDAY(INT($B101), 1)), 2, 2), """")=""""), """", IF($D101=""LONG"", (IFERROR(INDEX(GOOGLEFINANCE($C101, ""price"", WORKDAY(INT($B101), 1)), 2, 2), """")-$G101)/$G101, ($G101-IFERROR(IND"&amp;"EX(GOOGLEFINANCE($C101, ""price"", WORKDAY(INT($B101), 1)), 2, 2), """"))/$G101))"),-0.0029656419529837004)</f>
        <v>-0.002965641953</v>
      </c>
      <c r="R101" s="16">
        <f>IFERROR(__xludf.DUMMYFUNCTION("IF(OR(ISBLANK($G101), IFERROR(INDEX(GOOGLEFINANCE($C101, ""price"", WORKDAY(INT($B101), 5)), 2, 2), """")=""""), """", IF($D101=""LONG"", (IFERROR(INDEX(GOOGLEFINANCE($C101, ""price"", WORKDAY(INT($B101), 5)), 2, 2), """")-$G101)/$G101, ($G101-IFERROR(IND"&amp;"EX(GOOGLEFINANCE($C101, ""price"", WORKDAY(INT($B101), 5)), 2, 2), """"))/$G101))"),0.018010849909584153)</f>
        <v>0.01801084991</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923</v>
      </c>
    </row>
    <row r="102">
      <c r="A102" s="9">
        <f t="shared" si="1"/>
        <v>101</v>
      </c>
      <c r="B102" s="11">
        <v>46216.66761574074</v>
      </c>
      <c r="C102" s="10" t="s">
        <v>173</v>
      </c>
      <c r="D102" s="10" t="s">
        <v>36</v>
      </c>
      <c r="E102" s="10" t="s">
        <v>37</v>
      </c>
      <c r="F102" s="13">
        <v>2.0</v>
      </c>
      <c r="G102" s="14">
        <v>87.71</v>
      </c>
      <c r="H102" s="10" t="s">
        <v>927</v>
      </c>
      <c r="I102" s="10">
        <v>85.8</v>
      </c>
      <c r="O102" s="15">
        <f>IFERROR(__xludf.DUMMYFUNCTION("IF(ISBLANK($C102), """", GOOGLEFINANCE($C102, ""price""))"),87.59)</f>
        <v>87.59</v>
      </c>
      <c r="P102" s="16">
        <f t="shared" si="2"/>
        <v>-0.001368145023</v>
      </c>
      <c r="Q102" s="16">
        <f>IFERROR(__xludf.DUMMYFUNCTION("IF(OR(ISBLANK($G102), IFERROR(INDEX(GOOGLEFINANCE($C102, ""price"", WORKDAY(INT($B102), 1)), 2, 2), """")=""""), """", IF($D102=""LONG"", (IFERROR(INDEX(GOOGLEFINANCE($C102, ""price"", WORKDAY(INT($B102), 1)), 2, 2), """")-$G102)/$G102, ($G102-IFERROR(IND"&amp;"EX(GOOGLEFINANCE($C102, ""price"", WORKDAY(INT($B102), 1)), 2, 2), """"))/$G102))"),-0.02759092463801149)</f>
        <v>-0.02759092464</v>
      </c>
      <c r="R102" s="16">
        <f>IFERROR(__xludf.DUMMYFUNCTION("IF(OR(ISBLANK($G102), IFERROR(INDEX(GOOGLEFINANCE($C102, ""price"", WORKDAY(INT($B102), 5)), 2, 2), """")=""""), """", IF($D102=""LONG"", (IFERROR(INDEX(GOOGLEFINANCE($C102, ""price"", WORKDAY(INT($B102), 5)), 2, 2), """")-$G102)/$G102, ($G102-IFERROR(IND"&amp;"EX(GOOGLEFINANCE($C102, ""price"", WORKDAY(INT($B102), 5)), 2, 2), """"))/$G102))"),-0.01573366776878344)</f>
        <v>-0.01573366777</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929</v>
      </c>
    </row>
    <row r="103">
      <c r="A103" s="9">
        <f t="shared" si="1"/>
        <v>102</v>
      </c>
      <c r="B103" s="11">
        <v>46216.66748842593</v>
      </c>
      <c r="C103" s="10" t="s">
        <v>136</v>
      </c>
      <c r="D103" s="10" t="s">
        <v>36</v>
      </c>
      <c r="E103" s="10" t="s">
        <v>37</v>
      </c>
      <c r="F103" s="13">
        <v>2.0</v>
      </c>
      <c r="G103" s="14">
        <v>135.87</v>
      </c>
      <c r="H103" s="10" t="s">
        <v>930</v>
      </c>
      <c r="I103" s="10">
        <v>93.2</v>
      </c>
      <c r="O103" s="15">
        <f>IFERROR(__xludf.DUMMYFUNCTION("IF(ISBLANK($C103), """", GOOGLEFINANCE($C103, ""price""))"),133.63)</f>
        <v>133.63</v>
      </c>
      <c r="P103" s="16">
        <f t="shared" si="2"/>
        <v>-0.01648634724</v>
      </c>
      <c r="Q103" s="16">
        <f>IFERROR(__xludf.DUMMYFUNCTION("IF(OR(ISBLANK($G103), IFERROR(INDEX(GOOGLEFINANCE($C103, ""price"", WORKDAY(INT($B103), 1)), 2, 2), """")=""""), """", IF($D103=""LONG"", (IFERROR(INDEX(GOOGLEFINANCE($C103, ""price"", WORKDAY(INT($B103), 1)), 2, 2), """")-$G103)/$G103, ($G103-IFERROR(IND"&amp;"EX(GOOGLEFINANCE($C103, ""price"", WORKDAY(INT($B103), 1)), 2, 2), """"))/$G103))"),-0.016118348421285036)</f>
        <v>-0.01611834842</v>
      </c>
      <c r="R103" s="16">
        <f>IFERROR(__xludf.DUMMYFUNCTION("IF(OR(ISBLANK($G103), IFERROR(INDEX(GOOGLEFINANCE($C103, ""price"", WORKDAY(INT($B103), 5)), 2, 2), """")=""""), """", IF($D103=""LONG"", (IFERROR(INDEX(GOOGLEFINANCE($C103, ""price"", WORKDAY(INT($B103), 5)), 2, 2), """")-$G103)/$G103, ($G103-IFERROR(IND"&amp;"EX(GOOGLEFINANCE($C103, ""price"", WORKDAY(INT($B103), 5)), 2, 2), """"))/$G103))"),-0.015897549127842765)</f>
        <v>-0.01589754913</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940</v>
      </c>
    </row>
    <row r="104">
      <c r="A104" s="9">
        <f t="shared" si="1"/>
        <v>103</v>
      </c>
      <c r="B104" s="11">
        <v>46216.6674537037</v>
      </c>
      <c r="C104" s="10" t="s">
        <v>540</v>
      </c>
      <c r="D104" s="10" t="s">
        <v>119</v>
      </c>
      <c r="E104" s="10" t="s">
        <v>120</v>
      </c>
      <c r="F104" s="13">
        <v>4.0</v>
      </c>
      <c r="G104" s="14">
        <v>112.85</v>
      </c>
      <c r="H104" s="10" t="s">
        <v>942</v>
      </c>
      <c r="I104" s="10">
        <v>7.8</v>
      </c>
      <c r="O104" s="15">
        <f>IFERROR(__xludf.DUMMYFUNCTION("IF(ISBLANK($C104), """", GOOGLEFINANCE($C104, ""price""))"),116.76)</f>
        <v>116.76</v>
      </c>
      <c r="P104" s="16">
        <f t="shared" si="2"/>
        <v>-0.03464776252</v>
      </c>
      <c r="Q104" s="16">
        <f>IFERROR(__xludf.DUMMYFUNCTION("IF(OR(ISBLANK($G104), IFERROR(INDEX(GOOGLEFINANCE($C104, ""price"", WORKDAY(INT($B104), 1)), 2, 2), """")=""""), """", IF($D104=""LONG"", (IFERROR(INDEX(GOOGLEFINANCE($C104, ""price"", WORKDAY(INT($B104), 1)), 2, 2), """")-$G104)/$G104, ($G104-IFERROR(IND"&amp;"EX(GOOGLEFINANCE($C104, ""price"", WORKDAY(INT($B104), 1)), 2, 2), """"))/$G104))"),0.008684093929995479)</f>
        <v>0.00868409393</v>
      </c>
      <c r="R104" s="16">
        <f>IFERROR(__xludf.DUMMYFUNCTION("IF(OR(ISBLANK($G104), IFERROR(INDEX(GOOGLEFINANCE($C104, ""price"", WORKDAY(INT($B104), 5)), 2, 2), """")=""""), """", IF($D104=""LONG"", (IFERROR(INDEX(GOOGLEFINANCE($C104, ""price"", WORKDAY(INT($B104), 5)), 2, 2), """")-$G104)/$G104, ($G104-IFERROR(IND"&amp;"EX(GOOGLEFINANCE($C104, ""price"", WORKDAY(INT($B104), 5)), 2, 2), """"))/$G104))"),-0.025077536552946502)</f>
        <v>-0.02507753655</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943</v>
      </c>
    </row>
    <row r="105">
      <c r="A105" s="9">
        <f t="shared" si="1"/>
        <v>104</v>
      </c>
      <c r="B105" s="11">
        <v>46216.66753472222</v>
      </c>
      <c r="C105" s="10" t="s">
        <v>312</v>
      </c>
      <c r="D105" s="10" t="s">
        <v>36</v>
      </c>
      <c r="E105" s="10" t="s">
        <v>37</v>
      </c>
      <c r="F105" s="13">
        <v>2.0</v>
      </c>
      <c r="G105" s="14">
        <v>14.76</v>
      </c>
      <c r="H105" s="10" t="s">
        <v>944</v>
      </c>
      <c r="I105" s="10">
        <v>81.4</v>
      </c>
      <c r="O105" s="15">
        <f>IFERROR(__xludf.DUMMYFUNCTION("IF(ISBLANK($C105), """", GOOGLEFINANCE($C105, ""price""))"),14.7)</f>
        <v>14.7</v>
      </c>
      <c r="P105" s="16">
        <f t="shared" si="2"/>
        <v>-0.00406504065</v>
      </c>
      <c r="Q105" s="16">
        <f>IFERROR(__xludf.DUMMYFUNCTION("IF(OR(ISBLANK($G105), IFERROR(INDEX(GOOGLEFINANCE($C105, ""price"", WORKDAY(INT($B105), 1)), 2, 2), """")=""""), """", IF($D105=""LONG"", (IFERROR(INDEX(GOOGLEFINANCE($C105, ""price"", WORKDAY(INT($B105), 1)), 2, 2), """")-$G105)/$G105, ($G105-IFERROR(IND"&amp;"EX(GOOGLEFINANCE($C105, ""price"", WORKDAY(INT($B105), 1)), 2, 2), """"))/$G105))"),0.002710027100271065)</f>
        <v>0.0027100271</v>
      </c>
      <c r="R105" s="16">
        <f>IFERROR(__xludf.DUMMYFUNCTION("IF(OR(ISBLANK($G105), IFERROR(INDEX(GOOGLEFINANCE($C105, ""price"", WORKDAY(INT($B105), 5)), 2, 2), """")=""""), """", IF($D105=""LONG"", (IFERROR(INDEX(GOOGLEFINANCE($C105, ""price"", WORKDAY(INT($B105), 5)), 2, 2), """")-$G105)/$G105, ($G105-IFERROR(IND"&amp;"EX(GOOGLEFINANCE($C105, ""price"", WORKDAY(INT($B105), 5)), 2, 2), """"))/$G105))"),0.002710027100271065)</f>
        <v>0.0027100271</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953</v>
      </c>
    </row>
    <row r="106">
      <c r="A106" s="9">
        <f t="shared" si="1"/>
        <v>105</v>
      </c>
      <c r="B106" s="11">
        <v>46216.66767361111</v>
      </c>
      <c r="C106" s="10" t="s">
        <v>488</v>
      </c>
      <c r="D106" s="10" t="s">
        <v>36</v>
      </c>
      <c r="E106" s="10" t="s">
        <v>37</v>
      </c>
      <c r="F106" s="13">
        <v>2.0</v>
      </c>
      <c r="G106" s="14">
        <v>66.97</v>
      </c>
      <c r="H106" s="10" t="s">
        <v>574</v>
      </c>
      <c r="I106" s="10">
        <v>96.8</v>
      </c>
      <c r="O106" s="15">
        <f>IFERROR(__xludf.DUMMYFUNCTION("IF(ISBLANK($C106), """", GOOGLEFINANCE($C106, ""price""))"),53.86)</f>
        <v>53.86</v>
      </c>
      <c r="P106" s="16">
        <f t="shared" si="2"/>
        <v>-0.1957592952</v>
      </c>
      <c r="Q106" s="16">
        <f>IFERROR(__xludf.DUMMYFUNCTION("IF(OR(ISBLANK($G106), IFERROR(INDEX(GOOGLEFINANCE($C106, ""price"", WORKDAY(INT($B106), 1)), 2, 2), """")=""""), """", IF($D106=""LONG"", (IFERROR(INDEX(GOOGLEFINANCE($C106, ""price"", WORKDAY(INT($B106), 1)), 2, 2), """")-$G106)/$G106, ($G106-IFERROR(IND"&amp;"EX(GOOGLEFINANCE($C106, ""price"", WORKDAY(INT($B106), 1)), 2, 2), """"))/$G106))"),0.007018067791548437)</f>
        <v>0.007018067792</v>
      </c>
      <c r="R106" s="16">
        <f>IFERROR(__xludf.DUMMYFUNCTION("IF(OR(ISBLANK($G106), IFERROR(INDEX(GOOGLEFINANCE($C106, ""price"", WORKDAY(INT($B106), 5)), 2, 2), """")=""""), """", IF($D106=""LONG"", (IFERROR(INDEX(GOOGLEFINANCE($C106, ""price"", WORKDAY(INT($B106), 5)), 2, 2), """")-$G106)/$G106, ($G106-IFERROR(IND"&amp;"EX(GOOGLEFINANCE($C106, ""price"", WORKDAY(INT($B106), 5)), 2, 2), """"))/$G106))"),-0.11169180229953705)</f>
        <v>-0.1116918023</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955</v>
      </c>
    </row>
    <row r="107">
      <c r="A107" s="9">
        <f t="shared" si="1"/>
        <v>106</v>
      </c>
      <c r="B107" s="11">
        <v>46216.66746527778</v>
      </c>
      <c r="C107" s="10" t="s">
        <v>957</v>
      </c>
      <c r="D107" s="10" t="s">
        <v>119</v>
      </c>
      <c r="E107" s="10" t="s">
        <v>120</v>
      </c>
      <c r="F107" s="13">
        <v>4.0</v>
      </c>
      <c r="G107" s="14">
        <v>54.84</v>
      </c>
      <c r="H107" s="10" t="s">
        <v>959</v>
      </c>
      <c r="I107" s="10">
        <v>8.6</v>
      </c>
      <c r="O107" s="15">
        <f>IFERROR(__xludf.DUMMYFUNCTION("IF(ISBLANK($C107), """", GOOGLEFINANCE($C107, ""price""))"),56.04)</f>
        <v>56.04</v>
      </c>
      <c r="P107" s="16">
        <f t="shared" si="2"/>
        <v>-0.02188183807</v>
      </c>
      <c r="Q107" s="16">
        <f>IFERROR(__xludf.DUMMYFUNCTION("IF(OR(ISBLANK($G107), IFERROR(INDEX(GOOGLEFINANCE($C107, ""price"", WORKDAY(INT($B107), 1)), 2, 2), """")=""""), """", IF($D107=""LONG"", (IFERROR(INDEX(GOOGLEFINANCE($C107, ""price"", WORKDAY(INT($B107), 1)), 2, 2), """")-$G107)/$G107, ($G107-IFERROR(IND"&amp;"EX(GOOGLEFINANCE($C107, ""price"", WORKDAY(INT($B107), 1)), 2, 2), """"))/$G107))"),0.004923413566739663)</f>
        <v>0.004923413567</v>
      </c>
      <c r="R107" s="16">
        <f>IFERROR(__xludf.DUMMYFUNCTION("IF(OR(ISBLANK($G107), IFERROR(INDEX(GOOGLEFINANCE($C107, ""price"", WORKDAY(INT($B107), 5)), 2, 2), """")=""""), """", IF($D107=""LONG"", (IFERROR(INDEX(GOOGLEFINANCE($C107, ""price"", WORKDAY(INT($B107), 5)), 2, 2), """")-$G107)/$G107, ($G107-IFERROR(IND"&amp;"EX(GOOGLEFINANCE($C107, ""price"", WORKDAY(INT($B107), 5)), 2, 2), """"))/$G107))"),-0.006382202771699385)</f>
        <v>-0.006382202772</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967</v>
      </c>
    </row>
    <row r="108">
      <c r="A108" s="9">
        <f t="shared" si="1"/>
        <v>107</v>
      </c>
      <c r="B108" s="11">
        <v>46216.66768518519</v>
      </c>
      <c r="C108" s="10" t="s">
        <v>161</v>
      </c>
      <c r="D108" s="10" t="s">
        <v>36</v>
      </c>
      <c r="E108" s="10" t="s">
        <v>37</v>
      </c>
      <c r="F108" s="13">
        <v>2.0</v>
      </c>
      <c r="G108" s="14">
        <v>157.64</v>
      </c>
      <c r="H108" s="10" t="s">
        <v>968</v>
      </c>
      <c r="I108" s="10">
        <v>88.4</v>
      </c>
      <c r="O108" s="15">
        <f>IFERROR(__xludf.DUMMYFUNCTION("IF(ISBLANK($C108), """", GOOGLEFINANCE($C108, ""price""))"),180.71)</f>
        <v>180.71</v>
      </c>
      <c r="P108" s="16">
        <f t="shared" si="2"/>
        <v>0.146346105</v>
      </c>
      <c r="Q108" s="16">
        <f>IFERROR(__xludf.DUMMYFUNCTION("IF(OR(ISBLANK($G108), IFERROR(INDEX(GOOGLEFINANCE($C108, ""price"", WORKDAY(INT($B108), 1)), 2, 2), """")=""""), """", IF($D108=""LONG"", (IFERROR(INDEX(GOOGLEFINANCE($C108, ""price"", WORKDAY(INT($B108), 1)), 2, 2), """")-$G108)/$G108, ($G108-IFERROR(IND"&amp;"EX(GOOGLEFINANCE($C108, ""price"", WORKDAY(INT($B108), 1)), 2, 2), """"))/$G108))"),-0.0067241816797765416)</f>
        <v>-0.00672418168</v>
      </c>
      <c r="R108" s="16">
        <f>IFERROR(__xludf.DUMMYFUNCTION("IF(OR(ISBLANK($G108), IFERROR(INDEX(GOOGLEFINANCE($C108, ""price"", WORKDAY(INT($B108), 5)), 2, 2), """")=""""), """", IF($D108=""LONG"", (IFERROR(INDEX(GOOGLEFINANCE($C108, ""price"", WORKDAY(INT($B108), 5)), 2, 2), """")-$G108)/$G108, ($G108-IFERROR(IND"&amp;"EX(GOOGLEFINANCE($C108, ""price"", WORKDAY(INT($B108), 5)), 2, 2), """"))/$G108))"),0.009325044404973531)</f>
        <v>0.009325044405</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979</v>
      </c>
    </row>
    <row r="109">
      <c r="A109" s="9">
        <f t="shared" si="1"/>
        <v>108</v>
      </c>
      <c r="B109" s="11">
        <v>46216.667604166665</v>
      </c>
      <c r="C109" s="10" t="s">
        <v>91</v>
      </c>
      <c r="D109" s="10" t="s">
        <v>36</v>
      </c>
      <c r="E109" s="10" t="s">
        <v>37</v>
      </c>
      <c r="F109" s="13">
        <v>2.0</v>
      </c>
      <c r="G109" s="14">
        <v>37.02</v>
      </c>
      <c r="H109" s="10" t="s">
        <v>980</v>
      </c>
      <c r="I109" s="10">
        <v>97.4</v>
      </c>
      <c r="O109" s="15">
        <f>IFERROR(__xludf.DUMMYFUNCTION("IF(ISBLANK($C109), """", GOOGLEFINANCE($C109, ""price""))"),40.53)</f>
        <v>40.53</v>
      </c>
      <c r="P109" s="16">
        <f t="shared" si="2"/>
        <v>0.09481361426</v>
      </c>
      <c r="Q109" s="16">
        <f>IFERROR(__xludf.DUMMYFUNCTION("IF(OR(ISBLANK($G109), IFERROR(INDEX(GOOGLEFINANCE($C109, ""price"", WORKDAY(INT($B109), 1)), 2, 2), """")=""""), """", IF($D109=""LONG"", (IFERROR(INDEX(GOOGLEFINANCE($C109, ""price"", WORKDAY(INT($B109), 1)), 2, 2), """")-$G109)/$G109, ($G109-IFERROR(IND"&amp;"EX(GOOGLEFINANCE($C109, ""price"", WORKDAY(INT($B109), 1)), 2, 2), """"))/$G109))"),-0.01404646137223131)</f>
        <v>-0.01404646137</v>
      </c>
      <c r="R109" s="16">
        <f>IFERROR(__xludf.DUMMYFUNCTION("IF(OR(ISBLANK($G109), IFERROR(INDEX(GOOGLEFINANCE($C109, ""price"", WORKDAY(INT($B109), 5)), 2, 2), """")=""""), """", IF($D109=""LONG"", (IFERROR(INDEX(GOOGLEFINANCE($C109, ""price"", WORKDAY(INT($B109), 5)), 2, 2), """")-$G109)/$G109, ($G109-IFERROR(IND"&amp;"EX(GOOGLEFINANCE($C109, ""price"", WORKDAY(INT($B109), 5)), 2, 2), """"))/$G109))"),-0.02079956780118863)</f>
        <v>-0.0207995678</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987</v>
      </c>
    </row>
    <row r="110">
      <c r="A110" s="9">
        <f t="shared" si="1"/>
        <v>109</v>
      </c>
      <c r="B110" s="11">
        <v>46216.66767361111</v>
      </c>
      <c r="C110" s="10" t="s">
        <v>641</v>
      </c>
      <c r="D110" s="10" t="s">
        <v>36</v>
      </c>
      <c r="E110" s="10" t="s">
        <v>37</v>
      </c>
      <c r="F110" s="13">
        <v>2.0</v>
      </c>
      <c r="G110" s="14">
        <v>61.3</v>
      </c>
      <c r="H110" s="10" t="s">
        <v>990</v>
      </c>
      <c r="I110" s="10">
        <v>97.0</v>
      </c>
      <c r="O110" s="15">
        <f>IFERROR(__xludf.DUMMYFUNCTION("IF(ISBLANK($C110), """", GOOGLEFINANCE($C110, ""price""))"),63.13)</f>
        <v>63.13</v>
      </c>
      <c r="P110" s="16">
        <f t="shared" si="2"/>
        <v>0.02985318108</v>
      </c>
      <c r="Q110" s="16">
        <f>IFERROR(__xludf.DUMMYFUNCTION("IF(OR(ISBLANK($G110), IFERROR(INDEX(GOOGLEFINANCE($C110, ""price"", WORKDAY(INT($B110), 1)), 2, 2), """")=""""), """", IF($D110=""LONG"", (IFERROR(INDEX(GOOGLEFINANCE($C110, ""price"", WORKDAY(INT($B110), 1)), 2, 2), """")-$G110)/$G110, ($G110-IFERROR(IND"&amp;"EX(GOOGLEFINANCE($C110, ""price"", WORKDAY(INT($B110), 1)), 2, 2), """"))/$G110))"),-0.01370309951060353)</f>
        <v>-0.01370309951</v>
      </c>
      <c r="R110" s="16">
        <f>IFERROR(__xludf.DUMMYFUNCTION("IF(OR(ISBLANK($G110), IFERROR(INDEX(GOOGLEFINANCE($C110, ""price"", WORKDAY(INT($B110), 5)), 2, 2), """")=""""), """", IF($D110=""LONG"", (IFERROR(INDEX(GOOGLEFINANCE($C110, ""price"", WORKDAY(INT($B110), 5)), 2, 2), """")-$G110)/$G110, ($G110-IFERROR(IND"&amp;"EX(GOOGLEFINANCE($C110, ""price"", WORKDAY(INT($B110), 5)), 2, 2), """"))/$G110))"),0.015497553017944582)</f>
        <v>0.01549755302</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999</v>
      </c>
    </row>
    <row r="111">
      <c r="A111" s="9">
        <f t="shared" si="1"/>
        <v>110</v>
      </c>
      <c r="B111" s="11">
        <v>46216.66744212963</v>
      </c>
      <c r="C111" s="10" t="s">
        <v>381</v>
      </c>
      <c r="D111" s="10" t="s">
        <v>36</v>
      </c>
      <c r="E111" s="10" t="s">
        <v>37</v>
      </c>
      <c r="F111" s="13">
        <v>2.0</v>
      </c>
      <c r="G111" s="14">
        <v>221.19</v>
      </c>
      <c r="H111" s="10" t="s">
        <v>1000</v>
      </c>
      <c r="I111" s="10">
        <v>54.7</v>
      </c>
      <c r="O111" s="15">
        <f>IFERROR(__xludf.DUMMYFUNCTION("IF(ISBLANK($C111), """", GOOGLEFINANCE($C111, ""price""))"),213.75)</f>
        <v>213.75</v>
      </c>
      <c r="P111" s="16">
        <f t="shared" si="2"/>
        <v>-0.03363624034</v>
      </c>
      <c r="Q111" s="16">
        <f>IFERROR(__xludf.DUMMYFUNCTION("IF(OR(ISBLANK($G111), IFERROR(INDEX(GOOGLEFINANCE($C111, ""price"", WORKDAY(INT($B111), 1)), 2, 2), """")=""""), """", IF($D111=""LONG"", (IFERROR(INDEX(GOOGLEFINANCE($C111, ""price"", WORKDAY(INT($B111), 1)), 2, 2), """")-$G111)/$G111, ($G111-IFERROR(IND"&amp;"EX(GOOGLEFINANCE($C111, ""price"", WORKDAY(INT($B111), 1)), 2, 2), """"))/$G111))"),0.02929608029296076)</f>
        <v>0.02929608029</v>
      </c>
      <c r="R111" s="16">
        <f>IFERROR(__xludf.DUMMYFUNCTION("IF(OR(ISBLANK($G111), IFERROR(INDEX(GOOGLEFINANCE($C111, ""price"", WORKDAY(INT($B111), 5)), 2, 2), """")=""""), """", IF($D111=""LONG"", (IFERROR(INDEX(GOOGLEFINANCE($C111, ""price"", WORKDAY(INT($B111), 5)), 2, 2), """")-$G111)/$G111, ($G111-IFERROR(IND"&amp;"EX(GOOGLEFINANCE($C111, ""price"", WORKDAY(INT($B111), 5)), 2, 2), """"))/$G111))"),-0.0463402504634025)</f>
        <v>-0.04634025046</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1007</v>
      </c>
    </row>
    <row r="112">
      <c r="A112" s="9">
        <f t="shared" si="1"/>
        <v>111</v>
      </c>
      <c r="B112" s="11">
        <v>46216.667592592596</v>
      </c>
      <c r="C112" s="10" t="s">
        <v>1009</v>
      </c>
      <c r="D112" s="10" t="s">
        <v>119</v>
      </c>
      <c r="E112" s="10" t="s">
        <v>120</v>
      </c>
      <c r="F112" s="13">
        <v>4.0</v>
      </c>
      <c r="G112" s="14">
        <v>27.07</v>
      </c>
      <c r="H112" s="10" t="s">
        <v>1010</v>
      </c>
      <c r="I112" s="10">
        <v>31.3</v>
      </c>
      <c r="O112" s="15">
        <f>IFERROR(__xludf.DUMMYFUNCTION("IF(ISBLANK($C112), """", GOOGLEFINANCE($C112, ""price""))"),26.4)</f>
        <v>26.4</v>
      </c>
      <c r="P112" s="16">
        <f t="shared" si="2"/>
        <v>0.02475064647</v>
      </c>
      <c r="Q112" s="16">
        <f>IFERROR(__xludf.DUMMYFUNCTION("IF(OR(ISBLANK($G112), IFERROR(INDEX(GOOGLEFINANCE($C112, ""price"", WORKDAY(INT($B112), 1)), 2, 2), """")=""""), """", IF($D112=""LONG"", (IFERROR(INDEX(GOOGLEFINANCE($C112, ""price"", WORKDAY(INT($B112), 1)), 2, 2), """")-$G112)/$G112, ($G112-IFERROR(IND"&amp;"EX(GOOGLEFINANCE($C112, ""price"", WORKDAY(INT($B112), 1)), 2, 2), """"))/$G112))"),-0.015145917990395276)</f>
        <v>-0.01514591799</v>
      </c>
      <c r="R112" s="16">
        <f>IFERROR(__xludf.DUMMYFUNCTION("IF(OR(ISBLANK($G112), IFERROR(INDEX(GOOGLEFINANCE($C112, ""price"", WORKDAY(INT($B112), 5)), 2, 2), """")=""""), """", IF($D112=""LONG"", (IFERROR(INDEX(GOOGLEFINANCE($C112, ""price"", WORKDAY(INT($B112), 5)), 2, 2), """")-$G112)/$G112, ($G112-IFERROR(IND"&amp;"EX(GOOGLEFINANCE($C112, ""price"", WORKDAY(INT($B112), 5)), 2, 2), """"))/$G112))"),0.04469892870336169)</f>
        <v>0.0446989287</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1015</v>
      </c>
    </row>
    <row r="113">
      <c r="A113" s="9">
        <f t="shared" si="1"/>
        <v>112</v>
      </c>
      <c r="B113" s="11">
        <v>46216.66775462963</v>
      </c>
      <c r="C113" s="10" t="s">
        <v>939</v>
      </c>
      <c r="D113" s="10" t="s">
        <v>36</v>
      </c>
      <c r="E113" s="10" t="s">
        <v>37</v>
      </c>
      <c r="F113" s="13">
        <v>2.0</v>
      </c>
      <c r="G113" s="14">
        <v>196.41</v>
      </c>
      <c r="H113" s="10" t="s">
        <v>1017</v>
      </c>
      <c r="I113" s="10">
        <v>91.9</v>
      </c>
      <c r="O113" s="15">
        <f>IFERROR(__xludf.DUMMYFUNCTION("IF(ISBLANK($C113), """", GOOGLEFINANCE($C113, ""price""))"),223.25)</f>
        <v>223.25</v>
      </c>
      <c r="P113" s="16">
        <f t="shared" si="2"/>
        <v>0.1366529199</v>
      </c>
      <c r="Q113" s="16">
        <f>IFERROR(__xludf.DUMMYFUNCTION("IF(OR(ISBLANK($G113), IFERROR(INDEX(GOOGLEFINANCE($C113, ""price"", WORKDAY(INT($B113), 1)), 2, 2), """")=""""), """", IF($D113=""LONG"", (IFERROR(INDEX(GOOGLEFINANCE($C113, ""price"", WORKDAY(INT($B113), 1)), 2, 2), """")-$G113)/$G113, ($G113-IFERROR(IND"&amp;"EX(GOOGLEFINANCE($C113, ""price"", WORKDAY(INT($B113), 1)), 2, 2), """"))/$G113))"),-0.01537599918537758)</f>
        <v>-0.01537599919</v>
      </c>
      <c r="R113" s="16">
        <f>IFERROR(__xludf.DUMMYFUNCTION("IF(OR(ISBLANK($G113), IFERROR(INDEX(GOOGLEFINANCE($C113, ""price"", WORKDAY(INT($B113), 5)), 2, 2), """")=""""), """", IF($D113=""LONG"", (IFERROR(INDEX(GOOGLEFINANCE($C113, ""price"", WORKDAY(INT($B113), 5)), 2, 2), """")-$G113)/$G113, ($G113-IFERROR(IND"&amp;"EX(GOOGLEFINANCE($C113, ""price"", WORKDAY(INT($B113), 5)), 2, 2), """"))/$G113))"),-0.010030039203706527)</f>
        <v>-0.0100300392</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1020</v>
      </c>
    </row>
    <row r="114">
      <c r="A114" s="9">
        <f t="shared" si="1"/>
        <v>113</v>
      </c>
      <c r="B114" s="11">
        <v>46216.667708333334</v>
      </c>
      <c r="C114" s="10" t="s">
        <v>1022</v>
      </c>
      <c r="D114" s="10" t="s">
        <v>119</v>
      </c>
      <c r="E114" s="10" t="s">
        <v>120</v>
      </c>
      <c r="F114" s="13">
        <v>4.0</v>
      </c>
      <c r="G114" s="14">
        <v>35.2</v>
      </c>
      <c r="H114" s="10" t="s">
        <v>1023</v>
      </c>
      <c r="I114" s="10">
        <v>0.7</v>
      </c>
      <c r="O114" s="15">
        <f>IFERROR(__xludf.DUMMYFUNCTION("IF(ISBLANK($C114), """", GOOGLEFINANCE($C114, ""price""))"),32.51)</f>
        <v>32.51</v>
      </c>
      <c r="P114" s="16">
        <f t="shared" si="2"/>
        <v>0.07642045455</v>
      </c>
      <c r="Q114" s="16">
        <f>IFERROR(__xludf.DUMMYFUNCTION("IF(OR(ISBLANK($G114), IFERROR(INDEX(GOOGLEFINANCE($C114, ""price"", WORKDAY(INT($B114), 1)), 2, 2), """")=""""), """", IF($D114=""LONG"", (IFERROR(INDEX(GOOGLEFINANCE($C114, ""price"", WORKDAY(INT($B114), 1)), 2, 2), """")-$G114)/$G114, ($G114-IFERROR(IND"&amp;"EX(GOOGLEFINANCE($C114, ""price"", WORKDAY(INT($B114), 1)), 2, 2), """"))/$G114))"),-0.006249999999999967)</f>
        <v>-0.00625</v>
      </c>
      <c r="R114" s="16">
        <f>IFERROR(__xludf.DUMMYFUNCTION("IF(OR(ISBLANK($G114), IFERROR(INDEX(GOOGLEFINANCE($C114, ""price"", WORKDAY(INT($B114), 5)), 2, 2), """")=""""), """", IF($D114=""LONG"", (IFERROR(INDEX(GOOGLEFINANCE($C114, ""price"", WORKDAY(INT($B114), 5)), 2, 2), """")-$G114)/$G114, ($G114-IFERROR(IND"&amp;"EX(GOOGLEFINANCE($C114, ""price"", WORKDAY(INT($B114), 5)), 2, 2), """"))/$G114))"),0.0025568181818182785)</f>
        <v>0.002556818182</v>
      </c>
      <c r="S114" s="16" t="str">
        <f>IFERROR(__xludf.DUMMYFUNCTION("IF(OR(ISBLANK($G114), IFERROR(INDEX(GOOGLEFINANCE($C114, ""price"", WORKDAY(INT($B114), 20)), 2, 2), """")=""""), """", IF($D114=""LONG"", (IFERROR(INDEX(GOOGLEFINANCE($C114, ""price"", WORKDAY(INT($B114), 20)), 2, 2), """")-$G114)/$G114, ($G114-IFERROR(I"&amp;"NDEX(GOOGLEFINANCE($C114, ""price"", WORKDAY(INT($B114), 20)), 2, 2), """"))/$G114))"),"")</f>
        <v/>
      </c>
      <c r="T114" s="10" t="s">
        <v>1028</v>
      </c>
    </row>
    <row r="115">
      <c r="A115" s="9">
        <f t="shared" si="1"/>
        <v>114</v>
      </c>
      <c r="B115" s="11">
        <v>46216.667719907404</v>
      </c>
      <c r="C115" s="10" t="s">
        <v>379</v>
      </c>
      <c r="D115" s="10" t="s">
        <v>36</v>
      </c>
      <c r="E115" s="10" t="s">
        <v>37</v>
      </c>
      <c r="F115" s="13">
        <v>2.0</v>
      </c>
      <c r="G115" s="14">
        <v>49.64</v>
      </c>
      <c r="H115" s="10" t="s">
        <v>1029</v>
      </c>
      <c r="I115" s="10">
        <v>82.4</v>
      </c>
      <c r="O115" s="15">
        <f>IFERROR(__xludf.DUMMYFUNCTION("IF(ISBLANK($C115), """", GOOGLEFINANCE($C115, ""price""))"),50.7)</f>
        <v>50.7</v>
      </c>
      <c r="P115" s="16">
        <f t="shared" si="2"/>
        <v>0.02135374698</v>
      </c>
      <c r="Q115" s="16">
        <f>IFERROR(__xludf.DUMMYFUNCTION("IF(OR(ISBLANK($G115), IFERROR(INDEX(GOOGLEFINANCE($C115, ""price"", WORKDAY(INT($B115), 1)), 2, 2), """")=""""), """", IF($D115=""LONG"", (IFERROR(INDEX(GOOGLEFINANCE($C115, ""price"", WORKDAY(INT($B115), 1)), 2, 2), """")-$G115)/$G115, ($G115-IFERROR(IND"&amp;"EX(GOOGLEFINANCE($C115, ""price"", WORKDAY(INT($B115), 1)), 2, 2), """"))/$G115))"),0.005640612409347323)</f>
        <v>0.005640612409</v>
      </c>
      <c r="R115" s="16">
        <f>IFERROR(__xludf.DUMMYFUNCTION("IF(OR(ISBLANK($G115), IFERROR(INDEX(GOOGLEFINANCE($C115, ""price"", WORKDAY(INT($B115), 5)), 2, 2), """")=""""), """", IF($D115=""LONG"", (IFERROR(INDEX(GOOGLEFINANCE($C115, ""price"", WORKDAY(INT($B115), 5)), 2, 2), """")-$G115)/$G115, ($G115-IFERROR(IND"&amp;"EX(GOOGLEFINANCE($C115, ""price"", WORKDAY(INT($B115), 5)), 2, 2), """"))/$G115))"),0.009468170829975803)</f>
        <v>0.00946817083</v>
      </c>
      <c r="S115" s="16" t="str">
        <f>IFERROR(__xludf.DUMMYFUNCTION("IF(OR(ISBLANK($G115), IFERROR(INDEX(GOOGLEFINANCE($C115, ""price"", WORKDAY(INT($B115), 20)), 2, 2), """")=""""), """", IF($D115=""LONG"", (IFERROR(INDEX(GOOGLEFINANCE($C115, ""price"", WORKDAY(INT($B115), 20)), 2, 2), """")-$G115)/$G115, ($G115-IFERROR(I"&amp;"NDEX(GOOGLEFINANCE($C115, ""price"", WORKDAY(INT($B115), 20)), 2, 2), """"))/$G115))"),"")</f>
        <v/>
      </c>
      <c r="T115" s="10" t="s">
        <v>1035</v>
      </c>
    </row>
    <row r="116">
      <c r="A116" s="9">
        <f t="shared" si="1"/>
        <v>115</v>
      </c>
      <c r="B116" s="11">
        <v>46216.66755787037</v>
      </c>
      <c r="C116" s="10" t="s">
        <v>455</v>
      </c>
      <c r="D116" s="10" t="s">
        <v>36</v>
      </c>
      <c r="E116" s="10" t="s">
        <v>37</v>
      </c>
      <c r="F116" s="13">
        <v>2.0</v>
      </c>
      <c r="G116" s="14">
        <v>110.18</v>
      </c>
      <c r="H116" s="10" t="s">
        <v>856</v>
      </c>
      <c r="I116" s="10">
        <v>99.1</v>
      </c>
      <c r="O116" s="15">
        <f>IFERROR(__xludf.DUMMYFUNCTION("IF(ISBLANK($C116), """", GOOGLEFINANCE($C116, ""price""))"),108.66)</f>
        <v>108.66</v>
      </c>
      <c r="P116" s="16">
        <f t="shared" si="2"/>
        <v>-0.01379560719</v>
      </c>
      <c r="Q116" s="16">
        <f>IFERROR(__xludf.DUMMYFUNCTION("IF(OR(ISBLANK($G116), IFERROR(INDEX(GOOGLEFINANCE($C116, ""price"", WORKDAY(INT($B116), 1)), 2, 2), """")=""""), """", IF($D116=""LONG"", (IFERROR(INDEX(GOOGLEFINANCE($C116, ""price"", WORKDAY(INT($B116), 1)), 2, 2), """")-$G116)/$G116, ($G116-IFERROR(IND"&amp;"EX(GOOGLEFINANCE($C116, ""price"", WORKDAY(INT($B116), 1)), 2, 2), """"))/$G116))"),-0.03049555273189339)</f>
        <v>-0.03049555273</v>
      </c>
      <c r="R116" s="16">
        <f>IFERROR(__xludf.DUMMYFUNCTION("IF(OR(ISBLANK($G116), IFERROR(INDEX(GOOGLEFINANCE($C116, ""price"", WORKDAY(INT($B116), 5)), 2, 2), """")=""""), """", IF($D116=""LONG"", (IFERROR(INDEX(GOOGLEFINANCE($C116, ""price"", WORKDAY(INT($B116), 5)), 2, 2), """")-$G116)/$G116, ($G116-IFERROR(IND"&amp;"EX(GOOGLEFINANCE($C116, ""price"", WORKDAY(INT($B116), 5)), 2, 2), """"))/$G116))"),-0.015429297513160307)</f>
        <v>-0.01542929751</v>
      </c>
      <c r="S116" s="16" t="str">
        <f>IFERROR(__xludf.DUMMYFUNCTION("IF(OR(ISBLANK($G116), IFERROR(INDEX(GOOGLEFINANCE($C116, ""price"", WORKDAY(INT($B116), 20)), 2, 2), """")=""""), """", IF($D116=""LONG"", (IFERROR(INDEX(GOOGLEFINANCE($C116, ""price"", WORKDAY(INT($B116), 20)), 2, 2), """")-$G116)/$G116, ($G116-IFERROR(I"&amp;"NDEX(GOOGLEFINANCE($C116, ""price"", WORKDAY(INT($B116), 20)), 2, 2), """"))/$G116))"),"")</f>
        <v/>
      </c>
      <c r="T116" s="10" t="s">
        <v>1041</v>
      </c>
    </row>
    <row r="117">
      <c r="A117" s="9">
        <f t="shared" si="1"/>
        <v>116</v>
      </c>
      <c r="B117" s="11">
        <v>46216.66761574074</v>
      </c>
      <c r="C117" s="10" t="s">
        <v>223</v>
      </c>
      <c r="D117" s="10" t="s">
        <v>36</v>
      </c>
      <c r="E117" s="10" t="s">
        <v>37</v>
      </c>
      <c r="F117" s="13">
        <v>2.0</v>
      </c>
      <c r="G117" s="14">
        <v>123.79</v>
      </c>
      <c r="H117" s="10" t="s">
        <v>1042</v>
      </c>
      <c r="I117" s="10">
        <v>94.3</v>
      </c>
      <c r="O117" s="15">
        <f>IFERROR(__xludf.DUMMYFUNCTION("IF(ISBLANK($C117), """", GOOGLEFINANCE($C117, ""price""))"),129.55)</f>
        <v>129.55</v>
      </c>
      <c r="P117" s="16">
        <f t="shared" si="2"/>
        <v>0.04653041441</v>
      </c>
      <c r="Q117" s="16">
        <f>IFERROR(__xludf.DUMMYFUNCTION("IF(OR(ISBLANK($G117), IFERROR(INDEX(GOOGLEFINANCE($C117, ""price"", WORKDAY(INT($B117), 1)), 2, 2), """")=""""), """", IF($D117=""LONG"", (IFERROR(INDEX(GOOGLEFINANCE($C117, ""price"", WORKDAY(INT($B117), 1)), 2, 2), """")-$G117)/$G117, ($G117-IFERROR(IND"&amp;"EX(GOOGLEFINANCE($C117, ""price"", WORKDAY(INT($B117), 1)), 2, 2), """"))/$G117))"),0.006220211648759964)</f>
        <v>0.006220211649</v>
      </c>
      <c r="R117" s="16">
        <f>IFERROR(__xludf.DUMMYFUNCTION("IF(OR(ISBLANK($G117), IFERROR(INDEX(GOOGLEFINANCE($C117, ""price"", WORKDAY(INT($B117), 5)), 2, 2), """")=""""), """", IF($D117=""LONG"", (IFERROR(INDEX(GOOGLEFINANCE($C117, ""price"", WORKDAY(INT($B117), 5)), 2, 2), """")-$G117)/$G117, ($G117-IFERROR(IND"&amp;"EX(GOOGLEFINANCE($C117, ""price"", WORKDAY(INT($B117), 5)), 2, 2), """"))/$G117))"),-0.004927700137329343)</f>
        <v>-0.004927700137</v>
      </c>
      <c r="S117" s="16" t="str">
        <f>IFERROR(__xludf.DUMMYFUNCTION("IF(OR(ISBLANK($G117), IFERROR(INDEX(GOOGLEFINANCE($C117, ""price"", WORKDAY(INT($B117), 20)), 2, 2), """")=""""), """", IF($D117=""LONG"", (IFERROR(INDEX(GOOGLEFINANCE($C117, ""price"", WORKDAY(INT($B117), 20)), 2, 2), """")-$G117)/$G117, ($G117-IFERROR(I"&amp;"NDEX(GOOGLEFINANCE($C117, ""price"", WORKDAY(INT($B117), 20)), 2, 2), """"))/$G117))"),"")</f>
        <v/>
      </c>
      <c r="T117" s="10" t="s">
        <v>1045</v>
      </c>
    </row>
    <row r="118">
      <c r="A118" s="9">
        <f t="shared" si="1"/>
        <v>117</v>
      </c>
      <c r="B118" s="11">
        <v>46216.66769675926</v>
      </c>
      <c r="C118" s="10" t="s">
        <v>207</v>
      </c>
      <c r="D118" s="10" t="s">
        <v>36</v>
      </c>
      <c r="E118" s="10" t="s">
        <v>37</v>
      </c>
      <c r="F118" s="13">
        <v>2.0</v>
      </c>
      <c r="G118" s="14">
        <v>329.01</v>
      </c>
      <c r="H118" s="10" t="s">
        <v>1047</v>
      </c>
      <c r="I118" s="10">
        <v>96.8</v>
      </c>
      <c r="O118" s="15">
        <f>IFERROR(__xludf.DUMMYFUNCTION("IF(ISBLANK($C118), """", GOOGLEFINANCE($C118, ""price""))"),363.42)</f>
        <v>363.42</v>
      </c>
      <c r="P118" s="16">
        <f t="shared" si="2"/>
        <v>0.1045864867</v>
      </c>
      <c r="Q118" s="16">
        <f>IFERROR(__xludf.DUMMYFUNCTION("IF(OR(ISBLANK($G118), IFERROR(INDEX(GOOGLEFINANCE($C118, ""price"", WORKDAY(INT($B118), 1)), 2, 2), """")=""""), """", IF($D118=""LONG"", (IFERROR(INDEX(GOOGLEFINANCE($C118, ""price"", WORKDAY(INT($B118), 1)), 2, 2), """")-$G118)/$G118, ($G118-IFERROR(IND"&amp;"EX(GOOGLEFINANCE($C118, ""price"", WORKDAY(INT($B118), 1)), 2, 2), """"))/$G118))"),-0.0015501048600346217)</f>
        <v>-0.00155010486</v>
      </c>
      <c r="R118" s="16">
        <f>IFERROR(__xludf.DUMMYFUNCTION("IF(OR(ISBLANK($G118), IFERROR(INDEX(GOOGLEFINANCE($C118, ""price"", WORKDAY(INT($B118), 5)), 2, 2), """")=""""), """", IF($D118=""LONG"", (IFERROR(INDEX(GOOGLEFINANCE($C118, ""price"", WORKDAY(INT($B118), 5)), 2, 2), """")-$G118)/$G118, ($G118-IFERROR(IND"&amp;"EX(GOOGLEFINANCE($C118, ""price"", WORKDAY(INT($B118), 5)), 2, 2), """"))/$G118))"),-0.01644326920154393)</f>
        <v>-0.0164432692</v>
      </c>
      <c r="S118" s="16" t="str">
        <f>IFERROR(__xludf.DUMMYFUNCTION("IF(OR(ISBLANK($G118), IFERROR(INDEX(GOOGLEFINANCE($C118, ""price"", WORKDAY(INT($B118), 20)), 2, 2), """")=""""), """", IF($D118=""LONG"", (IFERROR(INDEX(GOOGLEFINANCE($C118, ""price"", WORKDAY(INT($B118), 20)), 2, 2), """")-$G118)/$G118, ($G118-IFERROR(I"&amp;"NDEX(GOOGLEFINANCE($C118, ""price"", WORKDAY(INT($B118), 20)), 2, 2), """"))/$G118))"),"")</f>
        <v/>
      </c>
      <c r="T118" s="10" t="s">
        <v>1053</v>
      </c>
    </row>
    <row r="119">
      <c r="A119" s="9">
        <f t="shared" si="1"/>
        <v>118</v>
      </c>
      <c r="B119" s="11">
        <v>46216.66748842593</v>
      </c>
      <c r="C119" s="10" t="s">
        <v>189</v>
      </c>
      <c r="D119" s="10" t="s">
        <v>119</v>
      </c>
      <c r="E119" s="10" t="s">
        <v>120</v>
      </c>
      <c r="F119" s="13">
        <v>4.0</v>
      </c>
      <c r="G119" s="14">
        <v>182.21</v>
      </c>
      <c r="H119" s="10" t="s">
        <v>1054</v>
      </c>
      <c r="I119" s="10">
        <v>9.9</v>
      </c>
      <c r="O119" s="15">
        <f>IFERROR(__xludf.DUMMYFUNCTION("IF(ISBLANK($C119), """", GOOGLEFINANCE($C119, ""price""))"),189.23)</f>
        <v>189.23</v>
      </c>
      <c r="P119" s="16">
        <f t="shared" si="2"/>
        <v>-0.03852697437</v>
      </c>
      <c r="Q119" s="16">
        <f>IFERROR(__xludf.DUMMYFUNCTION("IF(OR(ISBLANK($G119), IFERROR(INDEX(GOOGLEFINANCE($C119, ""price"", WORKDAY(INT($B119), 1)), 2, 2), """")=""""), """", IF($D119=""LONG"", (IFERROR(INDEX(GOOGLEFINANCE($C119, ""price"", WORKDAY(INT($B119), 1)), 2, 2), """")-$G119)/$G119, ($G119-IFERROR(IND"&amp;"EX(GOOGLEFINANCE($C119, ""price"", WORKDAY(INT($B119), 1)), 2, 2), """"))/$G119))"),0.002469677844245744)</f>
        <v>0.002469677844</v>
      </c>
      <c r="R119" s="16">
        <f>IFERROR(__xludf.DUMMYFUNCTION("IF(OR(ISBLANK($G119), IFERROR(INDEX(GOOGLEFINANCE($C119, ""price"", WORKDAY(INT($B119), 5)), 2, 2), """")=""""), """", IF($D119=""LONG"", (IFERROR(INDEX(GOOGLEFINANCE($C119, ""price"", WORKDAY(INT($B119), 5)), 2, 2), """")-$G119)/$G119, ($G119-IFERROR(IND"&amp;"EX(GOOGLEFINANCE($C119, ""price"", WORKDAY(INT($B119), 5)), 2, 2), """"))/$G119))"),-0.041161297404094174)</f>
        <v>-0.0411612974</v>
      </c>
      <c r="S119" s="16" t="str">
        <f>IFERROR(__xludf.DUMMYFUNCTION("IF(OR(ISBLANK($G119), IFERROR(INDEX(GOOGLEFINANCE($C119, ""price"", WORKDAY(INT($B119), 20)), 2, 2), """")=""""), """", IF($D119=""LONG"", (IFERROR(INDEX(GOOGLEFINANCE($C119, ""price"", WORKDAY(INT($B119), 20)), 2, 2), """")-$G119)/$G119, ($G119-IFERROR(I"&amp;"NDEX(GOOGLEFINANCE($C119, ""price"", WORKDAY(INT($B119), 20)), 2, 2), """"))/$G119))"),"")</f>
        <v/>
      </c>
      <c r="T119" s="10" t="s">
        <v>1064</v>
      </c>
    </row>
    <row r="120">
      <c r="A120" s="9">
        <f t="shared" si="1"/>
        <v>119</v>
      </c>
      <c r="B120" s="11">
        <v>46216.66753472222</v>
      </c>
      <c r="C120" s="10" t="s">
        <v>86</v>
      </c>
      <c r="D120" s="10" t="s">
        <v>36</v>
      </c>
      <c r="E120" s="10" t="s">
        <v>37</v>
      </c>
      <c r="F120" s="13">
        <v>2.0</v>
      </c>
      <c r="G120" s="14">
        <v>78.56</v>
      </c>
      <c r="H120" s="10" t="s">
        <v>1065</v>
      </c>
      <c r="I120" s="10">
        <v>94.8</v>
      </c>
      <c r="O120" s="15">
        <f>IFERROR(__xludf.DUMMYFUNCTION("IF(ISBLANK($C120), """", GOOGLEFINANCE($C120, ""price""))"),88.24)</f>
        <v>88.24</v>
      </c>
      <c r="P120" s="16">
        <f t="shared" si="2"/>
        <v>0.1232179226</v>
      </c>
      <c r="Q120" s="16">
        <f>IFERROR(__xludf.DUMMYFUNCTION("IF(OR(ISBLANK($G120), IFERROR(INDEX(GOOGLEFINANCE($C120, ""price"", WORKDAY(INT($B120), 1)), 2, 2), """")=""""), """", IF($D120=""LONG"", (IFERROR(INDEX(GOOGLEFINANCE($C120, ""price"", WORKDAY(INT($B120), 1)), 2, 2), """")-$G120)/$G120, ($G120-IFERROR(IND"&amp;"EX(GOOGLEFINANCE($C120, ""price"", WORKDAY(INT($B120), 1)), 2, 2), """"))/$G120))"),0.005728105906313682)</f>
        <v>0.005728105906</v>
      </c>
      <c r="R120" s="16">
        <f>IFERROR(__xludf.DUMMYFUNCTION("IF(OR(ISBLANK($G120), IFERROR(INDEX(GOOGLEFINANCE($C120, ""price"", WORKDAY(INT($B120), 5)), 2, 2), """")=""""), """", IF($D120=""LONG"", (IFERROR(INDEX(GOOGLEFINANCE($C120, ""price"", WORKDAY(INT($B120), 5)), 2, 2), """")-$G120)/$G120, ($G120-IFERROR(IND"&amp;"EX(GOOGLEFINANCE($C120, ""price"", WORKDAY(INT($B120), 5)), 2, 2), """"))/$G120))"),0.02062118126272918)</f>
        <v>0.02062118126</v>
      </c>
      <c r="S120" s="16" t="str">
        <f>IFERROR(__xludf.DUMMYFUNCTION("IF(OR(ISBLANK($G120), IFERROR(INDEX(GOOGLEFINANCE($C120, ""price"", WORKDAY(INT($B120), 20)), 2, 2), """")=""""), """", IF($D120=""LONG"", (IFERROR(INDEX(GOOGLEFINANCE($C120, ""price"", WORKDAY(INT($B120), 20)), 2, 2), """")-$G120)/$G120, ($G120-IFERROR(I"&amp;"NDEX(GOOGLEFINANCE($C120, ""price"", WORKDAY(INT($B120), 20)), 2, 2), """"))/$G120))"),"")</f>
        <v/>
      </c>
      <c r="T120" s="10" t="s">
        <v>1069</v>
      </c>
    </row>
    <row r="121">
      <c r="A121" s="9">
        <f t="shared" si="1"/>
        <v>120</v>
      </c>
      <c r="B121" s="11">
        <v>46216.66768518519</v>
      </c>
      <c r="C121" s="10" t="s">
        <v>117</v>
      </c>
      <c r="D121" s="10" t="s">
        <v>36</v>
      </c>
      <c r="E121" s="10" t="s">
        <v>37</v>
      </c>
      <c r="F121" s="13">
        <v>2.0</v>
      </c>
      <c r="G121" s="14">
        <v>23.22</v>
      </c>
      <c r="H121" s="10" t="s">
        <v>1072</v>
      </c>
      <c r="I121" s="10">
        <v>90.8</v>
      </c>
      <c r="O121" s="15">
        <f>IFERROR(__xludf.DUMMYFUNCTION("IF(ISBLANK($C121), """", GOOGLEFINANCE($C121, ""price""))"),22.66)</f>
        <v>22.66</v>
      </c>
      <c r="P121" s="16">
        <f t="shared" si="2"/>
        <v>-0.0241171404</v>
      </c>
      <c r="Q121" s="16">
        <f>IFERROR(__xludf.DUMMYFUNCTION("IF(OR(ISBLANK($G121), IFERROR(INDEX(GOOGLEFINANCE($C121, ""price"", WORKDAY(INT($B121), 1)), 2, 2), """")=""""), """", IF($D121=""LONG"", (IFERROR(INDEX(GOOGLEFINANCE($C121, ""price"", WORKDAY(INT($B121), 1)), 2, 2), """")-$G121)/$G121, ($G121-IFERROR(IND"&amp;"EX(GOOGLEFINANCE($C121, ""price"", WORKDAY(INT($B121), 1)), 2, 2), """"))/$G121))"),0.003445305770887246)</f>
        <v>0.003445305771</v>
      </c>
      <c r="R121" s="16">
        <f>IFERROR(__xludf.DUMMYFUNCTION("IF(OR(ISBLANK($G121), IFERROR(INDEX(GOOGLEFINANCE($C121, ""price"", WORKDAY(INT($B121), 5)), 2, 2), """")=""""), """", IF($D121=""LONG"", (IFERROR(INDEX(GOOGLEFINANCE($C121, ""price"", WORKDAY(INT($B121), 5)), 2, 2), """")-$G121)/$G121, ($G121-IFERROR(IND"&amp;"EX(GOOGLEFINANCE($C121, ""price"", WORKDAY(INT($B121), 5)), 2, 2), """"))/$G121))"),0.004306632213609019)</f>
        <v>0.004306632214</v>
      </c>
      <c r="S121" s="16" t="str">
        <f>IFERROR(__xludf.DUMMYFUNCTION("IF(OR(ISBLANK($G121), IFERROR(INDEX(GOOGLEFINANCE($C121, ""price"", WORKDAY(INT($B121), 20)), 2, 2), """")=""""), """", IF($D121=""LONG"", (IFERROR(INDEX(GOOGLEFINANCE($C121, ""price"", WORKDAY(INT($B121), 20)), 2, 2), """")-$G121)/$G121, ($G121-IFERROR(I"&amp;"NDEX(GOOGLEFINANCE($C121, ""price"", WORKDAY(INT($B121), 20)), 2, 2), """"))/$G121))"),"")</f>
        <v/>
      </c>
      <c r="T121" s="10" t="s">
        <v>1074</v>
      </c>
    </row>
    <row r="122">
      <c r="A122" s="9">
        <f t="shared" si="1"/>
        <v>121</v>
      </c>
      <c r="B122" s="11">
        <v>46216.6674537037</v>
      </c>
      <c r="C122" s="10" t="s">
        <v>445</v>
      </c>
      <c r="D122" s="10" t="s">
        <v>36</v>
      </c>
      <c r="E122" s="10" t="s">
        <v>37</v>
      </c>
      <c r="F122" s="13">
        <v>2.0</v>
      </c>
      <c r="G122" s="14">
        <v>146.33</v>
      </c>
      <c r="H122" s="10" t="s">
        <v>619</v>
      </c>
      <c r="I122" s="10">
        <v>96.4</v>
      </c>
      <c r="O122" s="15">
        <f>IFERROR(__xludf.DUMMYFUNCTION("IF(ISBLANK($C122), """", GOOGLEFINANCE($C122, ""price""))"),151.64)</f>
        <v>151.64</v>
      </c>
      <c r="P122" s="16">
        <f t="shared" si="2"/>
        <v>0.03628784255</v>
      </c>
      <c r="Q122" s="16">
        <f>IFERROR(__xludf.DUMMYFUNCTION("IF(OR(ISBLANK($G122), IFERROR(INDEX(GOOGLEFINANCE($C122, ""price"", WORKDAY(INT($B122), 1)), 2, 2), """")=""""), """", IF($D122=""LONG"", (IFERROR(INDEX(GOOGLEFINANCE($C122, ""price"", WORKDAY(INT($B122), 1)), 2, 2), """")-$G122)/$G122, ($G122-IFERROR(IND"&amp;"EX(GOOGLEFINANCE($C122, ""price"", WORKDAY(INT($B122), 1)), 2, 2), """"))/$G122))"),0.0014351124171392026)</f>
        <v>0.001435112417</v>
      </c>
      <c r="R122" s="16">
        <f>IFERROR(__xludf.DUMMYFUNCTION("IF(OR(ISBLANK($G122), IFERROR(INDEX(GOOGLEFINANCE($C122, ""price"", WORKDAY(INT($B122), 5)), 2, 2), """")=""""), """", IF($D122=""LONG"", (IFERROR(INDEX(GOOGLEFINANCE($C122, ""price"", WORKDAY(INT($B122), 5)), 2, 2), """")-$G122)/$G122, ($G122-IFERROR(IND"&amp;"EX(GOOGLEFINANCE($C122, ""price"", WORKDAY(INT($B122), 5)), 2, 2), """"))/$G122))"),-0.00949907742773194)</f>
        <v>-0.009499077428</v>
      </c>
      <c r="S122" s="16" t="str">
        <f>IFERROR(__xludf.DUMMYFUNCTION("IF(OR(ISBLANK($G122), IFERROR(INDEX(GOOGLEFINANCE($C122, ""price"", WORKDAY(INT($B122), 20)), 2, 2), """")=""""), """", IF($D122=""LONG"", (IFERROR(INDEX(GOOGLEFINANCE($C122, ""price"", WORKDAY(INT($B122), 20)), 2, 2), """")-$G122)/$G122, ($G122-IFERROR(I"&amp;"NDEX(GOOGLEFINANCE($C122, ""price"", WORKDAY(INT($B122), 20)), 2, 2), """"))/$G122))"),"")</f>
        <v/>
      </c>
      <c r="T122" s="10" t="s">
        <v>1081</v>
      </c>
    </row>
    <row r="123">
      <c r="A123" s="9">
        <f t="shared" si="1"/>
        <v>122</v>
      </c>
      <c r="B123" s="11">
        <v>46216.66762731481</v>
      </c>
      <c r="C123" s="10" t="s">
        <v>863</v>
      </c>
      <c r="D123" s="10" t="s">
        <v>119</v>
      </c>
      <c r="E123" s="10" t="s">
        <v>120</v>
      </c>
      <c r="F123" s="13">
        <v>4.0</v>
      </c>
      <c r="G123" s="14">
        <v>187.05</v>
      </c>
      <c r="H123" s="10" t="s">
        <v>1083</v>
      </c>
      <c r="I123" s="10">
        <v>7.3</v>
      </c>
      <c r="O123" s="15">
        <f>IFERROR(__xludf.DUMMYFUNCTION("IF(ISBLANK($C123), """", GOOGLEFINANCE($C123, ""price""))"),182.6)</f>
        <v>182.6</v>
      </c>
      <c r="P123" s="16">
        <f t="shared" si="2"/>
        <v>0.02379043037</v>
      </c>
      <c r="Q123" s="16">
        <f>IFERROR(__xludf.DUMMYFUNCTION("IF(OR(ISBLANK($G123), IFERROR(INDEX(GOOGLEFINANCE($C123, ""price"", WORKDAY(INT($B123), 1)), 2, 2), """")=""""), """", IF($D123=""LONG"", (IFERROR(INDEX(GOOGLEFINANCE($C123, ""price"", WORKDAY(INT($B123), 1)), 2, 2), """")-$G123)/$G123, ($G123-IFERROR(IND"&amp;"EX(GOOGLEFINANCE($C123, ""price"", WORKDAY(INT($B123), 1)), 2, 2), """"))/$G123))"),-0.0010692328254476803)</f>
        <v>-0.001069232825</v>
      </c>
      <c r="R123" s="16">
        <f>IFERROR(__xludf.DUMMYFUNCTION("IF(OR(ISBLANK($G123), IFERROR(INDEX(GOOGLEFINANCE($C123, ""price"", WORKDAY(INT($B123), 5)), 2, 2), """")=""""), """", IF($D123=""LONG"", (IFERROR(INDEX(GOOGLEFINANCE($C123, ""price"", WORKDAY(INT($B123), 5)), 2, 2), """")-$G123)/$G123, ($G123-IFERROR(IND"&amp;"EX(GOOGLEFINANCE($C123, ""price"", WORKDAY(INT($B123), 5)), 2, 2), """"))/$G123))"),0.027158513766372693)</f>
        <v>0.02715851377</v>
      </c>
      <c r="S123" s="16" t="str">
        <f>IFERROR(__xludf.DUMMYFUNCTION("IF(OR(ISBLANK($G123), IFERROR(INDEX(GOOGLEFINANCE($C123, ""price"", WORKDAY(INT($B123), 20)), 2, 2), """")=""""), """", IF($D123=""LONG"", (IFERROR(INDEX(GOOGLEFINANCE($C123, ""price"", WORKDAY(INT($B123), 20)), 2, 2), """")-$G123)/$G123, ($G123-IFERROR(I"&amp;"NDEX(GOOGLEFINANCE($C123, ""price"", WORKDAY(INT($B123), 20)), 2, 2), """"))/$G123))"),"")</f>
        <v/>
      </c>
      <c r="T123" s="10" t="s">
        <v>1089</v>
      </c>
    </row>
    <row r="124">
      <c r="A124" s="9">
        <f t="shared" si="1"/>
        <v>123</v>
      </c>
      <c r="B124" s="11">
        <v>46216.667592592596</v>
      </c>
      <c r="C124" s="10" t="s">
        <v>110</v>
      </c>
      <c r="D124" s="10" t="s">
        <v>36</v>
      </c>
      <c r="E124" s="10" t="s">
        <v>37</v>
      </c>
      <c r="F124" s="13">
        <v>2.0</v>
      </c>
      <c r="G124" s="14">
        <v>202.98</v>
      </c>
      <c r="H124" s="10" t="s">
        <v>1090</v>
      </c>
      <c r="I124" s="10">
        <v>97.3</v>
      </c>
      <c r="O124" s="15">
        <f>IFERROR(__xludf.DUMMYFUNCTION("IF(ISBLANK($C124), """", GOOGLEFINANCE($C124, ""price""))"),220.0)</f>
        <v>220</v>
      </c>
      <c r="P124" s="16">
        <f t="shared" si="2"/>
        <v>0.08385062568</v>
      </c>
      <c r="Q124" s="16">
        <f>IFERROR(__xludf.DUMMYFUNCTION("IF(OR(ISBLANK($G124), IFERROR(INDEX(GOOGLEFINANCE($C124, ""price"", WORKDAY(INT($B124), 1)), 2, 2), """")=""""), """", IF($D124=""LONG"", (IFERROR(INDEX(GOOGLEFINANCE($C124, ""price"", WORKDAY(INT($B124), 1)), 2, 2), """")-$G124)/$G124, ($G124-IFERROR(IND"&amp;"EX(GOOGLEFINANCE($C124, ""price"", WORKDAY(INT($B124), 1)), 2, 2), """"))/$G124))"),0.011380431569612782)</f>
        <v>0.01138043157</v>
      </c>
      <c r="R124" s="16">
        <f>IFERROR(__xludf.DUMMYFUNCTION("IF(OR(ISBLANK($G124), IFERROR(INDEX(GOOGLEFINANCE($C124, ""price"", WORKDAY(INT($B124), 5)), 2, 2), """")=""""), """", IF($D124=""LONG"", (IFERROR(INDEX(GOOGLEFINANCE($C124, ""price"", WORKDAY(INT($B124), 5)), 2, 2), """")-$G124)/$G124, ($G124-IFERROR(IND"&amp;"EX(GOOGLEFINANCE($C124, ""price"", WORKDAY(INT($B124), 5)), 2, 2), """"))/$G124))"),0.01867179032416997)</f>
        <v>0.01867179032</v>
      </c>
      <c r="S124" s="16" t="str">
        <f>IFERROR(__xludf.DUMMYFUNCTION("IF(OR(ISBLANK($G124), IFERROR(INDEX(GOOGLEFINANCE($C124, ""price"", WORKDAY(INT($B124), 20)), 2, 2), """")=""""), """", IF($D124=""LONG"", (IFERROR(INDEX(GOOGLEFINANCE($C124, ""price"", WORKDAY(INT($B124), 20)), 2, 2), """")-$G124)/$G124, ($G124-IFERROR(I"&amp;"NDEX(GOOGLEFINANCE($C124, ""price"", WORKDAY(INT($B124), 20)), 2, 2), """"))/$G124))"),"")</f>
        <v/>
      </c>
      <c r="T124" s="10" t="s">
        <v>1096</v>
      </c>
    </row>
    <row r="125">
      <c r="A125" s="9">
        <f t="shared" si="1"/>
        <v>124</v>
      </c>
      <c r="B125" s="11">
        <v>46216.667719907404</v>
      </c>
      <c r="C125" s="10" t="s">
        <v>413</v>
      </c>
      <c r="D125" s="10" t="s">
        <v>36</v>
      </c>
      <c r="E125" s="10" t="s">
        <v>37</v>
      </c>
      <c r="F125" s="13">
        <v>2.0</v>
      </c>
      <c r="G125" s="14">
        <v>187.95</v>
      </c>
      <c r="H125" s="10" t="s">
        <v>1098</v>
      </c>
      <c r="I125" s="10">
        <v>93.9</v>
      </c>
      <c r="O125" s="15">
        <f>IFERROR(__xludf.DUMMYFUNCTION("IF(ISBLANK($C125), """", GOOGLEFINANCE($C125, ""price""))"),207.39)</f>
        <v>207.39</v>
      </c>
      <c r="P125" s="16">
        <f t="shared" si="2"/>
        <v>0.1034317638</v>
      </c>
      <c r="Q125" s="16">
        <f>IFERROR(__xludf.DUMMYFUNCTION("IF(OR(ISBLANK($G125), IFERROR(INDEX(GOOGLEFINANCE($C125, ""price"", WORKDAY(INT($B125), 1)), 2, 2), """")=""""), """", IF($D125=""LONG"", (IFERROR(INDEX(GOOGLEFINANCE($C125, ""price"", WORKDAY(INT($B125), 1)), 2, 2), """")-$G125)/$G125, ($G125-IFERROR(IND"&amp;"EX(GOOGLEFINANCE($C125, ""price"", WORKDAY(INT($B125), 1)), 2, 2), """"))/$G125))"),0.1212024474594307)</f>
        <v>0.1212024475</v>
      </c>
      <c r="R125" s="16">
        <f>IFERROR(__xludf.DUMMYFUNCTION("IF(OR(ISBLANK($G125), IFERROR(INDEX(GOOGLEFINANCE($C125, ""price"", WORKDAY(INT($B125), 5)), 2, 2), """")=""""), """", IF($D125=""LONG"", (IFERROR(INDEX(GOOGLEFINANCE($C125, ""price"", WORKDAY(INT($B125), 5)), 2, 2), """")-$G125)/$G125, ($G125-IFERROR(IND"&amp;"EX(GOOGLEFINANCE($C125, ""price"", WORKDAY(INT($B125), 5)), 2, 2), """"))/$G125))"),0.05607874434690088)</f>
        <v>0.05607874435</v>
      </c>
      <c r="S125" s="16" t="str">
        <f>IFERROR(__xludf.DUMMYFUNCTION("IF(OR(ISBLANK($G125), IFERROR(INDEX(GOOGLEFINANCE($C125, ""price"", WORKDAY(INT($B125), 20)), 2, 2), """")=""""), """", IF($D125=""LONG"", (IFERROR(INDEX(GOOGLEFINANCE($C125, ""price"", WORKDAY(INT($B125), 20)), 2, 2), """")-$G125)/$G125, ($G125-IFERROR(I"&amp;"NDEX(GOOGLEFINANCE($C125, ""price"", WORKDAY(INT($B125), 20)), 2, 2), """"))/$G125))"),"")</f>
        <v/>
      </c>
      <c r="T125" s="10" t="s">
        <v>1102</v>
      </c>
    </row>
    <row r="126">
      <c r="A126" s="9">
        <f t="shared" si="1"/>
        <v>125</v>
      </c>
      <c r="B126" s="11">
        <v>46216.66751157407</v>
      </c>
      <c r="C126" s="10" t="s">
        <v>434</v>
      </c>
      <c r="D126" s="10" t="s">
        <v>36</v>
      </c>
      <c r="E126" s="10" t="s">
        <v>37</v>
      </c>
      <c r="F126" s="13">
        <v>2.0</v>
      </c>
      <c r="G126" s="14">
        <v>111.07</v>
      </c>
      <c r="H126" s="10" t="s">
        <v>1104</v>
      </c>
      <c r="I126" s="10">
        <v>92.6</v>
      </c>
      <c r="O126" s="15">
        <f>IFERROR(__xludf.DUMMYFUNCTION("IF(ISBLANK($C126), """", GOOGLEFINANCE($C126, ""price""))"),114.24)</f>
        <v>114.24</v>
      </c>
      <c r="P126" s="16">
        <f t="shared" si="2"/>
        <v>0.02854056001</v>
      </c>
      <c r="Q126" s="16">
        <f>IFERROR(__xludf.DUMMYFUNCTION("IF(OR(ISBLANK($G126), IFERROR(INDEX(GOOGLEFINANCE($C126, ""price"", WORKDAY(INT($B126), 1)), 2, 2), """")=""""), """", IF($D126=""LONG"", (IFERROR(INDEX(GOOGLEFINANCE($C126, ""price"", WORKDAY(INT($B126), 1)), 2, 2), """")-$G126)/$G126, ($G126-IFERROR(IND"&amp;"EX(GOOGLEFINANCE($C126, ""price"", WORKDAY(INT($B126), 1)), 2, 2), """"))/$G126))"),0.0012604663725578516)</f>
        <v>0.001260466373</v>
      </c>
      <c r="R126" s="16">
        <f>IFERROR(__xludf.DUMMYFUNCTION("IF(OR(ISBLANK($G126), IFERROR(INDEX(GOOGLEFINANCE($C126, ""price"", WORKDAY(INT($B126), 5)), 2, 2), """")=""""), """", IF($D126=""LONG"", (IFERROR(INDEX(GOOGLEFINANCE($C126, ""price"", WORKDAY(INT($B126), 5)), 2, 2), """")-$G126)/$G126, ($G126-IFERROR(IND"&amp;"EX(GOOGLEFINANCE($C126, ""price"", WORKDAY(INT($B126), 5)), 2, 2), """"))/$G126))"),-0.041685423606734454)</f>
        <v>-0.04168542361</v>
      </c>
      <c r="S126" s="16" t="str">
        <f>IFERROR(__xludf.DUMMYFUNCTION("IF(OR(ISBLANK($G126), IFERROR(INDEX(GOOGLEFINANCE($C126, ""price"", WORKDAY(INT($B126), 20)), 2, 2), """")=""""), """", IF($D126=""LONG"", (IFERROR(INDEX(GOOGLEFINANCE($C126, ""price"", WORKDAY(INT($B126), 20)), 2, 2), """")-$G126)/$G126, ($G126-IFERROR(I"&amp;"NDEX(GOOGLEFINANCE($C126, ""price"", WORKDAY(INT($B126), 20)), 2, 2), """"))/$G126))"),"")</f>
        <v/>
      </c>
      <c r="T126" s="10" t="s">
        <v>1108</v>
      </c>
    </row>
    <row r="127">
      <c r="A127" s="9">
        <f t="shared" si="1"/>
        <v>126</v>
      </c>
      <c r="B127" s="11">
        <v>46216.667662037034</v>
      </c>
      <c r="C127" s="10" t="s">
        <v>374</v>
      </c>
      <c r="D127" s="10" t="s">
        <v>36</v>
      </c>
      <c r="E127" s="10" t="s">
        <v>37</v>
      </c>
      <c r="F127" s="13">
        <v>2.0</v>
      </c>
      <c r="G127" s="14">
        <v>71.33</v>
      </c>
      <c r="H127" s="10" t="s">
        <v>1113</v>
      </c>
      <c r="I127" s="10">
        <v>96.7</v>
      </c>
      <c r="O127" s="15">
        <f>IFERROR(__xludf.DUMMYFUNCTION("IF(ISBLANK($C127), """", GOOGLEFINANCE($C127, ""price""))"),73.32)</f>
        <v>73.32</v>
      </c>
      <c r="P127" s="16">
        <f t="shared" si="2"/>
        <v>0.02789849993</v>
      </c>
      <c r="Q127" s="16">
        <f>IFERROR(__xludf.DUMMYFUNCTION("IF(OR(ISBLANK($G127), IFERROR(INDEX(GOOGLEFINANCE($C127, ""price"", WORKDAY(INT($B127), 1)), 2, 2), """")=""""), """", IF($D127=""LONG"", (IFERROR(INDEX(GOOGLEFINANCE($C127, ""price"", WORKDAY(INT($B127), 1)), 2, 2), """")-$G127)/$G127, ($G127-IFERROR(IND"&amp;"EX(GOOGLEFINANCE($C127, ""price"", WORKDAY(INT($B127), 1)), 2, 2), """"))/$G127))"),-0.03953455768961157)</f>
        <v>-0.03953455769</v>
      </c>
      <c r="R127" s="16">
        <f>IFERROR(__xludf.DUMMYFUNCTION("IF(OR(ISBLANK($G127), IFERROR(INDEX(GOOGLEFINANCE($C127, ""price"", WORKDAY(INT($B127), 5)), 2, 2), """")=""""), """", IF($D127=""LONG"", (IFERROR(INDEX(GOOGLEFINANCE($C127, ""price"", WORKDAY(INT($B127), 5)), 2, 2), """")-$G127)/$G127, ($G127-IFERROR(IND"&amp;"EX(GOOGLEFINANCE($C127, ""price"", WORKDAY(INT($B127), 5)), 2, 2), """"))/$G127))"),0.0036450301415954733)</f>
        <v>0.003645030142</v>
      </c>
      <c r="S127" s="16" t="str">
        <f>IFERROR(__xludf.DUMMYFUNCTION("IF(OR(ISBLANK($G127), IFERROR(INDEX(GOOGLEFINANCE($C127, ""price"", WORKDAY(INT($B127), 20)), 2, 2), """")=""""), """", IF($D127=""LONG"", (IFERROR(INDEX(GOOGLEFINANCE($C127, ""price"", WORKDAY(INT($B127), 20)), 2, 2), """")-$G127)/$G127, ($G127-IFERROR(I"&amp;"NDEX(GOOGLEFINANCE($C127, ""price"", WORKDAY(INT($B127), 20)), 2, 2), """"))/$G127))"),"")</f>
        <v/>
      </c>
      <c r="T127" s="10" t="s">
        <v>1115</v>
      </c>
    </row>
    <row r="128">
      <c r="A128" s="9">
        <f t="shared" si="1"/>
        <v>127</v>
      </c>
      <c r="B128" s="11">
        <v>46216.667662037034</v>
      </c>
      <c r="C128" s="10" t="s">
        <v>1116</v>
      </c>
      <c r="D128" s="10" t="s">
        <v>119</v>
      </c>
      <c r="E128" s="10" t="s">
        <v>120</v>
      </c>
      <c r="F128" s="13">
        <v>4.0</v>
      </c>
      <c r="G128" s="14">
        <v>276.74</v>
      </c>
      <c r="H128" s="10" t="s">
        <v>1117</v>
      </c>
      <c r="I128" s="10">
        <v>4.3</v>
      </c>
      <c r="O128" s="15">
        <f>IFERROR(__xludf.DUMMYFUNCTION("IF(ISBLANK($C128), """", GOOGLEFINANCE($C128, ""price""))"),289.17)</f>
        <v>289.17</v>
      </c>
      <c r="P128" s="16">
        <f t="shared" si="2"/>
        <v>-0.04491580545</v>
      </c>
      <c r="Q128" s="16">
        <f>IFERROR(__xludf.DUMMYFUNCTION("IF(OR(ISBLANK($G128), IFERROR(INDEX(GOOGLEFINANCE($C128, ""price"", WORKDAY(INT($B128), 1)), 2, 2), """")=""""), """", IF($D128=""LONG"", (IFERROR(INDEX(GOOGLEFINANCE($C128, ""price"", WORKDAY(INT($B128), 1)), 2, 2), """")-$G128)/$G128, ($G128-IFERROR(IND"&amp;"EX(GOOGLEFINANCE($C128, ""price"", WORKDAY(INT($B128), 1)), 2, 2), """"))/$G128))"),0.006359760063597567)</f>
        <v>0.006359760064</v>
      </c>
      <c r="R128" s="16">
        <f>IFERROR(__xludf.DUMMYFUNCTION("IF(OR(ISBLANK($G128), IFERROR(INDEX(GOOGLEFINANCE($C128, ""price"", WORKDAY(INT($B128), 5)), 2, 2), """")=""""), """", IF($D128=""LONG"", (IFERROR(INDEX(GOOGLEFINANCE($C128, ""price"", WORKDAY(INT($B128), 5)), 2, 2), """")-$G128)/$G128, ($G128-IFERROR(IND"&amp;"EX(GOOGLEFINANCE($C128, ""price"", WORKDAY(INT($B128), 5)), 2, 2), """"))/$G128))"),-0.005311845053118344)</f>
        <v>-0.005311845053</v>
      </c>
      <c r="S128" s="16" t="str">
        <f>IFERROR(__xludf.DUMMYFUNCTION("IF(OR(ISBLANK($G128), IFERROR(INDEX(GOOGLEFINANCE($C128, ""price"", WORKDAY(INT($B128), 20)), 2, 2), """")=""""), """", IF($D128=""LONG"", (IFERROR(INDEX(GOOGLEFINANCE($C128, ""price"", WORKDAY(INT($B128), 20)), 2, 2), """")-$G128)/$G128, ($G128-IFERROR(I"&amp;"NDEX(GOOGLEFINANCE($C128, ""price"", WORKDAY(INT($B128), 20)), 2, 2), """"))/$G128))"),"")</f>
        <v/>
      </c>
      <c r="T128" s="10" t="s">
        <v>1124</v>
      </c>
    </row>
    <row r="129">
      <c r="A129" s="9">
        <f t="shared" si="1"/>
        <v>128</v>
      </c>
      <c r="B129" s="11">
        <v>46216.667719907404</v>
      </c>
      <c r="C129" s="10" t="s">
        <v>67</v>
      </c>
      <c r="D129" s="10" t="s">
        <v>36</v>
      </c>
      <c r="E129" s="10" t="s">
        <v>133</v>
      </c>
      <c r="F129" s="13">
        <v>2.0</v>
      </c>
      <c r="G129" s="14">
        <v>81.65</v>
      </c>
      <c r="H129" s="10" t="s">
        <v>1126</v>
      </c>
      <c r="I129" s="10">
        <v>83.6</v>
      </c>
      <c r="O129" s="15">
        <f>IFERROR(__xludf.DUMMYFUNCTION("IF(ISBLANK($C129), """", GOOGLEFINANCE($C129, ""price""))"),80.02)</f>
        <v>80.02</v>
      </c>
      <c r="P129" s="16">
        <f t="shared" si="2"/>
        <v>-0.01996325781</v>
      </c>
      <c r="Q129" s="16">
        <f>IFERROR(__xludf.DUMMYFUNCTION("IF(OR(ISBLANK($G129), IFERROR(INDEX(GOOGLEFINANCE($C129, ""price"", WORKDAY(INT($B129), 1)), 2, 2), """")=""""), """", IF($D129=""LONG"", (IFERROR(INDEX(GOOGLEFINANCE($C129, ""price"", WORKDAY(INT($B129), 1)), 2, 2), """")-$G129)/$G129, ($G129-IFERROR(IND"&amp;"EX(GOOGLEFINANCE($C129, ""price"", WORKDAY(INT($B129), 1)), 2, 2), """"))/$G129))"),0.028536436007348415)</f>
        <v>0.02853643601</v>
      </c>
      <c r="R129" s="16">
        <f>IFERROR(__xludf.DUMMYFUNCTION("IF(OR(ISBLANK($G129), IFERROR(INDEX(GOOGLEFINANCE($C129, ""price"", WORKDAY(INT($B129), 5)), 2, 2), """")=""""), """", IF($D129=""LONG"", (IFERROR(INDEX(GOOGLEFINANCE($C129, ""price"", WORKDAY(INT($B129), 5)), 2, 2), """")-$G129)/$G129, ($G129-IFERROR(IND"&amp;"EX(GOOGLEFINANCE($C129, ""price"", WORKDAY(INT($B129), 5)), 2, 2), """"))/$G129))"),0.04262094304960183)</f>
        <v>0.04262094305</v>
      </c>
      <c r="S129" s="16" t="str">
        <f>IFERROR(__xludf.DUMMYFUNCTION("IF(OR(ISBLANK($G129), IFERROR(INDEX(GOOGLEFINANCE($C129, ""price"", WORKDAY(INT($B129), 20)), 2, 2), """")=""""), """", IF($D129=""LONG"", (IFERROR(INDEX(GOOGLEFINANCE($C129, ""price"", WORKDAY(INT($B129), 20)), 2, 2), """")-$G129)/$G129, ($G129-IFERROR(I"&amp;"NDEX(GOOGLEFINANCE($C129, ""price"", WORKDAY(INT($B129), 20)), 2, 2), """"))/$G129))"),"")</f>
        <v/>
      </c>
      <c r="T129" s="10" t="s">
        <v>1131</v>
      </c>
    </row>
    <row r="130">
      <c r="A130" s="9">
        <f t="shared" si="1"/>
        <v>129</v>
      </c>
      <c r="B130" s="11">
        <v>46216.66753472222</v>
      </c>
      <c r="C130" s="10" t="s">
        <v>499</v>
      </c>
      <c r="D130" s="10" t="s">
        <v>36</v>
      </c>
      <c r="E130" s="10" t="s">
        <v>133</v>
      </c>
      <c r="F130" s="13">
        <v>2.0</v>
      </c>
      <c r="G130" s="14">
        <v>116.48</v>
      </c>
      <c r="H130" s="10" t="s">
        <v>1134</v>
      </c>
      <c r="I130" s="10">
        <v>87.7</v>
      </c>
      <c r="O130" s="15">
        <f>IFERROR(__xludf.DUMMYFUNCTION("IF(ISBLANK($C130), """", GOOGLEFINANCE($C130, ""price""))"),115.98)</f>
        <v>115.98</v>
      </c>
      <c r="P130" s="16">
        <f t="shared" si="2"/>
        <v>-0.004292582418</v>
      </c>
      <c r="Q130" s="16">
        <f>IFERROR(__xludf.DUMMYFUNCTION("IF(OR(ISBLANK($G130), IFERROR(INDEX(GOOGLEFINANCE($C130, ""price"", WORKDAY(INT($B130), 1)), 2, 2), """")=""""), """", IF($D130=""LONG"", (IFERROR(INDEX(GOOGLEFINANCE($C130, ""price"", WORKDAY(INT($B130), 1)), 2, 2), """")-$G130)/$G130, ($G130-IFERROR(IND"&amp;"EX(GOOGLEFINANCE($C130, ""price"", WORKDAY(INT($B130), 1)), 2, 2), """"))/$G130))"),-0.01725618131868136)</f>
        <v>-0.01725618132</v>
      </c>
      <c r="R130" s="16">
        <f>IFERROR(__xludf.DUMMYFUNCTION("IF(OR(ISBLANK($G130), IFERROR(INDEX(GOOGLEFINANCE($C130, ""price"", WORKDAY(INT($B130), 5)), 2, 2), """")=""""), """", IF($D130=""LONG"", (IFERROR(INDEX(GOOGLEFINANCE($C130, ""price"", WORKDAY(INT($B130), 5)), 2, 2), """")-$G130)/$G130, ($G130-IFERROR(IND"&amp;"EX(GOOGLEFINANCE($C130, ""price"", WORKDAY(INT($B130), 5)), 2, 2), """"))/$G130))"),-0.016225961538461543)</f>
        <v>-0.01622596154</v>
      </c>
      <c r="S130" s="16" t="str">
        <f>IFERROR(__xludf.DUMMYFUNCTION("IF(OR(ISBLANK($G130), IFERROR(INDEX(GOOGLEFINANCE($C130, ""price"", WORKDAY(INT($B130), 20)), 2, 2), """")=""""), """", IF($D130=""LONG"", (IFERROR(INDEX(GOOGLEFINANCE($C130, ""price"", WORKDAY(INT($B130), 20)), 2, 2), """")-$G130)/$G130, ($G130-IFERROR(I"&amp;"NDEX(GOOGLEFINANCE($C130, ""price"", WORKDAY(INT($B130), 20)), 2, 2), """"))/$G130))"),"")</f>
        <v/>
      </c>
      <c r="T130" s="10" t="s">
        <v>1137</v>
      </c>
    </row>
    <row r="131">
      <c r="A131" s="9">
        <f t="shared" si="1"/>
        <v>130</v>
      </c>
      <c r="B131" s="11">
        <v>46216.66758101852</v>
      </c>
      <c r="C131" s="10" t="s">
        <v>397</v>
      </c>
      <c r="D131" s="10" t="s">
        <v>36</v>
      </c>
      <c r="E131" s="10" t="s">
        <v>37</v>
      </c>
      <c r="F131" s="13">
        <v>2.0</v>
      </c>
      <c r="G131" s="14">
        <v>265.62</v>
      </c>
      <c r="H131" s="10" t="s">
        <v>1139</v>
      </c>
      <c r="I131" s="10">
        <v>91.3</v>
      </c>
      <c r="O131" s="15">
        <f>IFERROR(__xludf.DUMMYFUNCTION("IF(ISBLANK($C131), """", GOOGLEFINANCE($C131, ""price""))"),306.57)</f>
        <v>306.57</v>
      </c>
      <c r="P131" s="16">
        <f t="shared" si="2"/>
        <v>0.1541676079</v>
      </c>
      <c r="Q131" s="16">
        <f>IFERROR(__xludf.DUMMYFUNCTION("IF(OR(ISBLANK($G131), IFERROR(INDEX(GOOGLEFINANCE($C131, ""price"", WORKDAY(INT($B131), 1)), 2, 2), """")=""""), """", IF($D131=""LONG"", (IFERROR(INDEX(GOOGLEFINANCE($C131, ""price"", WORKDAY(INT($B131), 1)), 2, 2), """")-$G131)/$G131, ($G131-IFERROR(IND"&amp;"EX(GOOGLEFINANCE($C131, ""price"", WORKDAY(INT($B131), 1)), 2, 2), """"))/$G131))"),0.0024847526541674878)</f>
        <v>0.002484752654</v>
      </c>
      <c r="R131" s="16">
        <f>IFERROR(__xludf.DUMMYFUNCTION("IF(OR(ISBLANK($G131), IFERROR(INDEX(GOOGLEFINANCE($C131, ""price"", WORKDAY(INT($B131), 5)), 2, 2), """")=""""), """", IF($D131=""LONG"", (IFERROR(INDEX(GOOGLEFINANCE($C131, ""price"", WORKDAY(INT($B131), 5)), 2, 2), """")-$G131)/$G131, ($G131-IFERROR(IND"&amp;"EX(GOOGLEFINANCE($C131, ""price"", WORKDAY(INT($B131), 5)), 2, 2), """"))/$G131))"),-0.002032979444319029)</f>
        <v>-0.002032979444</v>
      </c>
      <c r="S131" s="16" t="str">
        <f>IFERROR(__xludf.DUMMYFUNCTION("IF(OR(ISBLANK($G131), IFERROR(INDEX(GOOGLEFINANCE($C131, ""price"", WORKDAY(INT($B131), 20)), 2, 2), """")=""""), """", IF($D131=""LONG"", (IFERROR(INDEX(GOOGLEFINANCE($C131, ""price"", WORKDAY(INT($B131), 20)), 2, 2), """")-$G131)/$G131, ($G131-IFERROR(I"&amp;"NDEX(GOOGLEFINANCE($C131, ""price"", WORKDAY(INT($B131), 20)), 2, 2), """"))/$G131))"),"")</f>
        <v/>
      </c>
      <c r="T131" s="10" t="s">
        <v>1145</v>
      </c>
    </row>
    <row r="132">
      <c r="A132" s="9">
        <f t="shared" si="1"/>
        <v>131</v>
      </c>
      <c r="B132" s="11">
        <v>46216.667650462965</v>
      </c>
      <c r="C132" s="10" t="s">
        <v>1147</v>
      </c>
      <c r="D132" s="10" t="s">
        <v>119</v>
      </c>
      <c r="E132" s="10" t="s">
        <v>120</v>
      </c>
      <c r="F132" s="13">
        <v>4.0</v>
      </c>
      <c r="G132" s="14">
        <v>121.87</v>
      </c>
      <c r="H132" s="10" t="s">
        <v>1149</v>
      </c>
      <c r="I132" s="10">
        <v>8.6</v>
      </c>
      <c r="O132" s="15">
        <f>IFERROR(__xludf.DUMMYFUNCTION("IF(ISBLANK($C132), """", GOOGLEFINANCE($C132, ""price""))"),117.91)</f>
        <v>117.91</v>
      </c>
      <c r="P132" s="16">
        <f t="shared" si="2"/>
        <v>0.03249364076</v>
      </c>
      <c r="Q132" s="16">
        <f>IFERROR(__xludf.DUMMYFUNCTION("IF(OR(ISBLANK($G132), IFERROR(INDEX(GOOGLEFINANCE($C132, ""price"", WORKDAY(INT($B132), 1)), 2, 2), """")=""""), """", IF($D132=""LONG"", (IFERROR(INDEX(GOOGLEFINANCE($C132, ""price"", WORKDAY(INT($B132), 1)), 2, 2), """")-$G132)/$G132, ($G132-IFERROR(IND"&amp;"EX(GOOGLEFINANCE($C132, ""price"", WORKDAY(INT($B132), 1)), 2, 2), """"))/$G132))"),-0.001969311561499917)</f>
        <v>-0.001969311561</v>
      </c>
      <c r="R132" s="16">
        <f>IFERROR(__xludf.DUMMYFUNCTION("IF(OR(ISBLANK($G132), IFERROR(INDEX(GOOGLEFINANCE($C132, ""price"", WORKDAY(INT($B132), 5)), 2, 2), """")=""""), """", IF($D132=""LONG"", (IFERROR(INDEX(GOOGLEFINANCE($C132, ""price"", WORKDAY(INT($B132), 5)), 2, 2), """")-$G132)/$G132, ($G132-IFERROR(IND"&amp;"EX(GOOGLEFINANCE($C132, ""price"", WORKDAY(INT($B132), 5)), 2, 2), """"))/$G132))"),-0.030524329203249354)</f>
        <v>-0.0305243292</v>
      </c>
      <c r="S132" s="16" t="str">
        <f>IFERROR(__xludf.DUMMYFUNCTION("IF(OR(ISBLANK($G132), IFERROR(INDEX(GOOGLEFINANCE($C132, ""price"", WORKDAY(INT($B132), 20)), 2, 2), """")=""""), """", IF($D132=""LONG"", (IFERROR(INDEX(GOOGLEFINANCE($C132, ""price"", WORKDAY(INT($B132), 20)), 2, 2), """")-$G132)/$G132, ($G132-IFERROR(I"&amp;"NDEX(GOOGLEFINANCE($C132, ""price"", WORKDAY(INT($B132), 20)), 2, 2), """"))/$G132))"),"")</f>
        <v/>
      </c>
      <c r="T132" s="10" t="s">
        <v>1153</v>
      </c>
    </row>
    <row r="133">
      <c r="A133" s="9">
        <f t="shared" si="1"/>
        <v>132</v>
      </c>
      <c r="B133" s="11">
        <v>46216.667650462965</v>
      </c>
      <c r="C133" s="10" t="s">
        <v>1154</v>
      </c>
      <c r="D133" s="10" t="s">
        <v>36</v>
      </c>
      <c r="E133" s="10" t="s">
        <v>133</v>
      </c>
      <c r="F133" s="13">
        <v>2.0</v>
      </c>
      <c r="G133" s="14">
        <v>1300.13</v>
      </c>
      <c r="H133" s="10" t="s">
        <v>1155</v>
      </c>
      <c r="I133" s="10">
        <v>93.4</v>
      </c>
      <c r="O133" s="15">
        <f>IFERROR(__xludf.DUMMYFUNCTION("IF(ISBLANK($C133), """", GOOGLEFINANCE($C133, ""price""))"),1421.24)</f>
        <v>1421.24</v>
      </c>
      <c r="P133" s="16">
        <f t="shared" si="2"/>
        <v>0.09315222324</v>
      </c>
      <c r="Q133" s="16">
        <f>IFERROR(__xludf.DUMMYFUNCTION("IF(OR(ISBLANK($G133), IFERROR(INDEX(GOOGLEFINANCE($C133, ""price"", WORKDAY(INT($B133), 1)), 2, 2), """")=""""), """", IF($D133=""LONG"", (IFERROR(INDEX(GOOGLEFINANCE($C133, ""price"", WORKDAY(INT($B133), 1)), 2, 2), """")-$G133)/$G133, ($G133-IFERROR(IND"&amp;"EX(GOOGLEFINANCE($C133, ""price"", WORKDAY(INT($B133), 1)), 2, 2), """"))/$G133))"),0.011306561651527014)</f>
        <v>0.01130656165</v>
      </c>
      <c r="R133" s="16">
        <f>IFERROR(__xludf.DUMMYFUNCTION("IF(OR(ISBLANK($G133), IFERROR(INDEX(GOOGLEFINANCE($C133, ""price"", WORKDAY(INT($B133), 5)), 2, 2), """")=""""), """", IF($D133=""LONG"", (IFERROR(INDEX(GOOGLEFINANCE($C133, ""price"", WORKDAY(INT($B133), 5)), 2, 2), """")-$G133)/$G133, ($G133-IFERROR(IND"&amp;"EX(GOOGLEFINANCE($C133, ""price"", WORKDAY(INT($B133), 5)), 2, 2), """"))/$G133))"),-0.020274895587364436)</f>
        <v>-0.02027489559</v>
      </c>
      <c r="S133" s="16" t="str">
        <f>IFERROR(__xludf.DUMMYFUNCTION("IF(OR(ISBLANK($G133), IFERROR(INDEX(GOOGLEFINANCE($C133, ""price"", WORKDAY(INT($B133), 20)), 2, 2), """")=""""), """", IF($D133=""LONG"", (IFERROR(INDEX(GOOGLEFINANCE($C133, ""price"", WORKDAY(INT($B133), 20)), 2, 2), """")-$G133)/$G133, ($G133-IFERROR(I"&amp;"NDEX(GOOGLEFINANCE($C133, ""price"", WORKDAY(INT($B133), 20)), 2, 2), """"))/$G133))"),"")</f>
        <v/>
      </c>
      <c r="T133" s="10" t="s">
        <v>1158</v>
      </c>
    </row>
    <row r="134">
      <c r="A134" s="9">
        <f t="shared" si="1"/>
        <v>133</v>
      </c>
      <c r="B134" s="11">
        <v>46216.66768518519</v>
      </c>
      <c r="C134" s="10" t="s">
        <v>303</v>
      </c>
      <c r="D134" s="10" t="s">
        <v>36</v>
      </c>
      <c r="E134" s="10" t="s">
        <v>37</v>
      </c>
      <c r="F134" s="13">
        <v>2.0</v>
      </c>
      <c r="G134" s="14">
        <v>105.93</v>
      </c>
      <c r="H134" s="10" t="s">
        <v>1161</v>
      </c>
      <c r="I134" s="10">
        <v>89.9</v>
      </c>
      <c r="O134" s="15">
        <f>IFERROR(__xludf.DUMMYFUNCTION("IF(ISBLANK($C134), """", GOOGLEFINANCE($C134, ""price""))"),96.22)</f>
        <v>96.22</v>
      </c>
      <c r="P134" s="16">
        <f t="shared" si="2"/>
        <v>-0.09166430662</v>
      </c>
      <c r="Q134" s="16">
        <f>IFERROR(__xludf.DUMMYFUNCTION("IF(OR(ISBLANK($G134), IFERROR(INDEX(GOOGLEFINANCE($C134, ""price"", WORKDAY(INT($B134), 1)), 2, 2), """")=""""), """", IF($D134=""LONG"", (IFERROR(INDEX(GOOGLEFINANCE($C134, ""price"", WORKDAY(INT($B134), 1)), 2, 2), """")-$G134)/$G134, ($G134-IFERROR(IND"&amp;"EX(GOOGLEFINANCE($C134, ""price"", WORKDAY(INT($B134), 1)), 2, 2), """"))/$G134))"),0.0023600490890210513)</f>
        <v>0.002360049089</v>
      </c>
      <c r="R134" s="16">
        <f>IFERROR(__xludf.DUMMYFUNCTION("IF(OR(ISBLANK($G134), IFERROR(INDEX(GOOGLEFINANCE($C134, ""price"", WORKDAY(INT($B134), 5)), 2, 2), """")=""""), """", IF($D134=""LONG"", (IFERROR(INDEX(GOOGLEFINANCE($C134, ""price"", WORKDAY(INT($B134), 5)), 2, 2), """")-$G134)/$G134, ($G134-IFERROR(IND"&amp;"EX(GOOGLEFINANCE($C134, ""price"", WORKDAY(INT($B134), 5)), 2, 2), """"))/$G134))"),0.015859529878221396)</f>
        <v>0.01585952988</v>
      </c>
      <c r="S134" s="16" t="str">
        <f>IFERROR(__xludf.DUMMYFUNCTION("IF(OR(ISBLANK($G134), IFERROR(INDEX(GOOGLEFINANCE($C134, ""price"", WORKDAY(INT($B134), 20)), 2, 2), """")=""""), """", IF($D134=""LONG"", (IFERROR(INDEX(GOOGLEFINANCE($C134, ""price"", WORKDAY(INT($B134), 20)), 2, 2), """")-$G134)/$G134, ($G134-IFERROR(I"&amp;"NDEX(GOOGLEFINANCE($C134, ""price"", WORKDAY(INT($B134), 20)), 2, 2), """"))/$G134))"),"")</f>
        <v/>
      </c>
      <c r="T134" s="10" t="s">
        <v>1165</v>
      </c>
    </row>
    <row r="135">
      <c r="A135" s="9">
        <f t="shared" si="1"/>
        <v>134</v>
      </c>
      <c r="B135" s="11">
        <v>46216.66773148148</v>
      </c>
      <c r="C135" s="10" t="s">
        <v>47</v>
      </c>
      <c r="D135" s="10" t="s">
        <v>36</v>
      </c>
      <c r="E135" s="10" t="s">
        <v>133</v>
      </c>
      <c r="F135" s="13">
        <v>2.0</v>
      </c>
      <c r="G135" s="14">
        <v>297.43</v>
      </c>
      <c r="H135" s="10" t="s">
        <v>1166</v>
      </c>
      <c r="I135" s="10">
        <v>93.4</v>
      </c>
      <c r="O135" s="15">
        <f>IFERROR(__xludf.DUMMYFUNCTION("IF(ISBLANK($C135), """", GOOGLEFINANCE($C135, ""price""))"),285.12)</f>
        <v>285.12</v>
      </c>
      <c r="P135" s="16">
        <f t="shared" si="2"/>
        <v>-0.04138788959</v>
      </c>
      <c r="Q135" s="16">
        <f>IFERROR(__xludf.DUMMYFUNCTION("IF(OR(ISBLANK($G135), IFERROR(INDEX(GOOGLEFINANCE($C135, ""price"", WORKDAY(INT($B135), 1)), 2, 2), """")=""""), """", IF($D135=""LONG"", (IFERROR(INDEX(GOOGLEFINANCE($C135, ""price"", WORKDAY(INT($B135), 1)), 2, 2), """")-$G135)/$G135, ($G135-IFERROR(IND"&amp;"EX(GOOGLEFINANCE($C135, ""price"", WORKDAY(INT($B135), 1)), 2, 2), """"))/$G135))"),0.0023534949399858407)</f>
        <v>0.00235349494</v>
      </c>
      <c r="R135" s="16">
        <f>IFERROR(__xludf.DUMMYFUNCTION("IF(OR(ISBLANK($G135), IFERROR(INDEX(GOOGLEFINANCE($C135, ""price"", WORKDAY(INT($B135), 5)), 2, 2), """")=""""), """", IF($D135=""LONG"", (IFERROR(INDEX(GOOGLEFINANCE($C135, ""price"", WORKDAY(INT($B135), 5)), 2, 2), """")-$G135)/$G135, ($G135-IFERROR(IND"&amp;"EX(GOOGLEFINANCE($C135, ""price"", WORKDAY(INT($B135), 5)), 2, 2), """"))/$G135))"),-0.012103688262784598)</f>
        <v>-0.01210368826</v>
      </c>
      <c r="S135" s="16" t="str">
        <f>IFERROR(__xludf.DUMMYFUNCTION("IF(OR(ISBLANK($G135), IFERROR(INDEX(GOOGLEFINANCE($C135, ""price"", WORKDAY(INT($B135), 20)), 2, 2), """")=""""), """", IF($D135=""LONG"", (IFERROR(INDEX(GOOGLEFINANCE($C135, ""price"", WORKDAY(INT($B135), 20)), 2, 2), """")-$G135)/$G135, ($G135-IFERROR(I"&amp;"NDEX(GOOGLEFINANCE($C135, ""price"", WORKDAY(INT($B135), 20)), 2, 2), """"))/$G135))"),"")</f>
        <v/>
      </c>
      <c r="T135" s="10" t="s">
        <v>1170</v>
      </c>
    </row>
    <row r="136">
      <c r="A136" s="9">
        <f t="shared" si="1"/>
        <v>135</v>
      </c>
      <c r="B136" s="11">
        <v>46216.66752314815</v>
      </c>
      <c r="C136" s="10" t="s">
        <v>1171</v>
      </c>
      <c r="D136" s="10" t="s">
        <v>36</v>
      </c>
      <c r="E136" s="10" t="s">
        <v>37</v>
      </c>
      <c r="F136" s="13">
        <v>2.0</v>
      </c>
      <c r="G136" s="14">
        <v>234.54</v>
      </c>
      <c r="H136" s="10" t="s">
        <v>1172</v>
      </c>
      <c r="I136" s="10">
        <v>89.2</v>
      </c>
      <c r="O136" s="15">
        <f>IFERROR(__xludf.DUMMYFUNCTION("IF(ISBLANK($C136), """", GOOGLEFINANCE($C136, ""price""))"),236.0)</f>
        <v>236</v>
      </c>
      <c r="P136" s="16">
        <f t="shared" si="2"/>
        <v>0.006224950968</v>
      </c>
      <c r="Q136" s="16">
        <f>IFERROR(__xludf.DUMMYFUNCTION("IF(OR(ISBLANK($G136), IFERROR(INDEX(GOOGLEFINANCE($C136, ""price"", WORKDAY(INT($B136), 1)), 2, 2), """")=""""), """", IF($D136=""LONG"", (IFERROR(INDEX(GOOGLEFINANCE($C136, ""price"", WORKDAY(INT($B136), 1)), 2, 2), """")-$G136)/$G136, ($G136-IFERROR(IND"&amp;"EX(GOOGLEFINANCE($C136, ""price"", WORKDAY(INT($B136), 1)), 2, 2), """"))/$G136))"),0.006224950967852)</f>
        <v>0.006224950968</v>
      </c>
      <c r="R136" s="16">
        <f>IFERROR(__xludf.DUMMYFUNCTION("IF(OR(ISBLANK($G136), IFERROR(INDEX(GOOGLEFINANCE($C136, ""price"", WORKDAY(INT($B136), 5)), 2, 2), """")=""""), """", IF($D136=""LONG"", (IFERROR(INDEX(GOOGLEFINANCE($C136, ""price"", WORKDAY(INT($B136), 5)), 2, 2), """")-$G136)/$G136, ($G136-IFERROR(IND"&amp;"EX(GOOGLEFINANCE($C136, ""price"", WORKDAY(INT($B136), 5)), 2, 2), """"))/$G136))"),0.04391574997868172)</f>
        <v>0.04391574998</v>
      </c>
      <c r="S136" s="16" t="str">
        <f>IFERROR(__xludf.DUMMYFUNCTION("IF(OR(ISBLANK($G136), IFERROR(INDEX(GOOGLEFINANCE($C136, ""price"", WORKDAY(INT($B136), 20)), 2, 2), """")=""""), """", IF($D136=""LONG"", (IFERROR(INDEX(GOOGLEFINANCE($C136, ""price"", WORKDAY(INT($B136), 20)), 2, 2), """")-$G136)/$G136, ($G136-IFERROR(I"&amp;"NDEX(GOOGLEFINANCE($C136, ""price"", WORKDAY(INT($B136), 20)), 2, 2), """"))/$G136))"),"")</f>
        <v/>
      </c>
      <c r="T136" s="10" t="s">
        <v>1177</v>
      </c>
    </row>
    <row r="137">
      <c r="A137" s="9">
        <f t="shared" si="1"/>
        <v>136</v>
      </c>
      <c r="B137" s="11">
        <v>46216.66768518519</v>
      </c>
      <c r="C137" s="10" t="s">
        <v>254</v>
      </c>
      <c r="D137" s="10" t="s">
        <v>36</v>
      </c>
      <c r="E137" s="10" t="s">
        <v>37</v>
      </c>
      <c r="F137" s="13">
        <v>2.0</v>
      </c>
      <c r="G137" s="14">
        <v>47.23</v>
      </c>
      <c r="H137" s="10" t="s">
        <v>1178</v>
      </c>
      <c r="I137" s="10">
        <v>80.4</v>
      </c>
      <c r="O137" s="15">
        <f>IFERROR(__xludf.DUMMYFUNCTION("IF(ISBLANK($C137), """", GOOGLEFINANCE($C137, ""price""))"),44.7)</f>
        <v>44.7</v>
      </c>
      <c r="P137" s="16">
        <f t="shared" si="2"/>
        <v>-0.05356764768</v>
      </c>
      <c r="Q137" s="16">
        <f>IFERROR(__xludf.DUMMYFUNCTION("IF(OR(ISBLANK($G137), IFERROR(INDEX(GOOGLEFINANCE($C137, ""price"", WORKDAY(INT($B137), 1)), 2, 2), """")=""""), """", IF($D137=""LONG"", (IFERROR(INDEX(GOOGLEFINANCE($C137, ""price"", WORKDAY(INT($B137), 1)), 2, 2), """")-$G137)/$G137, ($G137-IFERROR(IND"&amp;"EX(GOOGLEFINANCE($C137, ""price"", WORKDAY(INT($B137), 1)), 2, 2), """"))/$G137))"),-0.011856870633072098)</f>
        <v>-0.01185687063</v>
      </c>
      <c r="R137" s="16">
        <f>IFERROR(__xludf.DUMMYFUNCTION("IF(OR(ISBLANK($G137), IFERROR(INDEX(GOOGLEFINANCE($C137, ""price"", WORKDAY(INT($B137), 5)), 2, 2), """")=""""), """", IF($D137=""LONG"", (IFERROR(INDEX(GOOGLEFINANCE($C137, ""price"", WORKDAY(INT($B137), 5)), 2, 2), """")-$G137)/$G137, ($G137-IFERROR(IND"&amp;"EX(GOOGLEFINANCE($C137, ""price"", WORKDAY(INT($B137), 5)), 2, 2), """"))/$G137))"),-0.018843955113275322)</f>
        <v>-0.01884395511</v>
      </c>
      <c r="S137" s="16" t="str">
        <f>IFERROR(__xludf.DUMMYFUNCTION("IF(OR(ISBLANK($G137), IFERROR(INDEX(GOOGLEFINANCE($C137, ""price"", WORKDAY(INT($B137), 20)), 2, 2), """")=""""), """", IF($D137=""LONG"", (IFERROR(INDEX(GOOGLEFINANCE($C137, ""price"", WORKDAY(INT($B137), 20)), 2, 2), """")-$G137)/$G137, ($G137-IFERROR(I"&amp;"NDEX(GOOGLEFINANCE($C137, ""price"", WORKDAY(INT($B137), 20)), 2, 2), """"))/$G137))"),"")</f>
        <v/>
      </c>
      <c r="T137" s="10" t="s">
        <v>1182</v>
      </c>
    </row>
    <row r="138">
      <c r="A138" s="9">
        <f t="shared" si="1"/>
        <v>137</v>
      </c>
      <c r="B138" s="11">
        <v>46216.66773148148</v>
      </c>
      <c r="C138" s="10" t="s">
        <v>1183</v>
      </c>
      <c r="D138" s="10" t="s">
        <v>36</v>
      </c>
      <c r="E138" s="10" t="s">
        <v>37</v>
      </c>
      <c r="F138" s="13">
        <v>2.0</v>
      </c>
      <c r="G138" s="14">
        <v>184.12</v>
      </c>
      <c r="H138" s="10" t="s">
        <v>1184</v>
      </c>
      <c r="I138" s="10">
        <v>86.8</v>
      </c>
      <c r="O138" s="15">
        <f>IFERROR(__xludf.DUMMYFUNCTION("IF(ISBLANK($C138), """", GOOGLEFINANCE($C138, ""price""))"),184.14)</f>
        <v>184.14</v>
      </c>
      <c r="P138" s="16">
        <f t="shared" si="2"/>
        <v>0.0001086248099</v>
      </c>
      <c r="Q138" s="16">
        <f>IFERROR(__xludf.DUMMYFUNCTION("IF(OR(ISBLANK($G138), IFERROR(INDEX(GOOGLEFINANCE($C138, ""price"", WORKDAY(INT($B138), 1)), 2, 2), """")=""""), """", IF($D138=""LONG"", (IFERROR(INDEX(GOOGLEFINANCE($C138, ""price"", WORKDAY(INT($B138), 1)), 2, 2), """")-$G138)/$G138, ($G138-IFERROR(IND"&amp;"EX(GOOGLEFINANCE($C138, ""price"", WORKDAY(INT($B138), 1)), 2, 2), """"))/$G138))"),0.013686726048229316)</f>
        <v>0.01368672605</v>
      </c>
      <c r="R138" s="16">
        <f>IFERROR(__xludf.DUMMYFUNCTION("IF(OR(ISBLANK($G138), IFERROR(INDEX(GOOGLEFINANCE($C138, ""price"", WORKDAY(INT($B138), 5)), 2, 2), """")=""""), """", IF($D138=""LONG"", (IFERROR(INDEX(GOOGLEFINANCE($C138, ""price"", WORKDAY(INT($B138), 5)), 2, 2), """")-$G138)/$G138, ($G138-IFERROR(IND"&amp;"EX(GOOGLEFINANCE($C138, ""price"", WORKDAY(INT($B138), 5)), 2, 2), """"))/$G138))"),-0.007277862263741057)</f>
        <v>-0.007277862264</v>
      </c>
      <c r="S138" s="16" t="str">
        <f>IFERROR(__xludf.DUMMYFUNCTION("IF(OR(ISBLANK($G138), IFERROR(INDEX(GOOGLEFINANCE($C138, ""price"", WORKDAY(INT($B138), 20)), 2, 2), """")=""""), """", IF($D138=""LONG"", (IFERROR(INDEX(GOOGLEFINANCE($C138, ""price"", WORKDAY(INT($B138), 20)), 2, 2), """")-$G138)/$G138, ($G138-IFERROR(I"&amp;"NDEX(GOOGLEFINANCE($C138, ""price"", WORKDAY(INT($B138), 20)), 2, 2), """"))/$G138))"),"")</f>
        <v/>
      </c>
      <c r="T138" s="10" t="s">
        <v>1189</v>
      </c>
    </row>
    <row r="139">
      <c r="A139" s="9">
        <f t="shared" si="1"/>
        <v>138</v>
      </c>
      <c r="B139" s="11">
        <v>46216.667719907404</v>
      </c>
      <c r="C139" s="10" t="s">
        <v>388</v>
      </c>
      <c r="D139" s="10" t="s">
        <v>119</v>
      </c>
      <c r="E139" s="10" t="s">
        <v>120</v>
      </c>
      <c r="F139" s="13">
        <v>4.0</v>
      </c>
      <c r="G139" s="14">
        <v>34.67</v>
      </c>
      <c r="H139" s="10" t="s">
        <v>1191</v>
      </c>
      <c r="I139" s="10">
        <v>4.6</v>
      </c>
      <c r="O139" s="15">
        <f>IFERROR(__xludf.DUMMYFUNCTION("IF(ISBLANK($C139), """", GOOGLEFINANCE($C139, ""price""))"),36.53)</f>
        <v>36.53</v>
      </c>
      <c r="P139" s="16">
        <f t="shared" si="2"/>
        <v>-0.05364868763</v>
      </c>
      <c r="Q139" s="16">
        <f>IFERROR(__xludf.DUMMYFUNCTION("IF(OR(ISBLANK($G139), IFERROR(INDEX(GOOGLEFINANCE($C139, ""price"", WORKDAY(INT($B139), 1)), 2, 2), """")=""""), """", IF($D139=""LONG"", (IFERROR(INDEX(GOOGLEFINANCE($C139, ""price"", WORKDAY(INT($B139), 1)), 2, 2), """")-$G139)/$G139, ($G139-IFERROR(IND"&amp;"EX(GOOGLEFINANCE($C139, ""price"", WORKDAY(INT($B139), 1)), 2, 2), """"))/$G139))"),0.004038073262186344)</f>
        <v>0.004038073262</v>
      </c>
      <c r="R139" s="16">
        <f>IFERROR(__xludf.DUMMYFUNCTION("IF(OR(ISBLANK($G139), IFERROR(INDEX(GOOGLEFINANCE($C139, ""price"", WORKDAY(INT($B139), 5)), 2, 2), """")=""""), """", IF($D139=""LONG"", (IFERROR(INDEX(GOOGLEFINANCE($C139, ""price"", WORKDAY(INT($B139), 5)), 2, 2), """")-$G139)/$G139, ($G139-IFERROR(IND"&amp;"EX(GOOGLEFINANCE($C139, ""price"", WORKDAY(INT($B139), 5)), 2, 2), """"))/$G139))"),-0.004903374675512019)</f>
        <v>-0.004903374676</v>
      </c>
      <c r="S139" s="16" t="str">
        <f>IFERROR(__xludf.DUMMYFUNCTION("IF(OR(ISBLANK($G139), IFERROR(INDEX(GOOGLEFINANCE($C139, ""price"", WORKDAY(INT($B139), 20)), 2, 2), """")=""""), """", IF($D139=""LONG"", (IFERROR(INDEX(GOOGLEFINANCE($C139, ""price"", WORKDAY(INT($B139), 20)), 2, 2), """")-$G139)/$G139, ($G139-IFERROR(I"&amp;"NDEX(GOOGLEFINANCE($C139, ""price"", WORKDAY(INT($B139), 20)), 2, 2), """"))/$G139))"),"")</f>
        <v/>
      </c>
      <c r="T139" s="10" t="s">
        <v>1196</v>
      </c>
    </row>
    <row r="140">
      <c r="A140" s="9">
        <f t="shared" si="1"/>
        <v>139</v>
      </c>
      <c r="B140" s="11">
        <v>46216.66767361111</v>
      </c>
      <c r="C140" s="10" t="s">
        <v>1198</v>
      </c>
      <c r="D140" s="10" t="s">
        <v>36</v>
      </c>
      <c r="E140" s="10" t="s">
        <v>133</v>
      </c>
      <c r="F140" s="13">
        <v>2.0</v>
      </c>
      <c r="G140" s="14">
        <v>354.7</v>
      </c>
      <c r="H140" s="10" t="s">
        <v>1199</v>
      </c>
      <c r="I140" s="10">
        <v>92.4</v>
      </c>
      <c r="O140" s="15">
        <f>IFERROR(__xludf.DUMMYFUNCTION("IF(ISBLANK($C140), """", GOOGLEFINANCE($C140, ""price""))"),354.03)</f>
        <v>354.03</v>
      </c>
      <c r="P140" s="16">
        <f t="shared" si="2"/>
        <v>-0.001888920214</v>
      </c>
      <c r="Q140" s="16">
        <f>IFERROR(__xludf.DUMMYFUNCTION("IF(OR(ISBLANK($G140), IFERROR(INDEX(GOOGLEFINANCE($C140, ""price"", WORKDAY(INT($B140), 1)), 2, 2), """")=""""), """", IF($D140=""LONG"", (IFERROR(INDEX(GOOGLEFINANCE($C140, ""price"", WORKDAY(INT($B140), 1)), 2, 2), """")-$G140)/$G140, ($G140-IFERROR(IND"&amp;"EX(GOOGLEFINANCE($C140, ""price"", WORKDAY(INT($B140), 1)), 2, 2), """"))/$G140))"),-0.023907527488017936)</f>
        <v>-0.02390752749</v>
      </c>
      <c r="R140" s="16">
        <f>IFERROR(__xludf.DUMMYFUNCTION("IF(OR(ISBLANK($G140), IFERROR(INDEX(GOOGLEFINANCE($C140, ""price"", WORKDAY(INT($B140), 5)), 2, 2), """")=""""), """", IF($D140=""LONG"", (IFERROR(INDEX(GOOGLEFINANCE($C140, ""price"", WORKDAY(INT($B140), 5)), 2, 2), """")-$G140)/$G140, ($G140-IFERROR(IND"&amp;"EX(GOOGLEFINANCE($C140, ""price"", WORKDAY(INT($B140), 5)), 2, 2), """"))/$G140))"),-0.006117846067099002)</f>
        <v>-0.006117846067</v>
      </c>
      <c r="S140" s="16" t="str">
        <f>IFERROR(__xludf.DUMMYFUNCTION("IF(OR(ISBLANK($G140), IFERROR(INDEX(GOOGLEFINANCE($C140, ""price"", WORKDAY(INT($B140), 20)), 2, 2), """")=""""), """", IF($D140=""LONG"", (IFERROR(INDEX(GOOGLEFINANCE($C140, ""price"", WORKDAY(INT($B140), 20)), 2, 2), """")-$G140)/$G140, ($G140-IFERROR(I"&amp;"NDEX(GOOGLEFINANCE($C140, ""price"", WORKDAY(INT($B140), 20)), 2, 2), """"))/$G140))"),"")</f>
        <v/>
      </c>
      <c r="T140" s="10" t="s">
        <v>1203</v>
      </c>
    </row>
    <row r="141">
      <c r="A141" s="9">
        <f t="shared" si="1"/>
        <v>140</v>
      </c>
      <c r="B141" s="11">
        <v>46216.66774305556</v>
      </c>
      <c r="C141" s="10" t="s">
        <v>392</v>
      </c>
      <c r="D141" s="10" t="s">
        <v>36</v>
      </c>
      <c r="E141" s="10" t="s">
        <v>37</v>
      </c>
      <c r="F141" s="13">
        <v>2.0</v>
      </c>
      <c r="G141" s="14">
        <v>235.58</v>
      </c>
      <c r="H141" s="10" t="s">
        <v>1204</v>
      </c>
      <c r="I141" s="10">
        <v>88.9</v>
      </c>
      <c r="O141" s="15">
        <f>IFERROR(__xludf.DUMMYFUNCTION("IF(ISBLANK($C141), """", GOOGLEFINANCE($C141, ""price""))"),180.67)</f>
        <v>180.67</v>
      </c>
      <c r="P141" s="16">
        <f t="shared" si="2"/>
        <v>-0.2330843026</v>
      </c>
      <c r="Q141" s="16">
        <f>IFERROR(__xludf.DUMMYFUNCTION("IF(OR(ISBLANK($G141), IFERROR(INDEX(GOOGLEFINANCE($C141, ""price"", WORKDAY(INT($B141), 1)), 2, 2), """")=""""), """", IF($D141=""LONG"", (IFERROR(INDEX(GOOGLEFINANCE($C141, ""price"", WORKDAY(INT($B141), 1)), 2, 2), """")-$G141)/$G141, ($G141-IFERROR(IND"&amp;"EX(GOOGLEFINANCE($C141, ""price"", WORKDAY(INT($B141), 1)), 2, 2), """"))/$G141))"),-0.013456150776806248)</f>
        <v>-0.01345615078</v>
      </c>
      <c r="R141" s="16">
        <f>IFERROR(__xludf.DUMMYFUNCTION("IF(OR(ISBLANK($G141), IFERROR(INDEX(GOOGLEFINANCE($C141, ""price"", WORKDAY(INT($B141), 5)), 2, 2), """")=""""), """", IF($D141=""LONG"", (IFERROR(INDEX(GOOGLEFINANCE($C141, ""price"", WORKDAY(INT($B141), 5)), 2, 2), """")-$G141)/$G141, ($G141-IFERROR(IND"&amp;"EX(GOOGLEFINANCE($C141, ""price"", WORKDAY(INT($B141), 5)), 2, 2), """"))/$G141))"),-0.00628236692418719)</f>
        <v>-0.006282366924</v>
      </c>
      <c r="S141" s="16" t="str">
        <f>IFERROR(__xludf.DUMMYFUNCTION("IF(OR(ISBLANK($G141), IFERROR(INDEX(GOOGLEFINANCE($C141, ""price"", WORKDAY(INT($B141), 20)), 2, 2), """")=""""), """", IF($D141=""LONG"", (IFERROR(INDEX(GOOGLEFINANCE($C141, ""price"", WORKDAY(INT($B141), 20)), 2, 2), """")-$G141)/$G141, ($G141-IFERROR(I"&amp;"NDEX(GOOGLEFINANCE($C141, ""price"", WORKDAY(INT($B141), 20)), 2, 2), """"))/$G141))"),"")</f>
        <v/>
      </c>
      <c r="T141" s="10" t="s">
        <v>1208</v>
      </c>
    </row>
    <row r="142">
      <c r="A142" s="9">
        <f t="shared" si="1"/>
        <v>141</v>
      </c>
      <c r="B142" s="11">
        <v>46216.66753472222</v>
      </c>
      <c r="C142" s="10" t="s">
        <v>452</v>
      </c>
      <c r="D142" s="10" t="s">
        <v>119</v>
      </c>
      <c r="E142" s="10" t="s">
        <v>120</v>
      </c>
      <c r="F142" s="13">
        <v>4.0</v>
      </c>
      <c r="G142" s="14">
        <v>58.34</v>
      </c>
      <c r="H142" s="10" t="s">
        <v>1211</v>
      </c>
      <c r="I142" s="10">
        <v>8.2</v>
      </c>
      <c r="O142" s="15">
        <f>IFERROR(__xludf.DUMMYFUNCTION("IF(ISBLANK($C142), """", GOOGLEFINANCE($C142, ""price""))"),61.44)</f>
        <v>61.44</v>
      </c>
      <c r="P142" s="16">
        <f t="shared" si="2"/>
        <v>-0.05313678437</v>
      </c>
      <c r="Q142" s="16">
        <f>IFERROR(__xludf.DUMMYFUNCTION("IF(OR(ISBLANK($G142), IFERROR(INDEX(GOOGLEFINANCE($C142, ""price"", WORKDAY(INT($B142), 1)), 2, 2), """")=""""), """", IF($D142=""LONG"", (IFERROR(INDEX(GOOGLEFINANCE($C142, ""price"", WORKDAY(INT($B142), 1)), 2, 2), """")-$G142)/$G142, ($G142-IFERROR(IND"&amp;"EX(GOOGLEFINANCE($C142, ""price"", WORKDAY(INT($B142), 1)), 2, 2), """"))/$G142))"),-0.003599588618443499)</f>
        <v>-0.003599588618</v>
      </c>
      <c r="R142" s="16">
        <f>IFERROR(__xludf.DUMMYFUNCTION("IF(OR(ISBLANK($G142), IFERROR(INDEX(GOOGLEFINANCE($C142, ""price"", WORKDAY(INT($B142), 5)), 2, 2), """")=""""), """", IF($D142=""LONG"", (IFERROR(INDEX(GOOGLEFINANCE($C142, ""price"", WORKDAY(INT($B142), 5)), 2, 2), """")-$G142)/$G142, ($G142-IFERROR(IND"&amp;"EX(GOOGLEFINANCE($C142, ""price"", WORKDAY(INT($B142), 5)), 2, 2), """"))/$G142))"),-0.04096674665752474)</f>
        <v>-0.04096674666</v>
      </c>
      <c r="S142" s="16" t="str">
        <f>IFERROR(__xludf.DUMMYFUNCTION("IF(OR(ISBLANK($G142), IFERROR(INDEX(GOOGLEFINANCE($C142, ""price"", WORKDAY(INT($B142), 20)), 2, 2), """")=""""), """", IF($D142=""LONG"", (IFERROR(INDEX(GOOGLEFINANCE($C142, ""price"", WORKDAY(INT($B142), 20)), 2, 2), """")-$G142)/$G142, ($G142-IFERROR(I"&amp;"NDEX(GOOGLEFINANCE($C142, ""price"", WORKDAY(INT($B142), 20)), 2, 2), """"))/$G142))"),"")</f>
        <v/>
      </c>
      <c r="T142" s="10" t="s">
        <v>1215</v>
      </c>
    </row>
    <row r="143">
      <c r="A143" s="9">
        <f t="shared" si="1"/>
        <v>142</v>
      </c>
      <c r="B143" s="11">
        <v>46216.667708333334</v>
      </c>
      <c r="C143" s="10" t="s">
        <v>1216</v>
      </c>
      <c r="D143" s="10" t="s">
        <v>36</v>
      </c>
      <c r="E143" s="10" t="s">
        <v>37</v>
      </c>
      <c r="F143" s="13">
        <v>2.0</v>
      </c>
      <c r="G143" s="14">
        <v>78.72</v>
      </c>
      <c r="H143" s="10" t="s">
        <v>1217</v>
      </c>
      <c r="I143" s="10">
        <v>92.0</v>
      </c>
      <c r="O143" s="15">
        <f>IFERROR(__xludf.DUMMYFUNCTION("IF(ISBLANK($C143), """", GOOGLEFINANCE($C143, ""price""))"),79.02)</f>
        <v>79.02</v>
      </c>
      <c r="P143" s="16">
        <f t="shared" si="2"/>
        <v>0.00381097561</v>
      </c>
      <c r="Q143" s="16">
        <f>IFERROR(__xludf.DUMMYFUNCTION("IF(OR(ISBLANK($G143), IFERROR(INDEX(GOOGLEFINANCE($C143, ""price"", WORKDAY(INT($B143), 1)), 2, 2), """")=""""), """", IF($D143=""LONG"", (IFERROR(INDEX(GOOGLEFINANCE($C143, ""price"", WORKDAY(INT($B143), 1)), 2, 2), """")-$G143)/$G143, ($G143-IFERROR(IND"&amp;"EX(GOOGLEFINANCE($C143, ""price"", WORKDAY(INT($B143), 1)), 2, 2), """"))/$G143))"),0.016133130081300764)</f>
        <v>0.01613313008</v>
      </c>
      <c r="R143" s="16">
        <f>IFERROR(__xludf.DUMMYFUNCTION("IF(OR(ISBLANK($G143), IFERROR(INDEX(GOOGLEFINANCE($C143, ""price"", WORKDAY(INT($B143), 5)), 2, 2), """")=""""), """", IF($D143=""LONG"", (IFERROR(INDEX(GOOGLEFINANCE($C143, ""price"", WORKDAY(INT($B143), 5)), 2, 2), """")-$G143)/$G143, ($G143-IFERROR(IND"&amp;"EX(GOOGLEFINANCE($C143, ""price"", WORKDAY(INT($B143), 5)), 2, 2), """"))/$G143))"),0.007240853658536679)</f>
        <v>0.007240853659</v>
      </c>
      <c r="S143" s="16" t="str">
        <f>IFERROR(__xludf.DUMMYFUNCTION("IF(OR(ISBLANK($G143), IFERROR(INDEX(GOOGLEFINANCE($C143, ""price"", WORKDAY(INT($B143), 20)), 2, 2), """")=""""), """", IF($D143=""LONG"", (IFERROR(INDEX(GOOGLEFINANCE($C143, ""price"", WORKDAY(INT($B143), 20)), 2, 2), """")-$G143)/$G143, ($G143-IFERROR(I"&amp;"NDEX(GOOGLEFINANCE($C143, ""price"", WORKDAY(INT($B143), 20)), 2, 2), """"))/$G143))"),"")</f>
        <v/>
      </c>
      <c r="T143" s="10" t="s">
        <v>1225</v>
      </c>
    </row>
    <row r="144">
      <c r="A144" s="9">
        <f t="shared" si="1"/>
        <v>143</v>
      </c>
      <c r="B144" s="11">
        <v>46216.66761574074</v>
      </c>
      <c r="C144" s="10" t="s">
        <v>1226</v>
      </c>
      <c r="D144" s="10" t="s">
        <v>36</v>
      </c>
      <c r="E144" s="10" t="s">
        <v>37</v>
      </c>
      <c r="F144" s="13">
        <v>2.0</v>
      </c>
      <c r="G144" s="14">
        <v>244.11</v>
      </c>
      <c r="H144" s="10" t="s">
        <v>1227</v>
      </c>
      <c r="I144" s="10">
        <v>95.7</v>
      </c>
      <c r="O144" s="15">
        <f>IFERROR(__xludf.DUMMYFUNCTION("IF(ISBLANK($C144), """", GOOGLEFINANCE($C144, ""price""))"),232.47)</f>
        <v>232.47</v>
      </c>
      <c r="P144" s="16">
        <f t="shared" si="2"/>
        <v>-0.04768342141</v>
      </c>
      <c r="Q144" s="16">
        <f>IFERROR(__xludf.DUMMYFUNCTION("IF(OR(ISBLANK($G144), IFERROR(INDEX(GOOGLEFINANCE($C144, ""price"", WORKDAY(INT($B144), 1)), 2, 2), """")=""""), """", IF($D144=""LONG"", (IFERROR(INDEX(GOOGLEFINANCE($C144, ""price"", WORKDAY(INT($B144), 1)), 2, 2), """")-$G144)/$G144, ($G144-IFERROR(IND"&amp;"EX(GOOGLEFINANCE($C144, ""price"", WORKDAY(INT($B144), 1)), 2, 2), """"))/$G144))"),-0.028962353037565117)</f>
        <v>-0.02896235304</v>
      </c>
      <c r="R144" s="16">
        <f>IFERROR(__xludf.DUMMYFUNCTION("IF(OR(ISBLANK($G144), IFERROR(INDEX(GOOGLEFINANCE($C144, ""price"", WORKDAY(INT($B144), 5)), 2, 2), """")=""""), """", IF($D144=""LONG"", (IFERROR(INDEX(GOOGLEFINANCE($C144, ""price"", WORKDAY(INT($B144), 5)), 2, 2), """")-$G144)/$G144, ($G144-IFERROR(IND"&amp;"EX(GOOGLEFINANCE($C144, ""price"", WORKDAY(INT($B144), 5)), 2, 2), """"))/$G144))"),-0.021015116136168216)</f>
        <v>-0.02101511614</v>
      </c>
      <c r="S144" s="16" t="str">
        <f>IFERROR(__xludf.DUMMYFUNCTION("IF(OR(ISBLANK($G144), IFERROR(INDEX(GOOGLEFINANCE($C144, ""price"", WORKDAY(INT($B144), 20)), 2, 2), """")=""""), """", IF($D144=""LONG"", (IFERROR(INDEX(GOOGLEFINANCE($C144, ""price"", WORKDAY(INT($B144), 20)), 2, 2), """")-$G144)/$G144, ($G144-IFERROR(I"&amp;"NDEX(GOOGLEFINANCE($C144, ""price"", WORKDAY(INT($B144), 20)), 2, 2), """"))/$G144))"),"")</f>
        <v/>
      </c>
      <c r="T144" s="10" t="s">
        <v>1232</v>
      </c>
    </row>
    <row r="145">
      <c r="A145" s="9">
        <f t="shared" si="1"/>
        <v>144</v>
      </c>
      <c r="B145" s="11">
        <v>46216.66769675926</v>
      </c>
      <c r="C145" s="10" t="s">
        <v>185</v>
      </c>
      <c r="D145" s="10" t="s">
        <v>36</v>
      </c>
      <c r="E145" s="10" t="s">
        <v>37</v>
      </c>
      <c r="F145" s="13">
        <v>2.0</v>
      </c>
      <c r="G145" s="14">
        <v>76.18</v>
      </c>
      <c r="H145" s="10" t="s">
        <v>1234</v>
      </c>
      <c r="I145" s="10">
        <v>92.0</v>
      </c>
      <c r="O145" s="15">
        <f>IFERROR(__xludf.DUMMYFUNCTION("IF(ISBLANK($C145), """", GOOGLEFINANCE($C145, ""price""))"),75.47)</f>
        <v>75.47</v>
      </c>
      <c r="P145" s="16">
        <f t="shared" si="2"/>
        <v>-0.009320031504</v>
      </c>
      <c r="Q145" s="16">
        <f>IFERROR(__xludf.DUMMYFUNCTION("IF(OR(ISBLANK($G145), IFERROR(INDEX(GOOGLEFINANCE($C145, ""price"", WORKDAY(INT($B145), 1)), 2, 2), """")=""""), """", IF($D145=""LONG"", (IFERROR(INDEX(GOOGLEFINANCE($C145, ""price"", WORKDAY(INT($B145), 1)), 2, 2), """")-$G145)/$G145, ($G145-IFERROR(IND"&amp;"EX(GOOGLEFINANCE($C145, ""price"", WORKDAY(INT($B145), 1)), 2, 2), """"))/$G145))"),0.02192176424258319)</f>
        <v>0.02192176424</v>
      </c>
      <c r="R145" s="16">
        <f>IFERROR(__xludf.DUMMYFUNCTION("IF(OR(ISBLANK($G145), IFERROR(INDEX(GOOGLEFINANCE($C145, ""price"", WORKDAY(INT($B145), 5)), 2, 2), """")=""""), """", IF($D145=""LONG"", (IFERROR(INDEX(GOOGLEFINANCE($C145, ""price"", WORKDAY(INT($B145), 5)), 2, 2), """")-$G145)/$G145, ($G145-IFERROR(IND"&amp;"EX(GOOGLEFINANCE($C145, ""price"", WORKDAY(INT($B145), 5)), 2, 2), """"))/$G145))"),0.01719611446573888)</f>
        <v>0.01719611447</v>
      </c>
      <c r="S145" s="16" t="str">
        <f>IFERROR(__xludf.DUMMYFUNCTION("IF(OR(ISBLANK($G145), IFERROR(INDEX(GOOGLEFINANCE($C145, ""price"", WORKDAY(INT($B145), 20)), 2, 2), """")=""""), """", IF($D145=""LONG"", (IFERROR(INDEX(GOOGLEFINANCE($C145, ""price"", WORKDAY(INT($B145), 20)), 2, 2), """")-$G145)/$G145, ($G145-IFERROR(I"&amp;"NDEX(GOOGLEFINANCE($C145, ""price"", WORKDAY(INT($B145), 20)), 2, 2), """"))/$G145))"),"")</f>
        <v/>
      </c>
      <c r="T145" s="10" t="s">
        <v>1236</v>
      </c>
    </row>
    <row r="146">
      <c r="A146" s="9">
        <f t="shared" si="1"/>
        <v>145</v>
      </c>
      <c r="B146" s="11">
        <v>46216.6674537037</v>
      </c>
      <c r="C146" s="10" t="s">
        <v>316</v>
      </c>
      <c r="D146" s="10" t="s">
        <v>36</v>
      </c>
      <c r="E146" s="10" t="s">
        <v>37</v>
      </c>
      <c r="F146" s="13">
        <v>2.0</v>
      </c>
      <c r="G146" s="14">
        <v>114.18</v>
      </c>
      <c r="H146" s="10" t="s">
        <v>1240</v>
      </c>
      <c r="I146" s="10">
        <v>93.0</v>
      </c>
      <c r="O146" s="15">
        <f>IFERROR(__xludf.DUMMYFUNCTION("IF(ISBLANK($C146), """", GOOGLEFINANCE($C146, ""price""))"),110.74)</f>
        <v>110.74</v>
      </c>
      <c r="P146" s="16">
        <f t="shared" si="2"/>
        <v>-0.03012786828</v>
      </c>
      <c r="Q146" s="16">
        <f>IFERROR(__xludf.DUMMYFUNCTION("IF(OR(ISBLANK($G146), IFERROR(INDEX(GOOGLEFINANCE($C146, ""price"", WORKDAY(INT($B146), 1)), 2, 2), """")=""""), """", IF($D146=""LONG"", (IFERROR(INDEX(GOOGLEFINANCE($C146, ""price"", WORKDAY(INT($B146), 1)), 2, 2), """")-$G146)/$G146, ($G146-IFERROR(IND"&amp;"EX(GOOGLEFINANCE($C146, ""price"", WORKDAY(INT($B146), 1)), 2, 2), """"))/$G146))"),-0.010509721492380476)</f>
        <v>-0.01050972149</v>
      </c>
      <c r="R146" s="16">
        <f>IFERROR(__xludf.DUMMYFUNCTION("IF(OR(ISBLANK($G146), IFERROR(INDEX(GOOGLEFINANCE($C146, ""price"", WORKDAY(INT($B146), 5)), 2, 2), """")=""""), """", IF($D146=""LONG"", (IFERROR(INDEX(GOOGLEFINANCE($C146, ""price"", WORKDAY(INT($B146), 5)), 2, 2), """")-$G146)/$G146, ($G146-IFERROR(IND"&amp;"EX(GOOGLEFINANCE($C146, ""price"", WORKDAY(INT($B146), 5)), 2, 2), """"))/$G146))"),-0.01156069364161856)</f>
        <v>-0.01156069364</v>
      </c>
      <c r="S146" s="16" t="str">
        <f>IFERROR(__xludf.DUMMYFUNCTION("IF(OR(ISBLANK($G146), IFERROR(INDEX(GOOGLEFINANCE($C146, ""price"", WORKDAY(INT($B146), 20)), 2, 2), """")=""""), """", IF($D146=""LONG"", (IFERROR(INDEX(GOOGLEFINANCE($C146, ""price"", WORKDAY(INT($B146), 20)), 2, 2), """")-$G146)/$G146, ($G146-IFERROR(I"&amp;"NDEX(GOOGLEFINANCE($C146, ""price"", WORKDAY(INT($B146), 20)), 2, 2), """"))/$G146))"),"")</f>
        <v/>
      </c>
      <c r="T146" s="10" t="s">
        <v>1245</v>
      </c>
    </row>
    <row r="147">
      <c r="A147" s="9">
        <f t="shared" si="1"/>
        <v>146</v>
      </c>
      <c r="B147" s="11">
        <v>46216.66768518519</v>
      </c>
      <c r="C147" s="10" t="s">
        <v>197</v>
      </c>
      <c r="D147" s="10" t="s">
        <v>36</v>
      </c>
      <c r="E147" s="10" t="s">
        <v>37</v>
      </c>
      <c r="F147" s="13">
        <v>2.0</v>
      </c>
      <c r="G147" s="14">
        <v>207.33</v>
      </c>
      <c r="H147" s="10" t="s">
        <v>1246</v>
      </c>
      <c r="I147" s="10">
        <v>93.7</v>
      </c>
      <c r="O147" s="15">
        <f>IFERROR(__xludf.DUMMYFUNCTION("IF(ISBLANK($C147), """", GOOGLEFINANCE($C147, ""price""))"),238.5)</f>
        <v>238.5</v>
      </c>
      <c r="P147" s="16">
        <f t="shared" si="2"/>
        <v>0.1503400376</v>
      </c>
      <c r="Q147" s="16">
        <f>IFERROR(__xludf.DUMMYFUNCTION("IF(OR(ISBLANK($G147), IFERROR(INDEX(GOOGLEFINANCE($C147, ""price"", WORKDAY(INT($B147), 1)), 2, 2), """")=""""), """", IF($D147=""LONG"", (IFERROR(INDEX(GOOGLEFINANCE($C147, ""price"", WORKDAY(INT($B147), 1)), 2, 2), """")-$G147)/$G147, ($G147-IFERROR(IND"&amp;"EX(GOOGLEFINANCE($C147, ""price"", WORKDAY(INT($B147), 1)), 2, 2), """"))/$G147))"),-0.00641489413013077)</f>
        <v>-0.00641489413</v>
      </c>
      <c r="R147" s="16">
        <f>IFERROR(__xludf.DUMMYFUNCTION("IF(OR(ISBLANK($G147), IFERROR(INDEX(GOOGLEFINANCE($C147, ""price"", WORKDAY(INT($B147), 5)), 2, 2), """")=""""), """", IF($D147=""LONG"", (IFERROR(INDEX(GOOGLEFINANCE($C147, ""price"", WORKDAY(INT($B147), 5)), 2, 2), """")-$G147)/$G147, ($G147-IFERROR(IND"&amp;"EX(GOOGLEFINANCE($C147, ""price"", WORKDAY(INT($B147), 5)), 2, 2), """"))/$G147))"),0.0015916654608594226)</f>
        <v>0.001591665461</v>
      </c>
      <c r="S147" s="16" t="str">
        <f>IFERROR(__xludf.DUMMYFUNCTION("IF(OR(ISBLANK($G147), IFERROR(INDEX(GOOGLEFINANCE($C147, ""price"", WORKDAY(INT($B147), 20)), 2, 2), """")=""""), """", IF($D147=""LONG"", (IFERROR(INDEX(GOOGLEFINANCE($C147, ""price"", WORKDAY(INT($B147), 20)), 2, 2), """")-$G147)/$G147, ($G147-IFERROR(I"&amp;"NDEX(GOOGLEFINANCE($C147, ""price"", WORKDAY(INT($B147), 20)), 2, 2), """"))/$G147))"),"")</f>
        <v/>
      </c>
      <c r="T147" s="10" t="s">
        <v>1251</v>
      </c>
    </row>
    <row r="148">
      <c r="A148" s="9">
        <f t="shared" si="1"/>
        <v>147</v>
      </c>
      <c r="B148" s="11">
        <v>46216.6675</v>
      </c>
      <c r="C148" s="10" t="s">
        <v>419</v>
      </c>
      <c r="D148" s="10" t="s">
        <v>36</v>
      </c>
      <c r="E148" s="10" t="s">
        <v>37</v>
      </c>
      <c r="F148" s="13">
        <v>2.0</v>
      </c>
      <c r="G148" s="14">
        <v>86.21</v>
      </c>
      <c r="H148" s="10" t="s">
        <v>1252</v>
      </c>
      <c r="I148" s="10">
        <v>86.1</v>
      </c>
      <c r="O148" s="15">
        <f>IFERROR(__xludf.DUMMYFUNCTION("IF(ISBLANK($C148), """", GOOGLEFINANCE($C148, ""price""))"),91.98)</f>
        <v>91.98</v>
      </c>
      <c r="P148" s="16">
        <f t="shared" si="2"/>
        <v>0.06692959053</v>
      </c>
      <c r="Q148" s="16">
        <f>IFERROR(__xludf.DUMMYFUNCTION("IF(OR(ISBLANK($G148), IFERROR(INDEX(GOOGLEFINANCE($C148, ""price"", WORKDAY(INT($B148), 1)), 2, 2), """")=""""), """", IF($D148=""LONG"", (IFERROR(INDEX(GOOGLEFINANCE($C148, ""price"", WORKDAY(INT($B148), 1)), 2, 2), """")-$G148)/$G148, ($G148-IFERROR(IND"&amp;"EX(GOOGLEFINANCE($C148, ""price"", WORKDAY(INT($B148), 1)), 2, 2), """"))/$G148))"),-0.00811970769052301)</f>
        <v>-0.008119707691</v>
      </c>
      <c r="R148" s="16">
        <f>IFERROR(__xludf.DUMMYFUNCTION("IF(OR(ISBLANK($G148), IFERROR(INDEX(GOOGLEFINANCE($C148, ""price"", WORKDAY(INT($B148), 5)), 2, 2), """")=""""), """", IF($D148=""LONG"", (IFERROR(INDEX(GOOGLEFINANCE($C148, ""price"", WORKDAY(INT($B148), 5)), 2, 2), """")-$G148)/$G148, ($G148-IFERROR(IND"&amp;"EX(GOOGLEFINANCE($C148, ""price"", WORKDAY(INT($B148), 5)), 2, 2), """"))/$G148))"),-0.019371302633105065)</f>
        <v>-0.01937130263</v>
      </c>
      <c r="S148" s="16" t="str">
        <f>IFERROR(__xludf.DUMMYFUNCTION("IF(OR(ISBLANK($G148), IFERROR(INDEX(GOOGLEFINANCE($C148, ""price"", WORKDAY(INT($B148), 20)), 2, 2), """")=""""), """", IF($D148=""LONG"", (IFERROR(INDEX(GOOGLEFINANCE($C148, ""price"", WORKDAY(INT($B148), 20)), 2, 2), """")-$G148)/$G148, ($G148-IFERROR(I"&amp;"NDEX(GOOGLEFINANCE($C148, ""price"", WORKDAY(INT($B148), 20)), 2, 2), """"))/$G148))"),"")</f>
        <v/>
      </c>
      <c r="T148" s="10" t="s">
        <v>1254</v>
      </c>
    </row>
    <row r="149">
      <c r="A149" s="9">
        <f t="shared" si="1"/>
        <v>148</v>
      </c>
      <c r="B149" s="11">
        <v>46216.667662037034</v>
      </c>
      <c r="C149" s="10" t="s">
        <v>1255</v>
      </c>
      <c r="D149" s="10" t="s">
        <v>36</v>
      </c>
      <c r="E149" s="10" t="s">
        <v>37</v>
      </c>
      <c r="F149" s="13">
        <v>2.0</v>
      </c>
      <c r="G149" s="14">
        <v>75.94</v>
      </c>
      <c r="H149" s="10" t="s">
        <v>1257</v>
      </c>
      <c r="I149" s="10">
        <v>90.5</v>
      </c>
      <c r="O149" s="15">
        <f>IFERROR(__xludf.DUMMYFUNCTION("IF(ISBLANK($C149), """", GOOGLEFINANCE($C149, ""price""))"),67.23)</f>
        <v>67.23</v>
      </c>
      <c r="P149" s="16">
        <f t="shared" si="2"/>
        <v>-0.1146958125</v>
      </c>
      <c r="Q149" s="16">
        <f>IFERROR(__xludf.DUMMYFUNCTION("IF(OR(ISBLANK($G149), IFERROR(INDEX(GOOGLEFINANCE($C149, ""price"", WORKDAY(INT($B149), 1)), 2, 2), """")=""""), """", IF($D149=""LONG"", (IFERROR(INDEX(GOOGLEFINANCE($C149, ""price"", WORKDAY(INT($B149), 1)), 2, 2), """")-$G149)/$G149, ($G149-IFERROR(IND"&amp;"EX(GOOGLEFINANCE($C149, ""price"", WORKDAY(INT($B149), 1)), 2, 2), """"))/$G149))"),0.008427706083750337)</f>
        <v>0.008427706084</v>
      </c>
      <c r="R149" s="16">
        <f>IFERROR(__xludf.DUMMYFUNCTION("IF(OR(ISBLANK($G149), IFERROR(INDEX(GOOGLEFINANCE($C149, ""price"", WORKDAY(INT($B149), 5)), 2, 2), """")=""""), """", IF($D149=""LONG"", (IFERROR(INDEX(GOOGLEFINANCE($C149, ""price"", WORKDAY(INT($B149), 5)), 2, 2), """")-$G149)/$G149, ($G149-IFERROR(IND"&amp;"EX(GOOGLEFINANCE($C149, ""price"", WORKDAY(INT($B149), 5)), 2, 2), """"))/$G149))"),0.017250460890176487)</f>
        <v>0.01725046089</v>
      </c>
      <c r="S149" s="16" t="str">
        <f>IFERROR(__xludf.DUMMYFUNCTION("IF(OR(ISBLANK($G149), IFERROR(INDEX(GOOGLEFINANCE($C149, ""price"", WORKDAY(INT($B149), 20)), 2, 2), """")=""""), """", IF($D149=""LONG"", (IFERROR(INDEX(GOOGLEFINANCE($C149, ""price"", WORKDAY(INT($B149), 20)), 2, 2), """")-$G149)/$G149, ($G149-IFERROR(I"&amp;"NDEX(GOOGLEFINANCE($C149, ""price"", WORKDAY(INT($B149), 20)), 2, 2), """"))/$G149))"),"")</f>
        <v/>
      </c>
      <c r="T149" s="10" t="s">
        <v>1264</v>
      </c>
    </row>
    <row r="150">
      <c r="A150" s="9">
        <f t="shared" si="1"/>
        <v>149</v>
      </c>
      <c r="B150" s="11">
        <v>46216.66746527778</v>
      </c>
      <c r="C150" s="10" t="s">
        <v>386</v>
      </c>
      <c r="D150" s="10" t="s">
        <v>36</v>
      </c>
      <c r="E150" s="10" t="s">
        <v>37</v>
      </c>
      <c r="F150" s="13">
        <v>2.0</v>
      </c>
      <c r="G150" s="14">
        <v>406.12</v>
      </c>
      <c r="H150" s="10" t="s">
        <v>1265</v>
      </c>
      <c r="I150" s="10">
        <v>90.8</v>
      </c>
      <c r="O150" s="15">
        <f>IFERROR(__xludf.DUMMYFUNCTION("IF(ISBLANK($C150), """", GOOGLEFINANCE($C150, ""price""))"),367.24)</f>
        <v>367.24</v>
      </c>
      <c r="P150" s="16">
        <f t="shared" si="2"/>
        <v>-0.09573525066</v>
      </c>
      <c r="Q150" s="16">
        <f>IFERROR(__xludf.DUMMYFUNCTION("IF(OR(ISBLANK($G150), IFERROR(INDEX(GOOGLEFINANCE($C150, ""price"", WORKDAY(INT($B150), 1)), 2, 2), """")=""""), """", IF($D150=""LONG"", (IFERROR(INDEX(GOOGLEFINANCE($C150, ""price"", WORKDAY(INT($B150), 1)), 2, 2), """")-$G150)/$G150, ($G150-IFERROR(IND"&amp;"EX(GOOGLEFINANCE($C150, ""price"", WORKDAY(INT($B150), 1)), 2, 2), """"))/$G150))"),0.0016005121638923896)</f>
        <v>0.001600512164</v>
      </c>
      <c r="R150" s="16">
        <f>IFERROR(__xludf.DUMMYFUNCTION("IF(OR(ISBLANK($G150), IFERROR(INDEX(GOOGLEFINANCE($C150, ""price"", WORKDAY(INT($B150), 5)), 2, 2), """")=""""), """", IF($D150=""LONG"", (IFERROR(INDEX(GOOGLEFINANCE($C150, ""price"", WORKDAY(INT($B150), 5)), 2, 2), """")-$G150)/$G150, ($G150-IFERROR(IND"&amp;"EX(GOOGLEFINANCE($C150, ""price"", WORKDAY(INT($B150), 5)), 2, 2), """"))/$G150))"),-0.01950162513542799)</f>
        <v>-0.01950162514</v>
      </c>
      <c r="S150" s="16" t="str">
        <f>IFERROR(__xludf.DUMMYFUNCTION("IF(OR(ISBLANK($G150), IFERROR(INDEX(GOOGLEFINANCE($C150, ""price"", WORKDAY(INT($B150), 20)), 2, 2), """")=""""), """", IF($D150=""LONG"", (IFERROR(INDEX(GOOGLEFINANCE($C150, ""price"", WORKDAY(INT($B150), 20)), 2, 2), """")-$G150)/$G150, ($G150-IFERROR(I"&amp;"NDEX(GOOGLEFINANCE($C150, ""price"", WORKDAY(INT($B150), 20)), 2, 2), """"))/$G150))"),"")</f>
        <v/>
      </c>
      <c r="T150" s="10" t="s">
        <v>1272</v>
      </c>
    </row>
    <row r="151">
      <c r="A151" s="9">
        <f t="shared" si="1"/>
        <v>150</v>
      </c>
      <c r="B151" s="11">
        <v>46216.667650462965</v>
      </c>
      <c r="C151" s="10" t="s">
        <v>226</v>
      </c>
      <c r="D151" s="10" t="s">
        <v>36</v>
      </c>
      <c r="E151" s="10" t="s">
        <v>37</v>
      </c>
      <c r="F151" s="13">
        <v>2.0</v>
      </c>
      <c r="G151" s="14">
        <v>21.73</v>
      </c>
      <c r="H151" s="10" t="s">
        <v>1273</v>
      </c>
      <c r="I151" s="10">
        <v>93.7</v>
      </c>
      <c r="O151" s="15">
        <f>IFERROR(__xludf.DUMMYFUNCTION("IF(ISBLANK($C151), """", GOOGLEFINANCE($C151, ""price""))"),21.1)</f>
        <v>21.1</v>
      </c>
      <c r="P151" s="16">
        <f t="shared" si="2"/>
        <v>-0.02899217671</v>
      </c>
      <c r="Q151" s="16">
        <f>IFERROR(__xludf.DUMMYFUNCTION("IF(OR(ISBLANK($G151), IFERROR(INDEX(GOOGLEFINANCE($C151, ""price"", WORKDAY(INT($B151), 1)), 2, 2), """")=""""), """", IF($D151=""LONG"", (IFERROR(INDEX(GOOGLEFINANCE($C151, ""price"", WORKDAY(INT($B151), 1)), 2, 2), """")-$G151)/$G151, ($G151-IFERROR(IND"&amp;"EX(GOOGLEFINANCE($C151, ""price"", WORKDAY(INT($B151), 1)), 2, 2), """"))/$G151))"),-0.0032213529682466767)</f>
        <v>-0.003221352968</v>
      </c>
      <c r="R151" s="16">
        <f>IFERROR(__xludf.DUMMYFUNCTION("IF(OR(ISBLANK($G151), IFERROR(INDEX(GOOGLEFINANCE($C151, ""price"", WORKDAY(INT($B151), 5)), 2, 2), """")=""""), """", IF($D151=""LONG"", (IFERROR(INDEX(GOOGLEFINANCE($C151, ""price"", WORKDAY(INT($B151), 5)), 2, 2), """")-$G151)/$G151, ($G151-IFERROR(IND"&amp;"EX(GOOGLEFINANCE($C151, ""price"", WORKDAY(INT($B151), 5)), 2, 2), """"))/$G151))"),0.02577082374597325)</f>
        <v>0.02577082375</v>
      </c>
      <c r="S151" s="16" t="str">
        <f>IFERROR(__xludf.DUMMYFUNCTION("IF(OR(ISBLANK($G151), IFERROR(INDEX(GOOGLEFINANCE($C151, ""price"", WORKDAY(INT($B151), 20)), 2, 2), """")=""""), """", IF($D151=""LONG"", (IFERROR(INDEX(GOOGLEFINANCE($C151, ""price"", WORKDAY(INT($B151), 20)), 2, 2), """")-$G151)/$G151, ($G151-IFERROR(I"&amp;"NDEX(GOOGLEFINANCE($C151, ""price"", WORKDAY(INT($B151), 20)), 2, 2), """"))/$G151))"),"")</f>
        <v/>
      </c>
      <c r="T151" s="10" t="s">
        <v>1278</v>
      </c>
    </row>
    <row r="152">
      <c r="A152" s="9">
        <f t="shared" si="1"/>
        <v>151</v>
      </c>
      <c r="B152" s="11">
        <v>46216.667604166665</v>
      </c>
      <c r="C152" s="10" t="s">
        <v>810</v>
      </c>
      <c r="D152" s="10" t="s">
        <v>36</v>
      </c>
      <c r="E152" s="10" t="s">
        <v>37</v>
      </c>
      <c r="F152" s="13">
        <v>2.0</v>
      </c>
      <c r="G152" s="14">
        <v>138.08</v>
      </c>
      <c r="H152" s="10" t="s">
        <v>1280</v>
      </c>
      <c r="I152" s="10">
        <v>93.9</v>
      </c>
      <c r="O152" s="15">
        <f>IFERROR(__xludf.DUMMYFUNCTION("IF(ISBLANK($C152), """", GOOGLEFINANCE($C152, ""price""))"),147.45)</f>
        <v>147.45</v>
      </c>
      <c r="P152" s="16">
        <f t="shared" si="2"/>
        <v>0.06785921205</v>
      </c>
      <c r="Q152" s="16">
        <f>IFERROR(__xludf.DUMMYFUNCTION("IF(OR(ISBLANK($G152), IFERROR(INDEX(GOOGLEFINANCE($C152, ""price"", WORKDAY(INT($B152), 1)), 2, 2), """")=""""), """", IF($D152=""LONG"", (IFERROR(INDEX(GOOGLEFINANCE($C152, ""price"", WORKDAY(INT($B152), 1)), 2, 2), """")-$G152)/$G152, ($G152-IFERROR(IND"&amp;"EX(GOOGLEFINANCE($C152, ""price"", WORKDAY(INT($B152), 1)), 2, 2), """"))/$G152))"),-0.03584878331402098)</f>
        <v>-0.03584878331</v>
      </c>
      <c r="R152" s="16">
        <f>IFERROR(__xludf.DUMMYFUNCTION("IF(OR(ISBLANK($G152), IFERROR(INDEX(GOOGLEFINANCE($C152, ""price"", WORKDAY(INT($B152), 5)), 2, 2), """")=""""), """", IF($D152=""LONG"", (IFERROR(INDEX(GOOGLEFINANCE($C152, ""price"", WORKDAY(INT($B152), 5)), 2, 2), """")-$G152)/$G152, ($G152-IFERROR(IND"&amp;"EX(GOOGLEFINANCE($C152, ""price"", WORKDAY(INT($B152), 5)), 2, 2), """"))/$G152))"),0.00391077636152949)</f>
        <v>0.003910776362</v>
      </c>
      <c r="S152" s="16" t="str">
        <f>IFERROR(__xludf.DUMMYFUNCTION("IF(OR(ISBLANK($G152), IFERROR(INDEX(GOOGLEFINANCE($C152, ""price"", WORKDAY(INT($B152), 20)), 2, 2), """")=""""), """", IF($D152=""LONG"", (IFERROR(INDEX(GOOGLEFINANCE($C152, ""price"", WORKDAY(INT($B152), 20)), 2, 2), """")-$G152)/$G152, ($G152-IFERROR(I"&amp;"NDEX(GOOGLEFINANCE($C152, ""price"", WORKDAY(INT($B152), 20)), 2, 2), """"))/$G152))"),"")</f>
        <v/>
      </c>
      <c r="T152" s="10" t="s">
        <v>1282</v>
      </c>
    </row>
    <row r="153">
      <c r="A153" s="9">
        <f t="shared" si="1"/>
        <v>152</v>
      </c>
      <c r="B153" s="11">
        <v>46216.66763888889</v>
      </c>
      <c r="C153" s="10" t="s">
        <v>328</v>
      </c>
      <c r="D153" s="10" t="s">
        <v>36</v>
      </c>
      <c r="E153" s="10" t="s">
        <v>37</v>
      </c>
      <c r="F153" s="13">
        <v>2.0</v>
      </c>
      <c r="G153" s="14">
        <v>140.72</v>
      </c>
      <c r="H153" s="10" t="s">
        <v>1283</v>
      </c>
      <c r="I153" s="10">
        <v>76.4</v>
      </c>
      <c r="O153" s="15">
        <f>IFERROR(__xludf.DUMMYFUNCTION("IF(ISBLANK($C153), """", GOOGLEFINANCE($C153, ""price""))"),133.82)</f>
        <v>133.82</v>
      </c>
      <c r="P153" s="16">
        <f t="shared" si="2"/>
        <v>-0.04903354179</v>
      </c>
      <c r="Q153" s="16">
        <f>IFERROR(__xludf.DUMMYFUNCTION("IF(OR(ISBLANK($G153), IFERROR(INDEX(GOOGLEFINANCE($C153, ""price"", WORKDAY(INT($B153), 1)), 2, 2), """")=""""), """", IF($D153=""LONG"", (IFERROR(INDEX(GOOGLEFINANCE($C153, ""price"", WORKDAY(INT($B153), 1)), 2, 2), """")-$G153)/$G153, ($G153-IFERROR(IND"&amp;"EX(GOOGLEFINANCE($C153, ""price"", WORKDAY(INT($B153), 1)), 2, 2), """"))/$G153))"),-0.05294201250710623)</f>
        <v>-0.05294201251</v>
      </c>
      <c r="R153" s="16">
        <f>IFERROR(__xludf.DUMMYFUNCTION("IF(OR(ISBLANK($G153), IFERROR(INDEX(GOOGLEFINANCE($C153, ""price"", WORKDAY(INT($B153), 5)), 2, 2), """")=""""), """", IF($D153=""LONG"", (IFERROR(INDEX(GOOGLEFINANCE($C153, ""price"", WORKDAY(INT($B153), 5)), 2, 2), """")-$G153)/$G153, ($G153-IFERROR(IND"&amp;"EX(GOOGLEFINANCE($C153, ""price"", WORKDAY(INT($B153), 5)), 2, 2), """"))/$G153))"),-0.08527572484366117)</f>
        <v>-0.08527572484</v>
      </c>
      <c r="S153" s="16" t="str">
        <f>IFERROR(__xludf.DUMMYFUNCTION("IF(OR(ISBLANK($G153), IFERROR(INDEX(GOOGLEFINANCE($C153, ""price"", WORKDAY(INT($B153), 20)), 2, 2), """")=""""), """", IF($D153=""LONG"", (IFERROR(INDEX(GOOGLEFINANCE($C153, ""price"", WORKDAY(INT($B153), 20)), 2, 2), """")-$G153)/$G153, ($G153-IFERROR(I"&amp;"NDEX(GOOGLEFINANCE($C153, ""price"", WORKDAY(INT($B153), 20)), 2, 2), """"))/$G153))"),"")</f>
        <v/>
      </c>
      <c r="T153" s="10" t="s">
        <v>1291</v>
      </c>
    </row>
    <row r="154">
      <c r="A154" s="9">
        <f t="shared" si="1"/>
        <v>153</v>
      </c>
      <c r="B154" s="11">
        <v>46216.66752314815</v>
      </c>
      <c r="C154" s="10" t="s">
        <v>746</v>
      </c>
      <c r="D154" s="10" t="s">
        <v>119</v>
      </c>
      <c r="E154" s="10" t="s">
        <v>120</v>
      </c>
      <c r="F154" s="13">
        <v>4.0</v>
      </c>
      <c r="G154" s="14">
        <v>169.57</v>
      </c>
      <c r="H154" s="10" t="s">
        <v>1292</v>
      </c>
      <c r="I154" s="10">
        <v>8.7</v>
      </c>
      <c r="O154" s="15">
        <f>IFERROR(__xludf.DUMMYFUNCTION("IF(ISBLANK($C154), """", GOOGLEFINANCE($C154, ""price""))"),171.2)</f>
        <v>171.2</v>
      </c>
      <c r="P154" s="16">
        <f t="shared" si="2"/>
        <v>-0.00961254939</v>
      </c>
      <c r="Q154" s="16">
        <f>IFERROR(__xludf.DUMMYFUNCTION("IF(OR(ISBLANK($G154), IFERROR(INDEX(GOOGLEFINANCE($C154, ""price"", WORKDAY(INT($B154), 1)), 2, 2), """")=""""), """", IF($D154=""LONG"", (IFERROR(INDEX(GOOGLEFINANCE($C154, ""price"", WORKDAY(INT($B154), 1)), 2, 2), """")-$G154)/$G154, ($G154-IFERROR(IND"&amp;"EX(GOOGLEFINANCE($C154, ""price"", WORKDAY(INT($B154), 1)), 2, 2), """"))/$G154))"),0.0043639794775018025)</f>
        <v>0.004363979478</v>
      </c>
      <c r="R154" s="16">
        <f>IFERROR(__xludf.DUMMYFUNCTION("IF(OR(ISBLANK($G154), IFERROR(INDEX(GOOGLEFINANCE($C154, ""price"", WORKDAY(INT($B154), 5)), 2, 2), """")=""""), """", IF($D154=""LONG"", (IFERROR(INDEX(GOOGLEFINANCE($C154, ""price"", WORKDAY(INT($B154), 5)), 2, 2), """")-$G154)/$G154, ($G154-IFERROR(IND"&amp;"EX(GOOGLEFINANCE($C154, ""price"", WORKDAY(INT($B154), 5)), 2, 2), """"))/$G154))"),0.014802146606121313)</f>
        <v>0.01480214661</v>
      </c>
      <c r="S154" s="16" t="str">
        <f>IFERROR(__xludf.DUMMYFUNCTION("IF(OR(ISBLANK($G154), IFERROR(INDEX(GOOGLEFINANCE($C154, ""price"", WORKDAY(INT($B154), 20)), 2, 2), """")=""""), """", IF($D154=""LONG"", (IFERROR(INDEX(GOOGLEFINANCE($C154, ""price"", WORKDAY(INT($B154), 20)), 2, 2), """")-$G154)/$G154, ($G154-IFERROR(I"&amp;"NDEX(GOOGLEFINANCE($C154, ""price"", WORKDAY(INT($B154), 20)), 2, 2), """"))/$G154))"),"")</f>
        <v/>
      </c>
      <c r="T154" s="10" t="s">
        <v>1293</v>
      </c>
    </row>
    <row r="155">
      <c r="A155" s="9">
        <f t="shared" si="1"/>
        <v>154</v>
      </c>
      <c r="B155" s="11">
        <v>46216.66769675926</v>
      </c>
      <c r="C155" s="10" t="s">
        <v>1294</v>
      </c>
      <c r="D155" s="10" t="s">
        <v>119</v>
      </c>
      <c r="E155" s="10" t="s">
        <v>120</v>
      </c>
      <c r="F155" s="13">
        <v>4.0</v>
      </c>
      <c r="G155" s="14">
        <v>313.73</v>
      </c>
      <c r="H155" s="10" t="s">
        <v>1297</v>
      </c>
      <c r="I155" s="10">
        <v>2.3</v>
      </c>
      <c r="O155" s="15">
        <f>IFERROR(__xludf.DUMMYFUNCTION("IF(ISBLANK($C155), """", GOOGLEFINANCE($C155, ""price""))"),315.87)</f>
        <v>315.87</v>
      </c>
      <c r="P155" s="16">
        <f t="shared" si="2"/>
        <v>-0.006821151946</v>
      </c>
      <c r="Q155" s="16">
        <f>IFERROR(__xludf.DUMMYFUNCTION("IF(OR(ISBLANK($G155), IFERROR(INDEX(GOOGLEFINANCE($C155, ""price"", WORKDAY(INT($B155), 1)), 2, 2), """")=""""), """", IF($D155=""LONG"", (IFERROR(INDEX(GOOGLEFINANCE($C155, ""price"", WORKDAY(INT($B155), 1)), 2, 2), """")-$G155)/$G155, ($G155-IFERROR(IND"&amp;"EX(GOOGLEFINANCE($C155, ""price"", WORKDAY(INT($B155), 1)), 2, 2), """"))/$G155))"),2.2312179262420928E-4)</f>
        <v>0.0002231217926</v>
      </c>
      <c r="R155" s="16">
        <f>IFERROR(__xludf.DUMMYFUNCTION("IF(OR(ISBLANK($G155), IFERROR(INDEX(GOOGLEFINANCE($C155, ""price"", WORKDAY(INT($B155), 5)), 2, 2), """")=""""), """", IF($D155=""LONG"", (IFERROR(INDEX(GOOGLEFINANCE($C155, ""price"", WORKDAY(INT($B155), 5)), 2, 2), """")-$G155)/$G155, ($G155-IFERROR(IND"&amp;"EX(GOOGLEFINANCE($C155, ""price"", WORKDAY(INT($B155), 5)), 2, 2), """"))/$G155))"),0.023937780894399612)</f>
        <v>0.02393778089</v>
      </c>
      <c r="S155" s="16" t="str">
        <f>IFERROR(__xludf.DUMMYFUNCTION("IF(OR(ISBLANK($G155), IFERROR(INDEX(GOOGLEFINANCE($C155, ""price"", WORKDAY(INT($B155), 20)), 2, 2), """")=""""), """", IF($D155=""LONG"", (IFERROR(INDEX(GOOGLEFINANCE($C155, ""price"", WORKDAY(INT($B155), 20)), 2, 2), """")-$G155)/$G155, ($G155-IFERROR(I"&amp;"NDEX(GOOGLEFINANCE($C155, ""price"", WORKDAY(INT($B155), 20)), 2, 2), """"))/$G155))"),"")</f>
        <v/>
      </c>
      <c r="T155" s="10" t="s">
        <v>1302</v>
      </c>
    </row>
    <row r="156">
      <c r="A156" s="9">
        <f t="shared" si="1"/>
        <v>155</v>
      </c>
      <c r="B156" s="11">
        <v>46216.66758101852</v>
      </c>
      <c r="C156" s="10" t="s">
        <v>299</v>
      </c>
      <c r="D156" s="10" t="s">
        <v>36</v>
      </c>
      <c r="E156" s="10" t="s">
        <v>37</v>
      </c>
      <c r="F156" s="13">
        <v>2.0</v>
      </c>
      <c r="G156" s="14">
        <v>40.19</v>
      </c>
      <c r="H156" s="10" t="s">
        <v>1303</v>
      </c>
      <c r="I156" s="10">
        <v>94.3</v>
      </c>
      <c r="O156" s="15">
        <f>IFERROR(__xludf.DUMMYFUNCTION("IF(ISBLANK($C156), """", GOOGLEFINANCE($C156, ""price""))"),38.14)</f>
        <v>38.14</v>
      </c>
      <c r="P156" s="16">
        <f t="shared" si="2"/>
        <v>-0.05100771336</v>
      </c>
      <c r="Q156" s="16">
        <f>IFERROR(__xludf.DUMMYFUNCTION("IF(OR(ISBLANK($G156), IFERROR(INDEX(GOOGLEFINANCE($C156, ""price"", WORKDAY(INT($B156), 1)), 2, 2), """")=""""), """", IF($D156=""LONG"", (IFERROR(INDEX(GOOGLEFINANCE($C156, ""price"", WORKDAY(INT($B156), 1)), 2, 2), """")-$G156)/$G156, ($G156-IFERROR(IND"&amp;"EX(GOOGLEFINANCE($C156, ""price"", WORKDAY(INT($B156), 1)), 2, 2), """"))/$G156))"),-0.005473998507091288)</f>
        <v>-0.005473998507</v>
      </c>
      <c r="R156" s="16">
        <f>IFERROR(__xludf.DUMMYFUNCTION("IF(OR(ISBLANK($G156), IFERROR(INDEX(GOOGLEFINANCE($C156, ""price"", WORKDAY(INT($B156), 5)), 2, 2), """")=""""), """", IF($D156=""LONG"", (IFERROR(INDEX(GOOGLEFINANCE($C156, ""price"", WORKDAY(INT($B156), 5)), 2, 2), """")-$G156)/$G156, ($G156-IFERROR(IND"&amp;"EX(GOOGLEFINANCE($C156, ""price"", WORKDAY(INT($B156), 5)), 2, 2), """"))/$G156))"),-0.011196815128141224)</f>
        <v>-0.01119681513</v>
      </c>
      <c r="S156" s="16" t="str">
        <f>IFERROR(__xludf.DUMMYFUNCTION("IF(OR(ISBLANK($G156), IFERROR(INDEX(GOOGLEFINANCE($C156, ""price"", WORKDAY(INT($B156), 20)), 2, 2), """")=""""), """", IF($D156=""LONG"", (IFERROR(INDEX(GOOGLEFINANCE($C156, ""price"", WORKDAY(INT($B156), 20)), 2, 2), """")-$G156)/$G156, ($G156-IFERROR(I"&amp;"NDEX(GOOGLEFINANCE($C156, ""price"", WORKDAY(INT($B156), 20)), 2, 2), """"))/$G156))"),"")</f>
        <v/>
      </c>
      <c r="T156" s="10" t="s">
        <v>1309</v>
      </c>
    </row>
    <row r="157">
      <c r="A157" s="9">
        <f t="shared" si="1"/>
        <v>156</v>
      </c>
      <c r="B157" s="11">
        <v>46216.66755787037</v>
      </c>
      <c r="C157" s="10" t="s">
        <v>94</v>
      </c>
      <c r="D157" s="10" t="s">
        <v>36</v>
      </c>
      <c r="E157" s="10" t="s">
        <v>37</v>
      </c>
      <c r="F157" s="13">
        <v>2.0</v>
      </c>
      <c r="G157" s="14">
        <v>57.19</v>
      </c>
      <c r="H157" s="10" t="s">
        <v>1310</v>
      </c>
      <c r="I157" s="10">
        <v>92.5</v>
      </c>
      <c r="O157" s="15">
        <f>IFERROR(__xludf.DUMMYFUNCTION("IF(ISBLANK($C157), """", GOOGLEFINANCE($C157, ""price""))"),56.96)</f>
        <v>56.96</v>
      </c>
      <c r="P157" s="16">
        <f t="shared" si="2"/>
        <v>-0.004021682112</v>
      </c>
      <c r="Q157" s="16">
        <f>IFERROR(__xludf.DUMMYFUNCTION("IF(OR(ISBLANK($G157), IFERROR(INDEX(GOOGLEFINANCE($C157, ""price"", WORKDAY(INT($B157), 1)), 2, 2), """")=""""), """", IF($D157=""LONG"", (IFERROR(INDEX(GOOGLEFINANCE($C157, ""price"", WORKDAY(INT($B157), 1)), 2, 2), """")-$G157)/$G157, ($G157-IFERROR(IND"&amp;"EX(GOOGLEFINANCE($C157, ""price"", WORKDAY(INT($B157), 1)), 2, 2), """"))/$G157))"),-0.002447980416156681)</f>
        <v>-0.002447980416</v>
      </c>
      <c r="R157" s="16">
        <f>IFERROR(__xludf.DUMMYFUNCTION("IF(OR(ISBLANK($G157), IFERROR(INDEX(GOOGLEFINANCE($C157, ""price"", WORKDAY(INT($B157), 5)), 2, 2), """")=""""), """", IF($D157=""LONG"", (IFERROR(INDEX(GOOGLEFINANCE($C157, ""price"", WORKDAY(INT($B157), 5)), 2, 2), """")-$G157)/$G157, ($G157-IFERROR(IND"&amp;"EX(GOOGLEFINANCE($C157, ""price"", WORKDAY(INT($B157), 5)), 2, 2), """"))/$G157))"),0.003671970624235021)</f>
        <v>0.003671970624</v>
      </c>
      <c r="S157" s="16" t="str">
        <f>IFERROR(__xludf.DUMMYFUNCTION("IF(OR(ISBLANK($G157), IFERROR(INDEX(GOOGLEFINANCE($C157, ""price"", WORKDAY(INT($B157), 20)), 2, 2), """")=""""), """", IF($D157=""LONG"", (IFERROR(INDEX(GOOGLEFINANCE($C157, ""price"", WORKDAY(INT($B157), 20)), 2, 2), """")-$G157)/$G157, ($G157-IFERROR(I"&amp;"NDEX(GOOGLEFINANCE($C157, ""price"", WORKDAY(INT($B157), 20)), 2, 2), """"))/$G157))"),"")</f>
        <v/>
      </c>
      <c r="T157" s="10" t="s">
        <v>1315</v>
      </c>
    </row>
    <row r="158">
      <c r="A158" s="9">
        <f t="shared" si="1"/>
        <v>157</v>
      </c>
      <c r="B158" s="11">
        <v>46216.66756944444</v>
      </c>
      <c r="C158" s="10" t="s">
        <v>272</v>
      </c>
      <c r="D158" s="10" t="s">
        <v>36</v>
      </c>
      <c r="E158" s="10" t="s">
        <v>37</v>
      </c>
      <c r="F158" s="13">
        <v>2.0</v>
      </c>
      <c r="G158" s="14">
        <v>334.63</v>
      </c>
      <c r="H158" s="10" t="s">
        <v>1316</v>
      </c>
      <c r="I158" s="10">
        <v>94.6</v>
      </c>
      <c r="O158" s="15">
        <f>IFERROR(__xludf.DUMMYFUNCTION("IF(ISBLANK($C158), """", GOOGLEFINANCE($C158, ""price""))"),356.3)</f>
        <v>356.3</v>
      </c>
      <c r="P158" s="16">
        <f t="shared" si="2"/>
        <v>0.06475809103</v>
      </c>
      <c r="Q158" s="16">
        <f>IFERROR(__xludf.DUMMYFUNCTION("IF(OR(ISBLANK($G158), IFERROR(INDEX(GOOGLEFINANCE($C158, ""price"", WORKDAY(INT($B158), 1)), 2, 2), """")=""""), """", IF($D158=""LONG"", (IFERROR(INDEX(GOOGLEFINANCE($C158, ""price"", WORKDAY(INT($B158), 1)), 2, 2), """")-$G158)/$G158, ($G158-IFERROR(IND"&amp;"EX(GOOGLEFINANCE($C158, ""price"", WORKDAY(INT($B158), 1)), 2, 2), """"))/$G158))"),0.024683979320443448)</f>
        <v>0.02468397932</v>
      </c>
      <c r="R158" s="16">
        <f>IFERROR(__xludf.DUMMYFUNCTION("IF(OR(ISBLANK($G158), IFERROR(INDEX(GOOGLEFINANCE($C158, ""price"", WORKDAY(INT($B158), 5)), 2, 2), """")=""""), """", IF($D158=""LONG"", (IFERROR(INDEX(GOOGLEFINANCE($C158, ""price"", WORKDAY(INT($B158), 5)), 2, 2), """")-$G158)/$G158, ($G158-IFERROR(IND"&amp;"EX(GOOGLEFINANCE($C158, ""price"", WORKDAY(INT($B158), 5)), 2, 2), """"))/$G158))"),0.012670710934464958)</f>
        <v>0.01267071093</v>
      </c>
      <c r="S158" s="16" t="str">
        <f>IFERROR(__xludf.DUMMYFUNCTION("IF(OR(ISBLANK($G158), IFERROR(INDEX(GOOGLEFINANCE($C158, ""price"", WORKDAY(INT($B158), 20)), 2, 2), """")=""""), """", IF($D158=""LONG"", (IFERROR(INDEX(GOOGLEFINANCE($C158, ""price"", WORKDAY(INT($B158), 20)), 2, 2), """")-$G158)/$G158, ($G158-IFERROR(I"&amp;"NDEX(GOOGLEFINANCE($C158, ""price"", WORKDAY(INT($B158), 20)), 2, 2), """"))/$G158))"),"")</f>
        <v/>
      </c>
      <c r="T158" s="10" t="s">
        <v>1319</v>
      </c>
    </row>
    <row r="159">
      <c r="A159" s="9">
        <f t="shared" si="1"/>
        <v>158</v>
      </c>
      <c r="B159" s="11">
        <v>46216.667662037034</v>
      </c>
      <c r="C159" s="10" t="s">
        <v>1321</v>
      </c>
      <c r="D159" s="10" t="s">
        <v>119</v>
      </c>
      <c r="E159" s="10" t="s">
        <v>120</v>
      </c>
      <c r="F159" s="13">
        <v>4.0</v>
      </c>
      <c r="G159" s="14">
        <v>21.57</v>
      </c>
      <c r="H159" s="10" t="s">
        <v>1323</v>
      </c>
      <c r="I159" s="10">
        <v>15.4</v>
      </c>
      <c r="O159" s="15">
        <f>IFERROR(__xludf.DUMMYFUNCTION("IF(ISBLANK($C159), """", GOOGLEFINANCE($C159, ""price""))"),23.71)</f>
        <v>23.71</v>
      </c>
      <c r="P159" s="16">
        <f t="shared" si="2"/>
        <v>-0.09921186834</v>
      </c>
      <c r="Q159" s="16">
        <f>IFERROR(__xludf.DUMMYFUNCTION("IF(OR(ISBLANK($G159), IFERROR(INDEX(GOOGLEFINANCE($C159, ""price"", WORKDAY(INT($B159), 1)), 2, 2), """")=""""), """", IF($D159=""LONG"", (IFERROR(INDEX(GOOGLEFINANCE($C159, ""price"", WORKDAY(INT($B159), 1)), 2, 2), """")-$G159)/$G159, ($G159-IFERROR(IND"&amp;"EX(GOOGLEFINANCE($C159, ""price"", WORKDAY(INT($B159), 1)), 2, 2), """"))/$G159))"),0.013444598980064865)</f>
        <v>0.01344459898</v>
      </c>
      <c r="R159" s="16">
        <f>IFERROR(__xludf.DUMMYFUNCTION("IF(OR(ISBLANK($G159), IFERROR(INDEX(GOOGLEFINANCE($C159, ""price"", WORKDAY(INT($B159), 5)), 2, 2), """")=""""), """", IF($D159=""LONG"", (IFERROR(INDEX(GOOGLEFINANCE($C159, ""price"", WORKDAY(INT($B159), 5)), 2, 2), """")-$G159)/$G159, ($G159-IFERROR(IND"&amp;"EX(GOOGLEFINANCE($C159, ""price"", WORKDAY(INT($B159), 5)), 2, 2), """"))/$G159))"),-0.017617060732498795)</f>
        <v>-0.01761706073</v>
      </c>
      <c r="S159" s="16" t="str">
        <f>IFERROR(__xludf.DUMMYFUNCTION("IF(OR(ISBLANK($G159), IFERROR(INDEX(GOOGLEFINANCE($C159, ""price"", WORKDAY(INT($B159), 20)), 2, 2), """")=""""), """", IF($D159=""LONG"", (IFERROR(INDEX(GOOGLEFINANCE($C159, ""price"", WORKDAY(INT($B159), 20)), 2, 2), """")-$G159)/$G159, ($G159-IFERROR(I"&amp;"NDEX(GOOGLEFINANCE($C159, ""price"", WORKDAY(INT($B159), 20)), 2, 2), """"))/$G159))"),"")</f>
        <v/>
      </c>
      <c r="T159" s="10" t="s">
        <v>1326</v>
      </c>
    </row>
    <row r="160">
      <c r="A160" s="9">
        <f t="shared" si="1"/>
        <v>159</v>
      </c>
      <c r="B160" s="11">
        <v>46216.6675</v>
      </c>
      <c r="C160" s="10" t="s">
        <v>1327</v>
      </c>
      <c r="D160" s="10" t="s">
        <v>36</v>
      </c>
      <c r="E160" s="10" t="s">
        <v>37</v>
      </c>
      <c r="F160" s="13">
        <v>2.0</v>
      </c>
      <c r="G160" s="14">
        <v>1084.89</v>
      </c>
      <c r="H160" s="10" t="s">
        <v>1329</v>
      </c>
      <c r="I160" s="10">
        <v>83.2</v>
      </c>
      <c r="O160" s="15">
        <f>IFERROR(__xludf.DUMMYFUNCTION("IF(ISBLANK($C160), """", GOOGLEFINANCE($C160, ""price""))"),1162.66)</f>
        <v>1162.66</v>
      </c>
      <c r="P160" s="16">
        <f t="shared" si="2"/>
        <v>0.07168468693</v>
      </c>
      <c r="Q160" s="16">
        <f>IFERROR(__xludf.DUMMYFUNCTION("IF(OR(ISBLANK($G160), IFERROR(INDEX(GOOGLEFINANCE($C160, ""price"", WORKDAY(INT($B160), 1)), 2, 2), """")=""""), """", IF($D160=""LONG"", (IFERROR(INDEX(GOOGLEFINANCE($C160, ""price"", WORKDAY(INT($B160), 1)), 2, 2), """")-$G160)/$G160, ($G160-IFERROR(IND"&amp;"EX(GOOGLEFINANCE($C160, ""price"", WORKDAY(INT($B160), 1)), 2, 2), """"))/$G160))"),-0.017568601425029425)</f>
        <v>-0.01756860143</v>
      </c>
      <c r="R160" s="16">
        <f>IFERROR(__xludf.DUMMYFUNCTION("IF(OR(ISBLANK($G160), IFERROR(INDEX(GOOGLEFINANCE($C160, ""price"", WORKDAY(INT($B160), 5)), 2, 2), """")=""""), """", IF($D160=""LONG"", (IFERROR(INDEX(GOOGLEFINANCE($C160, ""price"", WORKDAY(INT($B160), 5)), 2, 2), """")-$G160)/$G160, ($G160-IFERROR(IND"&amp;"EX(GOOGLEFINANCE($C160, ""price"", WORKDAY(INT($B160), 5)), 2, 2), """"))/$G160))"),-0.06653209081105002)</f>
        <v>-0.06653209081</v>
      </c>
      <c r="S160" s="16" t="str">
        <f>IFERROR(__xludf.DUMMYFUNCTION("IF(OR(ISBLANK($G160), IFERROR(INDEX(GOOGLEFINANCE($C160, ""price"", WORKDAY(INT($B160), 20)), 2, 2), """")=""""), """", IF($D160=""LONG"", (IFERROR(INDEX(GOOGLEFINANCE($C160, ""price"", WORKDAY(INT($B160), 20)), 2, 2), """")-$G160)/$G160, ($G160-IFERROR(I"&amp;"NDEX(GOOGLEFINANCE($C160, ""price"", WORKDAY(INT($B160), 20)), 2, 2), """"))/$G160))"),"")</f>
        <v/>
      </c>
      <c r="T160" s="10" t="s">
        <v>1332</v>
      </c>
    </row>
    <row r="161">
      <c r="A161" s="9">
        <f t="shared" si="1"/>
        <v>160</v>
      </c>
      <c r="B161" s="11">
        <v>46216.667719907404</v>
      </c>
      <c r="C161" s="10" t="s">
        <v>273</v>
      </c>
      <c r="D161" s="10" t="s">
        <v>119</v>
      </c>
      <c r="E161" s="10" t="s">
        <v>120</v>
      </c>
      <c r="F161" s="13">
        <v>4.0</v>
      </c>
      <c r="G161" s="14">
        <v>45.89</v>
      </c>
      <c r="H161" s="10" t="s">
        <v>1333</v>
      </c>
      <c r="I161" s="10">
        <v>15.4</v>
      </c>
      <c r="O161" s="15">
        <f>IFERROR(__xludf.DUMMYFUNCTION("IF(ISBLANK($C161), """", GOOGLEFINANCE($C161, ""price""))"),46.11)</f>
        <v>46.11</v>
      </c>
      <c r="P161" s="16">
        <f t="shared" si="2"/>
        <v>-0.004794072783</v>
      </c>
      <c r="Q161" s="16">
        <f>IFERROR(__xludf.DUMMYFUNCTION("IF(OR(ISBLANK($G161), IFERROR(INDEX(GOOGLEFINANCE($C161, ""price"", WORKDAY(INT($B161), 1)), 2, 2), """")=""""), """", IF($D161=""LONG"", (IFERROR(INDEX(GOOGLEFINANCE($C161, ""price"", WORKDAY(INT($B161), 1)), 2, 2), """")-$G161)/$G161, ($G161-IFERROR(IND"&amp;"EX(GOOGLEFINANCE($C161, ""price"", WORKDAY(INT($B161), 1)), 2, 2), """"))/$G161))"),0.024188276312922193)</f>
        <v>0.02418827631</v>
      </c>
      <c r="R161" s="16">
        <f>IFERROR(__xludf.DUMMYFUNCTION("IF(OR(ISBLANK($G161), IFERROR(INDEX(GOOGLEFINANCE($C161, ""price"", WORKDAY(INT($B161), 5)), 2, 2), """")=""""), """", IF($D161=""LONG"", (IFERROR(INDEX(GOOGLEFINANCE($C161, ""price"", WORKDAY(INT($B161), 5)), 2, 2), """")-$G161)/$G161, ($G161-IFERROR(IND"&amp;"EX(GOOGLEFINANCE($C161, ""price"", WORKDAY(INT($B161), 5)), 2, 2), """"))/$G161))"),0.0017432991937240856)</f>
        <v>0.001743299194</v>
      </c>
      <c r="S161" s="16" t="str">
        <f>IFERROR(__xludf.DUMMYFUNCTION("IF(OR(ISBLANK($G161), IFERROR(INDEX(GOOGLEFINANCE($C161, ""price"", WORKDAY(INT($B161), 20)), 2, 2), """")=""""), """", IF($D161=""LONG"", (IFERROR(INDEX(GOOGLEFINANCE($C161, ""price"", WORKDAY(INT($B161), 20)), 2, 2), """")-$G161)/$G161, ($G161-IFERROR(I"&amp;"NDEX(GOOGLEFINANCE($C161, ""price"", WORKDAY(INT($B161), 20)), 2, 2), """"))/$G161))"),"")</f>
        <v/>
      </c>
      <c r="T161" s="10" t="s">
        <v>1336</v>
      </c>
    </row>
    <row r="162">
      <c r="A162" s="9">
        <f t="shared" si="1"/>
        <v>161</v>
      </c>
      <c r="B162" s="11">
        <v>46216.66741898148</v>
      </c>
      <c r="C162" s="10" t="s">
        <v>789</v>
      </c>
      <c r="D162" s="10" t="s">
        <v>36</v>
      </c>
      <c r="E162" s="10" t="s">
        <v>37</v>
      </c>
      <c r="F162" s="13">
        <v>2.0</v>
      </c>
      <c r="G162" s="14">
        <v>91.82</v>
      </c>
      <c r="H162" s="10" t="s">
        <v>1337</v>
      </c>
      <c r="I162" s="10">
        <v>93.7</v>
      </c>
      <c r="O162" s="15">
        <f>IFERROR(__xludf.DUMMYFUNCTION("IF(ISBLANK($C162), """", GOOGLEFINANCE($C162, ""price""))"),89.32)</f>
        <v>89.32</v>
      </c>
      <c r="P162" s="16">
        <f t="shared" si="2"/>
        <v>-0.02722718362</v>
      </c>
      <c r="Q162" s="16">
        <f>IFERROR(__xludf.DUMMYFUNCTION("IF(OR(ISBLANK($G162), IFERROR(INDEX(GOOGLEFINANCE($C162, ""price"", WORKDAY(INT($B162), 1)), 2, 2), """")=""""), """", IF($D162=""LONG"", (IFERROR(INDEX(GOOGLEFINANCE($C162, ""price"", WORKDAY(INT($B162), 1)), 2, 2), """")-$G162)/$G162, ($G162-IFERROR(IND"&amp;"EX(GOOGLEFINANCE($C162, ""price"", WORKDAY(INT($B162), 1)), 2, 2), """"))/$G162))"),-0.018841211065127313)</f>
        <v>-0.01884121107</v>
      </c>
      <c r="R162" s="16">
        <f>IFERROR(__xludf.DUMMYFUNCTION("IF(OR(ISBLANK($G162), IFERROR(INDEX(GOOGLEFINANCE($C162, ""price"", WORKDAY(INT($B162), 5)), 2, 2), """")=""""), """", IF($D162=""LONG"", (IFERROR(INDEX(GOOGLEFINANCE($C162, ""price"", WORKDAY(INT($B162), 5)), 2, 2), """")-$G162)/$G162, ($G162-IFERROR(IND"&amp;"EX(GOOGLEFINANCE($C162, ""price"", WORKDAY(INT($B162), 5)), 2, 2), """"))/$G162))"),-0.07427575691570457)</f>
        <v>-0.07427575692</v>
      </c>
      <c r="S162" s="16" t="str">
        <f>IFERROR(__xludf.DUMMYFUNCTION("IF(OR(ISBLANK($G162), IFERROR(INDEX(GOOGLEFINANCE($C162, ""price"", WORKDAY(INT($B162), 20)), 2, 2), """")=""""), """", IF($D162=""LONG"", (IFERROR(INDEX(GOOGLEFINANCE($C162, ""price"", WORKDAY(INT($B162), 20)), 2, 2), """")-$G162)/$G162, ($G162-IFERROR(I"&amp;"NDEX(GOOGLEFINANCE($C162, ""price"", WORKDAY(INT($B162), 20)), 2, 2), """"))/$G162))"),"")</f>
        <v/>
      </c>
      <c r="T162" s="10" t="s">
        <v>1341</v>
      </c>
    </row>
    <row r="163">
      <c r="A163" s="9">
        <f t="shared" si="1"/>
        <v>162</v>
      </c>
      <c r="B163" s="11">
        <v>46216.66751157407</v>
      </c>
      <c r="C163" s="10" t="s">
        <v>77</v>
      </c>
      <c r="D163" s="10" t="s">
        <v>36</v>
      </c>
      <c r="E163" s="10" t="s">
        <v>37</v>
      </c>
      <c r="F163" s="13">
        <v>2.0</v>
      </c>
      <c r="G163" s="14">
        <v>113.41</v>
      </c>
      <c r="H163" s="10" t="s">
        <v>1343</v>
      </c>
      <c r="I163" s="10">
        <v>89.0</v>
      </c>
      <c r="O163" s="15">
        <f>IFERROR(__xludf.DUMMYFUNCTION("IF(ISBLANK($C163), """", GOOGLEFINANCE($C163, ""price""))"),108.27)</f>
        <v>108.27</v>
      </c>
      <c r="P163" s="16">
        <f t="shared" si="2"/>
        <v>-0.04532228199</v>
      </c>
      <c r="Q163" s="16">
        <f>IFERROR(__xludf.DUMMYFUNCTION("IF(OR(ISBLANK($G163), IFERROR(INDEX(GOOGLEFINANCE($C163, ""price"", WORKDAY(INT($B163), 1)), 2, 2), """")=""""), """", IF($D163=""LONG"", (IFERROR(INDEX(GOOGLEFINANCE($C163, ""price"", WORKDAY(INT($B163), 1)), 2, 2), """")-$G163)/$G163, ($G163-IFERROR(IND"&amp;"EX(GOOGLEFINANCE($C163, ""price"", WORKDAY(INT($B163), 1)), 2, 2), """"))/$G163))"),-0.0040560797107838265)</f>
        <v>-0.004056079711</v>
      </c>
      <c r="R163" s="16">
        <f>IFERROR(__xludf.DUMMYFUNCTION("IF(OR(ISBLANK($G163), IFERROR(INDEX(GOOGLEFINANCE($C163, ""price"", WORKDAY(INT($B163), 5)), 2, 2), """")=""""), """", IF($D163=""LONG"", (IFERROR(INDEX(GOOGLEFINANCE($C163, ""price"", WORKDAY(INT($B163), 5)), 2, 2), """")-$G163)/$G163, ($G163-IFERROR(IND"&amp;"EX(GOOGLEFINANCE($C163, ""price"", WORKDAY(INT($B163), 5)), 2, 2), """"))/$G163))"),-0.026364518120095184)</f>
        <v>-0.02636451812</v>
      </c>
      <c r="S163" s="16" t="str">
        <f>IFERROR(__xludf.DUMMYFUNCTION("IF(OR(ISBLANK($G163), IFERROR(INDEX(GOOGLEFINANCE($C163, ""price"", WORKDAY(INT($B163), 20)), 2, 2), """")=""""), """", IF($D163=""LONG"", (IFERROR(INDEX(GOOGLEFINANCE($C163, ""price"", WORKDAY(INT($B163), 20)), 2, 2), """")-$G163)/$G163, ($G163-IFERROR(I"&amp;"NDEX(GOOGLEFINANCE($C163, ""price"", WORKDAY(INT($B163), 20)), 2, 2), """"))/$G163))"),"")</f>
        <v/>
      </c>
      <c r="T163" s="10" t="s">
        <v>1348</v>
      </c>
    </row>
    <row r="164">
      <c r="A164" s="9">
        <f t="shared" si="1"/>
        <v>163</v>
      </c>
      <c r="B164" s="11">
        <v>46216.66756944444</v>
      </c>
      <c r="C164" s="10" t="s">
        <v>707</v>
      </c>
      <c r="D164" s="10" t="s">
        <v>36</v>
      </c>
      <c r="E164" s="10" t="s">
        <v>37</v>
      </c>
      <c r="F164" s="13">
        <v>2.0</v>
      </c>
      <c r="G164" s="14">
        <v>111.86</v>
      </c>
      <c r="H164" s="10" t="s">
        <v>1350</v>
      </c>
      <c r="I164" s="10">
        <v>94.5</v>
      </c>
      <c r="O164" s="15">
        <f>IFERROR(__xludf.DUMMYFUNCTION("IF(ISBLANK($C164), """", GOOGLEFINANCE($C164, ""price""))"),108.95)</f>
        <v>108.95</v>
      </c>
      <c r="P164" s="16">
        <f t="shared" si="2"/>
        <v>-0.02601466118</v>
      </c>
      <c r="Q164" s="16">
        <f>IFERROR(__xludf.DUMMYFUNCTION("IF(OR(ISBLANK($G164), IFERROR(INDEX(GOOGLEFINANCE($C164, ""price"", WORKDAY(INT($B164), 1)), 2, 2), """")=""""), """", IF($D164=""LONG"", (IFERROR(INDEX(GOOGLEFINANCE($C164, ""price"", WORKDAY(INT($B164), 1)), 2, 2), """")-$G164)/$G164, ($G164-IFERROR(IND"&amp;"EX(GOOGLEFINANCE($C164, ""price"", WORKDAY(INT($B164), 1)), 2, 2), """"))/$G164))"),8.939746111209934E-4)</f>
        <v>0.0008939746111</v>
      </c>
      <c r="R164" s="16">
        <f>IFERROR(__xludf.DUMMYFUNCTION("IF(OR(ISBLANK($G164), IFERROR(INDEX(GOOGLEFINANCE($C164, ""price"", WORKDAY(INT($B164), 5)), 2, 2), """")=""""), """", IF($D164=""LONG"", (IFERROR(INDEX(GOOGLEFINANCE($C164, ""price"", WORKDAY(INT($B164), 5)), 2, 2), """")-$G164)/$G164, ($G164-IFERROR(IND"&amp;"EX(GOOGLEFINANCE($C164, ""price"", WORKDAY(INT($B164), 5)), 2, 2), """"))/$G164))"),-0.007241194350080478)</f>
        <v>-0.00724119435</v>
      </c>
      <c r="S164" s="16" t="str">
        <f>IFERROR(__xludf.DUMMYFUNCTION("IF(OR(ISBLANK($G164), IFERROR(INDEX(GOOGLEFINANCE($C164, ""price"", WORKDAY(INT($B164), 20)), 2, 2), """")=""""), """", IF($D164=""LONG"", (IFERROR(INDEX(GOOGLEFINANCE($C164, ""price"", WORKDAY(INT($B164), 20)), 2, 2), """")-$G164)/$G164, ($G164-IFERROR(I"&amp;"NDEX(GOOGLEFINANCE($C164, ""price"", WORKDAY(INT($B164), 20)), 2, 2), """"))/$G164))"),"")</f>
        <v/>
      </c>
      <c r="T164" s="10" t="s">
        <v>1356</v>
      </c>
    </row>
    <row r="165">
      <c r="A165" s="9">
        <f t="shared" si="1"/>
        <v>164</v>
      </c>
      <c r="B165" s="11">
        <v>46216.6675</v>
      </c>
      <c r="C165" s="10" t="s">
        <v>257</v>
      </c>
      <c r="D165" s="10" t="s">
        <v>36</v>
      </c>
      <c r="E165" s="10" t="s">
        <v>37</v>
      </c>
      <c r="F165" s="13">
        <v>2.0</v>
      </c>
      <c r="G165" s="14">
        <v>67.05</v>
      </c>
      <c r="H165" s="10" t="s">
        <v>1358</v>
      </c>
      <c r="I165" s="10">
        <v>94.7</v>
      </c>
      <c r="O165" s="15">
        <f>IFERROR(__xludf.DUMMYFUNCTION("IF(ISBLANK($C165), """", GOOGLEFINANCE($C165, ""price""))"),68.81)</f>
        <v>68.81</v>
      </c>
      <c r="P165" s="16">
        <f t="shared" si="2"/>
        <v>0.02624906786</v>
      </c>
      <c r="Q165" s="16">
        <f>IFERROR(__xludf.DUMMYFUNCTION("IF(OR(ISBLANK($G165), IFERROR(INDEX(GOOGLEFINANCE($C165, ""price"", WORKDAY(INT($B165), 1)), 2, 2), """")=""""), """", IF($D165=""LONG"", (IFERROR(INDEX(GOOGLEFINANCE($C165, ""price"", WORKDAY(INT($B165), 1)), 2, 2), """")-$G165)/$G165, ($G165-IFERROR(IND"&amp;"EX(GOOGLEFINANCE($C165, ""price"", WORKDAY(INT($B165), 1)), 2, 2), """"))/$G165))"),0.009992542878448944)</f>
        <v>0.009992542878</v>
      </c>
      <c r="R165" s="16">
        <f>IFERROR(__xludf.DUMMYFUNCTION("IF(OR(ISBLANK($G165), IFERROR(INDEX(GOOGLEFINANCE($C165, ""price"", WORKDAY(INT($B165), 5)), 2, 2), """")=""""), """", IF($D165=""LONG"", (IFERROR(INDEX(GOOGLEFINANCE($C165, ""price"", WORKDAY(INT($B165), 5)), 2, 2), """")-$G165)/$G165, ($G165-IFERROR(IND"&amp;"EX(GOOGLEFINANCE($C165, ""price"", WORKDAY(INT($B165), 5)), 2, 2), """"))/$G165))"),0.012677106636838308)</f>
        <v>0.01267710664</v>
      </c>
      <c r="S165" s="16" t="str">
        <f>IFERROR(__xludf.DUMMYFUNCTION("IF(OR(ISBLANK($G165), IFERROR(INDEX(GOOGLEFINANCE($C165, ""price"", WORKDAY(INT($B165), 20)), 2, 2), """")=""""), """", IF($D165=""LONG"", (IFERROR(INDEX(GOOGLEFINANCE($C165, ""price"", WORKDAY(INT($B165), 20)), 2, 2), """")-$G165)/$G165, ($G165-IFERROR(I"&amp;"NDEX(GOOGLEFINANCE($C165, ""price"", WORKDAY(INT($B165), 20)), 2, 2), """"))/$G165))"),"")</f>
        <v/>
      </c>
      <c r="T165" s="10" t="s">
        <v>1359</v>
      </c>
    </row>
    <row r="166">
      <c r="A166" s="9">
        <f t="shared" si="1"/>
        <v>165</v>
      </c>
      <c r="B166" s="11">
        <v>46216.667662037034</v>
      </c>
      <c r="C166" s="10" t="s">
        <v>264</v>
      </c>
      <c r="D166" s="10" t="s">
        <v>36</v>
      </c>
      <c r="E166" s="10" t="s">
        <v>37</v>
      </c>
      <c r="F166" s="13">
        <v>2.0</v>
      </c>
      <c r="G166" s="14">
        <v>330.26</v>
      </c>
      <c r="H166" s="10" t="s">
        <v>1361</v>
      </c>
      <c r="I166" s="10">
        <v>94.5</v>
      </c>
      <c r="O166" s="15">
        <f>IFERROR(__xludf.DUMMYFUNCTION("IF(ISBLANK($C166), """", GOOGLEFINANCE($C166, ""price""))"),359.49)</f>
        <v>359.49</v>
      </c>
      <c r="P166" s="16">
        <f t="shared" si="2"/>
        <v>0.08850602556</v>
      </c>
      <c r="Q166" s="16">
        <f>IFERROR(__xludf.DUMMYFUNCTION("IF(OR(ISBLANK($G166), IFERROR(INDEX(GOOGLEFINANCE($C166, ""price"", WORKDAY(INT($B166), 1)), 2, 2), """")=""""), """", IF($D166=""LONG"", (IFERROR(INDEX(GOOGLEFINANCE($C166, ""price"", WORKDAY(INT($B166), 1)), 2, 2), """")-$G166)/$G166, ($G166-IFERROR(IND"&amp;"EX(GOOGLEFINANCE($C166, ""price"", WORKDAY(INT($B166), 1)), 2, 2), """"))/$G166))"),0.06852177072609458)</f>
        <v>0.06852177073</v>
      </c>
      <c r="R166" s="16">
        <f>IFERROR(__xludf.DUMMYFUNCTION("IF(OR(ISBLANK($G166), IFERROR(INDEX(GOOGLEFINANCE($C166, ""price"", WORKDAY(INT($B166), 5)), 2, 2), """")=""""), """", IF($D166=""LONG"", (IFERROR(INDEX(GOOGLEFINANCE($C166, ""price"", WORKDAY(INT($B166), 5)), 2, 2), """")-$G166)/$G166, ($G166-IFERROR(IND"&amp;"EX(GOOGLEFINANCE($C166, ""price"", WORKDAY(INT($B166), 5)), 2, 2), """"))/$G166))"),0.05571368013080614)</f>
        <v>0.05571368013</v>
      </c>
      <c r="S166" s="16" t="str">
        <f>IFERROR(__xludf.DUMMYFUNCTION("IF(OR(ISBLANK($G166), IFERROR(INDEX(GOOGLEFINANCE($C166, ""price"", WORKDAY(INT($B166), 20)), 2, 2), """")=""""), """", IF($D166=""LONG"", (IFERROR(INDEX(GOOGLEFINANCE($C166, ""price"", WORKDAY(INT($B166), 20)), 2, 2), """")-$G166)/$G166, ($G166-IFERROR(I"&amp;"NDEX(GOOGLEFINANCE($C166, ""price"", WORKDAY(INT($B166), 20)), 2, 2), """"))/$G166))"),"")</f>
        <v/>
      </c>
      <c r="T166" s="10" t="s">
        <v>1367</v>
      </c>
    </row>
    <row r="167">
      <c r="A167" s="9">
        <f t="shared" si="1"/>
        <v>166</v>
      </c>
      <c r="B167" s="11">
        <v>46216.66753472222</v>
      </c>
      <c r="C167" s="10" t="s">
        <v>238</v>
      </c>
      <c r="D167" s="10" t="s">
        <v>36</v>
      </c>
      <c r="E167" s="10" t="s">
        <v>37</v>
      </c>
      <c r="F167" s="13">
        <v>2.0</v>
      </c>
      <c r="G167" s="14">
        <v>216.41</v>
      </c>
      <c r="H167" s="10" t="s">
        <v>1368</v>
      </c>
      <c r="I167" s="10">
        <v>90.5</v>
      </c>
      <c r="O167" s="15">
        <f>IFERROR(__xludf.DUMMYFUNCTION("IF(ISBLANK($C167), """", GOOGLEFINANCE($C167, ""price""))"),246.89)</f>
        <v>246.89</v>
      </c>
      <c r="P167" s="16">
        <f t="shared" si="2"/>
        <v>0.1408437688</v>
      </c>
      <c r="Q167" s="16">
        <f>IFERROR(__xludf.DUMMYFUNCTION("IF(OR(ISBLANK($G167), IFERROR(INDEX(GOOGLEFINANCE($C167, ""price"", WORKDAY(INT($B167), 1)), 2, 2), """")=""""), """", IF($D167=""LONG"", (IFERROR(INDEX(GOOGLEFINANCE($C167, ""price"", WORKDAY(INT($B167), 1)), 2, 2), """")-$G167)/$G167, ($G167-IFERROR(IND"&amp;"EX(GOOGLEFINANCE($C167, ""price"", WORKDAY(INT($B167), 1)), 2, 2), """"))/$G167))"),0.018159974123192122)</f>
        <v>0.01815997412</v>
      </c>
      <c r="R167" s="16">
        <f>IFERROR(__xludf.DUMMYFUNCTION("IF(OR(ISBLANK($G167), IFERROR(INDEX(GOOGLEFINANCE($C167, ""price"", WORKDAY(INT($B167), 5)), 2, 2), """")=""""), """", IF($D167=""LONG"", (IFERROR(INDEX(GOOGLEFINANCE($C167, ""price"", WORKDAY(INT($B167), 5)), 2, 2), """")-$G167)/$G167, ($G167-IFERROR(IND"&amp;"EX(GOOGLEFINANCE($C167, ""price"", WORKDAY(INT($B167), 5)), 2, 2), """"))/$G167))"),0.03202254978975097)</f>
        <v>0.03202254979</v>
      </c>
      <c r="S167" s="16" t="str">
        <f>IFERROR(__xludf.DUMMYFUNCTION("IF(OR(ISBLANK($G167), IFERROR(INDEX(GOOGLEFINANCE($C167, ""price"", WORKDAY(INT($B167), 20)), 2, 2), """")=""""), """", IF($D167=""LONG"", (IFERROR(INDEX(GOOGLEFINANCE($C167, ""price"", WORKDAY(INT($B167), 20)), 2, 2), """")-$G167)/$G167, ($G167-IFERROR(I"&amp;"NDEX(GOOGLEFINANCE($C167, ""price"", WORKDAY(INT($B167), 20)), 2, 2), """"))/$G167))"),"")</f>
        <v/>
      </c>
      <c r="T167" s="10" t="s">
        <v>1373</v>
      </c>
    </row>
    <row r="168">
      <c r="A168" s="9">
        <f t="shared" si="1"/>
        <v>167</v>
      </c>
      <c r="B168" s="11">
        <v>46216.667662037034</v>
      </c>
      <c r="C168" s="10" t="s">
        <v>383</v>
      </c>
      <c r="D168" s="10" t="s">
        <v>36</v>
      </c>
      <c r="E168" s="10" t="s">
        <v>37</v>
      </c>
      <c r="F168" s="13">
        <v>2.0</v>
      </c>
      <c r="G168" s="14">
        <v>951.16</v>
      </c>
      <c r="H168" s="10" t="s">
        <v>1375</v>
      </c>
      <c r="I168" s="10">
        <v>88.9</v>
      </c>
      <c r="O168" s="15">
        <f>IFERROR(__xludf.DUMMYFUNCTION("IF(ISBLANK($C168), """", GOOGLEFINANCE($C168, ""price""))"),1069.8)</f>
        <v>1069.8</v>
      </c>
      <c r="P168" s="16">
        <f t="shared" si="2"/>
        <v>0.1247319063</v>
      </c>
      <c r="Q168" s="16">
        <f>IFERROR(__xludf.DUMMYFUNCTION("IF(OR(ISBLANK($G168), IFERROR(INDEX(GOOGLEFINANCE($C168, ""price"", WORKDAY(INT($B168), 1)), 2, 2), """")=""""), """", IF($D168=""LONG"", (IFERROR(INDEX(GOOGLEFINANCE($C168, ""price"", WORKDAY(INT($B168), 1)), 2, 2), """")-$G168)/$G168, ($G168-IFERROR(IND"&amp;"EX(GOOGLEFINANCE($C168, ""price"", WORKDAY(INT($B168), 1)), 2, 2), """"))/$G168))"),0.014077547415787026)</f>
        <v>0.01407754742</v>
      </c>
      <c r="R168" s="16">
        <f>IFERROR(__xludf.DUMMYFUNCTION("IF(OR(ISBLANK($G168), IFERROR(INDEX(GOOGLEFINANCE($C168, ""price"", WORKDAY(INT($B168), 5)), 2, 2), """")=""""), """", IF($D168=""LONG"", (IFERROR(INDEX(GOOGLEFINANCE($C168, ""price"", WORKDAY(INT($B168), 5)), 2, 2), """")-$G168)/$G168, ($G168-IFERROR(IND"&amp;"EX(GOOGLEFINANCE($C168, ""price"", WORKDAY(INT($B168), 5)), 2, 2), """"))/$G168))"),-3.889986963286982E-4)</f>
        <v>-0.0003889986963</v>
      </c>
      <c r="S168" s="16" t="str">
        <f>IFERROR(__xludf.DUMMYFUNCTION("IF(OR(ISBLANK($G168), IFERROR(INDEX(GOOGLEFINANCE($C168, ""price"", WORKDAY(INT($B168), 20)), 2, 2), """")=""""), """", IF($D168=""LONG"", (IFERROR(INDEX(GOOGLEFINANCE($C168, ""price"", WORKDAY(INT($B168), 20)), 2, 2), """")-$G168)/$G168, ($G168-IFERROR(I"&amp;"NDEX(GOOGLEFINANCE($C168, ""price"", WORKDAY(INT($B168), 20)), 2, 2), """"))/$G168))"),"")</f>
        <v/>
      </c>
      <c r="T168" s="10" t="s">
        <v>1377</v>
      </c>
    </row>
    <row r="169">
      <c r="A169" s="9">
        <f t="shared" si="1"/>
        <v>168</v>
      </c>
      <c r="B169" s="11">
        <v>46216.66756944444</v>
      </c>
      <c r="C169" s="10" t="s">
        <v>156</v>
      </c>
      <c r="D169" s="10" t="s">
        <v>119</v>
      </c>
      <c r="E169" s="10" t="s">
        <v>120</v>
      </c>
      <c r="F169" s="13">
        <v>4.0</v>
      </c>
      <c r="G169" s="14">
        <v>117.35</v>
      </c>
      <c r="H169" s="10" t="s">
        <v>1379</v>
      </c>
      <c r="I169" s="10">
        <v>7.7</v>
      </c>
      <c r="O169" s="15">
        <f>IFERROR(__xludf.DUMMYFUNCTION("IF(ISBLANK($C169), """", GOOGLEFINANCE($C169, ""price""))"),109.0)</f>
        <v>109</v>
      </c>
      <c r="P169" s="16">
        <f t="shared" si="2"/>
        <v>0.07115466553</v>
      </c>
      <c r="Q169" s="16">
        <f>IFERROR(__xludf.DUMMYFUNCTION("IF(OR(ISBLANK($G169), IFERROR(INDEX(GOOGLEFINANCE($C169, ""price"", WORKDAY(INT($B169), 1)), 2, 2), """")=""""), """", IF($D169=""LONG"", (IFERROR(INDEX(GOOGLEFINANCE($C169, ""price"", WORKDAY(INT($B169), 1)), 2, 2), """")-$G169)/$G169, ($G169-IFERROR(IND"&amp;"EX(GOOGLEFINANCE($C169, ""price"", WORKDAY(INT($B169), 1)), 2, 2), """"))/$G169))"),0.006135492117596923)</f>
        <v>0.006135492118</v>
      </c>
      <c r="R169" s="16">
        <f>IFERROR(__xludf.DUMMYFUNCTION("IF(OR(ISBLANK($G169), IFERROR(INDEX(GOOGLEFINANCE($C169, ""price"", WORKDAY(INT($B169), 5)), 2, 2), """")=""""), """", IF($D169=""LONG"", (IFERROR(INDEX(GOOGLEFINANCE($C169, ""price"", WORKDAY(INT($B169), 5)), 2, 2), """")-$G169)/$G169, ($G169-IFERROR(IND"&amp;"EX(GOOGLEFINANCE($C169, ""price"", WORKDAY(INT($B169), 5)), 2, 2), """"))/$G169))"),-0.026757562846186626)</f>
        <v>-0.02675756285</v>
      </c>
      <c r="S169" s="16" t="str">
        <f>IFERROR(__xludf.DUMMYFUNCTION("IF(OR(ISBLANK($G169), IFERROR(INDEX(GOOGLEFINANCE($C169, ""price"", WORKDAY(INT($B169), 20)), 2, 2), """")=""""), """", IF($D169=""LONG"", (IFERROR(INDEX(GOOGLEFINANCE($C169, ""price"", WORKDAY(INT($B169), 20)), 2, 2), """")-$G169)/$G169, ($G169-IFERROR(I"&amp;"NDEX(GOOGLEFINANCE($C169, ""price"", WORKDAY(INT($B169), 20)), 2, 2), """"))/$G169))"),"")</f>
        <v/>
      </c>
      <c r="T169" s="10" t="s">
        <v>1385</v>
      </c>
    </row>
    <row r="170">
      <c r="A170" s="9">
        <f t="shared" si="1"/>
        <v>169</v>
      </c>
      <c r="B170" s="11">
        <v>46216.66748842593</v>
      </c>
      <c r="C170" s="10" t="s">
        <v>332</v>
      </c>
      <c r="D170" s="10" t="s">
        <v>36</v>
      </c>
      <c r="E170" s="10" t="s">
        <v>37</v>
      </c>
      <c r="F170" s="13">
        <v>2.0</v>
      </c>
      <c r="G170" s="14">
        <v>85.8</v>
      </c>
      <c r="H170" s="10" t="s">
        <v>1386</v>
      </c>
      <c r="I170" s="10">
        <v>95.6</v>
      </c>
      <c r="O170" s="15">
        <f>IFERROR(__xludf.DUMMYFUNCTION("IF(ISBLANK($C170), """", GOOGLEFINANCE($C170, ""price""))"),88.23)</f>
        <v>88.23</v>
      </c>
      <c r="P170" s="16">
        <f t="shared" si="2"/>
        <v>0.02832167832</v>
      </c>
      <c r="Q170" s="16">
        <f>IFERROR(__xludf.DUMMYFUNCTION("IF(OR(ISBLANK($G170), IFERROR(INDEX(GOOGLEFINANCE($C170, ""price"", WORKDAY(INT($B170), 1)), 2, 2), """")=""""), """", IF($D170=""LONG"", (IFERROR(INDEX(GOOGLEFINANCE($C170, ""price"", WORKDAY(INT($B170), 1)), 2, 2), """")-$G170)/$G170, ($G170-IFERROR(IND"&amp;"EX(GOOGLEFINANCE($C170, ""price"", WORKDAY(INT($B170), 1)), 2, 2), """"))/$G170))"),0.012937062937062932)</f>
        <v>0.01293706294</v>
      </c>
      <c r="R170" s="16">
        <f>IFERROR(__xludf.DUMMYFUNCTION("IF(OR(ISBLANK($G170), IFERROR(INDEX(GOOGLEFINANCE($C170, ""price"", WORKDAY(INT($B170), 5)), 2, 2), """")=""""), """", IF($D170=""LONG"", (IFERROR(INDEX(GOOGLEFINANCE($C170, ""price"", WORKDAY(INT($B170), 5)), 2, 2), """")-$G170)/$G170, ($G170-IFERROR(IND"&amp;"EX(GOOGLEFINANCE($C170, ""price"", WORKDAY(INT($B170), 5)), 2, 2), """"))/$G170))"),0.004662004662004729)</f>
        <v>0.004662004662</v>
      </c>
      <c r="S170" s="16" t="str">
        <f>IFERROR(__xludf.DUMMYFUNCTION("IF(OR(ISBLANK($G170), IFERROR(INDEX(GOOGLEFINANCE($C170, ""price"", WORKDAY(INT($B170), 20)), 2, 2), """")=""""), """", IF($D170=""LONG"", (IFERROR(INDEX(GOOGLEFINANCE($C170, ""price"", WORKDAY(INT($B170), 20)), 2, 2), """")-$G170)/$G170, ($G170-IFERROR(I"&amp;"NDEX(GOOGLEFINANCE($C170, ""price"", WORKDAY(INT($B170), 20)), 2, 2), """"))/$G170))"),"")</f>
        <v/>
      </c>
      <c r="T170" s="10" t="s">
        <v>1390</v>
      </c>
    </row>
    <row r="171">
      <c r="A171" s="9">
        <f t="shared" si="1"/>
        <v>170</v>
      </c>
      <c r="B171" s="11">
        <v>46216.66758101852</v>
      </c>
      <c r="C171" s="10" t="s">
        <v>406</v>
      </c>
      <c r="D171" s="10" t="s">
        <v>36</v>
      </c>
      <c r="E171" s="10" t="s">
        <v>37</v>
      </c>
      <c r="F171" s="13">
        <v>2.0</v>
      </c>
      <c r="G171" s="14">
        <v>182.56</v>
      </c>
      <c r="H171" s="10" t="s">
        <v>1392</v>
      </c>
      <c r="I171" s="10">
        <v>93.5</v>
      </c>
      <c r="O171" s="15">
        <f>IFERROR(__xludf.DUMMYFUNCTION("IF(ISBLANK($C171), """", GOOGLEFINANCE($C171, ""price""))"),179.04)</f>
        <v>179.04</v>
      </c>
      <c r="P171" s="16">
        <f t="shared" si="2"/>
        <v>-0.01928133216</v>
      </c>
      <c r="Q171" s="16">
        <f>IFERROR(__xludf.DUMMYFUNCTION("IF(OR(ISBLANK($G171), IFERROR(INDEX(GOOGLEFINANCE($C171, ""price"", WORKDAY(INT($B171), 1)), 2, 2), """")=""""), """", IF($D171=""LONG"", (IFERROR(INDEX(GOOGLEFINANCE($C171, ""price"", WORKDAY(INT($B171), 1)), 2, 2), """")-$G171)/$G171, ($G171-IFERROR(IND"&amp;"EX(GOOGLEFINANCE($C171, ""price"", WORKDAY(INT($B171), 1)), 2, 2), """"))/$G171))"),-0.013858457493426825)</f>
        <v>-0.01385845749</v>
      </c>
      <c r="R171" s="16">
        <f>IFERROR(__xludf.DUMMYFUNCTION("IF(OR(ISBLANK($G171), IFERROR(INDEX(GOOGLEFINANCE($C171, ""price"", WORKDAY(INT($B171), 5)), 2, 2), """")=""""), """", IF($D171=""LONG"", (IFERROR(INDEX(GOOGLEFINANCE($C171, ""price"", WORKDAY(INT($B171), 5)), 2, 2), """")-$G171)/$G171, ($G171-IFERROR(IND"&amp;"EX(GOOGLEFINANCE($C171, ""price"", WORKDAY(INT($B171), 5)), 2, 2), """"))/$G171))"),-0.01205083260297978)</f>
        <v>-0.0120508326</v>
      </c>
      <c r="S171" s="16" t="str">
        <f>IFERROR(__xludf.DUMMYFUNCTION("IF(OR(ISBLANK($G171), IFERROR(INDEX(GOOGLEFINANCE($C171, ""price"", WORKDAY(INT($B171), 20)), 2, 2), """")=""""), """", IF($D171=""LONG"", (IFERROR(INDEX(GOOGLEFINANCE($C171, ""price"", WORKDAY(INT($B171), 20)), 2, 2), """")-$G171)/$G171, ($G171-IFERROR(I"&amp;"NDEX(GOOGLEFINANCE($C171, ""price"", WORKDAY(INT($B171), 20)), 2, 2), """"))/$G171))"),"")</f>
        <v/>
      </c>
      <c r="T171" s="10" t="s">
        <v>1396</v>
      </c>
    </row>
    <row r="172">
      <c r="A172" s="9">
        <f t="shared" si="1"/>
        <v>171</v>
      </c>
      <c r="B172" s="11">
        <v>46216.66767361111</v>
      </c>
      <c r="C172" s="10" t="s">
        <v>260</v>
      </c>
      <c r="D172" s="10" t="s">
        <v>36</v>
      </c>
      <c r="E172" s="10" t="s">
        <v>37</v>
      </c>
      <c r="F172" s="13">
        <v>2.0</v>
      </c>
      <c r="G172" s="14">
        <v>109.88</v>
      </c>
      <c r="H172" s="10" t="s">
        <v>1397</v>
      </c>
      <c r="I172" s="10">
        <v>93.4</v>
      </c>
      <c r="O172" s="15">
        <f>IFERROR(__xludf.DUMMYFUNCTION("IF(ISBLANK($C172), """", GOOGLEFINANCE($C172, ""price""))"),90.71)</f>
        <v>90.71</v>
      </c>
      <c r="P172" s="16">
        <f t="shared" si="2"/>
        <v>-0.1744630506</v>
      </c>
      <c r="Q172" s="16">
        <f>IFERROR(__xludf.DUMMYFUNCTION("IF(OR(ISBLANK($G172), IFERROR(INDEX(GOOGLEFINANCE($C172, ""price"", WORKDAY(INT($B172), 1)), 2, 2), """")=""""), """", IF($D172=""LONG"", (IFERROR(INDEX(GOOGLEFINANCE($C172, ""price"", WORKDAY(INT($B172), 1)), 2, 2), """")-$G172)/$G172, ($G172-IFERROR(IND"&amp;"EX(GOOGLEFINANCE($C172, ""price"", WORKDAY(INT($B172), 1)), 2, 2), """"))/$G172))"),0.032489989078995335)</f>
        <v>0.03248998908</v>
      </c>
      <c r="R172" s="16">
        <f>IFERROR(__xludf.DUMMYFUNCTION("IF(OR(ISBLANK($G172), IFERROR(INDEX(GOOGLEFINANCE($C172, ""price"", WORKDAY(INT($B172), 5)), 2, 2), """")=""""), """", IF($D172=""LONG"", (IFERROR(INDEX(GOOGLEFINANCE($C172, ""price"", WORKDAY(INT($B172), 5)), 2, 2), """")-$G172)/$G172, ($G172-IFERROR(IND"&amp;"EX(GOOGLEFINANCE($C172, ""price"", WORKDAY(INT($B172), 5)), 2, 2), """"))/$G172))"),-0.0964688751365125)</f>
        <v>-0.09646887514</v>
      </c>
      <c r="S172" s="16" t="str">
        <f>IFERROR(__xludf.DUMMYFUNCTION("IF(OR(ISBLANK($G172), IFERROR(INDEX(GOOGLEFINANCE($C172, ""price"", WORKDAY(INT($B172), 20)), 2, 2), """")=""""), """", IF($D172=""LONG"", (IFERROR(INDEX(GOOGLEFINANCE($C172, ""price"", WORKDAY(INT($B172), 20)), 2, 2), """")-$G172)/$G172, ($G172-IFERROR(I"&amp;"NDEX(GOOGLEFINANCE($C172, ""price"", WORKDAY(INT($B172), 20)), 2, 2), """"))/$G172))"),"")</f>
        <v/>
      </c>
      <c r="T172" s="10" t="s">
        <v>1402</v>
      </c>
    </row>
    <row r="173">
      <c r="A173" s="9">
        <f t="shared" si="1"/>
        <v>172</v>
      </c>
      <c r="B173" s="11">
        <v>46216.66769675926</v>
      </c>
      <c r="C173" s="10" t="s">
        <v>444</v>
      </c>
      <c r="D173" s="10" t="s">
        <v>36</v>
      </c>
      <c r="E173" s="10" t="s">
        <v>37</v>
      </c>
      <c r="F173" s="13">
        <v>2.0</v>
      </c>
      <c r="G173" s="14">
        <v>354.36</v>
      </c>
      <c r="H173" s="10" t="s">
        <v>1403</v>
      </c>
      <c r="I173" s="10">
        <v>95.2</v>
      </c>
      <c r="O173" s="15">
        <f>IFERROR(__xludf.DUMMYFUNCTION("IF(ISBLANK($C173), """", GOOGLEFINANCE($C173, ""price""))"),342.6)</f>
        <v>342.6</v>
      </c>
      <c r="P173" s="16">
        <f t="shared" si="2"/>
        <v>-0.03318658991</v>
      </c>
      <c r="Q173" s="16">
        <f>IFERROR(__xludf.DUMMYFUNCTION("IF(OR(ISBLANK($G173), IFERROR(INDEX(GOOGLEFINANCE($C173, ""price"", WORKDAY(INT($B173), 1)), 2, 2), """")=""""), """", IF($D173=""LONG"", (IFERROR(INDEX(GOOGLEFINANCE($C173, ""price"", WORKDAY(INT($B173), 1)), 2, 2), """")-$G173)/$G173, ($G173-IFERROR(IND"&amp;"EX(GOOGLEFINANCE($C173, ""price"", WORKDAY(INT($B173), 1)), 2, 2), """"))/$G173))"),0.0019753922564623226)</f>
        <v>0.001975392256</v>
      </c>
      <c r="R173" s="16">
        <f>IFERROR(__xludf.DUMMYFUNCTION("IF(OR(ISBLANK($G173), IFERROR(INDEX(GOOGLEFINANCE($C173, ""price"", WORKDAY(INT($B173), 5)), 2, 2), """")=""""), """", IF($D173=""LONG"", (IFERROR(INDEX(GOOGLEFINANCE($C173, ""price"", WORKDAY(INT($B173), 5)), 2, 2), """")-$G173)/$G173, ($G173-IFERROR(IND"&amp;"EX(GOOGLEFINANCE($C173, ""price"", WORKDAY(INT($B173), 5)), 2, 2), """"))/$G173))"),-0.006857433118862193)</f>
        <v>-0.006857433119</v>
      </c>
      <c r="S173" s="16" t="str">
        <f>IFERROR(__xludf.DUMMYFUNCTION("IF(OR(ISBLANK($G173), IFERROR(INDEX(GOOGLEFINANCE($C173, ""price"", WORKDAY(INT($B173), 20)), 2, 2), """")=""""), """", IF($D173=""LONG"", (IFERROR(INDEX(GOOGLEFINANCE($C173, ""price"", WORKDAY(INT($B173), 20)), 2, 2), """")-$G173)/$G173, ($G173-IFERROR(I"&amp;"NDEX(GOOGLEFINANCE($C173, ""price"", WORKDAY(INT($B173), 20)), 2, 2), """"))/$G173))"),"")</f>
        <v/>
      </c>
      <c r="T173" s="10" t="s">
        <v>1406</v>
      </c>
    </row>
    <row r="174">
      <c r="A174" s="9">
        <f t="shared" si="1"/>
        <v>173</v>
      </c>
      <c r="B174" s="11">
        <v>46216.66763888889</v>
      </c>
      <c r="C174" s="10" t="s">
        <v>287</v>
      </c>
      <c r="D174" s="10" t="s">
        <v>36</v>
      </c>
      <c r="E174" s="10" t="s">
        <v>37</v>
      </c>
      <c r="F174" s="13">
        <v>2.0</v>
      </c>
      <c r="G174" s="14">
        <v>337.16</v>
      </c>
      <c r="H174" s="10" t="s">
        <v>1407</v>
      </c>
      <c r="I174" s="10">
        <v>94.4</v>
      </c>
      <c r="O174" s="15">
        <f>IFERROR(__xludf.DUMMYFUNCTION("IF(ISBLANK($C174), """", GOOGLEFINANCE($C174, ""price""))"),349.52)</f>
        <v>349.52</v>
      </c>
      <c r="P174" s="16">
        <f t="shared" si="2"/>
        <v>0.03665915292</v>
      </c>
      <c r="Q174" s="16">
        <f>IFERROR(__xludf.DUMMYFUNCTION("IF(OR(ISBLANK($G174), IFERROR(INDEX(GOOGLEFINANCE($C174, ""price"", WORKDAY(INT($B174), 1)), 2, 2), """")=""""), """", IF($D174=""LONG"", (IFERROR(INDEX(GOOGLEFINANCE($C174, ""price"", WORKDAY(INT($B174), 1)), 2, 2), """")-$G174)/$G174, ($G174-IFERROR(IND"&amp;"EX(GOOGLEFINANCE($C174, ""price"", WORKDAY(INT($B174), 1)), 2, 2), """"))/$G174))"),0.0017202515126349034)</f>
        <v>0.001720251513</v>
      </c>
      <c r="R174" s="16">
        <f>IFERROR(__xludf.DUMMYFUNCTION("IF(OR(ISBLANK($G174), IFERROR(INDEX(GOOGLEFINANCE($C174, ""price"", WORKDAY(INT($B174), 5)), 2, 2), """")=""""), """", IF($D174=""LONG"", (IFERROR(INDEX(GOOGLEFINANCE($C174, ""price"", WORKDAY(INT($B174), 5)), 2, 2), """")-$G174)/$G174, ($G174-IFERROR(IND"&amp;"EX(GOOGLEFINANCE($C174, ""price"", WORKDAY(INT($B174), 5)), 2, 2), """"))/$G174))"),-0.01221971764147587)</f>
        <v>-0.01221971764</v>
      </c>
      <c r="S174" s="16" t="str">
        <f>IFERROR(__xludf.DUMMYFUNCTION("IF(OR(ISBLANK($G174), IFERROR(INDEX(GOOGLEFINANCE($C174, ""price"", WORKDAY(INT($B174), 20)), 2, 2), """")=""""), """", IF($D174=""LONG"", (IFERROR(INDEX(GOOGLEFINANCE($C174, ""price"", WORKDAY(INT($B174), 20)), 2, 2), """")-$G174)/$G174, ($G174-IFERROR(I"&amp;"NDEX(GOOGLEFINANCE($C174, ""price"", WORKDAY(INT($B174), 20)), 2, 2), """"))/$G174))"),"")</f>
        <v/>
      </c>
      <c r="T174" s="10" t="s">
        <v>1413</v>
      </c>
    </row>
    <row r="175">
      <c r="A175" s="9">
        <f t="shared" si="1"/>
        <v>174</v>
      </c>
      <c r="B175" s="11">
        <v>46216.667719907404</v>
      </c>
      <c r="C175" s="10" t="s">
        <v>415</v>
      </c>
      <c r="D175" s="10" t="s">
        <v>36</v>
      </c>
      <c r="E175" s="10" t="s">
        <v>37</v>
      </c>
      <c r="F175" s="13">
        <v>2.0</v>
      </c>
      <c r="G175" s="14">
        <v>427.18</v>
      </c>
      <c r="H175" s="10" t="s">
        <v>1415</v>
      </c>
      <c r="I175" s="10">
        <v>83.9</v>
      </c>
      <c r="O175" s="15">
        <f>IFERROR(__xludf.DUMMYFUNCTION("IF(ISBLANK($C175), """", GOOGLEFINANCE($C175, ""price""))"),437.65)</f>
        <v>437.65</v>
      </c>
      <c r="P175" s="16">
        <f t="shared" si="2"/>
        <v>0.02450957442</v>
      </c>
      <c r="Q175" s="16">
        <f>IFERROR(__xludf.DUMMYFUNCTION("IF(OR(ISBLANK($G175), IFERROR(INDEX(GOOGLEFINANCE($C175, ""price"", WORKDAY(INT($B175), 1)), 2, 2), """")=""""), """", IF($D175=""LONG"", (IFERROR(INDEX(GOOGLEFINANCE($C175, ""price"", WORKDAY(INT($B175), 1)), 2, 2), """")-$G175)/$G175, ($G175-IFERROR(IND"&amp;"EX(GOOGLEFINANCE($C175, ""price"", WORKDAY(INT($B175), 1)), 2, 2), """"))/$G175))"),0.07107074301231334)</f>
        <v>0.07107074301</v>
      </c>
      <c r="R175" s="16">
        <f>IFERROR(__xludf.DUMMYFUNCTION("IF(OR(ISBLANK($G175), IFERROR(INDEX(GOOGLEFINANCE($C175, ""price"", WORKDAY(INT($B175), 5)), 2, 2), """")=""""), """", IF($D175=""LONG"", (IFERROR(INDEX(GOOGLEFINANCE($C175, ""price"", WORKDAY(INT($B175), 5)), 2, 2), """")-$G175)/$G175, ($G175-IFERROR(IND"&amp;"EX(GOOGLEFINANCE($C175, ""price"", WORKDAY(INT($B175), 5)), 2, 2), """"))/$G175))"),-0.10604429046303668)</f>
        <v>-0.1060442905</v>
      </c>
      <c r="S175" s="16" t="str">
        <f>IFERROR(__xludf.DUMMYFUNCTION("IF(OR(ISBLANK($G175), IFERROR(INDEX(GOOGLEFINANCE($C175, ""price"", WORKDAY(INT($B175), 20)), 2, 2), """")=""""), """", IF($D175=""LONG"", (IFERROR(INDEX(GOOGLEFINANCE($C175, ""price"", WORKDAY(INT($B175), 20)), 2, 2), """")-$G175)/$G175, ($G175-IFERROR(I"&amp;"NDEX(GOOGLEFINANCE($C175, ""price"", WORKDAY(INT($B175), 20)), 2, 2), """"))/$G175))"),"")</f>
        <v/>
      </c>
      <c r="T175" s="10" t="s">
        <v>1417</v>
      </c>
    </row>
    <row r="176">
      <c r="A176" s="9">
        <f t="shared" si="1"/>
        <v>175</v>
      </c>
      <c r="B176" s="11">
        <v>46216.66746527778</v>
      </c>
      <c r="C176" s="10" t="s">
        <v>246</v>
      </c>
      <c r="D176" s="10" t="s">
        <v>36</v>
      </c>
      <c r="E176" s="10" t="s">
        <v>37</v>
      </c>
      <c r="F176" s="13">
        <v>2.0</v>
      </c>
      <c r="G176" s="14">
        <v>575.11</v>
      </c>
      <c r="H176" s="10" t="s">
        <v>1420</v>
      </c>
      <c r="I176" s="10">
        <v>82.7</v>
      </c>
      <c r="O176" s="15">
        <f>IFERROR(__xludf.DUMMYFUNCTION("IF(ISBLANK($C176), """", GOOGLEFINANCE($C176, ""price""))"),527.48)</f>
        <v>527.48</v>
      </c>
      <c r="P176" s="16">
        <f t="shared" si="2"/>
        <v>-0.08281893899</v>
      </c>
      <c r="Q176" s="16">
        <f>IFERROR(__xludf.DUMMYFUNCTION("IF(OR(ISBLANK($G176), IFERROR(INDEX(GOOGLEFINANCE($C176, ""price"", WORKDAY(INT($B176), 1)), 2, 2), """")=""""), """", IF($D176=""LONG"", (IFERROR(INDEX(GOOGLEFINANCE($C176, ""price"", WORKDAY(INT($B176), 1)), 2, 2), """")-$G176)/$G176, ($G176-IFERROR(IND"&amp;"EX(GOOGLEFINANCE($C176, ""price"", WORKDAY(INT($B176), 1)), 2, 2), """"))/$G176))"),0.03580184660325856)</f>
        <v>0.0358018466</v>
      </c>
      <c r="R176" s="16">
        <f>IFERROR(__xludf.DUMMYFUNCTION("IF(OR(ISBLANK($G176), IFERROR(INDEX(GOOGLEFINANCE($C176, ""price"", WORKDAY(INT($B176), 5)), 2, 2), """")=""""), """", IF($D176=""LONG"", (IFERROR(INDEX(GOOGLEFINANCE($C176, ""price"", WORKDAY(INT($B176), 5)), 2, 2), """")-$G176)/$G176, ($G176-IFERROR(IND"&amp;"EX(GOOGLEFINANCE($C176, ""price"", WORKDAY(INT($B176), 5)), 2, 2), """"))/$G176))"),-0.08591399906104913)</f>
        <v>-0.08591399906</v>
      </c>
      <c r="S176" s="16" t="str">
        <f>IFERROR(__xludf.DUMMYFUNCTION("IF(OR(ISBLANK($G176), IFERROR(INDEX(GOOGLEFINANCE($C176, ""price"", WORKDAY(INT($B176), 20)), 2, 2), """")=""""), """", IF($D176=""LONG"", (IFERROR(INDEX(GOOGLEFINANCE($C176, ""price"", WORKDAY(INT($B176), 20)), 2, 2), """")-$G176)/$G176, ($G176-IFERROR(I"&amp;"NDEX(GOOGLEFINANCE($C176, ""price"", WORKDAY(INT($B176), 20)), 2, 2), """"))/$G176))"),"")</f>
        <v/>
      </c>
      <c r="T176" s="10" t="s">
        <v>1423</v>
      </c>
    </row>
    <row r="177">
      <c r="A177" s="9">
        <f t="shared" si="1"/>
        <v>176</v>
      </c>
      <c r="B177" s="11">
        <v>46216.66762731481</v>
      </c>
      <c r="C177" s="10" t="s">
        <v>280</v>
      </c>
      <c r="D177" s="10" t="s">
        <v>36</v>
      </c>
      <c r="E177" s="10" t="s">
        <v>37</v>
      </c>
      <c r="F177" s="13">
        <v>2.0</v>
      </c>
      <c r="G177" s="14">
        <v>76.62</v>
      </c>
      <c r="H177" s="10" t="s">
        <v>1426</v>
      </c>
      <c r="I177" s="10">
        <v>93.5</v>
      </c>
      <c r="O177" s="15">
        <f>IFERROR(__xludf.DUMMYFUNCTION("IF(ISBLANK($C177), """", GOOGLEFINANCE($C177, ""price""))"),69.52)</f>
        <v>69.52</v>
      </c>
      <c r="P177" s="16">
        <f t="shared" si="2"/>
        <v>-0.0926651005</v>
      </c>
      <c r="Q177" s="16">
        <f>IFERROR(__xludf.DUMMYFUNCTION("IF(OR(ISBLANK($G177), IFERROR(INDEX(GOOGLEFINANCE($C177, ""price"", WORKDAY(INT($B177), 1)), 2, 2), """")=""""), """", IF($D177=""LONG"", (IFERROR(INDEX(GOOGLEFINANCE($C177, ""price"", WORKDAY(INT($B177), 1)), 2, 2), """")-$G177)/$G177, ($G177-IFERROR(IND"&amp;"EX(GOOGLEFINANCE($C177, ""price"", WORKDAY(INT($B177), 1)), 2, 2), """"))/$G177))"),-0.004045941007569854)</f>
        <v>-0.004045941008</v>
      </c>
      <c r="R177" s="16">
        <f>IFERROR(__xludf.DUMMYFUNCTION("IF(OR(ISBLANK($G177), IFERROR(INDEX(GOOGLEFINANCE($C177, ""price"", WORKDAY(INT($B177), 5)), 2, 2), """")=""""), """", IF($D177=""LONG"", (IFERROR(INDEX(GOOGLEFINANCE($C177, ""price"", WORKDAY(INT($B177), 5)), 2, 2), """")-$G177)/$G177, ($G177-IFERROR(IND"&amp;"EX(GOOGLEFINANCE($C177, ""price"", WORKDAY(INT($B177), 5)), 2, 2), """"))/$G177))"),-0.034716784129470254)</f>
        <v>-0.03471678413</v>
      </c>
      <c r="S177" s="16" t="str">
        <f>IFERROR(__xludf.DUMMYFUNCTION("IF(OR(ISBLANK($G177), IFERROR(INDEX(GOOGLEFINANCE($C177, ""price"", WORKDAY(INT($B177), 20)), 2, 2), """")=""""), """", IF($D177=""LONG"", (IFERROR(INDEX(GOOGLEFINANCE($C177, ""price"", WORKDAY(INT($B177), 20)), 2, 2), """")-$G177)/$G177, ($G177-IFERROR(I"&amp;"NDEX(GOOGLEFINANCE($C177, ""price"", WORKDAY(INT($B177), 20)), 2, 2), """"))/$G177))"),"")</f>
        <v/>
      </c>
      <c r="T177" s="10" t="s">
        <v>1430</v>
      </c>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0" max="20" width="0.38"/>
  </cols>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182" si="1">ROW()-1</f>
        <v>1</v>
      </c>
      <c r="B2" s="11">
        <v>46217.66737268519</v>
      </c>
      <c r="C2" s="10" t="s">
        <v>339</v>
      </c>
      <c r="D2" s="10" t="s">
        <v>119</v>
      </c>
      <c r="E2" s="10" t="s">
        <v>120</v>
      </c>
      <c r="F2" s="13">
        <v>4.0</v>
      </c>
      <c r="G2" s="14">
        <v>30.33</v>
      </c>
      <c r="H2" s="10" t="s">
        <v>479</v>
      </c>
      <c r="I2" s="10">
        <v>5.4</v>
      </c>
      <c r="O2" s="15">
        <f>IFERROR(__xludf.DUMMYFUNCTION("IF(ISBLANK($C2), """", GOOGLEFINANCE($C2, ""price""))"),30.3)</f>
        <v>30.3</v>
      </c>
      <c r="P2" s="16">
        <f t="shared" ref="P2:P182" si="2">IF(OR(ISBLANK($G2), ISBLANK($O2)), "", IF($D2="LONG", ($O2-$G2)/$G2, ($G2-$O2)/$G2))</f>
        <v>0.0009891196835</v>
      </c>
      <c r="Q2" s="16">
        <f>IFERROR(__xludf.DUMMYFUNCTION("IF(OR(ISBLANK($G2), IFERROR(INDEX(GOOGLEFINANCE($C2, ""price"", WORKDAY(INT($B2), 1)), 2, 2), """")=""""), """", IF($D2=""LONG"", (IFERROR(INDEX(GOOGLEFINANCE($C2, ""price"", WORKDAY(INT($B2), 1)), 2, 2), """")-$G2)/$G2, ($G2-IFERROR(INDEX(GOOGLEFINANCE($"&amp;"C2, ""price"", WORKDAY(INT($B2), 1)), 2, 2), """"))/$G2))"),0.020771513353115695)</f>
        <v>0.02077151335</v>
      </c>
      <c r="R2" s="16">
        <f>IFERROR(__xludf.DUMMYFUNCTION("IF(OR(ISBLANK($G2), IFERROR(INDEX(GOOGLEFINANCE($C2, ""price"", WORKDAY(INT($B2), 5)), 2, 2), """")=""""), """", IF($D2=""LONG"", (IFERROR(INDEX(GOOGLEFINANCE($C2, ""price"", WORKDAY(INT($B2), 5)), 2, 2), """")-$G2)/$G2, ($G2-IFERROR(INDEX(GOOGLEFINANCE($"&amp;"C2, ""price"", WORKDAY(INT($B2), 5)), 2, 2), """"))/$G2))"),-0.004615891856247958)</f>
        <v>-0.004615891856</v>
      </c>
      <c r="S2" s="16" t="str">
        <f>IFERROR(__xludf.DUMMYFUNCTION("IF(OR(ISBLANK($G2), IFERROR(INDEX(GOOGLEFINANCE($C2, ""price"", WORKDAY(INT($B2), 20)), 2, 2), """")=""""), """", IF($D2=""LONG"", (IFERROR(INDEX(GOOGLEFINANCE($C2, ""price"", WORKDAY(INT($B2), 20)), 2, 2), """")-$G2)/$G2, ($G2-IFERROR(INDEX(GOOGLEFINANCE"&amp;"($C2, ""price"", WORKDAY(INT($B2), 20)), 2, 2), """"))/$G2))"),"")</f>
        <v/>
      </c>
      <c r="T2" s="10" t="s">
        <v>491</v>
      </c>
      <c r="U2" s="10" t="s">
        <v>492</v>
      </c>
      <c r="V2" s="10" t="s">
        <v>493</v>
      </c>
      <c r="W2" s="10" t="s">
        <v>51</v>
      </c>
      <c r="X2" s="10" t="s">
        <v>492</v>
      </c>
    </row>
    <row r="3">
      <c r="A3" s="9">
        <f t="shared" si="1"/>
        <v>2</v>
      </c>
      <c r="B3" s="11">
        <v>46217.66737268519</v>
      </c>
      <c r="C3" s="10" t="s">
        <v>154</v>
      </c>
      <c r="D3" s="10" t="s">
        <v>36</v>
      </c>
      <c r="E3" s="10" t="s">
        <v>37</v>
      </c>
      <c r="F3" s="13">
        <v>2.0</v>
      </c>
      <c r="G3" s="14">
        <v>166.86</v>
      </c>
      <c r="H3" s="10" t="s">
        <v>494</v>
      </c>
      <c r="I3" s="10">
        <v>92.0</v>
      </c>
      <c r="O3" s="15">
        <f>IFERROR(__xludf.DUMMYFUNCTION("IF(ISBLANK($C3), """", GOOGLEFINANCE($C3, ""price""))"),160.11)</f>
        <v>160.11</v>
      </c>
      <c r="P3" s="16">
        <f t="shared" si="2"/>
        <v>-0.04045307443</v>
      </c>
      <c r="Q3" s="16">
        <f>IFERROR(__xludf.DUMMYFUNCTION("IF(OR(ISBLANK($G3), IFERROR(INDEX(GOOGLEFINANCE($C3, ""price"", WORKDAY(INT($B3), 1)), 2, 2), """")=""""), """", IF($D3=""LONG"", (IFERROR(INDEX(GOOGLEFINANCE($C3, ""price"", WORKDAY(INT($B3), 1)), 2, 2), """")-$G3)/$G3, ($G3-IFERROR(INDEX(GOOGLEFINANCE($"&amp;"C3, ""price"", WORKDAY(INT($B3), 1)), 2, 2), """"))/$G3))"),-0.014083662950977002)</f>
        <v>-0.01408366295</v>
      </c>
      <c r="R3" s="16">
        <f>IFERROR(__xludf.DUMMYFUNCTION("IF(OR(ISBLANK($G3), IFERROR(INDEX(GOOGLEFINANCE($C3, ""price"", WORKDAY(INT($B3), 5)), 2, 2), """")=""""), """", IF($D3=""LONG"", (IFERROR(INDEX(GOOGLEFINANCE($C3, ""price"", WORKDAY(INT($B3), 5)), 2, 2), """")-$G3)/$G3, ($G3-IFERROR(INDEX(GOOGLEFINANCE($"&amp;"C3, ""price"", WORKDAY(INT($B3), 5)), 2, 2), """"))/$G3))"),-0.05249910104279047)</f>
        <v>-0.05249910104</v>
      </c>
      <c r="S3" s="16" t="str">
        <f>IFERROR(__xludf.DUMMYFUNCTION("IF(OR(ISBLANK($G3), IFERROR(INDEX(GOOGLEFINANCE($C3, ""price"", WORKDAY(INT($B3), 20)), 2, 2), """")=""""), """", IF($D3=""LONG"", (IFERROR(INDEX(GOOGLEFINANCE($C3, ""price"", WORKDAY(INT($B3), 20)), 2, 2), """")-$G3)/$G3, ($G3-IFERROR(INDEX(GOOGLEFINANCE"&amp;"($C3, ""price"", WORKDAY(INT($B3), 20)), 2, 2), """"))/$G3))"),"")</f>
        <v/>
      </c>
      <c r="T3" s="10" t="s">
        <v>501</v>
      </c>
      <c r="U3" s="10" t="s">
        <v>492</v>
      </c>
      <c r="V3" s="10" t="s">
        <v>493</v>
      </c>
      <c r="W3" s="10" t="s">
        <v>51</v>
      </c>
      <c r="X3" s="10" t="s">
        <v>492</v>
      </c>
    </row>
    <row r="4">
      <c r="A4" s="9">
        <f t="shared" si="1"/>
        <v>3</v>
      </c>
      <c r="B4" s="11">
        <v>46217.66737268519</v>
      </c>
      <c r="C4" s="10" t="s">
        <v>246</v>
      </c>
      <c r="D4" s="10" t="s">
        <v>36</v>
      </c>
      <c r="E4" s="10" t="s">
        <v>37</v>
      </c>
      <c r="F4" s="13">
        <v>2.0</v>
      </c>
      <c r="G4" s="14">
        <v>595.74</v>
      </c>
      <c r="H4" s="10" t="s">
        <v>502</v>
      </c>
      <c r="I4" s="10">
        <v>75.4</v>
      </c>
      <c r="O4" s="15">
        <f>IFERROR(__xludf.DUMMYFUNCTION("IF(ISBLANK($C4), """", GOOGLEFINANCE($C4, ""price""))"),527.48)</f>
        <v>527.48</v>
      </c>
      <c r="P4" s="16">
        <f t="shared" si="2"/>
        <v>-0.114580186</v>
      </c>
      <c r="Q4" s="16">
        <f>IFERROR(__xludf.DUMMYFUNCTION("IF(OR(ISBLANK($G4), IFERROR(INDEX(GOOGLEFINANCE($C4, ""price"", WORKDAY(INT($B4), 1)), 2, 2), """")=""""), """", IF($D4=""LONG"", (IFERROR(INDEX(GOOGLEFINANCE($C4, ""price"", WORKDAY(INT($B4), 1)), 2, 2), """")-$G4)/$G4, ($G4-IFERROR(INDEX(GOOGLEFINANCE($"&amp;"C4, ""price"", WORKDAY(INT($B4), 1)), 2, 2), """"))/$G4))"),-0.027377715110618824)</f>
        <v>-0.02737771511</v>
      </c>
      <c r="R4" s="16">
        <f>IFERROR(__xludf.DUMMYFUNCTION("IF(OR(ISBLANK($G4), IFERROR(INDEX(GOOGLEFINANCE($C4, ""price"", WORKDAY(INT($B4), 5)), 2, 2), """")=""""), """", IF($D4=""LONG"", (IFERROR(INDEX(GOOGLEFINANCE($C4, ""price"", WORKDAY(INT($B4), 5)), 2, 2), """")-$G4)/$G4, ($G4-IFERROR(INDEX(GOOGLEFINANCE($"&amp;"C4, ""price"", WORKDAY(INT($B4), 5)), 2, 2), """"))/$G4))"),-0.05235505421828324)</f>
        <v>-0.05235505422</v>
      </c>
      <c r="S4" s="16" t="str">
        <f>IFERROR(__xludf.DUMMYFUNCTION("IF(OR(ISBLANK($G4), IFERROR(INDEX(GOOGLEFINANCE($C4, ""price"", WORKDAY(INT($B4), 20)), 2, 2), """")=""""), """", IF($D4=""LONG"", (IFERROR(INDEX(GOOGLEFINANCE($C4, ""price"", WORKDAY(INT($B4), 20)), 2, 2), """")-$G4)/$G4, ($G4-IFERROR(INDEX(GOOGLEFINANCE"&amp;"($C4, ""price"", WORKDAY(INT($B4), 20)), 2, 2), """"))/$G4))"),"")</f>
        <v/>
      </c>
      <c r="T4" s="10" t="s">
        <v>511</v>
      </c>
      <c r="U4" s="10" t="s">
        <v>492</v>
      </c>
      <c r="V4" s="10" t="s">
        <v>493</v>
      </c>
      <c r="W4" s="10" t="s">
        <v>51</v>
      </c>
      <c r="X4" s="10" t="s">
        <v>492</v>
      </c>
    </row>
    <row r="5">
      <c r="A5" s="9">
        <f t="shared" si="1"/>
        <v>4</v>
      </c>
      <c r="B5" s="11">
        <v>46217.66737268519</v>
      </c>
      <c r="C5" s="10" t="s">
        <v>408</v>
      </c>
      <c r="D5" s="10" t="s">
        <v>36</v>
      </c>
      <c r="E5" s="10" t="s">
        <v>37</v>
      </c>
      <c r="F5" s="13">
        <v>2.0</v>
      </c>
      <c r="G5" s="14">
        <v>241.83</v>
      </c>
      <c r="H5" s="10" t="s">
        <v>512</v>
      </c>
      <c r="I5" s="10">
        <v>94.3</v>
      </c>
      <c r="O5" s="15">
        <f>IFERROR(__xludf.DUMMYFUNCTION("IF(ISBLANK($C5), """", GOOGLEFINANCE($C5, ""price""))"),250.14)</f>
        <v>250.14</v>
      </c>
      <c r="P5" s="16">
        <f t="shared" si="2"/>
        <v>0.03436298226</v>
      </c>
      <c r="Q5" s="16">
        <f>IFERROR(__xludf.DUMMYFUNCTION("IF(OR(ISBLANK($G5), IFERROR(INDEX(GOOGLEFINANCE($C5, ""price"", WORKDAY(INT($B5), 1)), 2, 2), """")=""""), """", IF($D5=""LONG"", (IFERROR(INDEX(GOOGLEFINANCE($C5, ""price"", WORKDAY(INT($B5), 1)), 2, 2), """")-$G5)/$G5, ($G5-IFERROR(INDEX(GOOGLEFINANCE($"&amp;"C5, ""price"", WORKDAY(INT($B5), 1)), 2, 2), """"))/$G5))"),0.027705412893354788)</f>
        <v>0.02770541289</v>
      </c>
      <c r="R5" s="16">
        <f>IFERROR(__xludf.DUMMYFUNCTION("IF(OR(ISBLANK($G5), IFERROR(INDEX(GOOGLEFINANCE($C5, ""price"", WORKDAY(INT($B5), 5)), 2, 2), """")=""""), """", IF($D5=""LONG"", (IFERROR(INDEX(GOOGLEFINANCE($C5, ""price"", WORKDAY(INT($B5), 5)), 2, 2), """")-$G5)/$G5, ($G5-IFERROR(INDEX(GOOGLEFINANCE($"&amp;"C5, ""price"", WORKDAY(INT($B5), 5)), 2, 2), """"))/$G5))"),0.02824298060621091)</f>
        <v>0.02824298061</v>
      </c>
      <c r="S5" s="16" t="str">
        <f>IFERROR(__xludf.DUMMYFUNCTION("IF(OR(ISBLANK($G5), IFERROR(INDEX(GOOGLEFINANCE($C5, ""price"", WORKDAY(INT($B5), 20)), 2, 2), """")=""""), """", IF($D5=""LONG"", (IFERROR(INDEX(GOOGLEFINANCE($C5, ""price"", WORKDAY(INT($B5), 20)), 2, 2), """")-$G5)/$G5, ($G5-IFERROR(INDEX(GOOGLEFINANCE"&amp;"($C5, ""price"", WORKDAY(INT($B5), 20)), 2, 2), """"))/$G5))"),"")</f>
        <v/>
      </c>
      <c r="T5" s="10" t="s">
        <v>518</v>
      </c>
      <c r="U5" s="10" t="s">
        <v>492</v>
      </c>
      <c r="V5" s="10" t="s">
        <v>493</v>
      </c>
      <c r="W5" s="10" t="s">
        <v>51</v>
      </c>
      <c r="X5" s="10" t="s">
        <v>492</v>
      </c>
    </row>
    <row r="6">
      <c r="A6" s="9">
        <f t="shared" si="1"/>
        <v>5</v>
      </c>
      <c r="B6" s="11">
        <v>46217.66740740741</v>
      </c>
      <c r="C6" s="10" t="s">
        <v>55</v>
      </c>
      <c r="D6" s="10" t="s">
        <v>36</v>
      </c>
      <c r="E6" s="10" t="s">
        <v>37</v>
      </c>
      <c r="F6" s="13">
        <v>2.0</v>
      </c>
      <c r="G6" s="14">
        <v>1153.69</v>
      </c>
      <c r="H6" s="10" t="s">
        <v>520</v>
      </c>
      <c r="I6" s="10">
        <v>92.8</v>
      </c>
      <c r="O6" s="15">
        <f>IFERROR(__xludf.DUMMYFUNCTION("IF(ISBLANK($C6), """", GOOGLEFINANCE($C6, ""price""))"),1191.94)</f>
        <v>1191.94</v>
      </c>
      <c r="P6" s="16">
        <f t="shared" si="2"/>
        <v>0.03315448691</v>
      </c>
      <c r="Q6" s="16">
        <f>IFERROR(__xludf.DUMMYFUNCTION("IF(OR(ISBLANK($G6), IFERROR(INDEX(GOOGLEFINANCE($C6, ""price"", WORKDAY(INT($B6), 1)), 2, 2), """")=""""), """", IF($D6=""LONG"", (IFERROR(INDEX(GOOGLEFINANCE($C6, ""price"", WORKDAY(INT($B6), 1)), 2, 2), """")-$G6)/$G6, ($G6-IFERROR(INDEX(GOOGLEFINANCE($"&amp;"C6, ""price"", WORKDAY(INT($B6), 1)), 2, 2), """"))/$G6))"),0.0025483448760066)</f>
        <v>0.002548344876</v>
      </c>
      <c r="R6" s="16">
        <f>IFERROR(__xludf.DUMMYFUNCTION("IF(OR(ISBLANK($G6), IFERROR(INDEX(GOOGLEFINANCE($C6, ""price"", WORKDAY(INT($B6), 5)), 2, 2), """")=""""), """", IF($D6=""LONG"", (IFERROR(INDEX(GOOGLEFINANCE($C6, ""price"", WORKDAY(INT($B6), 5)), 2, 2), """")-$G6)/$G6, ($G6-IFERROR(INDEX(GOOGLEFINANCE($"&amp;"C6, ""price"", WORKDAY(INT($B6), 5)), 2, 2), """"))/$G6))"),0.018826547859477006)</f>
        <v>0.01882654786</v>
      </c>
      <c r="S6" s="16" t="str">
        <f>IFERROR(__xludf.DUMMYFUNCTION("IF(OR(ISBLANK($G6), IFERROR(INDEX(GOOGLEFINANCE($C6, ""price"", WORKDAY(INT($B6), 20)), 2, 2), """")=""""), """", IF($D6=""LONG"", (IFERROR(INDEX(GOOGLEFINANCE($C6, ""price"", WORKDAY(INT($B6), 20)), 2, 2), """")-$G6)/$G6, ($G6-IFERROR(INDEX(GOOGLEFINANCE"&amp;"($C6, ""price"", WORKDAY(INT($B6), 20)), 2, 2), """"))/$G6))"),"")</f>
        <v/>
      </c>
      <c r="T6" s="10" t="s">
        <v>528</v>
      </c>
      <c r="U6" s="10" t="s">
        <v>492</v>
      </c>
      <c r="V6" s="10" t="s">
        <v>493</v>
      </c>
      <c r="W6" s="10" t="s">
        <v>51</v>
      </c>
      <c r="X6" s="10" t="s">
        <v>492</v>
      </c>
    </row>
    <row r="7">
      <c r="A7" s="9">
        <f t="shared" si="1"/>
        <v>6</v>
      </c>
      <c r="B7" s="11">
        <v>46217.66741898148</v>
      </c>
      <c r="C7" s="10" t="s">
        <v>114</v>
      </c>
      <c r="D7" s="10" t="s">
        <v>36</v>
      </c>
      <c r="E7" s="10" t="s">
        <v>37</v>
      </c>
      <c r="F7" s="13">
        <v>2.0</v>
      </c>
      <c r="G7" s="14">
        <v>230.03</v>
      </c>
      <c r="H7" s="10" t="s">
        <v>531</v>
      </c>
      <c r="I7" s="10">
        <v>98.5</v>
      </c>
      <c r="O7" s="15">
        <f>IFERROR(__xludf.DUMMYFUNCTION("IF(ISBLANK($C7), """", GOOGLEFINANCE($C7, ""price""))"),237.66)</f>
        <v>237.66</v>
      </c>
      <c r="P7" s="16">
        <f t="shared" si="2"/>
        <v>0.03316958658</v>
      </c>
      <c r="Q7" s="16">
        <f>IFERROR(__xludf.DUMMYFUNCTION("IF(OR(ISBLANK($G7), IFERROR(INDEX(GOOGLEFINANCE($C7, ""price"", WORKDAY(INT($B7), 1)), 2, 2), """")=""""), """", IF($D7=""LONG"", (IFERROR(INDEX(GOOGLEFINANCE($C7, ""price"", WORKDAY(INT($B7), 1)), 2, 2), """")-$G7)/$G7, ($G7-IFERROR(INDEX(GOOGLEFINANCE($"&amp;"C7, ""price"", WORKDAY(INT($B7), 1)), 2, 2), """"))/$G7))"),-0.022127548580619934)</f>
        <v>-0.02212754858</v>
      </c>
      <c r="R7" s="16">
        <f>IFERROR(__xludf.DUMMYFUNCTION("IF(OR(ISBLANK($G7), IFERROR(INDEX(GOOGLEFINANCE($C7, ""price"", WORKDAY(INT($B7), 5)), 2, 2), """")=""""), """", IF($D7=""LONG"", (IFERROR(INDEX(GOOGLEFINANCE($C7, ""price"", WORKDAY(INT($B7), 5)), 2, 2), """")-$G7)/$G7, ($G7-IFERROR(INDEX(GOOGLEFINANCE($"&amp;"C7, ""price"", WORKDAY(INT($B7), 5)), 2, 2), """"))/$G7))"),-0.012780941616310906)</f>
        <v>-0.01278094162</v>
      </c>
      <c r="S7" s="16" t="str">
        <f>IFERROR(__xludf.DUMMYFUNCTION("IF(OR(ISBLANK($G7), IFERROR(INDEX(GOOGLEFINANCE($C7, ""price"", WORKDAY(INT($B7), 20)), 2, 2), """")=""""), """", IF($D7=""LONG"", (IFERROR(INDEX(GOOGLEFINANCE($C7, ""price"", WORKDAY(INT($B7), 20)), 2, 2), """")-$G7)/$G7, ($G7-IFERROR(INDEX(GOOGLEFINANCE"&amp;"($C7, ""price"", WORKDAY(INT($B7), 20)), 2, 2), """"))/$G7))"),"")</f>
        <v/>
      </c>
      <c r="T7" s="10" t="s">
        <v>537</v>
      </c>
      <c r="U7" s="10" t="s">
        <v>492</v>
      </c>
      <c r="V7" s="10" t="s">
        <v>493</v>
      </c>
      <c r="W7" s="10" t="s">
        <v>51</v>
      </c>
      <c r="X7" s="10" t="s">
        <v>492</v>
      </c>
    </row>
    <row r="8">
      <c r="A8" s="9">
        <f t="shared" si="1"/>
        <v>7</v>
      </c>
      <c r="B8" s="11">
        <v>46217.66751157407</v>
      </c>
      <c r="C8" s="10" t="s">
        <v>540</v>
      </c>
      <c r="D8" s="10" t="s">
        <v>119</v>
      </c>
      <c r="E8" s="10" t="s">
        <v>120</v>
      </c>
      <c r="F8" s="13">
        <v>4.0</v>
      </c>
      <c r="G8" s="14">
        <v>111.85</v>
      </c>
      <c r="H8" s="10" t="s">
        <v>542</v>
      </c>
      <c r="I8" s="10">
        <v>7.9</v>
      </c>
      <c r="O8" s="15">
        <f>IFERROR(__xludf.DUMMYFUNCTION("IF(ISBLANK($C8), """", GOOGLEFINANCE($C8, ""price""))"),116.76)</f>
        <v>116.76</v>
      </c>
      <c r="P8" s="16">
        <f t="shared" si="2"/>
        <v>-0.04389807778</v>
      </c>
      <c r="Q8" s="16">
        <f>IFERROR(__xludf.DUMMYFUNCTION("IF(OR(ISBLANK($G8), IFERROR(INDEX(GOOGLEFINANCE($C8, ""price"", WORKDAY(INT($B8), 1)), 2, 2), """")=""""), """", IF($D8=""LONG"", (IFERROR(INDEX(GOOGLEFINANCE($C8, ""price"", WORKDAY(INT($B8), 1)), 2, 2), """")-$G8)/$G8, ($G8-IFERROR(INDEX(GOOGLEFINANCE($"&amp;"C8, ""price"", WORKDAY(INT($B8), 1)), 2, 2), """"))/$G8))"),0.0034868126955744354)</f>
        <v>0.003486812696</v>
      </c>
      <c r="R8" s="16">
        <f>IFERROR(__xludf.DUMMYFUNCTION("IF(OR(ISBLANK($G8), IFERROR(INDEX(GOOGLEFINANCE($C8, ""price"", WORKDAY(INT($B8), 5)), 2, 2), """")=""""), """", IF($D8=""LONG"", (IFERROR(INDEX(GOOGLEFINANCE($C8, ""price"", WORKDAY(INT($B8), 5)), 2, 2), """")-$G8)/$G8, ($G8-IFERROR(INDEX(GOOGLEFINANCE($"&amp;"C8, ""price"", WORKDAY(INT($B8), 5)), 2, 2), """"))/$G8))"),-0.05051408135896295)</f>
        <v>-0.05051408136</v>
      </c>
      <c r="S8" s="16" t="str">
        <f>IFERROR(__xludf.DUMMYFUNCTION("IF(OR(ISBLANK($G8), IFERROR(INDEX(GOOGLEFINANCE($C8, ""price"", WORKDAY(INT($B8), 20)), 2, 2), """")=""""), """", IF($D8=""LONG"", (IFERROR(INDEX(GOOGLEFINANCE($C8, ""price"", WORKDAY(INT($B8), 20)), 2, 2), """")-$G8)/$G8, ($G8-IFERROR(INDEX(GOOGLEFINANCE"&amp;"($C8, ""price"", WORKDAY(INT($B8), 20)), 2, 2), """"))/$G8))"),"")</f>
        <v/>
      </c>
      <c r="T8" s="10" t="s">
        <v>549</v>
      </c>
      <c r="U8" s="10" t="s">
        <v>492</v>
      </c>
      <c r="V8" s="10" t="s">
        <v>493</v>
      </c>
      <c r="W8" s="10" t="s">
        <v>51</v>
      </c>
      <c r="X8" s="10" t="s">
        <v>492</v>
      </c>
    </row>
    <row r="9">
      <c r="A9" s="9">
        <f t="shared" si="1"/>
        <v>8</v>
      </c>
      <c r="B9" s="11">
        <v>46217.66743055556</v>
      </c>
      <c r="C9" s="10" t="s">
        <v>551</v>
      </c>
      <c r="D9" s="10" t="s">
        <v>119</v>
      </c>
      <c r="E9" s="10" t="s">
        <v>120</v>
      </c>
      <c r="F9" s="13">
        <v>4.0</v>
      </c>
      <c r="G9" s="14">
        <v>256.41</v>
      </c>
      <c r="H9" s="10" t="s">
        <v>553</v>
      </c>
      <c r="I9" s="10">
        <v>15.2</v>
      </c>
      <c r="O9" s="15">
        <f>IFERROR(__xludf.DUMMYFUNCTION("IF(ISBLANK($C9), """", GOOGLEFINANCE($C9, ""price""))"),261.1)</f>
        <v>261.1</v>
      </c>
      <c r="P9" s="16">
        <f t="shared" si="2"/>
        <v>-0.01829101829</v>
      </c>
      <c r="Q9" s="16">
        <f>IFERROR(__xludf.DUMMYFUNCTION("IF(OR(ISBLANK($G9), IFERROR(INDEX(GOOGLEFINANCE($C9, ""price"", WORKDAY(INT($B9), 1)), 2, 2), """")=""""), """", IF($D9=""LONG"", (IFERROR(INDEX(GOOGLEFINANCE($C9, ""price"", WORKDAY(INT($B9), 1)), 2, 2), """")-$G9)/$G9, ($G9-IFERROR(INDEX(GOOGLEFINANCE($"&amp;"C9, ""price"", WORKDAY(INT($B9), 1)), 2, 2), """"))/$G9))"),-0.006669006669006589)</f>
        <v>-0.006669006669</v>
      </c>
      <c r="R9" s="16">
        <f>IFERROR(__xludf.DUMMYFUNCTION("IF(OR(ISBLANK($G9), IFERROR(INDEX(GOOGLEFINANCE($C9, ""price"", WORKDAY(INT($B9), 5)), 2, 2), """")=""""), """", IF($D9=""LONG"", (IFERROR(INDEX(GOOGLEFINANCE($C9, ""price"", WORKDAY(INT($B9), 5)), 2, 2), """")-$G9)/$G9, ($G9-IFERROR(INDEX(GOOGLEFINANCE($"&amp;"C9, ""price"", WORKDAY(INT($B9), 5)), 2, 2), """"))/$G9))"),-0.022659022659022667)</f>
        <v>-0.02265902266</v>
      </c>
      <c r="S9" s="16" t="str">
        <f>IFERROR(__xludf.DUMMYFUNCTION("IF(OR(ISBLANK($G9), IFERROR(INDEX(GOOGLEFINANCE($C9, ""price"", WORKDAY(INT($B9), 20)), 2, 2), """")=""""), """", IF($D9=""LONG"", (IFERROR(INDEX(GOOGLEFINANCE($C9, ""price"", WORKDAY(INT($B9), 20)), 2, 2), """")-$G9)/$G9, ($G9-IFERROR(INDEX(GOOGLEFINANCE"&amp;"($C9, ""price"", WORKDAY(INT($B9), 20)), 2, 2), """"))/$G9))"),"")</f>
        <v/>
      </c>
      <c r="T9" s="10" t="s">
        <v>557</v>
      </c>
      <c r="U9" s="10" t="s">
        <v>492</v>
      </c>
      <c r="V9" s="10" t="s">
        <v>493</v>
      </c>
      <c r="W9" s="10" t="s">
        <v>51</v>
      </c>
      <c r="X9" s="10" t="s">
        <v>492</v>
      </c>
    </row>
    <row r="10">
      <c r="A10" s="9">
        <f t="shared" si="1"/>
        <v>9</v>
      </c>
      <c r="B10" s="11">
        <v>46217.6674537037</v>
      </c>
      <c r="C10" s="10" t="s">
        <v>207</v>
      </c>
      <c r="D10" s="10" t="s">
        <v>36</v>
      </c>
      <c r="E10" s="10" t="s">
        <v>37</v>
      </c>
      <c r="F10" s="13">
        <v>2.0</v>
      </c>
      <c r="G10" s="14">
        <v>328.6</v>
      </c>
      <c r="H10" s="10" t="s">
        <v>561</v>
      </c>
      <c r="I10" s="10">
        <v>96.7</v>
      </c>
      <c r="O10" s="15">
        <f>IFERROR(__xludf.DUMMYFUNCTION("IF(ISBLANK($C10), """", GOOGLEFINANCE($C10, ""price""))"),363.42)</f>
        <v>363.42</v>
      </c>
      <c r="P10" s="16">
        <f t="shared" si="2"/>
        <v>0.1059646987</v>
      </c>
      <c r="Q10" s="16">
        <f>IFERROR(__xludf.DUMMYFUNCTION("IF(OR(ISBLANK($G10), IFERROR(INDEX(GOOGLEFINANCE($C10, ""price"", WORKDAY(INT($B10), 1)), 2, 2), """")=""""), """", IF($D10=""LONG"", (IFERROR(INDEX(GOOGLEFINANCE($C10, ""price"", WORKDAY(INT($B10), 1)), 2, 2), """")-$G10)/$G10, ($G10-IFERROR(INDEX(GOOGLE"&amp;"FINANCE($C10, ""price"", WORKDAY(INT($B10), 1)), 2, 2), """"))/$G10))"),0.011229458307973212)</f>
        <v>0.01122945831</v>
      </c>
      <c r="R10" s="16">
        <f>IFERROR(__xludf.DUMMYFUNCTION("IF(OR(ISBLANK($G10), IFERROR(INDEX(GOOGLEFINANCE($C10, ""price"", WORKDAY(INT($B10), 5)), 2, 2), """")=""""), """", IF($D10=""LONG"", (IFERROR(INDEX(GOOGLEFINANCE($C10, ""price"", WORKDAY(INT($B10), 5)), 2, 2), """")-$G10)/$G10, ($G10-IFERROR(INDEX(GOOGLE"&amp;"FINANCE($C10, ""price"", WORKDAY(INT($B10), 5)), 2, 2), """"))/$G10))"),-0.030858186244674506)</f>
        <v>-0.03085818624</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566</v>
      </c>
      <c r="U10" s="10" t="s">
        <v>492</v>
      </c>
      <c r="V10" s="10" t="s">
        <v>493</v>
      </c>
      <c r="W10" s="10" t="s">
        <v>51</v>
      </c>
      <c r="X10" s="10" t="s">
        <v>492</v>
      </c>
    </row>
    <row r="11">
      <c r="A11" s="9">
        <f t="shared" si="1"/>
        <v>10</v>
      </c>
      <c r="B11" s="11">
        <v>46217.66738425926</v>
      </c>
      <c r="C11" s="10" t="s">
        <v>568</v>
      </c>
      <c r="D11" s="10" t="s">
        <v>119</v>
      </c>
      <c r="E11" s="10" t="s">
        <v>120</v>
      </c>
      <c r="F11" s="13">
        <v>4.0</v>
      </c>
      <c r="G11" s="14">
        <v>61.97</v>
      </c>
      <c r="H11" s="10" t="s">
        <v>569</v>
      </c>
      <c r="I11" s="10">
        <v>9.5</v>
      </c>
      <c r="O11" s="15">
        <f>IFERROR(__xludf.DUMMYFUNCTION("IF(ISBLANK($C11), """", GOOGLEFINANCE($C11, ""price""))"),68.18)</f>
        <v>68.18</v>
      </c>
      <c r="P11" s="16">
        <f t="shared" si="2"/>
        <v>-0.1002097789</v>
      </c>
      <c r="Q11" s="16">
        <f>IFERROR(__xludf.DUMMYFUNCTION("IF(OR(ISBLANK($G11), IFERROR(INDEX(GOOGLEFINANCE($C11, ""price"", WORKDAY(INT($B11), 1)), 2, 2), """")=""""), """", IF($D11=""LONG"", (IFERROR(INDEX(GOOGLEFINANCE($C11, ""price"", WORKDAY(INT($B11), 1)), 2, 2), """")-$G11)/$G11, ($G11-IFERROR(INDEX(GOOGLE"&amp;"FINANCE($C11, ""price"", WORKDAY(INT($B11), 1)), 2, 2), """"))/$G11))"),0.016136840406648378)</f>
        <v>0.01613684041</v>
      </c>
      <c r="R11" s="16">
        <f>IFERROR(__xludf.DUMMYFUNCTION("IF(OR(ISBLANK($G11), IFERROR(INDEX(GOOGLEFINANCE($C11, ""price"", WORKDAY(INT($B11), 5)), 2, 2), """")=""""), """", IF($D11=""LONG"", (IFERROR(INDEX(GOOGLEFINANCE($C11, ""price"", WORKDAY(INT($B11), 5)), 2, 2), """")-$G11)/$G11, ($G11-IFERROR(INDEX(GOOGLE"&amp;"FINANCE($C11, ""price"", WORKDAY(INT($B11), 5)), 2, 2), """"))/$G11))"),-0.0095207358399226)</f>
        <v>-0.00952073584</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575</v>
      </c>
      <c r="U11" s="10" t="s">
        <v>492</v>
      </c>
      <c r="V11" s="10" t="s">
        <v>493</v>
      </c>
      <c r="W11" s="10" t="s">
        <v>51</v>
      </c>
      <c r="X11" s="10" t="s">
        <v>492</v>
      </c>
    </row>
    <row r="12">
      <c r="A12" s="9">
        <f t="shared" si="1"/>
        <v>11</v>
      </c>
      <c r="B12" s="11">
        <v>46217.6674537037</v>
      </c>
      <c r="C12" s="10" t="s">
        <v>392</v>
      </c>
      <c r="D12" s="10" t="s">
        <v>36</v>
      </c>
      <c r="E12" s="10" t="s">
        <v>37</v>
      </c>
      <c r="F12" s="13">
        <v>2.0</v>
      </c>
      <c r="G12" s="14">
        <v>232.42</v>
      </c>
      <c r="H12" s="10" t="s">
        <v>576</v>
      </c>
      <c r="I12" s="10">
        <v>91.2</v>
      </c>
      <c r="O12" s="15">
        <f>IFERROR(__xludf.DUMMYFUNCTION("IF(ISBLANK($C12), """", GOOGLEFINANCE($C12, ""price""))"),180.67)</f>
        <v>180.67</v>
      </c>
      <c r="P12" s="16">
        <f t="shared" si="2"/>
        <v>-0.2226572584</v>
      </c>
      <c r="Q12" s="16">
        <f>IFERROR(__xludf.DUMMYFUNCTION("IF(OR(ISBLANK($G12), IFERROR(INDEX(GOOGLEFINANCE($C12, ""price"", WORKDAY(INT($B12), 1)), 2, 2), """")=""""), """", IF($D12=""LONG"", (IFERROR(INDEX(GOOGLEFINANCE($C12, ""price"", WORKDAY(INT($B12), 1)), 2, 2), """")-$G12)/$G12, ($G12-IFERROR(INDEX(GOOGLE"&amp;"FINANCE($C12, ""price"", WORKDAY(INT($B12), 1)), 2, 2), """"))/$G12))"),-0.0034850701316580927)</f>
        <v>-0.003485070132</v>
      </c>
      <c r="R12" s="16">
        <f>IFERROR(__xludf.DUMMYFUNCTION("IF(OR(ISBLANK($G12), IFERROR(INDEX(GOOGLEFINANCE($C12, ""price"", WORKDAY(INT($B12), 5)), 2, 2), """")=""""), """", IF($D12=""LONG"", (IFERROR(INDEX(GOOGLEFINANCE($C12, ""price"", WORKDAY(INT($B12), 5)), 2, 2), """")-$G12)/$G12, ($G12-IFERROR(INDEX(GOOGLE"&amp;"FINANCE($C12, ""price"", WORKDAY(INT($B12), 5)), 2, 2), """"))/$G12))"),0.02091042078994929)</f>
        <v>0.02091042079</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581</v>
      </c>
      <c r="U12" s="10" t="s">
        <v>492</v>
      </c>
      <c r="V12" s="10" t="s">
        <v>493</v>
      </c>
      <c r="W12" s="10" t="s">
        <v>51</v>
      </c>
      <c r="X12" s="10" t="s">
        <v>492</v>
      </c>
    </row>
    <row r="13">
      <c r="A13" s="9">
        <f t="shared" si="1"/>
        <v>12</v>
      </c>
      <c r="B13" s="11">
        <v>46217.66741898148</v>
      </c>
      <c r="C13" s="10" t="s">
        <v>556</v>
      </c>
      <c r="D13" s="10" t="s">
        <v>119</v>
      </c>
      <c r="E13" s="10" t="s">
        <v>120</v>
      </c>
      <c r="F13" s="13">
        <v>4.0</v>
      </c>
      <c r="G13" s="14">
        <v>49.49</v>
      </c>
      <c r="H13" s="10" t="s">
        <v>583</v>
      </c>
      <c r="I13" s="10">
        <v>6.5</v>
      </c>
      <c r="O13" s="15">
        <f>IFERROR(__xludf.DUMMYFUNCTION("IF(ISBLANK($C13), """", GOOGLEFINANCE($C13, ""price""))"),55.37)</f>
        <v>55.37</v>
      </c>
      <c r="P13" s="16">
        <f t="shared" si="2"/>
        <v>-0.1188118812</v>
      </c>
      <c r="Q13" s="16">
        <f>IFERROR(__xludf.DUMMYFUNCTION("IF(OR(ISBLANK($G13), IFERROR(INDEX(GOOGLEFINANCE($C13, ""price"", WORKDAY(INT($B13), 1)), 2, 2), """")=""""), """", IF($D13=""LONG"", (IFERROR(INDEX(GOOGLEFINANCE($C13, ""price"", WORKDAY(INT($B13), 1)), 2, 2), """")-$G13)/$G13, ($G13-IFERROR(INDEX(GOOGLE"&amp;"FINANCE($C13, ""price"", WORKDAY(INT($B13), 1)), 2, 2), """"))/$G13))"),-0.018185492018589586)</f>
        <v>-0.01818549202</v>
      </c>
      <c r="R13" s="16">
        <f>IFERROR(__xludf.DUMMYFUNCTION("IF(OR(ISBLANK($G13), IFERROR(INDEX(GOOGLEFINANCE($C13, ""price"", WORKDAY(INT($B13), 5)), 2, 2), """")=""""), """", IF($D13=""LONG"", (IFERROR(INDEX(GOOGLEFINANCE($C13, ""price"", WORKDAY(INT($B13), 5)), 2, 2), """")-$G13)/$G13, ($G13-IFERROR(INDEX(GOOGLE"&amp;"FINANCE($C13, ""price"", WORKDAY(INT($B13), 5)), 2, 2), """"))/$G13))"),-0.04000808244089708)</f>
        <v>-0.04000808244</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586</v>
      </c>
      <c r="U13" s="10" t="s">
        <v>492</v>
      </c>
      <c r="V13" s="10" t="s">
        <v>493</v>
      </c>
      <c r="W13" s="10" t="s">
        <v>51</v>
      </c>
      <c r="X13" s="10" t="s">
        <v>492</v>
      </c>
    </row>
    <row r="14">
      <c r="A14" s="9">
        <f t="shared" si="1"/>
        <v>13</v>
      </c>
      <c r="B14" s="11">
        <v>46217.66746527778</v>
      </c>
      <c r="C14" s="10" t="s">
        <v>98</v>
      </c>
      <c r="D14" s="10" t="s">
        <v>36</v>
      </c>
      <c r="E14" s="10" t="s">
        <v>37</v>
      </c>
      <c r="F14" s="13">
        <v>2.0</v>
      </c>
      <c r="G14" s="14">
        <v>30.93</v>
      </c>
      <c r="H14" s="10" t="s">
        <v>589</v>
      </c>
      <c r="I14" s="10">
        <v>93.3</v>
      </c>
      <c r="O14" s="15">
        <f>IFERROR(__xludf.DUMMYFUNCTION("IF(ISBLANK($C14), """", GOOGLEFINANCE($C14, ""price""))"),31.39)</f>
        <v>31.39</v>
      </c>
      <c r="P14" s="16">
        <f t="shared" si="2"/>
        <v>0.01487229227</v>
      </c>
      <c r="Q14" s="16">
        <f>IFERROR(__xludf.DUMMYFUNCTION("IF(OR(ISBLANK($G14), IFERROR(INDEX(GOOGLEFINANCE($C14, ""price"", WORKDAY(INT($B14), 1)), 2, 2), """")=""""), """", IF($D14=""LONG"", (IFERROR(INDEX(GOOGLEFINANCE($C14, ""price"", WORKDAY(INT($B14), 1)), 2, 2), """")-$G14)/$G14, ($G14-IFERROR(INDEX(GOOGLE"&amp;"FINANCE($C14, ""price"", WORKDAY(INT($B14), 1)), 2, 2), """"))/$G14))"),0.017782088587132257)</f>
        <v>0.01778208859</v>
      </c>
      <c r="R14" s="16">
        <f>IFERROR(__xludf.DUMMYFUNCTION("IF(OR(ISBLANK($G14), IFERROR(INDEX(GOOGLEFINANCE($C14, ""price"", WORKDAY(INT($B14), 5)), 2, 2), """")=""""), """", IF($D14=""LONG"", (IFERROR(INDEX(GOOGLEFINANCE($C14, ""price"", WORKDAY(INT($B14), 5)), 2, 2), """")-$G14)/$G14, ($G14-IFERROR(INDEX(GOOGLE"&amp;"FINANCE($C14, ""price"", WORKDAY(INT($B14), 5)), 2, 2), """"))/$G14))"),-0.0035564177174264287)</f>
        <v>-0.003556417717</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593</v>
      </c>
      <c r="U14" s="10" t="s">
        <v>492</v>
      </c>
      <c r="V14" s="10" t="s">
        <v>493</v>
      </c>
      <c r="W14" s="10" t="s">
        <v>51</v>
      </c>
      <c r="X14" s="10" t="s">
        <v>492</v>
      </c>
    </row>
    <row r="15">
      <c r="A15" s="9">
        <f t="shared" si="1"/>
        <v>14</v>
      </c>
      <c r="B15" s="11">
        <v>46217.66747685185</v>
      </c>
      <c r="C15" s="10" t="s">
        <v>594</v>
      </c>
      <c r="D15" s="10" t="s">
        <v>36</v>
      </c>
      <c r="E15" s="10" t="s">
        <v>37</v>
      </c>
      <c r="F15" s="13">
        <v>2.0</v>
      </c>
      <c r="G15" s="14">
        <v>79.0</v>
      </c>
      <c r="H15" s="10" t="s">
        <v>595</v>
      </c>
      <c r="I15" s="10">
        <v>97.9</v>
      </c>
      <c r="O15" s="15">
        <f>IFERROR(__xludf.DUMMYFUNCTION("IF(ISBLANK($C15), """", GOOGLEFINANCE($C15, ""price""))"),79.97)</f>
        <v>79.97</v>
      </c>
      <c r="P15" s="16">
        <f t="shared" si="2"/>
        <v>0.01227848101</v>
      </c>
      <c r="Q15" s="16">
        <f>IFERROR(__xludf.DUMMYFUNCTION("IF(OR(ISBLANK($G15), IFERROR(INDEX(GOOGLEFINANCE($C15, ""price"", WORKDAY(INT($B15), 1)), 2, 2), """")=""""), """", IF($D15=""LONG"", (IFERROR(INDEX(GOOGLEFINANCE($C15, ""price"", WORKDAY(INT($B15), 1)), 2, 2), """")-$G15)/$G15, ($G15-IFERROR(INDEX(GOOGLE"&amp;"FINANCE($C15, ""price"", WORKDAY(INT($B15), 1)), 2, 2), """"))/$G15))"),-0.028101265822784795)</f>
        <v>-0.02810126582</v>
      </c>
      <c r="R15" s="16">
        <f>IFERROR(__xludf.DUMMYFUNCTION("IF(OR(ISBLANK($G15), IFERROR(INDEX(GOOGLEFINANCE($C15, ""price"", WORKDAY(INT($B15), 5)), 2, 2), """")=""""), """", IF($D15=""LONG"", (IFERROR(INDEX(GOOGLEFINANCE($C15, ""price"", WORKDAY(INT($B15), 5)), 2, 2), """")-$G15)/$G15, ($G15-IFERROR(INDEX(GOOGLE"&amp;"FINANCE($C15, ""price"", WORKDAY(INT($B15), 5)), 2, 2), """"))/$G15))"),0.015696202531645505)</f>
        <v>0.01569620253</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604</v>
      </c>
      <c r="U15" s="10" t="s">
        <v>492</v>
      </c>
      <c r="V15" s="10" t="s">
        <v>493</v>
      </c>
      <c r="W15" s="10" t="s">
        <v>51</v>
      </c>
      <c r="X15" s="10" t="s">
        <v>492</v>
      </c>
    </row>
    <row r="16">
      <c r="A16" s="9">
        <f t="shared" si="1"/>
        <v>15</v>
      </c>
      <c r="B16" s="11">
        <v>46217.6675</v>
      </c>
      <c r="C16" s="10" t="s">
        <v>319</v>
      </c>
      <c r="D16" s="10" t="s">
        <v>36</v>
      </c>
      <c r="E16" s="10" t="s">
        <v>37</v>
      </c>
      <c r="F16" s="13">
        <v>2.0</v>
      </c>
      <c r="G16" s="14">
        <v>158.2</v>
      </c>
      <c r="H16" s="10" t="s">
        <v>605</v>
      </c>
      <c r="I16" s="10">
        <v>94.6</v>
      </c>
      <c r="O16" s="15">
        <f>IFERROR(__xludf.DUMMYFUNCTION("IF(ISBLANK($C16), """", GOOGLEFINANCE($C16, ""price""))"),152.28)</f>
        <v>152.28</v>
      </c>
      <c r="P16" s="16">
        <f t="shared" si="2"/>
        <v>-0.03742098609</v>
      </c>
      <c r="Q16" s="16">
        <f>IFERROR(__xludf.DUMMYFUNCTION("IF(OR(ISBLANK($G16), IFERROR(INDEX(GOOGLEFINANCE($C16, ""price"", WORKDAY(INT($B16), 1)), 2, 2), """")=""""), """", IF($D16=""LONG"", (IFERROR(INDEX(GOOGLEFINANCE($C16, ""price"", WORKDAY(INT($B16), 1)), 2, 2), """")-$G16)/$G16, ($G16-IFERROR(INDEX(GOOGLE"&amp;"FINANCE($C16, ""price"", WORKDAY(INT($B16), 1)), 2, 2), """"))/$G16))"),-0.03558786346396963)</f>
        <v>-0.03558786346</v>
      </c>
      <c r="R16" s="16">
        <f>IFERROR(__xludf.DUMMYFUNCTION("IF(OR(ISBLANK($G16), IFERROR(INDEX(GOOGLEFINANCE($C16, ""price"", WORKDAY(INT($B16), 5)), 2, 2), """")=""""), """", IF($D16=""LONG"", (IFERROR(INDEX(GOOGLEFINANCE($C16, ""price"", WORKDAY(INT($B16), 5)), 2, 2), """")-$G16)/$G16, ($G16-IFERROR(INDEX(GOOGLE"&amp;"FINANCE($C16, ""price"", WORKDAY(INT($B16), 5)), 2, 2), """"))/$G16))"),-0.06972187104930469)</f>
        <v>-0.06972187105</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612</v>
      </c>
      <c r="U16" s="10" t="s">
        <v>492</v>
      </c>
      <c r="V16" s="10" t="s">
        <v>493</v>
      </c>
      <c r="W16" s="10" t="s">
        <v>51</v>
      </c>
      <c r="X16" s="10" t="s">
        <v>492</v>
      </c>
    </row>
    <row r="17">
      <c r="A17" s="9">
        <f t="shared" si="1"/>
        <v>16</v>
      </c>
      <c r="B17" s="11">
        <v>46217.6675</v>
      </c>
      <c r="C17" s="10" t="s">
        <v>212</v>
      </c>
      <c r="D17" s="10" t="s">
        <v>119</v>
      </c>
      <c r="E17" s="10" t="s">
        <v>120</v>
      </c>
      <c r="F17" s="13">
        <v>4.0</v>
      </c>
      <c r="G17" s="14">
        <v>113.68</v>
      </c>
      <c r="H17" s="10" t="s">
        <v>613</v>
      </c>
      <c r="I17" s="10">
        <v>5.3</v>
      </c>
      <c r="O17" s="15">
        <f>IFERROR(__xludf.DUMMYFUNCTION("IF(ISBLANK($C17), """", GOOGLEFINANCE($C17, ""price""))"),112.07)</f>
        <v>112.07</v>
      </c>
      <c r="P17" s="16">
        <f t="shared" si="2"/>
        <v>0.01416256158</v>
      </c>
      <c r="Q17" s="16">
        <f>IFERROR(__xludf.DUMMYFUNCTION("IF(OR(ISBLANK($G17), IFERROR(INDEX(GOOGLEFINANCE($C17, ""price"", WORKDAY(INT($B17), 1)), 2, 2), """")=""""), """", IF($D17=""LONG"", (IFERROR(INDEX(GOOGLEFINANCE($C17, ""price"", WORKDAY(INT($B17), 1)), 2, 2), """")-$G17)/$G17, ($G17-IFERROR(INDEX(GOOGLE"&amp;"FINANCE($C17, ""price"", WORKDAY(INT($B17), 1)), 2, 2), """"))/$G17))"),0.010116115411681963)</f>
        <v>0.01011611541</v>
      </c>
      <c r="R17" s="16">
        <f>IFERROR(__xludf.DUMMYFUNCTION("IF(OR(ISBLANK($G17), IFERROR(INDEX(GOOGLEFINANCE($C17, ""price"", WORKDAY(INT($B17), 5)), 2, 2), """")=""""), """", IF($D17=""LONG"", (IFERROR(INDEX(GOOGLEFINANCE($C17, ""price"", WORKDAY(INT($B17), 5)), 2, 2), """")-$G17)/$G17, ($G17-IFERROR(INDEX(GOOGLE"&amp;"FINANCE($C17, ""price"", WORKDAY(INT($B17), 5)), 2, 2), """"))/$G17))"),0.028940886699507444)</f>
        <v>0.0289408867</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620</v>
      </c>
      <c r="U17" s="10" t="s">
        <v>492</v>
      </c>
      <c r="V17" s="10" t="s">
        <v>493</v>
      </c>
      <c r="W17" s="10" t="s">
        <v>51</v>
      </c>
      <c r="X17" s="10" t="s">
        <v>492</v>
      </c>
    </row>
    <row r="18">
      <c r="A18" s="9">
        <f t="shared" si="1"/>
        <v>17</v>
      </c>
      <c r="B18" s="11">
        <v>46217.66751157407</v>
      </c>
      <c r="C18" s="10" t="s">
        <v>166</v>
      </c>
      <c r="D18" s="10" t="s">
        <v>36</v>
      </c>
      <c r="E18" s="10" t="s">
        <v>37</v>
      </c>
      <c r="F18" s="13">
        <v>2.0</v>
      </c>
      <c r="G18" s="14">
        <v>123.97</v>
      </c>
      <c r="H18" s="10" t="s">
        <v>624</v>
      </c>
      <c r="I18" s="10">
        <v>89.3</v>
      </c>
      <c r="O18" s="15">
        <f>IFERROR(__xludf.DUMMYFUNCTION("IF(ISBLANK($C18), """", GOOGLEFINANCE($C18, ""price""))"),132.06)</f>
        <v>132.06</v>
      </c>
      <c r="P18" s="16">
        <f t="shared" si="2"/>
        <v>0.06525772364</v>
      </c>
      <c r="Q18" s="16">
        <f>IFERROR(__xludf.DUMMYFUNCTION("IF(OR(ISBLANK($G18), IFERROR(INDEX(GOOGLEFINANCE($C18, ""price"", WORKDAY(INT($B18), 1)), 2, 2), """")=""""), """", IF($D18=""LONG"", (IFERROR(INDEX(GOOGLEFINANCE($C18, ""price"", WORKDAY(INT($B18), 1)), 2, 2), """")-$G18)/$G18, ($G18-IFERROR(INDEX(GOOGLE"&amp;"FINANCE($C18, ""price"", WORKDAY(INT($B18), 1)), 2, 2), """"))/$G18))"),-0.006614503508913392)</f>
        <v>-0.006614503509</v>
      </c>
      <c r="R18" s="16">
        <f>IFERROR(__xludf.DUMMYFUNCTION("IF(OR(ISBLANK($G18), IFERROR(INDEX(GOOGLEFINANCE($C18, ""price"", WORKDAY(INT($B18), 5)), 2, 2), """")=""""), """", IF($D18=""LONG"", (IFERROR(INDEX(GOOGLEFINANCE($C18, ""price"", WORKDAY(INT($B18), 5)), 2, 2), """")-$G18)/$G18, ($G18-IFERROR(INDEX(GOOGLE"&amp;"FINANCE($C18, ""price"", WORKDAY(INT($B18), 5)), 2, 2), """"))/$G18))"),0.01839154634185691)</f>
        <v>0.01839154634</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631</v>
      </c>
      <c r="U18" s="10" t="s">
        <v>492</v>
      </c>
      <c r="V18" s="10" t="s">
        <v>493</v>
      </c>
      <c r="W18" s="10" t="s">
        <v>51</v>
      </c>
      <c r="X18" s="10" t="s">
        <v>492</v>
      </c>
    </row>
    <row r="19">
      <c r="A19" s="9">
        <f t="shared" si="1"/>
        <v>18</v>
      </c>
      <c r="B19" s="11">
        <v>46217.66752314815</v>
      </c>
      <c r="C19" s="10" t="s">
        <v>174</v>
      </c>
      <c r="D19" s="10" t="s">
        <v>36</v>
      </c>
      <c r="E19" s="10" t="s">
        <v>37</v>
      </c>
      <c r="F19" s="13">
        <v>2.0</v>
      </c>
      <c r="G19" s="14">
        <v>24.81</v>
      </c>
      <c r="H19" s="10" t="s">
        <v>635</v>
      </c>
      <c r="I19" s="10">
        <v>94.7</v>
      </c>
      <c r="O19" s="15">
        <f>IFERROR(__xludf.DUMMYFUNCTION("IF(ISBLANK($C19), """", GOOGLEFINANCE($C19, ""price""))"),25.09)</f>
        <v>25.09</v>
      </c>
      <c r="P19" s="16">
        <f t="shared" si="2"/>
        <v>0.01128577187</v>
      </c>
      <c r="Q19" s="16">
        <f>IFERROR(__xludf.DUMMYFUNCTION("IF(OR(ISBLANK($G19), IFERROR(INDEX(GOOGLEFINANCE($C19, ""price"", WORKDAY(INT($B19), 1)), 2, 2), """")=""""), """", IF($D19=""LONG"", (IFERROR(INDEX(GOOGLEFINANCE($C19, ""price"", WORKDAY(INT($B19), 1)), 2, 2), """")-$G19)/$G19, ($G19-IFERROR(INDEX(GOOGLE"&amp;"FINANCE($C19, ""price"", WORKDAY(INT($B19), 1)), 2, 2), """"))/$G19))"),0.013704151551793626)</f>
        <v>0.01370415155</v>
      </c>
      <c r="R19" s="16">
        <f>IFERROR(__xludf.DUMMYFUNCTION("IF(OR(ISBLANK($G19), IFERROR(INDEX(GOOGLEFINANCE($C19, ""price"", WORKDAY(INT($B19), 5)), 2, 2), """")=""""), """", IF($D19=""LONG"", (IFERROR(INDEX(GOOGLEFINANCE($C19, ""price"", WORKDAY(INT($B19), 5)), 2, 2), """")-$G19)/$G19, ($G19-IFERROR(INDEX(GOOGLE"&amp;"FINANCE($C19, ""price"", WORKDAY(INT($B19), 5)), 2, 2), """"))/$G19))"),0.012091898428053234)</f>
        <v>0.01209189843</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637</v>
      </c>
      <c r="U19" s="10" t="s">
        <v>492</v>
      </c>
      <c r="V19" s="10" t="s">
        <v>493</v>
      </c>
      <c r="W19" s="10" t="s">
        <v>51</v>
      </c>
      <c r="X19" s="10" t="s">
        <v>492</v>
      </c>
    </row>
    <row r="20">
      <c r="A20" s="9">
        <f t="shared" si="1"/>
        <v>19</v>
      </c>
      <c r="B20" s="11">
        <v>46217.66753472222</v>
      </c>
      <c r="C20" s="10" t="s">
        <v>156</v>
      </c>
      <c r="D20" s="10" t="s">
        <v>119</v>
      </c>
      <c r="E20" s="10" t="s">
        <v>120</v>
      </c>
      <c r="F20" s="13">
        <v>4.0</v>
      </c>
      <c r="G20" s="14">
        <v>116.69</v>
      </c>
      <c r="H20" s="10" t="s">
        <v>642</v>
      </c>
      <c r="I20" s="10">
        <v>7.9</v>
      </c>
      <c r="O20" s="15">
        <f>IFERROR(__xludf.DUMMYFUNCTION("IF(ISBLANK($C20), """", GOOGLEFINANCE($C20, ""price""))"),109.0)</f>
        <v>109</v>
      </c>
      <c r="P20" s="16">
        <f t="shared" si="2"/>
        <v>0.06590110549</v>
      </c>
      <c r="Q20" s="16">
        <f>IFERROR(__xludf.DUMMYFUNCTION("IF(OR(ISBLANK($G20), IFERROR(INDEX(GOOGLEFINANCE($C20, ""price"", WORKDAY(INT($B20), 1)), 2, 2), """")=""""), """", IF($D20=""LONG"", (IFERROR(INDEX(GOOGLEFINANCE($C20, ""price"", WORKDAY(INT($B20), 1)), 2, 2), """")-$G20)/$G20, ($G20-IFERROR(INDEX(GOOGLE"&amp;"FINANCE($C20, ""price"", WORKDAY(INT($B20), 1)), 2, 2), """"))/$G20))"),0.008312623189647775)</f>
        <v>0.00831262319</v>
      </c>
      <c r="R20" s="16">
        <f>IFERROR(__xludf.DUMMYFUNCTION("IF(OR(ISBLANK($G20), IFERROR(INDEX(GOOGLEFINANCE($C20, ""price"", WORKDAY(INT($B20), 5)), 2, 2), """")=""""), """", IF($D20=""LONG"", (IFERROR(INDEX(GOOGLEFINANCE($C20, ""price"", WORKDAY(INT($B20), 5)), 2, 2), """")-$G20)/$G20, ($G20-IFERROR(INDEX(GOOGLE"&amp;"FINANCE($C20, ""price"", WORKDAY(INT($B20), 5)), 2, 2), """"))/$G20))"),-0.04164881309452395)</f>
        <v>-0.04164881309</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650</v>
      </c>
      <c r="U20" s="10" t="s">
        <v>492</v>
      </c>
      <c r="V20" s="10" t="s">
        <v>493</v>
      </c>
      <c r="W20" s="10" t="s">
        <v>51</v>
      </c>
      <c r="X20" s="10" t="s">
        <v>492</v>
      </c>
    </row>
    <row r="21">
      <c r="A21" s="9">
        <f t="shared" si="1"/>
        <v>20</v>
      </c>
      <c r="B21" s="11">
        <v>46217.66758101852</v>
      </c>
      <c r="C21" s="10" t="s">
        <v>332</v>
      </c>
      <c r="D21" s="10" t="s">
        <v>36</v>
      </c>
      <c r="E21" s="10" t="s">
        <v>37</v>
      </c>
      <c r="F21" s="13">
        <v>2.0</v>
      </c>
      <c r="G21" s="14">
        <v>86.92</v>
      </c>
      <c r="H21" s="10" t="s">
        <v>652</v>
      </c>
      <c r="I21" s="10">
        <v>95.4</v>
      </c>
      <c r="O21" s="15">
        <f>IFERROR(__xludf.DUMMYFUNCTION("IF(ISBLANK($C21), """", GOOGLEFINANCE($C21, ""price""))"),88.23)</f>
        <v>88.23</v>
      </c>
      <c r="P21" s="16">
        <f t="shared" si="2"/>
        <v>0.01507132996</v>
      </c>
      <c r="Q21" s="16">
        <f>IFERROR(__xludf.DUMMYFUNCTION("IF(OR(ISBLANK($G21), IFERROR(INDEX(GOOGLEFINANCE($C21, ""price"", WORKDAY(INT($B21), 1)), 2, 2), """")=""""), """", IF($D21=""LONG"", (IFERROR(INDEX(GOOGLEFINANCE($C21, ""price"", WORKDAY(INT($B21), 1)), 2, 2), """")-$G21)/$G21, ($G21-IFERROR(INDEX(GOOGLE"&amp;"FINANCE($C21, ""price"", WORKDAY(INT($B21), 1)), 2, 2), """"))/$G21))"),0.0027611596870685097)</f>
        <v>0.002761159687</v>
      </c>
      <c r="R21" s="16">
        <f>IFERROR(__xludf.DUMMYFUNCTION("IF(OR(ISBLANK($G21), IFERROR(INDEX(GOOGLEFINANCE($C21, ""price"", WORKDAY(INT($B21), 5)), 2, 2), """")=""""), """", IF($D21=""LONG"", (IFERROR(INDEX(GOOGLEFINANCE($C21, ""price"", WORKDAY(INT($B21), 5)), 2, 2), """")-$G21)/$G21, ($G21-IFERROR(INDEX(GOOGLE"&amp;"FINANCE($C21, ""price"", WORKDAY(INT($B21), 5)), 2, 2), """"))/$G21))"),-0.012195121951219539)</f>
        <v>-0.01219512195</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657</v>
      </c>
      <c r="U21" s="10" t="s">
        <v>492</v>
      </c>
      <c r="V21" s="10" t="s">
        <v>493</v>
      </c>
      <c r="W21" s="10" t="s">
        <v>51</v>
      </c>
      <c r="X21" s="10" t="s">
        <v>492</v>
      </c>
    </row>
    <row r="22">
      <c r="A22" s="9">
        <f t="shared" si="1"/>
        <v>21</v>
      </c>
      <c r="B22" s="11">
        <v>46217.66767361111</v>
      </c>
      <c r="C22" s="10" t="s">
        <v>72</v>
      </c>
      <c r="D22" s="10" t="s">
        <v>36</v>
      </c>
      <c r="E22" s="10" t="s">
        <v>37</v>
      </c>
      <c r="F22" s="13">
        <v>2.0</v>
      </c>
      <c r="G22" s="14">
        <v>1371.09</v>
      </c>
      <c r="H22" s="10" t="s">
        <v>660</v>
      </c>
      <c r="I22" s="10">
        <v>89.7</v>
      </c>
      <c r="O22" s="15">
        <f>IFERROR(__xludf.DUMMYFUNCTION("IF(ISBLANK($C22), """", GOOGLEFINANCE($C22, ""price""))"),1282.58)</f>
        <v>1282.58</v>
      </c>
      <c r="P22" s="16">
        <f t="shared" si="2"/>
        <v>-0.06455447855</v>
      </c>
      <c r="Q22" s="16">
        <f>IFERROR(__xludf.DUMMYFUNCTION("IF(OR(ISBLANK($G22), IFERROR(INDEX(GOOGLEFINANCE($C22, ""price"", WORKDAY(INT($B22), 1)), 2, 2), """")=""""), """", IF($D22=""LONG"", (IFERROR(INDEX(GOOGLEFINANCE($C22, ""price"", WORKDAY(INT($B22), 1)), 2, 2), """")-$G22)/$G22, ($G22-IFERROR(INDEX(GOOGLE"&amp;"FINANCE($C22, ""price"", WORKDAY(INT($B22), 1)), 2, 2), """"))/$G22))"),2.552713534488155E-4)</f>
        <v>0.0002552713534</v>
      </c>
      <c r="R22" s="16">
        <f>IFERROR(__xludf.DUMMYFUNCTION("IF(OR(ISBLANK($G22), IFERROR(INDEX(GOOGLEFINANCE($C22, ""price"", WORKDAY(INT($B22), 5)), 2, 2), """")=""""), """", IF($D22=""LONG"", (IFERROR(INDEX(GOOGLEFINANCE($C22, ""price"", WORKDAY(INT($B22), 5)), 2, 2), """")-$G22)/$G22, ($G22-IFERROR(INDEX(GOOGLE"&amp;"FINANCE($C22, ""price"", WORKDAY(INT($B22), 5)), 2, 2), """"))/$G22))"),-0.006914206944839521)</f>
        <v>-0.006914206945</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666</v>
      </c>
      <c r="U22" s="10" t="s">
        <v>492</v>
      </c>
      <c r="V22" s="10" t="s">
        <v>493</v>
      </c>
      <c r="W22" s="10" t="s">
        <v>51</v>
      </c>
      <c r="X22" s="10" t="s">
        <v>492</v>
      </c>
    </row>
    <row r="23">
      <c r="A23" s="9">
        <f t="shared" si="1"/>
        <v>22</v>
      </c>
      <c r="B23" s="11">
        <v>46217.667662037034</v>
      </c>
      <c r="C23" s="10" t="s">
        <v>34</v>
      </c>
      <c r="D23" s="10" t="s">
        <v>36</v>
      </c>
      <c r="E23" s="10" t="s">
        <v>133</v>
      </c>
      <c r="F23" s="13">
        <v>2.0</v>
      </c>
      <c r="G23" s="14">
        <v>190.55</v>
      </c>
      <c r="H23" s="10" t="s">
        <v>668</v>
      </c>
      <c r="I23" s="10">
        <v>91.7</v>
      </c>
      <c r="O23" s="15">
        <f>IFERROR(__xludf.DUMMYFUNCTION("IF(ISBLANK($C23), """", GOOGLEFINANCE($C23, ""price""))"),189.75)</f>
        <v>189.75</v>
      </c>
      <c r="P23" s="16">
        <f t="shared" si="2"/>
        <v>-0.00419837313</v>
      </c>
      <c r="Q23" s="16">
        <f>IFERROR(__xludf.DUMMYFUNCTION("IF(OR(ISBLANK($G23), IFERROR(INDEX(GOOGLEFINANCE($C23, ""price"", WORKDAY(INT($B23), 1)), 2, 2), """")=""""), """", IF($D23=""LONG"", (IFERROR(INDEX(GOOGLEFINANCE($C23, ""price"", WORKDAY(INT($B23), 1)), 2, 2), """")-$G23)/$G23, ($G23-IFERROR(INDEX(GOOGLE"&amp;"FINANCE($C23, ""price"", WORKDAY(INT($B23), 1)), 2, 2), """"))/$G23))"),0.007294673314090718)</f>
        <v>0.007294673314</v>
      </c>
      <c r="R23" s="16">
        <f>IFERROR(__xludf.DUMMYFUNCTION("IF(OR(ISBLANK($G23), IFERROR(INDEX(GOOGLEFINANCE($C23, ""price"", WORKDAY(INT($B23), 5)), 2, 2), """")=""""), """", IF($D23=""LONG"", (IFERROR(INDEX(GOOGLEFINANCE($C23, ""price"", WORKDAY(INT($B23), 5)), 2, 2), """")-$G23)/$G23, ($G23-IFERROR(INDEX(GOOGLE"&amp;"FINANCE($C23, ""price"", WORKDAY(INT($B23), 5)), 2, 2), """"))/$G23))"),0.024665442141170234)</f>
        <v>0.02466544214</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675</v>
      </c>
      <c r="U23" s="10" t="s">
        <v>492</v>
      </c>
      <c r="V23" s="10" t="s">
        <v>493</v>
      </c>
      <c r="W23" s="10" t="s">
        <v>51</v>
      </c>
      <c r="X23" s="10" t="s">
        <v>492</v>
      </c>
    </row>
    <row r="24">
      <c r="A24" s="9">
        <f t="shared" si="1"/>
        <v>23</v>
      </c>
      <c r="B24" s="11">
        <v>46217.66761574074</v>
      </c>
      <c r="C24" s="10" t="s">
        <v>505</v>
      </c>
      <c r="D24" s="10" t="s">
        <v>119</v>
      </c>
      <c r="E24" s="10" t="s">
        <v>120</v>
      </c>
      <c r="F24" s="13">
        <v>4.0</v>
      </c>
      <c r="G24" s="14">
        <v>24.26</v>
      </c>
      <c r="H24" s="10" t="s">
        <v>677</v>
      </c>
      <c r="I24" s="10">
        <v>6.4</v>
      </c>
      <c r="O24" s="15">
        <f>IFERROR(__xludf.DUMMYFUNCTION("IF(ISBLANK($C24), """", GOOGLEFINANCE($C24, ""price""))"),26.2)</f>
        <v>26.2</v>
      </c>
      <c r="P24" s="16">
        <f t="shared" si="2"/>
        <v>-0.07996702391</v>
      </c>
      <c r="Q24" s="16">
        <f>IFERROR(__xludf.DUMMYFUNCTION("IF(OR(ISBLANK($G24), IFERROR(INDEX(GOOGLEFINANCE($C24, ""price"", WORKDAY(INT($B24), 1)), 2, 2), """")=""""), """", IF($D24=""LONG"", (IFERROR(INDEX(GOOGLEFINANCE($C24, ""price"", WORKDAY(INT($B24), 1)), 2, 2), """")-$G24)/$G24, ($G24-IFERROR(INDEX(GOOGLE"&amp;"FINANCE($C24, ""price"", WORKDAY(INT($B24), 1)), 2, 2), """"))/$G24))"),-0.023083264633140917)</f>
        <v>-0.02308326463</v>
      </c>
      <c r="R24" s="16">
        <f>IFERROR(__xludf.DUMMYFUNCTION("IF(OR(ISBLANK($G24), IFERROR(INDEX(GOOGLEFINANCE($C24, ""price"", WORKDAY(INT($B24), 5)), 2, 2), """")=""""), """", IF($D24=""LONG"", (IFERROR(INDEX(GOOGLEFINANCE($C24, ""price"", WORKDAY(INT($B24), 5)), 2, 2), """")-$G24)/$G24, ($G24-IFERROR(INDEX(GOOGLE"&amp;"FINANCE($C24, ""price"", WORKDAY(INT($B24), 5)), 2, 2), """"))/$G24))"),-0.02802967848309974)</f>
        <v>-0.02802967848</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685</v>
      </c>
      <c r="U24" s="10" t="s">
        <v>492</v>
      </c>
      <c r="V24" s="10" t="s">
        <v>493</v>
      </c>
      <c r="W24" s="10" t="s">
        <v>51</v>
      </c>
      <c r="X24" s="10" t="s">
        <v>492</v>
      </c>
    </row>
    <row r="25">
      <c r="A25" s="9">
        <f t="shared" si="1"/>
        <v>24</v>
      </c>
      <c r="B25" s="11">
        <v>46217.66767361111</v>
      </c>
      <c r="C25" s="10" t="s">
        <v>454</v>
      </c>
      <c r="D25" s="10" t="s">
        <v>36</v>
      </c>
      <c r="E25" s="10" t="s">
        <v>37</v>
      </c>
      <c r="F25" s="13">
        <v>2.0</v>
      </c>
      <c r="G25" s="14">
        <v>120.33</v>
      </c>
      <c r="H25" s="10" t="s">
        <v>688</v>
      </c>
      <c r="I25" s="10">
        <v>88.9</v>
      </c>
      <c r="O25" s="15">
        <f>IFERROR(__xludf.DUMMYFUNCTION("IF(ISBLANK($C25), """", GOOGLEFINANCE($C25, ""price""))"),129.12)</f>
        <v>129.12</v>
      </c>
      <c r="P25" s="16">
        <f t="shared" si="2"/>
        <v>0.07304911493</v>
      </c>
      <c r="Q25" s="16">
        <f>IFERROR(__xludf.DUMMYFUNCTION("IF(OR(ISBLANK($G25), IFERROR(INDEX(GOOGLEFINANCE($C25, ""price"", WORKDAY(INT($B25), 1)), 2, 2), """")=""""), """", IF($D25=""LONG"", (IFERROR(INDEX(GOOGLEFINANCE($C25, ""price"", WORKDAY(INT($B25), 1)), 2, 2), """")-$G25)/$G25, ($G25-IFERROR(INDEX(GOOGLE"&amp;"FINANCE($C25, ""price"", WORKDAY(INT($B25), 1)), 2, 2), """"))/$G25))"),0.005318706889387522)</f>
        <v>0.005318706889</v>
      </c>
      <c r="R25" s="16">
        <f>IFERROR(__xludf.DUMMYFUNCTION("IF(OR(ISBLANK($G25), IFERROR(INDEX(GOOGLEFINANCE($C25, ""price"", WORKDAY(INT($B25), 5)), 2, 2), """")=""""), """", IF($D25=""LONG"", (IFERROR(INDEX(GOOGLEFINANCE($C25, ""price"", WORKDAY(INT($B25), 5)), 2, 2), """")-$G25)/$G25, ($G25-IFERROR(INDEX(GOOGLE"&amp;"FINANCE($C25, ""price"", WORKDAY(INT($B25), 5)), 2, 2), """"))/$G25))"),-0.02185656112357679)</f>
        <v>-0.02185656112</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693</v>
      </c>
      <c r="U25" s="10" t="s">
        <v>492</v>
      </c>
      <c r="V25" s="10" t="s">
        <v>493</v>
      </c>
      <c r="W25" s="10" t="s">
        <v>51</v>
      </c>
      <c r="X25" s="10" t="s">
        <v>492</v>
      </c>
    </row>
    <row r="26">
      <c r="A26" s="9">
        <f t="shared" si="1"/>
        <v>25</v>
      </c>
      <c r="B26" s="11">
        <v>46217.667708333334</v>
      </c>
      <c r="C26" s="10" t="s">
        <v>341</v>
      </c>
      <c r="D26" s="10" t="s">
        <v>36</v>
      </c>
      <c r="E26" s="10" t="s">
        <v>37</v>
      </c>
      <c r="F26" s="13">
        <v>2.0</v>
      </c>
      <c r="G26" s="14">
        <v>60.9</v>
      </c>
      <c r="H26" s="10" t="s">
        <v>697</v>
      </c>
      <c r="I26" s="10">
        <v>94.1</v>
      </c>
      <c r="O26" s="15">
        <f>IFERROR(__xludf.DUMMYFUNCTION("IF(ISBLANK($C26), """", GOOGLEFINANCE($C26, ""price""))"),62.99)</f>
        <v>62.99</v>
      </c>
      <c r="P26" s="16">
        <f t="shared" si="2"/>
        <v>0.03431855501</v>
      </c>
      <c r="Q26" s="16">
        <f>IFERROR(__xludf.DUMMYFUNCTION("IF(OR(ISBLANK($G26), IFERROR(INDEX(GOOGLEFINANCE($C26, ""price"", WORKDAY(INT($B26), 1)), 2, 2), """")=""""), """", IF($D26=""LONG"", (IFERROR(INDEX(GOOGLEFINANCE($C26, ""price"", WORKDAY(INT($B26), 1)), 2, 2), """")-$G26)/$G26, ($G26-IFERROR(INDEX(GOOGLE"&amp;"FINANCE($C26, ""price"", WORKDAY(INT($B26), 1)), 2, 2), """"))/$G26))"),-0.009688013136288937)</f>
        <v>-0.009688013136</v>
      </c>
      <c r="R26" s="16">
        <f>IFERROR(__xludf.DUMMYFUNCTION("IF(OR(ISBLANK($G26), IFERROR(INDEX(GOOGLEFINANCE($C26, ""price"", WORKDAY(INT($B26), 5)), 2, 2), """")=""""), """", IF($D26=""LONG"", (IFERROR(INDEX(GOOGLEFINANCE($C26, ""price"", WORKDAY(INT($B26), 5)), 2, 2), """")-$G26)/$G26, ($G26-IFERROR(INDEX(GOOGLE"&amp;"FINANCE($C26, ""price"", WORKDAY(INT($B26), 5)), 2, 2), """"))/$G26))"),-0.03513957307060756)</f>
        <v>-0.03513957307</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706</v>
      </c>
      <c r="U26" s="10" t="s">
        <v>492</v>
      </c>
      <c r="V26" s="10" t="s">
        <v>493</v>
      </c>
      <c r="W26" s="10" t="s">
        <v>51</v>
      </c>
      <c r="X26" s="10" t="s">
        <v>492</v>
      </c>
    </row>
    <row r="27">
      <c r="A27" s="9">
        <f t="shared" si="1"/>
        <v>26</v>
      </c>
      <c r="B27" s="11">
        <v>46217.66774305556</v>
      </c>
      <c r="C27" s="10" t="s">
        <v>372</v>
      </c>
      <c r="D27" s="10" t="s">
        <v>119</v>
      </c>
      <c r="E27" s="10" t="s">
        <v>120</v>
      </c>
      <c r="F27" s="13">
        <v>4.0</v>
      </c>
      <c r="G27" s="14">
        <v>141.66</v>
      </c>
      <c r="H27" s="10" t="s">
        <v>709</v>
      </c>
      <c r="I27" s="10">
        <v>50.0</v>
      </c>
      <c r="O27" s="15">
        <f>IFERROR(__xludf.DUMMYFUNCTION("IF(ISBLANK($C27), """", GOOGLEFINANCE($C27, ""price""))"),133.37)</f>
        <v>133.37</v>
      </c>
      <c r="P27" s="16">
        <f t="shared" si="2"/>
        <v>0.05852040096</v>
      </c>
      <c r="Q27" s="16">
        <f>IFERROR(__xludf.DUMMYFUNCTION("IF(OR(ISBLANK($G27), IFERROR(INDEX(GOOGLEFINANCE($C27, ""price"", WORKDAY(INT($B27), 1)), 2, 2), """")=""""), """", IF($D27=""LONG"", (IFERROR(INDEX(GOOGLEFINANCE($C27, ""price"", WORKDAY(INT($B27), 1)), 2, 2), """")-$G27)/$G27, ($G27-IFERROR(INDEX(GOOGLE"&amp;"FINANCE($C27, ""price"", WORKDAY(INT($B27), 1)), 2, 2), """"))/$G27))"),0.010094592686714718)</f>
        <v>0.01009459269</v>
      </c>
      <c r="R27" s="16">
        <f>IFERROR(__xludf.DUMMYFUNCTION("IF(OR(ISBLANK($G27), IFERROR(INDEX(GOOGLEFINANCE($C27, ""price"", WORKDAY(INT($B27), 5)), 2, 2), """")=""""), """", IF($D27=""LONG"", (IFERROR(INDEX(GOOGLEFINANCE($C27, ""price"", WORKDAY(INT($B27), 5)), 2, 2), """")-$G27)/$G27, ($G27-IFERROR(INDEX(GOOGLE"&amp;"FINANCE($C27, ""price"", WORKDAY(INT($B27), 5)), 2, 2), """"))/$G27))"),0.020330368487928813)</f>
        <v>0.02033036849</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716</v>
      </c>
      <c r="U27" s="10" t="s">
        <v>492</v>
      </c>
      <c r="V27" s="10" t="s">
        <v>493</v>
      </c>
      <c r="W27" s="10" t="s">
        <v>51</v>
      </c>
      <c r="X27" s="10" t="s">
        <v>492</v>
      </c>
    </row>
    <row r="28">
      <c r="A28" s="9">
        <f t="shared" si="1"/>
        <v>27</v>
      </c>
      <c r="B28" s="11">
        <v>46217.66777777778</v>
      </c>
      <c r="C28" s="10" t="s">
        <v>337</v>
      </c>
      <c r="D28" s="10" t="s">
        <v>119</v>
      </c>
      <c r="E28" s="10" t="s">
        <v>120</v>
      </c>
      <c r="F28" s="13">
        <v>4.0</v>
      </c>
      <c r="G28" s="14">
        <v>42.46</v>
      </c>
      <c r="H28" s="10" t="s">
        <v>718</v>
      </c>
      <c r="I28" s="10">
        <v>11.9</v>
      </c>
      <c r="O28" s="15">
        <f>IFERROR(__xludf.DUMMYFUNCTION("IF(ISBLANK($C28), """", GOOGLEFINANCE($C28, ""price""))"),46.99)</f>
        <v>46.99</v>
      </c>
      <c r="P28" s="16">
        <f t="shared" si="2"/>
        <v>-0.1066886481</v>
      </c>
      <c r="Q28" s="16">
        <f>IFERROR(__xludf.DUMMYFUNCTION("IF(OR(ISBLANK($G28), IFERROR(INDEX(GOOGLEFINANCE($C28, ""price"", WORKDAY(INT($B28), 1)), 2, 2), """")=""""), """", IF($D28=""LONG"", (IFERROR(INDEX(GOOGLEFINANCE($C28, ""price"", WORKDAY(INT($B28), 1)), 2, 2), """")-$G28)/$G28, ($G28-IFERROR(INDEX(GOOGLE"&amp;"FINANCE($C28, ""price"", WORKDAY(INT($B28), 1)), 2, 2), """"))/$G28))"),-0.008714083843617462)</f>
        <v>-0.008714083844</v>
      </c>
      <c r="R28" s="16">
        <f>IFERROR(__xludf.DUMMYFUNCTION("IF(OR(ISBLANK($G28), IFERROR(INDEX(GOOGLEFINANCE($C28, ""price"", WORKDAY(INT($B28), 5)), 2, 2), """")=""""), """", IF($D28=""LONG"", (IFERROR(INDEX(GOOGLEFINANCE($C28, ""price"", WORKDAY(INT($B28), 5)), 2, 2), """")-$G28)/$G28, ($G28-IFERROR(INDEX(GOOGLE"&amp;"FINANCE($C28, ""price"", WORKDAY(INT($B28), 5)), 2, 2), """"))/$G28))"),-0.03108808290155441)</f>
        <v>-0.0310880829</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727</v>
      </c>
      <c r="U28" s="10" t="s">
        <v>492</v>
      </c>
      <c r="V28" s="10" t="s">
        <v>493</v>
      </c>
      <c r="W28" s="10" t="s">
        <v>51</v>
      </c>
      <c r="X28" s="10" t="s">
        <v>492</v>
      </c>
    </row>
    <row r="29">
      <c r="A29" s="9">
        <f t="shared" si="1"/>
        <v>28</v>
      </c>
      <c r="B29" s="11">
        <v>46217.66743055556</v>
      </c>
      <c r="C29" s="10" t="s">
        <v>728</v>
      </c>
      <c r="D29" s="10" t="s">
        <v>36</v>
      </c>
      <c r="E29" s="10" t="s">
        <v>37</v>
      </c>
      <c r="F29" s="13">
        <v>2.0</v>
      </c>
      <c r="G29" s="14">
        <v>88.97</v>
      </c>
      <c r="H29" s="10" t="s">
        <v>730</v>
      </c>
      <c r="I29" s="10">
        <v>99.4</v>
      </c>
      <c r="O29" s="15">
        <f>IFERROR(__xludf.DUMMYFUNCTION("IF(ISBLANK($C29), """", GOOGLEFINANCE($C29, ""price""))"),107.96)</f>
        <v>107.96</v>
      </c>
      <c r="P29" s="16">
        <f t="shared" si="2"/>
        <v>0.2134427335</v>
      </c>
      <c r="Q29" s="16">
        <f>IFERROR(__xludf.DUMMYFUNCTION("IF(OR(ISBLANK($G29), IFERROR(INDEX(GOOGLEFINANCE($C29, ""price"", WORKDAY(INT($B29), 1)), 2, 2), """")=""""), """", IF($D29=""LONG"", (IFERROR(INDEX(GOOGLEFINANCE($C29, ""price"", WORKDAY(INT($B29), 1)), 2, 2), """")-$G29)/$G29, ($G29-IFERROR(INDEX(GOOGLE"&amp;"FINANCE($C29, ""price"", WORKDAY(INT($B29), 1)), 2, 2), """"))/$G29))"),0.0033719231201528284)</f>
        <v>0.00337192312</v>
      </c>
      <c r="R29" s="16">
        <f>IFERROR(__xludf.DUMMYFUNCTION("IF(OR(ISBLANK($G29), IFERROR(INDEX(GOOGLEFINANCE($C29, ""price"", WORKDAY(INT($B29), 5)), 2, 2), """")=""""), """", IF($D29=""LONG"", (IFERROR(INDEX(GOOGLEFINANCE($C29, ""price"", WORKDAY(INT($B29), 5)), 2, 2), """")-$G29)/$G29, ($G29-IFERROR(INDEX(GOOGLE"&amp;"FINANCE($C29, ""price"", WORKDAY(INT($B29), 5)), 2, 2), """"))/$G29))"),0.12026525795211873)</f>
        <v>0.120265258</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737</v>
      </c>
      <c r="U29" s="10" t="s">
        <v>492</v>
      </c>
      <c r="V29" s="10" t="s">
        <v>493</v>
      </c>
      <c r="W29" s="10" t="s">
        <v>51</v>
      </c>
      <c r="X29" s="10" t="s">
        <v>492</v>
      </c>
    </row>
    <row r="30">
      <c r="A30" s="9">
        <f t="shared" si="1"/>
        <v>29</v>
      </c>
      <c r="B30" s="11">
        <v>46217.66751157407</v>
      </c>
      <c r="C30" s="10" t="s">
        <v>618</v>
      </c>
      <c r="D30" s="10" t="s">
        <v>36</v>
      </c>
      <c r="E30" s="10" t="s">
        <v>37</v>
      </c>
      <c r="F30" s="13">
        <v>2.0</v>
      </c>
      <c r="G30" s="14">
        <v>238.55</v>
      </c>
      <c r="H30" s="10" t="s">
        <v>741</v>
      </c>
      <c r="I30" s="10">
        <v>99.1</v>
      </c>
      <c r="O30" s="15">
        <f>IFERROR(__xludf.DUMMYFUNCTION("IF(ISBLANK($C30), """", GOOGLEFINANCE($C30, ""price""))"),254.06)</f>
        <v>254.06</v>
      </c>
      <c r="P30" s="16">
        <f t="shared" si="2"/>
        <v>0.06501781597</v>
      </c>
      <c r="Q30" s="16">
        <f>IFERROR(__xludf.DUMMYFUNCTION("IF(OR(ISBLANK($G30), IFERROR(INDEX(GOOGLEFINANCE($C30, ""price"", WORKDAY(INT($B30), 1)), 2, 2), """")=""""), """", IF($D30=""LONG"", (IFERROR(INDEX(GOOGLEFINANCE($C30, ""price"", WORKDAY(INT($B30), 1)), 2, 2), """")-$G30)/$G30, ($G30-IFERROR(INDEX(GOOGLE"&amp;"FINANCE($C30, ""price"", WORKDAY(INT($B30), 1)), 2, 2), """"))/$G30))"),-0.1188849297841124)</f>
        <v>-0.1188849298</v>
      </c>
      <c r="R30" s="16">
        <f>IFERROR(__xludf.DUMMYFUNCTION("IF(OR(ISBLANK($G30), IFERROR(INDEX(GOOGLEFINANCE($C30, ""price"", WORKDAY(INT($B30), 5)), 2, 2), """")=""""), """", IF($D30=""LONG"", (IFERROR(INDEX(GOOGLEFINANCE($C30, ""price"", WORKDAY(INT($B30), 5)), 2, 2), """")-$G30)/$G30, ($G30-IFERROR(INDEX(GOOGLE"&amp;"FINANCE($C30, ""price"", WORKDAY(INT($B30), 5)), 2, 2), """"))/$G30))"),-0.095284007545588)</f>
        <v>-0.09528400755</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744</v>
      </c>
      <c r="U30" s="10" t="s">
        <v>492</v>
      </c>
      <c r="V30" s="10" t="s">
        <v>493</v>
      </c>
      <c r="W30" s="10" t="s">
        <v>51</v>
      </c>
      <c r="X30" s="10" t="s">
        <v>492</v>
      </c>
    </row>
    <row r="31">
      <c r="A31" s="9">
        <f t="shared" si="1"/>
        <v>30</v>
      </c>
      <c r="B31" s="11">
        <v>46217.667546296296</v>
      </c>
      <c r="C31" s="10" t="s">
        <v>746</v>
      </c>
      <c r="D31" s="10" t="s">
        <v>119</v>
      </c>
      <c r="E31" s="10" t="s">
        <v>120</v>
      </c>
      <c r="F31" s="13">
        <v>4.0</v>
      </c>
      <c r="G31" s="14">
        <v>168.83</v>
      </c>
      <c r="H31" s="10" t="s">
        <v>748</v>
      </c>
      <c r="I31" s="10">
        <v>8.6</v>
      </c>
      <c r="O31" s="15">
        <f>IFERROR(__xludf.DUMMYFUNCTION("IF(ISBLANK($C31), """", GOOGLEFINANCE($C31, ""price""))"),171.2)</f>
        <v>171.2</v>
      </c>
      <c r="P31" s="16">
        <f t="shared" si="2"/>
        <v>-0.01403778949</v>
      </c>
      <c r="Q31" s="16">
        <f>IFERROR(__xludf.DUMMYFUNCTION("IF(OR(ISBLANK($G31), IFERROR(INDEX(GOOGLEFINANCE($C31, ""price"", WORKDAY(INT($B31), 1)), 2, 2), """")=""""), """", IF($D31=""LONG"", (IFERROR(INDEX(GOOGLEFINANCE($C31, ""price"", WORKDAY(INT($B31), 1)), 2, 2), """")-$G31)/$G31, ($G31-IFERROR(INDEX(GOOGLE"&amp;"FINANCE($C31, ""price"", WORKDAY(INT($B31), 1)), 2, 2), """"))/$G31))"),0.0011846235858556952)</f>
        <v>0.001184623586</v>
      </c>
      <c r="R31" s="16">
        <f>IFERROR(__xludf.DUMMYFUNCTION("IF(OR(ISBLANK($G31), IFERROR(INDEX(GOOGLEFINANCE($C31, ""price"", WORKDAY(INT($B31), 5)), 2, 2), """")=""""), """", IF($D31=""LONG"", (IFERROR(INDEX(GOOGLEFINANCE($C31, ""price"", WORKDAY(INT($B31), 5)), 2, 2), """")-$G31)/$G31, ($G31-IFERROR(INDEX(GOOGLE"&amp;"FINANCE($C31, ""price"", WORKDAY(INT($B31), 5)), 2, 2), """"))/$G31))"),0.03222176153527232)</f>
        <v>0.03222176154</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755</v>
      </c>
      <c r="U31" s="10" t="s">
        <v>492</v>
      </c>
      <c r="V31" s="10" t="s">
        <v>493</v>
      </c>
      <c r="W31" s="10" t="s">
        <v>51</v>
      </c>
      <c r="X31" s="10" t="s">
        <v>492</v>
      </c>
    </row>
    <row r="32">
      <c r="A32" s="9">
        <f t="shared" si="1"/>
        <v>31</v>
      </c>
      <c r="B32" s="11">
        <v>46217.66755787037</v>
      </c>
      <c r="C32" s="10" t="s">
        <v>367</v>
      </c>
      <c r="D32" s="10" t="s">
        <v>36</v>
      </c>
      <c r="E32" s="10" t="s">
        <v>37</v>
      </c>
      <c r="F32" s="13">
        <v>2.0</v>
      </c>
      <c r="G32" s="14">
        <v>109.02</v>
      </c>
      <c r="H32" s="10" t="s">
        <v>759</v>
      </c>
      <c r="I32" s="10">
        <v>96.1</v>
      </c>
      <c r="O32" s="15">
        <f>IFERROR(__xludf.DUMMYFUNCTION("IF(ISBLANK($C32), """", GOOGLEFINANCE($C32, ""price""))"),100.82)</f>
        <v>100.82</v>
      </c>
      <c r="P32" s="16">
        <f t="shared" si="2"/>
        <v>-0.07521555678</v>
      </c>
      <c r="Q32" s="16">
        <f>IFERROR(__xludf.DUMMYFUNCTION("IF(OR(ISBLANK($G32), IFERROR(INDEX(GOOGLEFINANCE($C32, ""price"", WORKDAY(INT($B32), 1)), 2, 2), """")=""""), """", IF($D32=""LONG"", (IFERROR(INDEX(GOOGLEFINANCE($C32, ""price"", WORKDAY(INT($B32), 1)), 2, 2), """")-$G32)/$G32, ($G32-IFERROR(INDEX(GOOGLE"&amp;"FINANCE($C32, ""price"", WORKDAY(INT($B32), 1)), 2, 2), """"))/$G32))"),-0.01788662630709964)</f>
        <v>-0.01788662631</v>
      </c>
      <c r="R32" s="16">
        <f>IFERROR(__xludf.DUMMYFUNCTION("IF(OR(ISBLANK($G32), IFERROR(INDEX(GOOGLEFINANCE($C32, ""price"", WORKDAY(INT($B32), 5)), 2, 2), """")=""""), """", IF($D32=""LONG"", (IFERROR(INDEX(GOOGLEFINANCE($C32, ""price"", WORKDAY(INT($B32), 5)), 2, 2), """")-$G32)/$G32, ($G32-IFERROR(INDEX(GOOGLE"&amp;"FINANCE($C32, ""price"", WORKDAY(INT($B32), 5)), 2, 2), """"))/$G32))"),-0.03091175931021822)</f>
        <v>-0.03091175931</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763</v>
      </c>
      <c r="U32" s="10" t="s">
        <v>492</v>
      </c>
      <c r="V32" s="10" t="s">
        <v>493</v>
      </c>
      <c r="W32" s="10" t="s">
        <v>51</v>
      </c>
      <c r="X32" s="10" t="s">
        <v>492</v>
      </c>
    </row>
    <row r="33">
      <c r="A33" s="9">
        <f t="shared" si="1"/>
        <v>32</v>
      </c>
      <c r="B33" s="11">
        <v>46217.66740740741</v>
      </c>
      <c r="C33" s="10" t="s">
        <v>765</v>
      </c>
      <c r="D33" s="10" t="s">
        <v>36</v>
      </c>
      <c r="E33" s="10" t="s">
        <v>37</v>
      </c>
      <c r="F33" s="13">
        <v>2.0</v>
      </c>
      <c r="G33" s="14">
        <v>122.05</v>
      </c>
      <c r="H33" s="10" t="s">
        <v>766</v>
      </c>
      <c r="I33" s="10">
        <v>89.9</v>
      </c>
      <c r="O33" s="15">
        <f>IFERROR(__xludf.DUMMYFUNCTION("IF(ISBLANK($C33), """", GOOGLEFINANCE($C33, ""price""))"),126.66)</f>
        <v>126.66</v>
      </c>
      <c r="P33" s="16">
        <f t="shared" si="2"/>
        <v>0.03777140516</v>
      </c>
      <c r="Q33" s="16">
        <f>IFERROR(__xludf.DUMMYFUNCTION("IF(OR(ISBLANK($G33), IFERROR(INDEX(GOOGLEFINANCE($C33, ""price"", WORKDAY(INT($B33), 1)), 2, 2), """")=""""), """", IF($D33=""LONG"", (IFERROR(INDEX(GOOGLEFINANCE($C33, ""price"", WORKDAY(INT($B33), 1)), 2, 2), """")-$G33)/$G33, ($G33-IFERROR(INDEX(GOOGLE"&amp;"FINANCE($C33, ""price"", WORKDAY(INT($B33), 1)), 2, 2), """"))/$G33))"),-0.008521097910692273)</f>
        <v>-0.008521097911</v>
      </c>
      <c r="R33" s="16">
        <f>IFERROR(__xludf.DUMMYFUNCTION("IF(OR(ISBLANK($G33), IFERROR(INDEX(GOOGLEFINANCE($C33, ""price"", WORKDAY(INT($B33), 5)), 2, 2), """")=""""), """", IF($D33=""LONG"", (IFERROR(INDEX(GOOGLEFINANCE($C33, ""price"", WORKDAY(INT($B33), 5)), 2, 2), """")-$G33)/$G33, ($G33-IFERROR(INDEX(GOOGLE"&amp;"FINANCE($C33, ""price"", WORKDAY(INT($B33), 5)), 2, 2), """"))/$G33))"),0.012617779598525246)</f>
        <v>0.0126177796</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769</v>
      </c>
      <c r="U33" s="10" t="s">
        <v>492</v>
      </c>
      <c r="V33" s="10" t="s">
        <v>493</v>
      </c>
      <c r="W33" s="10" t="s">
        <v>51</v>
      </c>
      <c r="X33" s="10" t="s">
        <v>492</v>
      </c>
    </row>
    <row r="34">
      <c r="A34" s="9">
        <f t="shared" si="1"/>
        <v>33</v>
      </c>
      <c r="B34" s="11">
        <v>46217.66761574074</v>
      </c>
      <c r="C34" s="10" t="s">
        <v>770</v>
      </c>
      <c r="D34" s="10" t="s">
        <v>36</v>
      </c>
      <c r="E34" s="10" t="s">
        <v>37</v>
      </c>
      <c r="F34" s="13">
        <v>2.0</v>
      </c>
      <c r="G34" s="14">
        <v>75.18</v>
      </c>
      <c r="H34" s="10" t="s">
        <v>771</v>
      </c>
      <c r="I34" s="10">
        <v>93.4</v>
      </c>
      <c r="O34" s="15">
        <f>IFERROR(__xludf.DUMMYFUNCTION("IF(ISBLANK($C34), """", GOOGLEFINANCE($C34, ""price""))"),72.51)</f>
        <v>72.51</v>
      </c>
      <c r="P34" s="16">
        <f t="shared" si="2"/>
        <v>-0.03551476457</v>
      </c>
      <c r="Q34" s="16">
        <f>IFERROR(__xludf.DUMMYFUNCTION("IF(OR(ISBLANK($G34), IFERROR(INDEX(GOOGLEFINANCE($C34, ""price"", WORKDAY(INT($B34), 1)), 2, 2), """")=""""), """", IF($D34=""LONG"", (IFERROR(INDEX(GOOGLEFINANCE($C34, ""price"", WORKDAY(INT($B34), 1)), 2, 2), """")-$G34)/$G34, ($G34-IFERROR(INDEX(GOOGLE"&amp;"FINANCE($C34, ""price"", WORKDAY(INT($B34), 1)), 2, 2), """"))/$G34))"),0.011572226656025409)</f>
        <v>0.01157222666</v>
      </c>
      <c r="R34" s="16">
        <f>IFERROR(__xludf.DUMMYFUNCTION("IF(OR(ISBLANK($G34), IFERROR(INDEX(GOOGLEFINANCE($C34, ""price"", WORKDAY(INT($B34), 5)), 2, 2), """")=""""), """", IF($D34=""LONG"", (IFERROR(INDEX(GOOGLEFINANCE($C34, ""price"", WORKDAY(INT($B34), 5)), 2, 2), """")-$G34)/$G34, ($G34-IFERROR(INDEX(GOOGLE"&amp;"FINANCE($C34, ""price"", WORKDAY(INT($B34), 5)), 2, 2), """"))/$G34))"),-0.0723596701250334)</f>
        <v>-0.07235967013</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775</v>
      </c>
      <c r="U34" s="10" t="s">
        <v>492</v>
      </c>
      <c r="V34" s="10" t="s">
        <v>493</v>
      </c>
      <c r="W34" s="10" t="s">
        <v>51</v>
      </c>
      <c r="X34" s="10" t="s">
        <v>492</v>
      </c>
    </row>
    <row r="35">
      <c r="A35" s="9">
        <f t="shared" si="1"/>
        <v>34</v>
      </c>
      <c r="B35" s="11">
        <v>46217.66748842593</v>
      </c>
      <c r="C35" s="10" t="s">
        <v>149</v>
      </c>
      <c r="D35" s="10" t="s">
        <v>36</v>
      </c>
      <c r="E35" s="10" t="s">
        <v>37</v>
      </c>
      <c r="F35" s="13">
        <v>2.0</v>
      </c>
      <c r="G35" s="14">
        <v>122.18</v>
      </c>
      <c r="H35" s="10" t="s">
        <v>777</v>
      </c>
      <c r="I35" s="10">
        <v>97.1</v>
      </c>
      <c r="O35" s="15">
        <f>IFERROR(__xludf.DUMMYFUNCTION("IF(ISBLANK($C35), """", GOOGLEFINANCE($C35, ""price""))"),132.79)</f>
        <v>132.79</v>
      </c>
      <c r="P35" s="16">
        <f t="shared" si="2"/>
        <v>0.08683908987</v>
      </c>
      <c r="Q35" s="16">
        <f>IFERROR(__xludf.DUMMYFUNCTION("IF(OR(ISBLANK($G35), IFERROR(INDEX(GOOGLEFINANCE($C35, ""price"", WORKDAY(INT($B35), 1)), 2, 2), """")=""""), """", IF($D35=""LONG"", (IFERROR(INDEX(GOOGLEFINANCE($C35, ""price"", WORKDAY(INT($B35), 1)), 2, 2), """")-$G35)/$G35, ($G35-IFERROR(INDEX(GOOGLE"&amp;"FINANCE($C35, ""price"", WORKDAY(INT($B35), 1)), 2, 2), """"))/$G35))"),-0.00965788181371752)</f>
        <v>-0.009657881814</v>
      </c>
      <c r="R35" s="16">
        <f>IFERROR(__xludf.DUMMYFUNCTION("IF(OR(ISBLANK($G35), IFERROR(INDEX(GOOGLEFINANCE($C35, ""price"", WORKDAY(INT($B35), 5)), 2, 2), """")=""""), """", IF($D35=""LONG"", (IFERROR(INDEX(GOOGLEFINANCE($C35, ""price"", WORKDAY(INT($B35), 5)), 2, 2), """")-$G35)/$G35, ($G35-IFERROR(INDEX(GOOGLE"&amp;"FINANCE($C35, ""price"", WORKDAY(INT($B35), 5)), 2, 2), """"))/$G35))"),-0.025045015550826666)</f>
        <v>-0.02504501555</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781</v>
      </c>
      <c r="U35" s="10" t="s">
        <v>492</v>
      </c>
      <c r="V35" s="10" t="s">
        <v>493</v>
      </c>
      <c r="W35" s="10" t="s">
        <v>51</v>
      </c>
      <c r="X35" s="10" t="s">
        <v>492</v>
      </c>
    </row>
    <row r="36">
      <c r="A36" s="9">
        <f t="shared" si="1"/>
        <v>35</v>
      </c>
      <c r="B36" s="11">
        <v>46217.66751157407</v>
      </c>
      <c r="C36" s="10" t="s">
        <v>381</v>
      </c>
      <c r="D36" s="10" t="s">
        <v>36</v>
      </c>
      <c r="E36" s="10" t="s">
        <v>133</v>
      </c>
      <c r="F36" s="13">
        <v>2.0</v>
      </c>
      <c r="G36" s="14">
        <v>228.16</v>
      </c>
      <c r="H36" s="10" t="s">
        <v>784</v>
      </c>
      <c r="I36" s="10">
        <v>52.3</v>
      </c>
      <c r="O36" s="15">
        <f>IFERROR(__xludf.DUMMYFUNCTION("IF(ISBLANK($C36), """", GOOGLEFINANCE($C36, ""price""))"),213.75)</f>
        <v>213.75</v>
      </c>
      <c r="P36" s="16">
        <f t="shared" si="2"/>
        <v>-0.06315743338</v>
      </c>
      <c r="Q36" s="16">
        <f>IFERROR(__xludf.DUMMYFUNCTION("IF(OR(ISBLANK($G36), IFERROR(INDEX(GOOGLEFINANCE($C36, ""price"", WORKDAY(INT($B36), 1)), 2, 2), """")=""""), """", IF($D36=""LONG"", (IFERROR(INDEX(GOOGLEFINANCE($C36, ""price"", WORKDAY(INT($B36), 1)), 2, 2), """")-$G36)/$G36, ($G36-IFERROR(INDEX(GOOGLE"&amp;"FINANCE($C36, ""price"", WORKDAY(INT($B36), 1)), 2, 2), """"))/$G36))"),0.0017093267882188586)</f>
        <v>0.001709326788</v>
      </c>
      <c r="R36" s="16">
        <f>IFERROR(__xludf.DUMMYFUNCTION("IF(OR(ISBLANK($G36), IFERROR(INDEX(GOOGLEFINANCE($C36, ""price"", WORKDAY(INT($B36), 5)), 2, 2), """")=""""), """", IF($D36=""LONG"", (IFERROR(INDEX(GOOGLEFINANCE($C36, ""price"", WORKDAY(INT($B36), 5)), 2, 2), """")-$G36)/$G36, ($G36-IFERROR(INDEX(GOOGLE"&amp;"FINANCE($C36, ""price"", WORKDAY(INT($B36), 5)), 2, 2), """"))/$G36))"),-0.05154277699859744)</f>
        <v>-0.051542777</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790</v>
      </c>
      <c r="U36" s="10" t="s">
        <v>492</v>
      </c>
      <c r="V36" s="10" t="s">
        <v>493</v>
      </c>
      <c r="W36" s="10" t="s">
        <v>51</v>
      </c>
      <c r="X36" s="10" t="s">
        <v>492</v>
      </c>
    </row>
    <row r="37">
      <c r="A37" s="9">
        <f t="shared" si="1"/>
        <v>36</v>
      </c>
      <c r="B37" s="11">
        <v>46217.66769675926</v>
      </c>
      <c r="C37" s="10" t="s">
        <v>757</v>
      </c>
      <c r="D37" s="10" t="s">
        <v>119</v>
      </c>
      <c r="E37" s="10" t="s">
        <v>120</v>
      </c>
      <c r="F37" s="13">
        <v>4.0</v>
      </c>
      <c r="G37" s="14">
        <v>122.66</v>
      </c>
      <c r="H37" s="10" t="s">
        <v>793</v>
      </c>
      <c r="I37" s="10">
        <v>13.3</v>
      </c>
      <c r="O37" s="15">
        <f>IFERROR(__xludf.DUMMYFUNCTION("IF(ISBLANK($C37), """", GOOGLEFINANCE($C37, ""price""))"),121.96)</f>
        <v>121.96</v>
      </c>
      <c r="P37" s="16">
        <f t="shared" si="2"/>
        <v>0.005706831893</v>
      </c>
      <c r="Q37" s="16">
        <f>IFERROR(__xludf.DUMMYFUNCTION("IF(OR(ISBLANK($G37), IFERROR(INDEX(GOOGLEFINANCE($C37, ""price"", WORKDAY(INT($B37), 1)), 2, 2), """")=""""), """", IF($D37=""LONG"", (IFERROR(INDEX(GOOGLEFINANCE($C37, ""price"", WORKDAY(INT($B37), 1)), 2, 2), """")-$G37)/$G37, ($G37-IFERROR(INDEX(GOOGLE"&amp;"FINANCE($C37, ""price"", WORKDAY(INT($B37), 1)), 2, 2), """"))/$G37))"),-0.00701125061144627)</f>
        <v>-0.007011250611</v>
      </c>
      <c r="R37" s="16">
        <f>IFERROR(__xludf.DUMMYFUNCTION("IF(OR(ISBLANK($G37), IFERROR(INDEX(GOOGLEFINANCE($C37, ""price"", WORKDAY(INT($B37), 5)), 2, 2), """")=""""), """", IF($D37=""LONG"", (IFERROR(INDEX(GOOGLEFINANCE($C37, ""price"", WORKDAY(INT($B37), 5)), 2, 2), """")-$G37)/$G37, ($G37-IFERROR(INDEX(GOOGLE"&amp;"FINANCE($C37, ""price"", WORKDAY(INT($B37), 5)), 2, 2), """"))/$G37))"),-0.02364258927115609)</f>
        <v>-0.02364258927</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799</v>
      </c>
      <c r="U37" s="10" t="s">
        <v>492</v>
      </c>
      <c r="V37" s="10" t="s">
        <v>493</v>
      </c>
      <c r="W37" s="10" t="s">
        <v>51</v>
      </c>
      <c r="X37" s="10" t="s">
        <v>492</v>
      </c>
    </row>
    <row r="38">
      <c r="A38" s="9">
        <f t="shared" si="1"/>
        <v>37</v>
      </c>
      <c r="B38" s="11">
        <v>46217.667395833334</v>
      </c>
      <c r="C38" s="10" t="s">
        <v>800</v>
      </c>
      <c r="D38" s="10" t="s">
        <v>36</v>
      </c>
      <c r="E38" s="10" t="s">
        <v>133</v>
      </c>
      <c r="F38" s="13">
        <v>2.0</v>
      </c>
      <c r="G38" s="14">
        <v>302.25</v>
      </c>
      <c r="H38" s="10" t="s">
        <v>801</v>
      </c>
      <c r="I38" s="10">
        <v>91.5</v>
      </c>
      <c r="O38" s="15">
        <f>IFERROR(__xludf.DUMMYFUNCTION("IF(ISBLANK($C38), """", GOOGLEFINANCE($C38, ""price""))"),325.01)</f>
        <v>325.01</v>
      </c>
      <c r="P38" s="16">
        <f t="shared" si="2"/>
        <v>0.0753019024</v>
      </c>
      <c r="Q38" s="16">
        <f>IFERROR(__xludf.DUMMYFUNCTION("IF(OR(ISBLANK($G38), IFERROR(INDEX(GOOGLEFINANCE($C38, ""price"", WORKDAY(INT($B38), 1)), 2, 2), """")=""""), """", IF($D38=""LONG"", (IFERROR(INDEX(GOOGLEFINANCE($C38, ""price"", WORKDAY(INT($B38), 1)), 2, 2), """")-$G38)/$G38, ($G38-IFERROR(INDEX(GOOGLE"&amp;"FINANCE($C38, ""price"", WORKDAY(INT($B38), 1)), 2, 2), """"))/$G38))"),-0.018792390405293655)</f>
        <v>-0.01879239041</v>
      </c>
      <c r="R38" s="16">
        <f>IFERROR(__xludf.DUMMYFUNCTION("IF(OR(ISBLANK($G38), IFERROR(INDEX(GOOGLEFINANCE($C38, ""price"", WORKDAY(INT($B38), 5)), 2, 2), """")=""""), """", IF($D38=""LONG"", (IFERROR(INDEX(GOOGLEFINANCE($C38, ""price"", WORKDAY(INT($B38), 5)), 2, 2), """")-$G38)/$G38, ($G38-IFERROR(INDEX(GOOGLE"&amp;"FINANCE($C38, ""price"", WORKDAY(INT($B38), 5)), 2, 2), """"))/$G38))"),0.002712985938792368)</f>
        <v>0.002712985939</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808</v>
      </c>
      <c r="U38" s="10" t="s">
        <v>492</v>
      </c>
      <c r="V38" s="10" t="s">
        <v>493</v>
      </c>
      <c r="W38" s="10" t="s">
        <v>51</v>
      </c>
      <c r="X38" s="10" t="s">
        <v>492</v>
      </c>
    </row>
    <row r="39">
      <c r="A39" s="9">
        <f t="shared" si="1"/>
        <v>38</v>
      </c>
      <c r="B39" s="11">
        <v>46217.667592592596</v>
      </c>
      <c r="C39" s="10" t="s">
        <v>810</v>
      </c>
      <c r="D39" s="10" t="s">
        <v>36</v>
      </c>
      <c r="E39" s="10" t="s">
        <v>37</v>
      </c>
      <c r="F39" s="13">
        <v>2.0</v>
      </c>
      <c r="G39" s="14">
        <v>133.08</v>
      </c>
      <c r="H39" s="10" t="s">
        <v>811</v>
      </c>
      <c r="I39" s="10">
        <v>94.6</v>
      </c>
      <c r="O39" s="15">
        <f>IFERROR(__xludf.DUMMYFUNCTION("IF(ISBLANK($C39), """", GOOGLEFINANCE($C39, ""price""))"),147.45)</f>
        <v>147.45</v>
      </c>
      <c r="P39" s="16">
        <f t="shared" si="2"/>
        <v>0.1079801623</v>
      </c>
      <c r="Q39" s="16">
        <f>IFERROR(__xludf.DUMMYFUNCTION("IF(OR(ISBLANK($G39), IFERROR(INDEX(GOOGLEFINANCE($C39, ""price"", WORKDAY(INT($B39), 1)), 2, 2), """")=""""), """", IF($D39=""LONG"", (IFERROR(INDEX(GOOGLEFINANCE($C39, ""price"", WORKDAY(INT($B39), 1)), 2, 2), """")-$G39)/$G39, ($G39-IFERROR(INDEX(GOOGLE"&amp;"FINANCE($C39, ""price"", WORKDAY(INT($B39), 1)), 2, 2), """"))/$G39))"),0.06259392846408163)</f>
        <v>0.06259392846</v>
      </c>
      <c r="R39" s="16">
        <f>IFERROR(__xludf.DUMMYFUNCTION("IF(OR(ISBLANK($G39), IFERROR(INDEX(GOOGLEFINANCE($C39, ""price"", WORKDAY(INT($B39), 5)), 2, 2), """")=""""), """", IF($D39=""LONG"", (IFERROR(INDEX(GOOGLEFINANCE($C39, ""price"", WORKDAY(INT($B39), 5)), 2, 2), """")-$G39)/$G39, ($G39-IFERROR(INDEX(GOOGLE"&amp;"FINANCE($C39, ""price"", WORKDAY(INT($B39), 5)), 2, 2), """"))/$G39))"),0.0389990982867448)</f>
        <v>0.03899909829</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816</v>
      </c>
      <c r="U39" s="10" t="s">
        <v>492</v>
      </c>
      <c r="V39" s="10" t="s">
        <v>493</v>
      </c>
      <c r="W39" s="10" t="s">
        <v>51</v>
      </c>
      <c r="X39" s="10" t="s">
        <v>492</v>
      </c>
    </row>
    <row r="40">
      <c r="A40" s="9">
        <f t="shared" si="1"/>
        <v>39</v>
      </c>
      <c r="B40" s="11">
        <v>46217.66755787037</v>
      </c>
      <c r="C40" s="10" t="s">
        <v>452</v>
      </c>
      <c r="D40" s="10" t="s">
        <v>119</v>
      </c>
      <c r="E40" s="10" t="s">
        <v>120</v>
      </c>
      <c r="F40" s="13">
        <v>4.0</v>
      </c>
      <c r="G40" s="14">
        <v>58.57</v>
      </c>
      <c r="H40" s="10" t="s">
        <v>819</v>
      </c>
      <c r="I40" s="10">
        <v>8.9</v>
      </c>
      <c r="O40" s="15">
        <f>IFERROR(__xludf.DUMMYFUNCTION("IF(ISBLANK($C40), """", GOOGLEFINANCE($C40, ""price""))"),61.44)</f>
        <v>61.44</v>
      </c>
      <c r="P40" s="16">
        <f t="shared" si="2"/>
        <v>-0.04900119515</v>
      </c>
      <c r="Q40" s="16">
        <f>IFERROR(__xludf.DUMMYFUNCTION("IF(OR(ISBLANK($G40), IFERROR(INDEX(GOOGLEFINANCE($C40, ""price"", WORKDAY(INT($B40), 1)), 2, 2), """")=""""), """", IF($D40=""LONG"", (IFERROR(INDEX(GOOGLEFINANCE($C40, ""price"", WORKDAY(INT($B40), 1)), 2, 2), """")-$G40)/$G40, ($G40-IFERROR(INDEX(GOOGLE"&amp;"FINANCE($C40, ""price"", WORKDAY(INT($B40), 1)), 2, 2), """"))/$G40))"),0.009731944681577604)</f>
        <v>0.009731944682</v>
      </c>
      <c r="R40" s="16">
        <f>IFERROR(__xludf.DUMMYFUNCTION("IF(OR(ISBLANK($G40), IFERROR(INDEX(GOOGLEFINANCE($C40, ""price"", WORKDAY(INT($B40), 5)), 2, 2), """")=""""), """", IF($D40=""LONG"", (IFERROR(INDEX(GOOGLEFINANCE($C40, ""price"", WORKDAY(INT($B40), 5)), 2, 2), """")-$G40)/$G40, ($G40-IFERROR(INDEX(GOOGLE"&amp;"FINANCE($C40, ""price"", WORKDAY(INT($B40), 5)), 2, 2), """"))/$G40))"),-0.04473279836093559)</f>
        <v>-0.04473279836</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825</v>
      </c>
      <c r="U40" s="10" t="s">
        <v>492</v>
      </c>
      <c r="V40" s="10" t="s">
        <v>493</v>
      </c>
      <c r="W40" s="10" t="s">
        <v>51</v>
      </c>
      <c r="X40" s="10" t="s">
        <v>492</v>
      </c>
    </row>
    <row r="41">
      <c r="A41" s="9">
        <f t="shared" si="1"/>
        <v>40</v>
      </c>
      <c r="B41" s="11">
        <v>46217.66763888889</v>
      </c>
      <c r="C41" s="10" t="s">
        <v>181</v>
      </c>
      <c r="D41" s="10" t="s">
        <v>119</v>
      </c>
      <c r="E41" s="10" t="s">
        <v>120</v>
      </c>
      <c r="F41" s="13">
        <v>4.0</v>
      </c>
      <c r="G41" s="14">
        <v>58.73</v>
      </c>
      <c r="H41" s="10" t="s">
        <v>829</v>
      </c>
      <c r="I41" s="10">
        <v>20.8</v>
      </c>
      <c r="O41" s="15">
        <f>IFERROR(__xludf.DUMMYFUNCTION("IF(ISBLANK($C41), """", GOOGLEFINANCE($C41, ""price""))"),57.32)</f>
        <v>57.32</v>
      </c>
      <c r="P41" s="16">
        <f t="shared" si="2"/>
        <v>0.024008173</v>
      </c>
      <c r="Q41" s="16">
        <f>IFERROR(__xludf.DUMMYFUNCTION("IF(OR(ISBLANK($G41), IFERROR(INDEX(GOOGLEFINANCE($C41, ""price"", WORKDAY(INT($B41), 1)), 2, 2), """")=""""), """", IF($D41=""LONG"", (IFERROR(INDEX(GOOGLEFINANCE($C41, ""price"", WORKDAY(INT($B41), 1)), 2, 2), """")-$G41)/$G41, ($G41-IFERROR(INDEX(GOOGLE"&amp;"FINANCE($C41, ""price"", WORKDAY(INT($B41), 1)), 2, 2), """"))/$G41))"),0.03694874851013102)</f>
        <v>0.03694874851</v>
      </c>
      <c r="R41" s="16">
        <f>IFERROR(__xludf.DUMMYFUNCTION("IF(OR(ISBLANK($G41), IFERROR(INDEX(GOOGLEFINANCE($C41, ""price"", WORKDAY(INT($B41), 5)), 2, 2), """")=""""), """", IF($D41=""LONG"", (IFERROR(INDEX(GOOGLEFINANCE($C41, ""price"", WORKDAY(INT($B41), 5)), 2, 2), """")-$G41)/$G41, ($G41-IFERROR(INDEX(GOOGLE"&amp;"FINANCE($C41, ""price"", WORKDAY(INT($B41), 5)), 2, 2), """"))/$G41))"),0.01617571939383613)</f>
        <v>0.01617571939</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839</v>
      </c>
      <c r="U41" s="10" t="s">
        <v>492</v>
      </c>
      <c r="V41" s="10" t="s">
        <v>493</v>
      </c>
      <c r="W41" s="10" t="s">
        <v>51</v>
      </c>
      <c r="X41" s="10" t="s">
        <v>492</v>
      </c>
    </row>
    <row r="42">
      <c r="A42" s="9">
        <f t="shared" si="1"/>
        <v>41</v>
      </c>
      <c r="B42" s="11">
        <v>46217.667962962965</v>
      </c>
      <c r="C42" s="10" t="s">
        <v>232</v>
      </c>
      <c r="D42" s="10" t="s">
        <v>119</v>
      </c>
      <c r="E42" s="10" t="s">
        <v>120</v>
      </c>
      <c r="F42" s="13">
        <v>4.0</v>
      </c>
      <c r="G42" s="14">
        <v>79.06</v>
      </c>
      <c r="H42" s="10" t="s">
        <v>840</v>
      </c>
      <c r="I42" s="10">
        <v>8.2</v>
      </c>
      <c r="O42" s="15">
        <f>IFERROR(__xludf.DUMMYFUNCTION("IF(ISBLANK($C42), """", GOOGLEFINANCE($C42, ""price""))"),74.92)</f>
        <v>74.92</v>
      </c>
      <c r="P42" s="16">
        <f t="shared" si="2"/>
        <v>0.05236529218</v>
      </c>
      <c r="Q42" s="16">
        <f>IFERROR(__xludf.DUMMYFUNCTION("IF(OR(ISBLANK($G42), IFERROR(INDEX(GOOGLEFINANCE($C42, ""price"", WORKDAY(INT($B42), 1)), 2, 2), """")=""""), """", IF($D42=""LONG"", (IFERROR(INDEX(GOOGLEFINANCE($C42, ""price"", WORKDAY(INT($B42), 1)), 2, 2), """")-$G42)/$G42, ($G42-IFERROR(INDEX(GOOGLE"&amp;"FINANCE($C42, ""price"", WORKDAY(INT($B42), 1)), 2, 2), """"))/$G42))"),-0.0051859347331140474)</f>
        <v>-0.005185934733</v>
      </c>
      <c r="R42" s="16">
        <f>IFERROR(__xludf.DUMMYFUNCTION("IF(OR(ISBLANK($G42), IFERROR(INDEX(GOOGLEFINANCE($C42, ""price"", WORKDAY(INT($B42), 5)), 2, 2), """")=""""), """", IF($D42=""LONG"", (IFERROR(INDEX(GOOGLEFINANCE($C42, ""price"", WORKDAY(INT($B42), 5)), 2, 2), """")-$G42)/$G42, ($G42-IFERROR(INDEX(GOOGLE"&amp;"FINANCE($C42, ""price"", WORKDAY(INT($B42), 5)), 2, 2), """"))/$G42))"),0.03617505691879584)</f>
        <v>0.03617505692</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848</v>
      </c>
      <c r="U42" s="10" t="s">
        <v>492</v>
      </c>
      <c r="V42" s="10" t="s">
        <v>493</v>
      </c>
      <c r="W42" s="10" t="s">
        <v>51</v>
      </c>
      <c r="X42" s="10" t="s">
        <v>492</v>
      </c>
    </row>
    <row r="43">
      <c r="A43" s="9">
        <f t="shared" si="1"/>
        <v>42</v>
      </c>
      <c r="B43" s="11">
        <v>46217.66762731481</v>
      </c>
      <c r="C43" s="10" t="s">
        <v>603</v>
      </c>
      <c r="D43" s="10" t="s">
        <v>119</v>
      </c>
      <c r="E43" s="10" t="s">
        <v>120</v>
      </c>
      <c r="F43" s="13">
        <v>4.0</v>
      </c>
      <c r="G43" s="14">
        <v>43.02</v>
      </c>
      <c r="H43" s="10" t="s">
        <v>853</v>
      </c>
      <c r="I43" s="10">
        <v>11.6</v>
      </c>
      <c r="O43" s="15">
        <f>IFERROR(__xludf.DUMMYFUNCTION("IF(ISBLANK($C43), """", GOOGLEFINANCE($C43, ""price""))"),56.89)</f>
        <v>56.89</v>
      </c>
      <c r="P43" s="16">
        <f t="shared" si="2"/>
        <v>-0.3224081822</v>
      </c>
      <c r="Q43" s="16">
        <f>IFERROR(__xludf.DUMMYFUNCTION("IF(OR(ISBLANK($G43), IFERROR(INDEX(GOOGLEFINANCE($C43, ""price"", WORKDAY(INT($B43), 1)), 2, 2), """")=""""), """", IF($D43=""LONG"", (IFERROR(INDEX(GOOGLEFINANCE($C43, ""price"", WORKDAY(INT($B43), 1)), 2, 2), """")-$G43)/$G43, ($G43-IFERROR(INDEX(GOOGLE"&amp;"FINANCE($C43, ""price"", WORKDAY(INT($B43), 1)), 2, 2), """"))/$G43))"),-0.0037192003719199577)</f>
        <v>-0.003719200372</v>
      </c>
      <c r="R43" s="16">
        <f>IFERROR(__xludf.DUMMYFUNCTION("IF(OR(ISBLANK($G43), IFERROR(INDEX(GOOGLEFINANCE($C43, ""price"", WORKDAY(INT($B43), 5)), 2, 2), """")=""""), """", IF($D43=""LONG"", (IFERROR(INDEX(GOOGLEFINANCE($C43, ""price"", WORKDAY(INT($B43), 5)), 2, 2), """")-$G43)/$G43, ($G43-IFERROR(INDEX(GOOGLE"&amp;"FINANCE($C43, ""price"", WORKDAY(INT($B43), 5)), 2, 2), """"))/$G43))"),-0.014179451417945127)</f>
        <v>-0.01417945142</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861</v>
      </c>
      <c r="U43" s="10" t="s">
        <v>492</v>
      </c>
      <c r="V43" s="10" t="s">
        <v>493</v>
      </c>
      <c r="W43" s="10" t="s">
        <v>51</v>
      </c>
      <c r="X43" s="10" t="s">
        <v>492</v>
      </c>
    </row>
    <row r="44">
      <c r="A44" s="9">
        <f t="shared" si="1"/>
        <v>43</v>
      </c>
      <c r="B44" s="11">
        <v>46217.667766203704</v>
      </c>
      <c r="C44" s="10" t="s">
        <v>863</v>
      </c>
      <c r="D44" s="10" t="s">
        <v>119</v>
      </c>
      <c r="E44" s="10" t="s">
        <v>120</v>
      </c>
      <c r="F44" s="13">
        <v>4.0</v>
      </c>
      <c r="G44" s="14">
        <v>187.16</v>
      </c>
      <c r="H44" s="10" t="s">
        <v>864</v>
      </c>
      <c r="I44" s="10">
        <v>8.7</v>
      </c>
      <c r="O44" s="15">
        <f>IFERROR(__xludf.DUMMYFUNCTION("IF(ISBLANK($C44), """", GOOGLEFINANCE($C44, ""price""))"),182.6)</f>
        <v>182.6</v>
      </c>
      <c r="P44" s="16">
        <f t="shared" si="2"/>
        <v>0.02436418038</v>
      </c>
      <c r="Q44" s="16">
        <f>IFERROR(__xludf.DUMMYFUNCTION("IF(OR(ISBLANK($G44), IFERROR(INDEX(GOOGLEFINANCE($C44, ""price"", WORKDAY(INT($B44), 1)), 2, 2), """")=""""), """", IF($D44=""LONG"", (IFERROR(INDEX(GOOGLEFINANCE($C44, ""price"", WORKDAY(INT($B44), 1)), 2, 2), """")-$G44)/$G44, ($G44-IFERROR(INDEX(GOOGLE"&amp;"FINANCE($C44, ""price"", WORKDAY(INT($B44), 1)), 2, 2), """"))/$G44))"),3.740115409275122E-4)</f>
        <v>0.0003740115409</v>
      </c>
      <c r="R44" s="16">
        <f>IFERROR(__xludf.DUMMYFUNCTION("IF(OR(ISBLANK($G44), IFERROR(INDEX(GOOGLEFINANCE($C44, ""price"", WORKDAY(INT($B44), 5)), 2, 2), """")=""""), """", IF($D44=""LONG"", (IFERROR(INDEX(GOOGLEFINANCE($C44, ""price"", WORKDAY(INT($B44), 5)), 2, 2), """")-$G44)/$G44, ($G44-IFERROR(INDEX(GOOGLE"&amp;"FINANCE($C44, ""price"", WORKDAY(INT($B44), 5)), 2, 2), """"))/$G44))"),0.0552468476170122)</f>
        <v>0.05524684762</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870</v>
      </c>
      <c r="U44" s="10" t="s">
        <v>492</v>
      </c>
      <c r="V44" s="10" t="s">
        <v>493</v>
      </c>
      <c r="W44" s="10" t="s">
        <v>51</v>
      </c>
      <c r="X44" s="10" t="s">
        <v>492</v>
      </c>
    </row>
    <row r="45">
      <c r="A45" s="9">
        <f t="shared" si="1"/>
        <v>44</v>
      </c>
      <c r="B45" s="11">
        <v>46217.667719907404</v>
      </c>
      <c r="C45" s="10" t="s">
        <v>118</v>
      </c>
      <c r="D45" s="10" t="s">
        <v>119</v>
      </c>
      <c r="E45" s="10" t="s">
        <v>120</v>
      </c>
      <c r="F45" s="13">
        <v>4.0</v>
      </c>
      <c r="G45" s="14">
        <v>134.56</v>
      </c>
      <c r="H45" s="10" t="s">
        <v>872</v>
      </c>
      <c r="I45" s="10">
        <v>10.2</v>
      </c>
      <c r="O45" s="15">
        <f>IFERROR(__xludf.DUMMYFUNCTION("IF(ISBLANK($C45), """", GOOGLEFINANCE($C45, ""price""))"),171.11)</f>
        <v>171.11</v>
      </c>
      <c r="P45" s="16">
        <f t="shared" si="2"/>
        <v>-0.2716260404</v>
      </c>
      <c r="Q45" s="16">
        <f>IFERROR(__xludf.DUMMYFUNCTION("IF(OR(ISBLANK($G45), IFERROR(INDEX(GOOGLEFINANCE($C45, ""price"", WORKDAY(INT($B45), 1)), 2, 2), """")=""""), """", IF($D45=""LONG"", (IFERROR(INDEX(GOOGLEFINANCE($C45, ""price"", WORKDAY(INT($B45), 1)), 2, 2), """")-$G45)/$G45, ($G45-IFERROR(INDEX(GOOGLE"&amp;"FINANCE($C45, ""price"", WORKDAY(INT($B45), 1)), 2, 2), """"))/$G45))"),-0.01828180737217604)</f>
        <v>-0.01828180737</v>
      </c>
      <c r="R45" s="16">
        <f>IFERROR(__xludf.DUMMYFUNCTION("IF(OR(ISBLANK($G45), IFERROR(INDEX(GOOGLEFINANCE($C45, ""price"", WORKDAY(INT($B45), 5)), 2, 2), """")=""""), """", IF($D45=""LONG"", (IFERROR(INDEX(GOOGLEFINANCE($C45, ""price"", WORKDAY(INT($B45), 5)), 2, 2), """")-$G45)/$G45, ($G45-IFERROR(INDEX(GOOGLE"&amp;"FINANCE($C45, ""price"", WORKDAY(INT($B45), 5)), 2, 2), """"))/$G45))"),-0.046819262782401984)</f>
        <v>-0.04681926278</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880</v>
      </c>
      <c r="U45" s="10" t="s">
        <v>492</v>
      </c>
      <c r="V45" s="10" t="s">
        <v>493</v>
      </c>
      <c r="W45" s="10" t="s">
        <v>51</v>
      </c>
      <c r="X45" s="10" t="s">
        <v>492</v>
      </c>
    </row>
    <row r="46">
      <c r="A46" s="9">
        <f t="shared" si="1"/>
        <v>45</v>
      </c>
      <c r="B46" s="11">
        <v>46217.667719907404</v>
      </c>
      <c r="C46" s="10" t="s">
        <v>789</v>
      </c>
      <c r="D46" s="10" t="s">
        <v>36</v>
      </c>
      <c r="E46" s="10" t="s">
        <v>37</v>
      </c>
      <c r="F46" s="13">
        <v>2.0</v>
      </c>
      <c r="G46" s="14">
        <v>90.1</v>
      </c>
      <c r="H46" s="10" t="s">
        <v>881</v>
      </c>
      <c r="I46" s="10">
        <v>93.9</v>
      </c>
      <c r="O46" s="15">
        <f>IFERROR(__xludf.DUMMYFUNCTION("IF(ISBLANK($C46), """", GOOGLEFINANCE($C46, ""price""))"),89.32)</f>
        <v>89.32</v>
      </c>
      <c r="P46" s="16">
        <f t="shared" si="2"/>
        <v>-0.008657047725</v>
      </c>
      <c r="Q46" s="16">
        <f>IFERROR(__xludf.DUMMYFUNCTION("IF(OR(ISBLANK($G46), IFERROR(INDEX(GOOGLEFINANCE($C46, ""price"", WORKDAY(INT($B46), 1)), 2, 2), """")=""""), """", IF($D46=""LONG"", (IFERROR(INDEX(GOOGLEFINANCE($C46, ""price"", WORKDAY(INT($B46), 1)), 2, 2), """")-$G46)/$G46, ($G46-IFERROR(INDEX(GOOGLE"&amp;"FINANCE($C46, ""price"", WORKDAY(INT($B46), 1)), 2, 2), """"))/$G46))"),-0.031409544950055476)</f>
        <v>-0.03140954495</v>
      </c>
      <c r="R46" s="16">
        <f>IFERROR(__xludf.DUMMYFUNCTION("IF(OR(ISBLANK($G46), IFERROR(INDEX(GOOGLEFINANCE($C46, ""price"", WORKDAY(INT($B46), 5)), 2, 2), """")=""""), """", IF($D46=""LONG"", (IFERROR(INDEX(GOOGLEFINANCE($C46, ""price"", WORKDAY(INT($B46), 5)), 2, 2), """")-$G46)/$G46, ($G46-IFERROR(INDEX(GOOGLE"&amp;"FINANCE($C46, ""price"", WORKDAY(INT($B46), 5)), 2, 2), """"))/$G46))"),-0.06159822419533849)</f>
        <v>-0.0615982242</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890</v>
      </c>
      <c r="U46" s="10" t="s">
        <v>492</v>
      </c>
      <c r="V46" s="10" t="s">
        <v>493</v>
      </c>
      <c r="W46" s="10" t="s">
        <v>51</v>
      </c>
      <c r="X46" s="10" t="s">
        <v>492</v>
      </c>
    </row>
    <row r="47">
      <c r="A47" s="9">
        <f t="shared" si="1"/>
        <v>46</v>
      </c>
      <c r="B47" s="11">
        <v>46217.66752314815</v>
      </c>
      <c r="C47" s="10" t="s">
        <v>86</v>
      </c>
      <c r="D47" s="10" t="s">
        <v>36</v>
      </c>
      <c r="E47" s="10" t="s">
        <v>37</v>
      </c>
      <c r="F47" s="13">
        <v>2.0</v>
      </c>
      <c r="G47" s="14">
        <v>79.05</v>
      </c>
      <c r="H47" s="10" t="s">
        <v>892</v>
      </c>
      <c r="I47" s="10">
        <v>94.4</v>
      </c>
      <c r="O47" s="15">
        <f>IFERROR(__xludf.DUMMYFUNCTION("IF(ISBLANK($C47), """", GOOGLEFINANCE($C47, ""price""))"),88.24)</f>
        <v>88.24</v>
      </c>
      <c r="P47" s="16">
        <f t="shared" si="2"/>
        <v>0.1162555345</v>
      </c>
      <c r="Q47" s="16">
        <f>IFERROR(__xludf.DUMMYFUNCTION("IF(OR(ISBLANK($G47), IFERROR(INDEX(GOOGLEFINANCE($C47, ""price"", WORKDAY(INT($B47), 1)), 2, 2), """")=""""), """", IF($D47=""LONG"", (IFERROR(INDEX(GOOGLEFINANCE($C47, ""price"", WORKDAY(INT($B47), 1)), 2, 2), """")-$G47)/$G47, ($G47-IFERROR(INDEX(GOOGLE"&amp;"FINANCE($C47, ""price"", WORKDAY(INT($B47), 1)), 2, 2), """"))/$G47))"),0.0011385199240987148)</f>
        <v>0.001138519924</v>
      </c>
      <c r="R47" s="16">
        <f>IFERROR(__xludf.DUMMYFUNCTION("IF(OR(ISBLANK($G47), IFERROR(INDEX(GOOGLEFINANCE($C47, ""price"", WORKDAY(INT($B47), 5)), 2, 2), """")=""""), """", IF($D47=""LONG"", (IFERROR(INDEX(GOOGLEFINANCE($C47, ""price"", WORKDAY(INT($B47), 5)), 2, 2), """")-$G47)/$G47, ($G47-IFERROR(INDEX(GOOGLE"&amp;"FINANCE($C47, ""price"", WORKDAY(INT($B47), 5)), 2, 2), """"))/$G47))"),0.02340290955091725)</f>
        <v>0.02340290955</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900</v>
      </c>
      <c r="U47" s="10" t="s">
        <v>492</v>
      </c>
      <c r="V47" s="10" t="s">
        <v>493</v>
      </c>
      <c r="W47" s="10" t="s">
        <v>51</v>
      </c>
      <c r="X47" s="10" t="s">
        <v>492</v>
      </c>
    </row>
    <row r="48">
      <c r="A48" s="9">
        <f t="shared" si="1"/>
        <v>47</v>
      </c>
      <c r="B48" s="11">
        <v>46217.66768518519</v>
      </c>
      <c r="C48" s="10" t="s">
        <v>91</v>
      </c>
      <c r="D48" s="10" t="s">
        <v>36</v>
      </c>
      <c r="E48" s="10" t="s">
        <v>37</v>
      </c>
      <c r="F48" s="13">
        <v>2.0</v>
      </c>
      <c r="G48" s="14">
        <v>36.51</v>
      </c>
      <c r="H48" s="10" t="s">
        <v>902</v>
      </c>
      <c r="I48" s="10">
        <v>97.1</v>
      </c>
      <c r="O48" s="15">
        <f>IFERROR(__xludf.DUMMYFUNCTION("IF(ISBLANK($C48), """", GOOGLEFINANCE($C48, ""price""))"),40.53)</f>
        <v>40.53</v>
      </c>
      <c r="P48" s="16">
        <f t="shared" si="2"/>
        <v>0.11010682</v>
      </c>
      <c r="Q48" s="16">
        <f>IFERROR(__xludf.DUMMYFUNCTION("IF(OR(ISBLANK($G48), IFERROR(INDEX(GOOGLEFINANCE($C48, ""price"", WORKDAY(INT($B48), 1)), 2, 2), """")=""""), """", IF($D48=""LONG"", (IFERROR(INDEX(GOOGLEFINANCE($C48, ""price"", WORKDAY(INT($B48), 1)), 2, 2), """")-$G48)/$G48, ($G48-IFERROR(INDEX(GOOGLE"&amp;"FINANCE($C48, ""price"", WORKDAY(INT($B48), 1)), 2, 2), """"))/$G48))"),0.006299643933169104)</f>
        <v>0.006299643933</v>
      </c>
      <c r="R48" s="16">
        <f>IFERROR(__xludf.DUMMYFUNCTION("IF(OR(ISBLANK($G48), IFERROR(INDEX(GOOGLEFINANCE($C48, ""price"", WORKDAY(INT($B48), 5)), 2, 2), """")=""""), """", IF($D48=""LONG"", (IFERROR(INDEX(GOOGLEFINANCE($C48, ""price"", WORKDAY(INT($B48), 5)), 2, 2), """")-$G48)/$G48, ($G48-IFERROR(INDEX(GOOGLE"&amp;"FINANCE($C48, ""price"", WORKDAY(INT($B48), 5)), 2, 2), """"))/$G48))"),-0.004382360996987034)</f>
        <v>-0.004382360997</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909</v>
      </c>
      <c r="U48" s="10" t="s">
        <v>492</v>
      </c>
      <c r="V48" s="10" t="s">
        <v>493</v>
      </c>
      <c r="W48" s="10" t="s">
        <v>51</v>
      </c>
      <c r="X48" s="10" t="s">
        <v>492</v>
      </c>
    </row>
    <row r="49">
      <c r="A49" s="9">
        <f t="shared" si="1"/>
        <v>48</v>
      </c>
      <c r="B49" s="11">
        <v>46217.667708333334</v>
      </c>
      <c r="C49" s="10" t="s">
        <v>374</v>
      </c>
      <c r="D49" s="10" t="s">
        <v>36</v>
      </c>
      <c r="E49" s="10" t="s">
        <v>37</v>
      </c>
      <c r="F49" s="13">
        <v>2.0</v>
      </c>
      <c r="G49" s="14">
        <v>68.52</v>
      </c>
      <c r="H49" s="10" t="s">
        <v>574</v>
      </c>
      <c r="I49" s="10">
        <v>96.7</v>
      </c>
      <c r="O49" s="15">
        <f>IFERROR(__xludf.DUMMYFUNCTION("IF(ISBLANK($C49), """", GOOGLEFINANCE($C49, ""price""))"),73.32)</f>
        <v>73.32</v>
      </c>
      <c r="P49" s="16">
        <f t="shared" si="2"/>
        <v>0.0700525394</v>
      </c>
      <c r="Q49" s="16">
        <f>IFERROR(__xludf.DUMMYFUNCTION("IF(OR(ISBLANK($G49), IFERROR(INDEX(GOOGLEFINANCE($C49, ""price"", WORKDAY(INT($B49), 1)), 2, 2), """")=""""), """", IF($D49=""LONG"", (IFERROR(INDEX(GOOGLEFINANCE($C49, ""price"", WORKDAY(INT($B49), 1)), 2, 2), """")-$G49)/$G49, ($G49-IFERROR(INDEX(GOOGLE"&amp;"FINANCE($C49, ""price"", WORKDAY(INT($B49), 1)), 2, 2), """"))/$G49))"),0.03035610040863979)</f>
        <v>0.03035610041</v>
      </c>
      <c r="R49" s="16">
        <f>IFERROR(__xludf.DUMMYFUNCTION("IF(OR(ISBLANK($G49), IFERROR(INDEX(GOOGLEFINANCE($C49, ""price"", WORKDAY(INT($B49), 5)), 2, 2), """")=""""), """", IF($D49=""LONG"", (IFERROR(INDEX(GOOGLEFINANCE($C49, ""price"", WORKDAY(INT($B49), 5)), 2, 2), """")-$G49)/$G49, ($G49-IFERROR(INDEX(GOOGLE"&amp;"FINANCE($C49, ""price"", WORKDAY(INT($B49), 5)), 2, 2), """"))/$G49))"),0.03633975481611222)</f>
        <v>0.03633975482</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917</v>
      </c>
      <c r="U49" s="10" t="s">
        <v>492</v>
      </c>
      <c r="V49" s="10" t="s">
        <v>493</v>
      </c>
      <c r="W49" s="10" t="s">
        <v>51</v>
      </c>
      <c r="X49" s="10" t="s">
        <v>492</v>
      </c>
    </row>
    <row r="50">
      <c r="A50" s="9">
        <f t="shared" si="1"/>
        <v>49</v>
      </c>
      <c r="B50" s="11">
        <v>46217.66743055556</v>
      </c>
      <c r="C50" s="10" t="s">
        <v>918</v>
      </c>
      <c r="D50" s="10" t="s">
        <v>36</v>
      </c>
      <c r="E50" s="10" t="s">
        <v>37</v>
      </c>
      <c r="F50" s="13">
        <v>2.0</v>
      </c>
      <c r="G50" s="14">
        <v>336.84</v>
      </c>
      <c r="H50" s="10" t="s">
        <v>919</v>
      </c>
      <c r="I50" s="10">
        <v>95.1</v>
      </c>
      <c r="L50" s="10" t="s">
        <v>920</v>
      </c>
      <c r="M50" s="34" t="s">
        <v>921</v>
      </c>
      <c r="N50" s="10" t="s">
        <v>925</v>
      </c>
      <c r="O50" s="15">
        <f>IFERROR(__xludf.DUMMYFUNCTION("IF(ISBLANK($C50), """", GOOGLEFINANCE($C50, ""price""))"),386.0)</f>
        <v>386</v>
      </c>
      <c r="P50" s="16">
        <f t="shared" si="2"/>
        <v>0.1459446622</v>
      </c>
      <c r="Q50" s="16">
        <f>IFERROR(__xludf.DUMMYFUNCTION("IF(OR(ISBLANK($G50), IFERROR(INDEX(GOOGLEFINANCE($C50, ""price"", WORKDAY(INT($B50), 1)), 2, 2), """")=""""), """", IF($D50=""LONG"", (IFERROR(INDEX(GOOGLEFINANCE($C50, ""price"", WORKDAY(INT($B50), 1)), 2, 2), """")-$G50)/$G50, ($G50-IFERROR(INDEX(GOOGLE"&amp;"FINANCE($C50, ""price"", WORKDAY(INT($B50), 1)), 2, 2), """"))/$G50))"),-0.02271107944424646)</f>
        <v>-0.02271107944</v>
      </c>
      <c r="R50" s="16">
        <f>IFERROR(__xludf.DUMMYFUNCTION("IF(OR(ISBLANK($G50), IFERROR(INDEX(GOOGLEFINANCE($C50, ""price"", WORKDAY(INT($B50), 5)), 2, 2), """")=""""), """", IF($D50=""LONG"", (IFERROR(INDEX(GOOGLEFINANCE($C50, ""price"", WORKDAY(INT($B50), 5)), 2, 2), """")-$G50)/$G50, ($G50-IFERROR(INDEX(GOOGLE"&amp;"FINANCE($C50, ""price"", WORKDAY(INT($B50), 5)), 2, 2), """"))/$G50))"),0.09734592091200577)</f>
        <v>0.09734592091</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931</v>
      </c>
      <c r="U50" s="10" t="s">
        <v>932</v>
      </c>
      <c r="V50" s="10" t="s">
        <v>933</v>
      </c>
      <c r="W50" s="10" t="s">
        <v>51</v>
      </c>
      <c r="X50" s="10" t="s">
        <v>932</v>
      </c>
    </row>
    <row r="51">
      <c r="A51" s="9">
        <f t="shared" si="1"/>
        <v>50</v>
      </c>
      <c r="B51" s="11">
        <v>46217.667395833334</v>
      </c>
      <c r="C51" s="10" t="s">
        <v>288</v>
      </c>
      <c r="D51" s="10" t="s">
        <v>36</v>
      </c>
      <c r="E51" s="10" t="s">
        <v>37</v>
      </c>
      <c r="F51" s="13">
        <v>2.0</v>
      </c>
      <c r="G51" s="14">
        <v>18.76</v>
      </c>
      <c r="H51" s="10" t="s">
        <v>937</v>
      </c>
      <c r="I51" s="10">
        <v>95.1</v>
      </c>
      <c r="L51" s="10" t="s">
        <v>938</v>
      </c>
      <c r="M51" s="34" t="s">
        <v>921</v>
      </c>
      <c r="N51" s="10" t="s">
        <v>925</v>
      </c>
      <c r="O51" s="15">
        <f>IFERROR(__xludf.DUMMYFUNCTION("IF(ISBLANK($C51), """", GOOGLEFINANCE($C51, ""price""))"),19.18)</f>
        <v>19.18</v>
      </c>
      <c r="P51" s="16">
        <f t="shared" si="2"/>
        <v>0.0223880597</v>
      </c>
      <c r="Q51" s="16">
        <f>IFERROR(__xludf.DUMMYFUNCTION("IF(OR(ISBLANK($G51), IFERROR(INDEX(GOOGLEFINANCE($C51, ""price"", WORKDAY(INT($B51), 1)), 2, 2), """")=""""), """", IF($D51=""LONG"", (IFERROR(INDEX(GOOGLEFINANCE($C51, ""price"", WORKDAY(INT($B51), 1)), 2, 2), """")-$G51)/$G51, ($G51-IFERROR(INDEX(GOOGLE"&amp;"FINANCE($C51, ""price"", WORKDAY(INT($B51), 1)), 2, 2), """"))/$G51))"),-0.0031982942430704834)</f>
        <v>-0.003198294243</v>
      </c>
      <c r="R51" s="16">
        <f>IFERROR(__xludf.DUMMYFUNCTION("IF(OR(ISBLANK($G51), IFERROR(INDEX(GOOGLEFINANCE($C51, ""price"", WORKDAY(INT($B51), 5)), 2, 2), """")=""""), """", IF($D51=""LONG"", (IFERROR(INDEX(GOOGLEFINANCE($C51, ""price"", WORKDAY(INT($B51), 5)), 2, 2), """")-$G51)/$G51, ($G51-IFERROR(INDEX(GOOGLE"&amp;"FINANCE($C51, ""price"", WORKDAY(INT($B51), 5)), 2, 2), """"))/$G51))"),0.013326226012793176)</f>
        <v>0.01332622601</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945</v>
      </c>
      <c r="U51" s="10" t="s">
        <v>932</v>
      </c>
      <c r="V51" s="10" t="s">
        <v>933</v>
      </c>
      <c r="W51" s="10" t="s">
        <v>51</v>
      </c>
      <c r="X51" s="10" t="s">
        <v>932</v>
      </c>
    </row>
    <row r="52">
      <c r="A52" s="9">
        <f t="shared" si="1"/>
        <v>51</v>
      </c>
      <c r="B52" s="11">
        <v>46217.66736111111</v>
      </c>
      <c r="C52" s="10" t="s">
        <v>530</v>
      </c>
      <c r="D52" s="10" t="s">
        <v>36</v>
      </c>
      <c r="E52" s="10" t="s">
        <v>133</v>
      </c>
      <c r="F52" s="13">
        <v>2.0</v>
      </c>
      <c r="G52" s="14">
        <v>174.58</v>
      </c>
      <c r="H52" s="10" t="s">
        <v>948</v>
      </c>
      <c r="I52" s="10">
        <v>85.5</v>
      </c>
      <c r="L52" s="10" t="s">
        <v>949</v>
      </c>
      <c r="M52" s="34" t="s">
        <v>951</v>
      </c>
      <c r="N52" s="10" t="s">
        <v>925</v>
      </c>
      <c r="O52" s="15">
        <f>IFERROR(__xludf.DUMMYFUNCTION("IF(ISBLANK($C52), """", GOOGLEFINANCE($C52, ""price""))"),191.48)</f>
        <v>191.48</v>
      </c>
      <c r="P52" s="16">
        <f t="shared" si="2"/>
        <v>0.09680375759</v>
      </c>
      <c r="Q52" s="16">
        <f>IFERROR(__xludf.DUMMYFUNCTION("IF(OR(ISBLANK($G52), IFERROR(INDEX(GOOGLEFINANCE($C52, ""price"", WORKDAY(INT($B52), 1)), 2, 2), """")=""""), """", IF($D52=""LONG"", (IFERROR(INDEX(GOOGLEFINANCE($C52, ""price"", WORKDAY(INT($B52), 1)), 2, 2), """")-$G52)/$G52, ($G52-IFERROR(INDEX(GOOGLE"&amp;"FINANCE($C52, ""price"", WORKDAY(INT($B52), 1)), 2, 2), """"))/$G52))"),-0.07148585175850623)</f>
        <v>-0.07148585176</v>
      </c>
      <c r="R52" s="16">
        <f>IFERROR(__xludf.DUMMYFUNCTION("IF(OR(ISBLANK($G52), IFERROR(INDEX(GOOGLEFINANCE($C52, ""price"", WORKDAY(INT($B52), 5)), 2, 2), """")=""""), """", IF($D52=""LONG"", (IFERROR(INDEX(GOOGLEFINANCE($C52, ""price"", WORKDAY(INT($B52), 5)), 2, 2), """")-$G52)/$G52, ($G52-IFERROR(INDEX(GOOGLE"&amp;"FINANCE($C52, ""price"", WORKDAY(INT($B52), 5)), 2, 2), """"))/$G52))"),-0.05052125100240589)</f>
        <v>-0.050521251</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956</v>
      </c>
      <c r="U52" s="10" t="s">
        <v>176</v>
      </c>
      <c r="V52" s="10" t="s">
        <v>958</v>
      </c>
      <c r="W52" s="10" t="s">
        <v>961</v>
      </c>
      <c r="X52" s="10" t="s">
        <v>962</v>
      </c>
    </row>
    <row r="53">
      <c r="A53" s="9">
        <f t="shared" si="1"/>
        <v>52</v>
      </c>
      <c r="B53" s="11">
        <v>46217.66752314815</v>
      </c>
      <c r="C53" s="10" t="s">
        <v>43</v>
      </c>
      <c r="D53" s="10" t="s">
        <v>36</v>
      </c>
      <c r="E53" s="10" t="s">
        <v>37</v>
      </c>
      <c r="F53" s="13">
        <v>2.0</v>
      </c>
      <c r="G53" s="14">
        <v>270.79</v>
      </c>
      <c r="H53" s="10" t="s">
        <v>964</v>
      </c>
      <c r="I53" s="10">
        <v>90.8</v>
      </c>
      <c r="L53" s="10" t="s">
        <v>965</v>
      </c>
      <c r="M53" s="34" t="s">
        <v>951</v>
      </c>
      <c r="N53" s="10" t="s">
        <v>925</v>
      </c>
      <c r="O53" s="15">
        <f>IFERROR(__xludf.DUMMYFUNCTION("IF(ISBLANK($C53), """", GOOGLEFINANCE($C53, ""price""))"),229.29)</f>
        <v>229.29</v>
      </c>
      <c r="P53" s="16">
        <f t="shared" si="2"/>
        <v>-0.1532552901</v>
      </c>
      <c r="Q53" s="16">
        <f>IFERROR(__xludf.DUMMYFUNCTION("IF(OR(ISBLANK($G53), IFERROR(INDEX(GOOGLEFINANCE($C53, ""price"", WORKDAY(INT($B53), 1)), 2, 2), """")=""""), """", IF($D53=""LONG"", (IFERROR(INDEX(GOOGLEFINANCE($C53, ""price"", WORKDAY(INT($B53), 1)), 2, 2), """")-$G53)/$G53, ($G53-IFERROR(INDEX(GOOGLE"&amp;"FINANCE($C53, ""price"", WORKDAY(INT($B53), 1)), 2, 2), """"))/$G53))"),-0.023376047859965436)</f>
        <v>-0.02337604786</v>
      </c>
      <c r="R53" s="16">
        <f>IFERROR(__xludf.DUMMYFUNCTION("IF(OR(ISBLANK($G53), IFERROR(INDEX(GOOGLEFINANCE($C53, ""price"", WORKDAY(INT($B53), 5)), 2, 2), """")=""""), """", IF($D53=""LONG"", (IFERROR(INDEX(GOOGLEFINANCE($C53, ""price"", WORKDAY(INT($B53), 5)), 2, 2), """")-$G53)/$G53, ($G53-IFERROR(INDEX(GOOGLE"&amp;"FINANCE($C53, ""price"", WORKDAY(INT($B53), 5)), 2, 2), """"))/$G53))"),-0.05908637689722673)</f>
        <v>-0.0590863769</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971</v>
      </c>
      <c r="U53" s="10" t="s">
        <v>219</v>
      </c>
      <c r="V53" s="10" t="s">
        <v>972</v>
      </c>
      <c r="W53" s="10" t="s">
        <v>973</v>
      </c>
      <c r="X53" s="10" t="s">
        <v>974</v>
      </c>
    </row>
    <row r="54">
      <c r="A54" s="9">
        <f t="shared" si="1"/>
        <v>53</v>
      </c>
      <c r="B54" s="11">
        <v>46217.66737268519</v>
      </c>
      <c r="C54" s="10" t="s">
        <v>223</v>
      </c>
      <c r="D54" s="10" t="s">
        <v>36</v>
      </c>
      <c r="E54" s="10" t="s">
        <v>37</v>
      </c>
      <c r="F54" s="13">
        <v>2.0</v>
      </c>
      <c r="G54" s="14">
        <v>124.54</v>
      </c>
      <c r="H54" s="10" t="s">
        <v>978</v>
      </c>
      <c r="I54" s="10">
        <v>94.0</v>
      </c>
      <c r="O54" s="15">
        <f>IFERROR(__xludf.DUMMYFUNCTION("IF(ISBLANK($C54), """", GOOGLEFINANCE($C54, ""price""))"),129.55)</f>
        <v>129.55</v>
      </c>
      <c r="P54" s="16">
        <f t="shared" si="2"/>
        <v>0.04022803918</v>
      </c>
      <c r="Q54" s="16">
        <f>IFERROR(__xludf.DUMMYFUNCTION("IF(OR(ISBLANK($G54), IFERROR(INDEX(GOOGLEFINANCE($C54, ""price"", WORKDAY(INT($B54), 1)), 2, 2), """")=""""), """", IF($D54=""LONG"", (IFERROR(INDEX(GOOGLEFINANCE($C54, ""price"", WORKDAY(INT($B54), 1)), 2, 2), """")-$G54)/$G54, ($G54-IFERROR(INDEX(GOOGLE"&amp;"FINANCE($C54, ""price"", WORKDAY(INT($B54), 1)), 2, 2), """"))/$G54))"),0.006825116428456675)</f>
        <v>0.006825116428</v>
      </c>
      <c r="R54" s="16">
        <f>IFERROR(__xludf.DUMMYFUNCTION("IF(OR(ISBLANK($G54), IFERROR(INDEX(GOOGLEFINANCE($C54, ""price"", WORKDAY(INT($B54), 5)), 2, 2), """")=""""), """", IF($D54=""LONG"", (IFERROR(INDEX(GOOGLEFINANCE($C54, ""price"", WORKDAY(INT($B54), 5)), 2, 2), """")-$G54)/$G54, ($G54-IFERROR(INDEX(GOOGLE"&amp;"FINANCE($C54, ""price"", WORKDAY(INT($B54), 5)), 2, 2), """"))/$G54))"),-0.0022482736470210464)</f>
        <v>-0.002248273647</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983</v>
      </c>
      <c r="U54" s="10" t="s">
        <v>984</v>
      </c>
      <c r="V54" s="10" t="s">
        <v>985</v>
      </c>
      <c r="W54" s="10" t="s">
        <v>51</v>
      </c>
      <c r="X54" s="10" t="s">
        <v>984</v>
      </c>
    </row>
    <row r="55">
      <c r="A55" s="9">
        <f t="shared" si="1"/>
        <v>54</v>
      </c>
      <c r="B55" s="11">
        <v>46217.667395833334</v>
      </c>
      <c r="C55" s="10" t="s">
        <v>66</v>
      </c>
      <c r="D55" s="10" t="s">
        <v>36</v>
      </c>
      <c r="E55" s="10" t="s">
        <v>37</v>
      </c>
      <c r="F55" s="13">
        <v>2.0</v>
      </c>
      <c r="G55" s="14">
        <v>276.96</v>
      </c>
      <c r="H55" s="10" t="s">
        <v>989</v>
      </c>
      <c r="I55" s="10">
        <v>85.2</v>
      </c>
      <c r="O55" s="15">
        <f>IFERROR(__xludf.DUMMYFUNCTION("IF(ISBLANK($C55), """", GOOGLEFINANCE($C55, ""price""))"),296.4)</f>
        <v>296.4</v>
      </c>
      <c r="P55" s="16">
        <f t="shared" si="2"/>
        <v>0.07019064125</v>
      </c>
      <c r="Q55" s="16">
        <f>IFERROR(__xludf.DUMMYFUNCTION("IF(OR(ISBLANK($G55), IFERROR(INDEX(GOOGLEFINANCE($C55, ""price"", WORKDAY(INT($B55), 1)), 2, 2), """")=""""), """", IF($D55=""LONG"", (IFERROR(INDEX(GOOGLEFINANCE($C55, ""price"", WORKDAY(INT($B55), 1)), 2, 2), """")-$G55)/$G55, ($G55-IFERROR(INDEX(GOOGLE"&amp;"FINANCE($C55, ""price"", WORKDAY(INT($B55), 1)), 2, 2), """"))/$G55))"),-0.010976314269208419)</f>
        <v>-0.01097631427</v>
      </c>
      <c r="R55" s="16">
        <f>IFERROR(__xludf.DUMMYFUNCTION("IF(OR(ISBLANK($G55), IFERROR(INDEX(GOOGLEFINANCE($C55, ""price"", WORKDAY(INT($B55), 5)), 2, 2), """")=""""), """", IF($D55=""LONG"", (IFERROR(INDEX(GOOGLEFINANCE($C55, ""price"", WORKDAY(INT($B55), 5)), 2, 2), """")-$G55)/$G55, ($G55-IFERROR(INDEX(GOOGLE"&amp;"FINANCE($C55, ""price"", WORKDAY(INT($B55), 5)), 2, 2), """"))/$G55))"),-0.004043905257076851)</f>
        <v>-0.004043905257</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997</v>
      </c>
      <c r="U55" s="10" t="s">
        <v>984</v>
      </c>
      <c r="V55" s="10" t="s">
        <v>998</v>
      </c>
      <c r="W55" s="10" t="s">
        <v>51</v>
      </c>
      <c r="X55" s="10" t="s">
        <v>984</v>
      </c>
    </row>
    <row r="56">
      <c r="A56" s="9">
        <f t="shared" si="1"/>
        <v>55</v>
      </c>
      <c r="B56" s="11">
        <v>46217.667395833334</v>
      </c>
      <c r="C56" s="10" t="s">
        <v>457</v>
      </c>
      <c r="D56" s="10" t="s">
        <v>119</v>
      </c>
      <c r="E56" s="10" t="s">
        <v>120</v>
      </c>
      <c r="F56" s="13">
        <v>4.0</v>
      </c>
      <c r="G56" s="14">
        <v>190.7</v>
      </c>
      <c r="H56" s="10" t="s">
        <v>1001</v>
      </c>
      <c r="I56" s="10">
        <v>4.6</v>
      </c>
      <c r="O56" s="15">
        <f>IFERROR(__xludf.DUMMYFUNCTION("IF(ISBLANK($C56), """", GOOGLEFINANCE($C56, ""price""))"),189.63)</f>
        <v>189.63</v>
      </c>
      <c r="P56" s="16">
        <f t="shared" si="2"/>
        <v>0.005610907184</v>
      </c>
      <c r="Q56" s="16">
        <f>IFERROR(__xludf.DUMMYFUNCTION("IF(OR(ISBLANK($G56), IFERROR(INDEX(GOOGLEFINANCE($C56, ""price"", WORKDAY(INT($B56), 1)), 2, 2), """")=""""), """", IF($D56=""LONG"", (IFERROR(INDEX(GOOGLEFINANCE($C56, ""price"", WORKDAY(INT($B56), 1)), 2, 2), """")-$G56)/$G56, ($G56-IFERROR(INDEX(GOOGLE"&amp;"FINANCE($C56, ""price"", WORKDAY(INT($B56), 1)), 2, 2), """"))/$G56))"),0.004929208180388033)</f>
        <v>0.00492920818</v>
      </c>
      <c r="R56" s="16">
        <f>IFERROR(__xludf.DUMMYFUNCTION("IF(OR(ISBLANK($G56), IFERROR(INDEX(GOOGLEFINANCE($C56, ""price"", WORKDAY(INT($B56), 5)), 2, 2), """")=""""), """", IF($D56=""LONG"", (IFERROR(INDEX(GOOGLEFINANCE($C56, ""price"", WORKDAY(INT($B56), 5)), 2, 2), """")-$G56)/$G56, ($G56-IFERROR(INDEX(GOOGLE"&amp;"FINANCE($C56, ""price"", WORKDAY(INT($B56), 5)), 2, 2), """"))/$G56))"),-0.047718930256948205)</f>
        <v>-0.04771893026</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1006</v>
      </c>
      <c r="U56" s="10" t="s">
        <v>984</v>
      </c>
      <c r="V56" s="10" t="s">
        <v>985</v>
      </c>
      <c r="W56" s="10" t="s">
        <v>51</v>
      </c>
      <c r="X56" s="10" t="s">
        <v>984</v>
      </c>
    </row>
    <row r="57">
      <c r="A57" s="9">
        <f t="shared" si="1"/>
        <v>56</v>
      </c>
      <c r="B57" s="11">
        <v>46217.667395833334</v>
      </c>
      <c r="C57" s="10" t="s">
        <v>323</v>
      </c>
      <c r="D57" s="10" t="s">
        <v>36</v>
      </c>
      <c r="E57" s="10" t="s">
        <v>37</v>
      </c>
      <c r="F57" s="13">
        <v>2.0</v>
      </c>
      <c r="G57" s="14">
        <v>206.61</v>
      </c>
      <c r="H57" s="10" t="s">
        <v>1008</v>
      </c>
      <c r="I57" s="10">
        <v>89.4</v>
      </c>
      <c r="O57" s="15">
        <f>IFERROR(__xludf.DUMMYFUNCTION("IF(ISBLANK($C57), """", GOOGLEFINANCE($C57, ""price""))"),209.7)</f>
        <v>209.7</v>
      </c>
      <c r="P57" s="16">
        <f t="shared" si="2"/>
        <v>0.01495571366</v>
      </c>
      <c r="Q57" s="16">
        <f>IFERROR(__xludf.DUMMYFUNCTION("IF(OR(ISBLANK($G57), IFERROR(INDEX(GOOGLEFINANCE($C57, ""price"", WORKDAY(INT($B57), 1)), 2, 2), """")=""""), """", IF($D57=""LONG"", (IFERROR(INDEX(GOOGLEFINANCE($C57, ""price"", WORKDAY(INT($B57), 1)), 2, 2), """")-$G57)/$G57, ($G57-IFERROR(INDEX(GOOGLE"&amp;"FINANCE($C57, ""price"", WORKDAY(INT($B57), 1)), 2, 2), """"))/$G57))"),0.0031944242776244932)</f>
        <v>0.003194424278</v>
      </c>
      <c r="R57" s="16">
        <f>IFERROR(__xludf.DUMMYFUNCTION("IF(OR(ISBLANK($G57), IFERROR(INDEX(GOOGLEFINANCE($C57, ""price"", WORKDAY(INT($B57), 5)), 2, 2), """")=""""), """", IF($D57=""LONG"", (IFERROR(INDEX(GOOGLEFINANCE($C57, ""price"", WORKDAY(INT($B57), 5)), 2, 2), """")-$G57)/$G57, ($G57-IFERROR(INDEX(GOOGLE"&amp;"FINANCE($C57, ""price"", WORKDAY(INT($B57), 5)), 2, 2), """"))/$G57))"),0.011761289385799227)</f>
        <v>0.01176128939</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1013</v>
      </c>
      <c r="U57" s="10" t="s">
        <v>984</v>
      </c>
      <c r="V57" s="10" t="s">
        <v>985</v>
      </c>
      <c r="W57" s="10" t="s">
        <v>51</v>
      </c>
      <c r="X57" s="10" t="s">
        <v>984</v>
      </c>
    </row>
    <row r="58">
      <c r="A58" s="9">
        <f t="shared" si="1"/>
        <v>57</v>
      </c>
      <c r="B58" s="11">
        <v>46217.66741898148</v>
      </c>
      <c r="C58" s="10" t="s">
        <v>1016</v>
      </c>
      <c r="D58" s="10" t="s">
        <v>119</v>
      </c>
      <c r="E58" s="10" t="s">
        <v>120</v>
      </c>
      <c r="F58" s="13">
        <v>4.0</v>
      </c>
      <c r="G58" s="14">
        <v>846.94</v>
      </c>
      <c r="H58" s="10" t="s">
        <v>1018</v>
      </c>
      <c r="I58" s="10">
        <v>5.5</v>
      </c>
      <c r="O58" s="15">
        <f>IFERROR(__xludf.DUMMYFUNCTION("IF(ISBLANK($C58), """", GOOGLEFINANCE($C58, ""price""))"),832.42)</f>
        <v>832.42</v>
      </c>
      <c r="P58" s="16">
        <f t="shared" si="2"/>
        <v>0.0171440716</v>
      </c>
      <c r="Q58" s="16">
        <f>IFERROR(__xludf.DUMMYFUNCTION("IF(OR(ISBLANK($G58), IFERROR(INDEX(GOOGLEFINANCE($C58, ""price"", WORKDAY(INT($B58), 1)), 2, 2), """")=""""), """", IF($D58=""LONG"", (IFERROR(INDEX(GOOGLEFINANCE($C58, ""price"", WORKDAY(INT($B58), 1)), 2, 2), """")-$G58)/$G58, ($G58-IFERROR(INDEX(GOOGLE"&amp;"FINANCE($C58, ""price"", WORKDAY(INT($B58), 1)), 2, 2), """"))/$G58))"),0.04539872954400553)</f>
        <v>0.04539872954</v>
      </c>
      <c r="R58" s="16">
        <f>IFERROR(__xludf.DUMMYFUNCTION("IF(OR(ISBLANK($G58), IFERROR(INDEX(GOOGLEFINANCE($C58, ""price"", WORKDAY(INT($B58), 5)), 2, 2), """")=""""), """", IF($D58=""LONG"", (IFERROR(INDEX(GOOGLEFINANCE($C58, ""price"", WORKDAY(INT($B58), 5)), 2, 2), """")-$G58)/$G58, ($G58-IFERROR(INDEX(GOOGLE"&amp;"FINANCE($C58, ""price"", WORKDAY(INT($B58), 5)), 2, 2), """"))/$G58))"),-0.013365763808534176)</f>
        <v>-0.01336576381</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1024</v>
      </c>
      <c r="U58" s="10" t="s">
        <v>984</v>
      </c>
      <c r="V58" s="10" t="s">
        <v>985</v>
      </c>
      <c r="W58" s="10" t="s">
        <v>51</v>
      </c>
      <c r="X58" s="10" t="s">
        <v>984</v>
      </c>
    </row>
    <row r="59">
      <c r="A59" s="9">
        <f t="shared" si="1"/>
        <v>58</v>
      </c>
      <c r="B59" s="11">
        <v>46217.6674537037</v>
      </c>
      <c r="C59" s="10" t="s">
        <v>161</v>
      </c>
      <c r="D59" s="10" t="s">
        <v>36</v>
      </c>
      <c r="E59" s="10" t="s">
        <v>37</v>
      </c>
      <c r="F59" s="13">
        <v>2.0</v>
      </c>
      <c r="G59" s="14">
        <v>156.62</v>
      </c>
      <c r="H59" s="10" t="s">
        <v>1026</v>
      </c>
      <c r="I59" s="10">
        <v>86.9</v>
      </c>
      <c r="O59" s="15">
        <f>IFERROR(__xludf.DUMMYFUNCTION("IF(ISBLANK($C59), """", GOOGLEFINANCE($C59, ""price""))"),180.71)</f>
        <v>180.71</v>
      </c>
      <c r="P59" s="16">
        <f t="shared" si="2"/>
        <v>0.1538117737</v>
      </c>
      <c r="Q59" s="16">
        <f>IFERROR(__xludf.DUMMYFUNCTION("IF(OR(ISBLANK($G59), IFERROR(INDEX(GOOGLEFINANCE($C59, ""price"", WORKDAY(INT($B59), 1)), 2, 2), """")=""""), """", IF($D59=""LONG"", (IFERROR(INDEX(GOOGLEFINANCE($C59, ""price"", WORKDAY(INT($B59), 1)), 2, 2), """")-$G59)/$G59, ($G59-IFERROR(INDEX(GOOGLE"&amp;"FINANCE($C59, ""price"", WORKDAY(INT($B59), 1)), 2, 2), """"))/$G59))"),0.024964883156684946)</f>
        <v>0.02496488316</v>
      </c>
      <c r="R59" s="16">
        <f>IFERROR(__xludf.DUMMYFUNCTION("IF(OR(ISBLANK($G59), IFERROR(INDEX(GOOGLEFINANCE($C59, ""price"", WORKDAY(INT($B59), 5)), 2, 2), """")=""""), """", IF($D59=""LONG"", (IFERROR(INDEX(GOOGLEFINANCE($C59, ""price"", WORKDAY(INT($B59), 5)), 2, 2), """")-$G59)/$G59, ($G59-IFERROR(INDEX(GOOGLE"&amp;"FINANCE($C59, ""price"", WORKDAY(INT($B59), 5)), 2, 2), """"))/$G59))"),0.0902822117226407)</f>
        <v>0.09028221172</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1032</v>
      </c>
      <c r="U59" s="10" t="s">
        <v>984</v>
      </c>
      <c r="V59" s="10" t="s">
        <v>998</v>
      </c>
      <c r="W59" s="10" t="s">
        <v>51</v>
      </c>
      <c r="X59" s="10" t="s">
        <v>984</v>
      </c>
    </row>
    <row r="60">
      <c r="A60" s="9">
        <f t="shared" si="1"/>
        <v>59</v>
      </c>
      <c r="B60" s="11">
        <v>46217.66746527778</v>
      </c>
      <c r="C60" s="10" t="s">
        <v>488</v>
      </c>
      <c r="D60" s="10" t="s">
        <v>36</v>
      </c>
      <c r="E60" s="10" t="s">
        <v>37</v>
      </c>
      <c r="F60" s="13">
        <v>2.0</v>
      </c>
      <c r="G60" s="14">
        <v>67.45</v>
      </c>
      <c r="H60" s="10" t="s">
        <v>1034</v>
      </c>
      <c r="I60" s="10">
        <v>96.7</v>
      </c>
      <c r="O60" s="15">
        <f>IFERROR(__xludf.DUMMYFUNCTION("IF(ISBLANK($C60), """", GOOGLEFINANCE($C60, ""price""))"),53.86)</f>
        <v>53.86</v>
      </c>
      <c r="P60" s="16">
        <f t="shared" si="2"/>
        <v>-0.2014825797</v>
      </c>
      <c r="Q60" s="16">
        <f>IFERROR(__xludf.DUMMYFUNCTION("IF(OR(ISBLANK($G60), IFERROR(INDEX(GOOGLEFINANCE($C60, ""price"", WORKDAY(INT($B60), 1)), 2, 2), """")=""""), """", IF($D60=""LONG"", (IFERROR(INDEX(GOOGLEFINANCE($C60, ""price"", WORKDAY(INT($B60), 1)), 2, 2), """")-$G60)/$G60, ($G60-IFERROR(INDEX(GOOGLE"&amp;"FINANCE($C60, ""price"", WORKDAY(INT($B60), 1)), 2, 2), """"))/$G60))"),0.012305411415863577)</f>
        <v>0.01230541142</v>
      </c>
      <c r="R60" s="16">
        <f>IFERROR(__xludf.DUMMYFUNCTION("IF(OR(ISBLANK($G60), IFERROR(INDEX(GOOGLEFINANCE($C60, ""price"", WORKDAY(INT($B60), 5)), 2, 2), """")=""""), """", IF($D60=""LONG"", (IFERROR(INDEX(GOOGLEFINANCE($C60, ""price"", WORKDAY(INT($B60), 5)), 2, 2), """")-$G60)/$G60, ($G60-IFERROR(INDEX(GOOGLE"&amp;"FINANCE($C60, ""price"", WORKDAY(INT($B60), 5)), 2, 2), """"))/$G60))"),-0.11549295774647896)</f>
        <v>-0.1154929577</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1040</v>
      </c>
      <c r="U60" s="10" t="s">
        <v>984</v>
      </c>
      <c r="V60" s="10" t="s">
        <v>998</v>
      </c>
      <c r="W60" s="10" t="s">
        <v>51</v>
      </c>
      <c r="X60" s="10" t="s">
        <v>984</v>
      </c>
    </row>
    <row r="61">
      <c r="A61" s="9">
        <f t="shared" si="1"/>
        <v>60</v>
      </c>
      <c r="B61" s="11">
        <v>46217.6674537037</v>
      </c>
      <c r="C61" s="10" t="s">
        <v>442</v>
      </c>
      <c r="D61" s="10" t="s">
        <v>36</v>
      </c>
      <c r="E61" s="10" t="s">
        <v>37</v>
      </c>
      <c r="F61" s="13">
        <v>2.0</v>
      </c>
      <c r="G61" s="14">
        <v>547.07</v>
      </c>
      <c r="H61" s="10" t="s">
        <v>1044</v>
      </c>
      <c r="I61" s="10">
        <v>98.7</v>
      </c>
      <c r="O61" s="15">
        <f>IFERROR(__xludf.DUMMYFUNCTION("IF(ISBLANK($C61), """", GOOGLEFINANCE($C61, ""price""))"),522.46)</f>
        <v>522.46</v>
      </c>
      <c r="P61" s="16">
        <f t="shared" si="2"/>
        <v>-0.04498510245</v>
      </c>
      <c r="Q61" s="16">
        <f>IFERROR(__xludf.DUMMYFUNCTION("IF(OR(ISBLANK($G61), IFERROR(INDEX(GOOGLEFINANCE($C61, ""price"", WORKDAY(INT($B61), 1)), 2, 2), """")=""""), """", IF($D61=""LONG"", (IFERROR(INDEX(GOOGLEFINANCE($C61, ""price"", WORKDAY(INT($B61), 1)), 2, 2), """")-$G61)/$G61, ($G61-IFERROR(INDEX(GOOGLE"&amp;"FINANCE($C61, ""price"", WORKDAY(INT($B61), 1)), 2, 2), """"))/$G61))"),-0.010876121885681987)</f>
        <v>-0.01087612189</v>
      </c>
      <c r="R61" s="16">
        <f>IFERROR(__xludf.DUMMYFUNCTION("IF(OR(ISBLANK($G61), IFERROR(INDEX(GOOGLEFINANCE($C61, ""price"", WORKDAY(INT($B61), 5)), 2, 2), """")=""""), """", IF($D61=""LONG"", (IFERROR(INDEX(GOOGLEFINANCE($C61, ""price"", WORKDAY(INT($B61), 5)), 2, 2), """")-$G61)/$G61, ($G61-IFERROR(INDEX(GOOGLE"&amp;"FINANCE($C61, ""price"", WORKDAY(INT($B61), 5)), 2, 2), """"))/$G61))"),-0.06562231524302198)</f>
        <v>-0.06562231524</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1049</v>
      </c>
      <c r="U61" s="10" t="s">
        <v>984</v>
      </c>
      <c r="V61" s="10" t="s">
        <v>985</v>
      </c>
      <c r="W61" s="10" t="s">
        <v>51</v>
      </c>
      <c r="X61" s="10" t="s">
        <v>984</v>
      </c>
    </row>
    <row r="62">
      <c r="A62" s="9">
        <f t="shared" si="1"/>
        <v>61</v>
      </c>
      <c r="B62" s="11">
        <v>46217.667395833334</v>
      </c>
      <c r="C62" s="10" t="s">
        <v>80</v>
      </c>
      <c r="D62" s="10" t="s">
        <v>36</v>
      </c>
      <c r="E62" s="10" t="s">
        <v>37</v>
      </c>
      <c r="F62" s="13">
        <v>2.0</v>
      </c>
      <c r="G62" s="14">
        <v>244.78</v>
      </c>
      <c r="H62" s="10" t="s">
        <v>1051</v>
      </c>
      <c r="I62" s="10">
        <v>94.6</v>
      </c>
      <c r="O62" s="15">
        <f>IFERROR(__xludf.DUMMYFUNCTION("IF(ISBLANK($C62), """", GOOGLEFINANCE($C62, ""price""))"),243.87)</f>
        <v>243.87</v>
      </c>
      <c r="P62" s="16">
        <f t="shared" si="2"/>
        <v>-0.003717623989</v>
      </c>
      <c r="Q62" s="16">
        <f>IFERROR(__xludf.DUMMYFUNCTION("IF(OR(ISBLANK($G62), IFERROR(INDEX(GOOGLEFINANCE($C62, ""price"", WORKDAY(INT($B62), 1)), 2, 2), """")=""""), """", IF($D62=""LONG"", (IFERROR(INDEX(GOOGLEFINANCE($C62, ""price"", WORKDAY(INT($B62), 1)), 2, 2), """")-$G62)/$G62, ($G62-IFERROR(INDEX(GOOGLE"&amp;"FINANCE($C62, ""price"", WORKDAY(INT($B62), 1)), 2, 2), """"))/$G62))"),-0.0027371517280823086)</f>
        <v>-0.002737151728</v>
      </c>
      <c r="R62" s="16">
        <f>IFERROR(__xludf.DUMMYFUNCTION("IF(OR(ISBLANK($G62), IFERROR(INDEX(GOOGLEFINANCE($C62, ""price"", WORKDAY(INT($B62), 5)), 2, 2), """")=""""), """", IF($D62=""LONG"", (IFERROR(INDEX(GOOGLEFINANCE($C62, ""price"", WORKDAY(INT($B62), 5)), 2, 2), """")-$G62)/$G62, ($G62-IFERROR(INDEX(GOOGLE"&amp;"FINANCE($C62, ""price"", WORKDAY(INT($B62), 5)), 2, 2), """"))/$G62))"),0.0462456083013319)</f>
        <v>0.0462456083</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1058</v>
      </c>
      <c r="U62" s="10" t="s">
        <v>984</v>
      </c>
      <c r="V62" s="10" t="s">
        <v>1059</v>
      </c>
      <c r="W62" s="10" t="s">
        <v>51</v>
      </c>
      <c r="X62" s="10" t="s">
        <v>984</v>
      </c>
    </row>
    <row r="63">
      <c r="A63" s="9">
        <f t="shared" si="1"/>
        <v>62</v>
      </c>
      <c r="B63" s="11">
        <v>46217.66740740741</v>
      </c>
      <c r="C63" s="10" t="s">
        <v>1061</v>
      </c>
      <c r="D63" s="10" t="s">
        <v>36</v>
      </c>
      <c r="E63" s="10" t="s">
        <v>37</v>
      </c>
      <c r="F63" s="13">
        <v>2.0</v>
      </c>
      <c r="G63" s="14">
        <v>226.43</v>
      </c>
      <c r="H63" s="10" t="s">
        <v>1063</v>
      </c>
      <c r="I63" s="10">
        <v>99.8</v>
      </c>
      <c r="O63" s="15">
        <f>IFERROR(__xludf.DUMMYFUNCTION("IF(ISBLANK($C63), """", GOOGLEFINANCE($C63, ""price""))"),215.34)</f>
        <v>215.34</v>
      </c>
      <c r="P63" s="16">
        <f t="shared" si="2"/>
        <v>-0.04897760897</v>
      </c>
      <c r="Q63" s="16">
        <f>IFERROR(__xludf.DUMMYFUNCTION("IF(OR(ISBLANK($G63), IFERROR(INDEX(GOOGLEFINANCE($C63, ""price"", WORKDAY(INT($B63), 1)), 2, 2), """")=""""), """", IF($D63=""LONG"", (IFERROR(INDEX(GOOGLEFINANCE($C63, ""price"", WORKDAY(INT($B63), 1)), 2, 2), """")-$G63)/$G63, ($G63-IFERROR(INDEX(GOOGLE"&amp;"FINANCE($C63, ""price"", WORKDAY(INT($B63), 1)), 2, 2), """"))/$G63))"),-0.09367133330389087)</f>
        <v>-0.0936713333</v>
      </c>
      <c r="R63" s="16">
        <f>IFERROR(__xludf.DUMMYFUNCTION("IF(OR(ISBLANK($G63), IFERROR(INDEX(GOOGLEFINANCE($C63, ""price"", WORKDAY(INT($B63), 5)), 2, 2), """")=""""), """", IF($D63=""LONG"", (IFERROR(INDEX(GOOGLEFINANCE($C63, ""price"", WORKDAY(INT($B63), 5)), 2, 2), """")-$G63)/$G63, ($G63-IFERROR(INDEX(GOOGLE"&amp;"FINANCE($C63, ""price"", WORKDAY(INT($B63), 5)), 2, 2), """"))/$G63))"),-0.09066819767698626)</f>
        <v>-0.09066819768</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1067</v>
      </c>
      <c r="U63" s="10" t="s">
        <v>984</v>
      </c>
      <c r="V63" s="10" t="s">
        <v>998</v>
      </c>
      <c r="W63" s="10" t="s">
        <v>51</v>
      </c>
      <c r="X63" s="10" t="s">
        <v>984</v>
      </c>
    </row>
    <row r="64">
      <c r="A64" s="9">
        <f t="shared" si="1"/>
        <v>63</v>
      </c>
      <c r="B64" s="11">
        <v>46217.66751157407</v>
      </c>
      <c r="C64" s="10" t="s">
        <v>845</v>
      </c>
      <c r="D64" s="10" t="s">
        <v>119</v>
      </c>
      <c r="E64" s="10" t="s">
        <v>120</v>
      </c>
      <c r="F64" s="13">
        <v>4.0</v>
      </c>
      <c r="G64" s="14">
        <v>233.28</v>
      </c>
      <c r="H64" s="10" t="s">
        <v>1071</v>
      </c>
      <c r="I64" s="10">
        <v>4.2</v>
      </c>
      <c r="O64" s="15">
        <f>IFERROR(__xludf.DUMMYFUNCTION("IF(ISBLANK($C64), """", GOOGLEFINANCE($C64, ""price""))"),261.48)</f>
        <v>261.48</v>
      </c>
      <c r="P64" s="16">
        <f t="shared" si="2"/>
        <v>-0.1208847737</v>
      </c>
      <c r="Q64" s="16">
        <f>IFERROR(__xludf.DUMMYFUNCTION("IF(OR(ISBLANK($G64), IFERROR(INDEX(GOOGLEFINANCE($C64, ""price"", WORKDAY(INT($B64), 1)), 2, 2), """")=""""), """", IF($D64=""LONG"", (IFERROR(INDEX(GOOGLEFINANCE($C64, ""price"", WORKDAY(INT($B64), 1)), 2, 2), """")-$G64)/$G64, ($G64-IFERROR(INDEX(GOOGLE"&amp;"FINANCE($C64, ""price"", WORKDAY(INT($B64), 1)), 2, 2), """"))/$G64))"),-0.009773662551440333)</f>
        <v>-0.009773662551</v>
      </c>
      <c r="R64" s="16">
        <f>IFERROR(__xludf.DUMMYFUNCTION("IF(OR(ISBLANK($G64), IFERROR(INDEX(GOOGLEFINANCE($C64, ""price"", WORKDAY(INT($B64), 5)), 2, 2), """")=""""), """", IF($D64=""LONG"", (IFERROR(INDEX(GOOGLEFINANCE($C64, ""price"", WORKDAY(INT($B64), 5)), 2, 2), """")-$G64)/$G64, ($G64-IFERROR(INDEX(GOOGLE"&amp;"FINANCE($C64, ""price"", WORKDAY(INT($B64), 5)), 2, 2), """"))/$G64))"),-0.0010288065843621788)</f>
        <v>-0.001028806584</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1075</v>
      </c>
      <c r="U64" s="10" t="s">
        <v>984</v>
      </c>
      <c r="V64" s="10" t="s">
        <v>985</v>
      </c>
      <c r="W64" s="10" t="s">
        <v>51</v>
      </c>
      <c r="X64" s="10" t="s">
        <v>984</v>
      </c>
    </row>
    <row r="65">
      <c r="A65" s="9">
        <f t="shared" si="1"/>
        <v>64</v>
      </c>
      <c r="B65" s="11">
        <v>46217.66748842593</v>
      </c>
      <c r="C65" s="10" t="s">
        <v>564</v>
      </c>
      <c r="D65" s="10" t="s">
        <v>36</v>
      </c>
      <c r="E65" s="10" t="s">
        <v>133</v>
      </c>
      <c r="F65" s="13">
        <v>2.0</v>
      </c>
      <c r="G65" s="14">
        <v>429.88</v>
      </c>
      <c r="H65" s="10" t="s">
        <v>1079</v>
      </c>
      <c r="I65" s="10">
        <v>80.9</v>
      </c>
      <c r="O65" s="15">
        <f>IFERROR(__xludf.DUMMYFUNCTION("IF(ISBLANK($C65), """", GOOGLEFINANCE($C65, ""price""))"),391.4)</f>
        <v>391.4</v>
      </c>
      <c r="P65" s="16">
        <f t="shared" si="2"/>
        <v>-0.08951335256</v>
      </c>
      <c r="Q65" s="16">
        <f>IFERROR(__xludf.DUMMYFUNCTION("IF(OR(ISBLANK($G65), IFERROR(INDEX(GOOGLEFINANCE($C65, ""price"", WORKDAY(INT($B65), 1)), 2, 2), """")=""""), """", IF($D65=""LONG"", (IFERROR(INDEX(GOOGLEFINANCE($C65, ""price"", WORKDAY(INT($B65), 1)), 2, 2), """")-$G65)/$G65, ($G65-IFERROR(INDEX(GOOGLE"&amp;"FINANCE($C65, ""price"", WORKDAY(INT($B65), 1)), 2, 2), """"))/$G65))"),-0.09200241927979905)</f>
        <v>-0.09200241928</v>
      </c>
      <c r="R65" s="16">
        <f>IFERROR(__xludf.DUMMYFUNCTION("IF(OR(ISBLANK($G65), IFERROR(INDEX(GOOGLEFINANCE($C65, ""price"", WORKDAY(INT($B65), 5)), 2, 2), """")=""""), """", IF($D65=""LONG"", (IFERROR(INDEX(GOOGLEFINANCE($C65, ""price"", WORKDAY(INT($B65), 5)), 2, 2), """")-$G65)/$G65, ($G65-IFERROR(INDEX(GOOGLE"&amp;"FINANCE($C65, ""price"", WORKDAY(INT($B65), 5)), 2, 2), """"))/$G65))"),-0.08476784218851773)</f>
        <v>-0.08476784219</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1085</v>
      </c>
      <c r="U65" s="10" t="s">
        <v>984</v>
      </c>
      <c r="V65" s="10" t="s">
        <v>1086</v>
      </c>
      <c r="W65" s="10" t="s">
        <v>51</v>
      </c>
      <c r="X65" s="10" t="s">
        <v>984</v>
      </c>
    </row>
    <row r="66">
      <c r="A66" s="9">
        <f t="shared" si="1"/>
        <v>65</v>
      </c>
      <c r="B66" s="11">
        <v>46217.66755787037</v>
      </c>
      <c r="C66" s="10" t="s">
        <v>126</v>
      </c>
      <c r="D66" s="10" t="s">
        <v>36</v>
      </c>
      <c r="E66" s="10" t="s">
        <v>37</v>
      </c>
      <c r="F66" s="13">
        <v>2.0</v>
      </c>
      <c r="G66" s="14">
        <v>139.33</v>
      </c>
      <c r="H66" s="10" t="s">
        <v>1088</v>
      </c>
      <c r="I66" s="10">
        <v>97.9</v>
      </c>
      <c r="O66" s="15">
        <f>IFERROR(__xludf.DUMMYFUNCTION("IF(ISBLANK($C66), """", GOOGLEFINANCE($C66, ""price""))"),141.97)</f>
        <v>141.97</v>
      </c>
      <c r="P66" s="16">
        <f t="shared" si="2"/>
        <v>0.01894782172</v>
      </c>
      <c r="Q66" s="16">
        <f>IFERROR(__xludf.DUMMYFUNCTION("IF(OR(ISBLANK($G66), IFERROR(INDEX(GOOGLEFINANCE($C66, ""price"", WORKDAY(INT($B66), 1)), 2, 2), """")=""""), """", IF($D66=""LONG"", (IFERROR(INDEX(GOOGLEFINANCE($C66, ""price"", WORKDAY(INT($B66), 1)), 2, 2), """")-$G66)/$G66, ($G66-IFERROR(INDEX(GOOGLE"&amp;"FINANCE($C66, ""price"", WORKDAY(INT($B66), 1)), 2, 2), """"))/$G66))"),-0.06079092801263187)</f>
        <v>-0.06079092801</v>
      </c>
      <c r="R66" s="16">
        <f>IFERROR(__xludf.DUMMYFUNCTION("IF(OR(ISBLANK($G66), IFERROR(INDEX(GOOGLEFINANCE($C66, ""price"", WORKDAY(INT($B66), 5)), 2, 2), """")=""""), """", IF($D66=""LONG"", (IFERROR(INDEX(GOOGLEFINANCE($C66, ""price"", WORKDAY(INT($B66), 5)), 2, 2), """")-$G66)/$G66, ($G66-IFERROR(INDEX(GOOGLE"&amp;"FINANCE($C66, ""price"", WORKDAY(INT($B66), 5)), 2, 2), """"))/$G66))"),-0.06897294193641006)</f>
        <v>-0.06897294194</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1097</v>
      </c>
      <c r="U66" s="10" t="s">
        <v>984</v>
      </c>
      <c r="V66" s="10" t="s">
        <v>985</v>
      </c>
      <c r="W66" s="10" t="s">
        <v>51</v>
      </c>
      <c r="X66" s="10" t="s">
        <v>984</v>
      </c>
    </row>
    <row r="67">
      <c r="A67" s="9">
        <f t="shared" si="1"/>
        <v>66</v>
      </c>
      <c r="B67" s="11">
        <v>46217.66752314815</v>
      </c>
      <c r="C67" s="10" t="s">
        <v>69</v>
      </c>
      <c r="D67" s="10" t="s">
        <v>36</v>
      </c>
      <c r="E67" s="10" t="s">
        <v>37</v>
      </c>
      <c r="F67" s="13">
        <v>2.0</v>
      </c>
      <c r="G67" s="14">
        <v>253.87</v>
      </c>
      <c r="H67" s="10" t="s">
        <v>1099</v>
      </c>
      <c r="I67" s="10">
        <v>95.7</v>
      </c>
      <c r="O67" s="15">
        <f>IFERROR(__xludf.DUMMYFUNCTION("IF(ISBLANK($C67), """", GOOGLEFINANCE($C67, ""price""))"),256.98)</f>
        <v>256.98</v>
      </c>
      <c r="P67" s="16">
        <f t="shared" si="2"/>
        <v>0.01225036436</v>
      </c>
      <c r="Q67" s="16">
        <f>IFERROR(__xludf.DUMMYFUNCTION("IF(OR(ISBLANK($G67), IFERROR(INDEX(GOOGLEFINANCE($C67, ""price"", WORKDAY(INT($B67), 1)), 2, 2), """")=""""), """", IF($D67=""LONG"", (IFERROR(INDEX(GOOGLEFINANCE($C67, ""price"", WORKDAY(INT($B67), 1)), 2, 2), """")-$G67)/$G67, ($G67-IFERROR(INDEX(GOOGLE"&amp;"FINANCE($C67, ""price"", WORKDAY(INT($B67), 1)), 2, 2), """"))/$G67))"),-0.026982313782644637)</f>
        <v>-0.02698231378</v>
      </c>
      <c r="R67" s="16">
        <f>IFERROR(__xludf.DUMMYFUNCTION("IF(OR(ISBLANK($G67), IFERROR(INDEX(GOOGLEFINANCE($C67, ""price"", WORKDAY(INT($B67), 5)), 2, 2), """")=""""), """", IF($D67=""LONG"", (IFERROR(INDEX(GOOGLEFINANCE($C67, ""price"", WORKDAY(INT($B67), 5)), 2, 2), """")-$G67)/$G67, ($G67-IFERROR(INDEX(GOOGLE"&amp;"FINANCE($C67, ""price"", WORKDAY(INT($B67), 5)), 2, 2), """"))/$G67))"),-0.012841217946192897)</f>
        <v>-0.01284121795</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1107</v>
      </c>
      <c r="U67" s="10" t="s">
        <v>984</v>
      </c>
      <c r="V67" s="10" t="s">
        <v>985</v>
      </c>
      <c r="W67" s="10" t="s">
        <v>51</v>
      </c>
      <c r="X67" s="10" t="s">
        <v>984</v>
      </c>
    </row>
    <row r="68">
      <c r="A68" s="9">
        <f t="shared" si="1"/>
        <v>67</v>
      </c>
      <c r="B68" s="11">
        <v>46217.66763888889</v>
      </c>
      <c r="C68" s="10" t="s">
        <v>238</v>
      </c>
      <c r="D68" s="10" t="s">
        <v>36</v>
      </c>
      <c r="E68" s="10" t="s">
        <v>37</v>
      </c>
      <c r="F68" s="13">
        <v>2.0</v>
      </c>
      <c r="G68" s="14">
        <v>220.36</v>
      </c>
      <c r="H68" s="10" t="s">
        <v>1110</v>
      </c>
      <c r="I68" s="10">
        <v>88.7</v>
      </c>
      <c r="O68" s="15">
        <f>IFERROR(__xludf.DUMMYFUNCTION("IF(ISBLANK($C68), """", GOOGLEFINANCE($C68, ""price""))"),246.89)</f>
        <v>246.89</v>
      </c>
      <c r="P68" s="16">
        <f t="shared" si="2"/>
        <v>0.1203939009</v>
      </c>
      <c r="Q68" s="16">
        <f>IFERROR(__xludf.DUMMYFUNCTION("IF(OR(ISBLANK($G68), IFERROR(INDEX(GOOGLEFINANCE($C68, ""price"", WORKDAY(INT($B68), 1)), 2, 2), """")=""""), """", IF($D68=""LONG"", (IFERROR(INDEX(GOOGLEFINANCE($C68, ""price"", WORKDAY(INT($B68), 1)), 2, 2), """")-$G68)/$G68, ($G68-IFERROR(INDEX(GOOGLE"&amp;"FINANCE($C68, ""price"", WORKDAY(INT($B68), 1)), 2, 2), """"))/$G68))"),0.011254311127246277)</f>
        <v>0.01125431113</v>
      </c>
      <c r="R68" s="16">
        <f>IFERROR(__xludf.DUMMYFUNCTION("IF(OR(ISBLANK($G68), IFERROR(INDEX(GOOGLEFINANCE($C68, ""price"", WORKDAY(INT($B68), 5)), 2, 2), """")=""""), """", IF($D68=""LONG"", (IFERROR(INDEX(GOOGLEFINANCE($C68, ""price"", WORKDAY(INT($B68), 5)), 2, 2), """")-$G68)/$G68, ($G68-IFERROR(INDEX(GOOGLE"&amp;"FINANCE($C68, ""price"", WORKDAY(INT($B68), 5)), 2, 2), """"))/$G68))"),0.0034942820838626872)</f>
        <v>0.003494282084</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1118</v>
      </c>
      <c r="U68" s="10" t="s">
        <v>984</v>
      </c>
      <c r="V68" s="10" t="s">
        <v>1086</v>
      </c>
      <c r="W68" s="10" t="s">
        <v>51</v>
      </c>
      <c r="X68" s="10" t="s">
        <v>984</v>
      </c>
    </row>
    <row r="69">
      <c r="A69" s="9">
        <f t="shared" si="1"/>
        <v>68</v>
      </c>
      <c r="B69" s="11">
        <v>46217.66773148148</v>
      </c>
      <c r="C69" s="10" t="s">
        <v>60</v>
      </c>
      <c r="D69" s="10" t="s">
        <v>36</v>
      </c>
      <c r="E69" s="10" t="s">
        <v>37</v>
      </c>
      <c r="F69" s="13">
        <v>2.0</v>
      </c>
      <c r="G69" s="14">
        <v>42.79</v>
      </c>
      <c r="H69" s="10" t="s">
        <v>1122</v>
      </c>
      <c r="I69" s="10">
        <v>94.8</v>
      </c>
      <c r="O69" s="15">
        <f>IFERROR(__xludf.DUMMYFUNCTION("IF(ISBLANK($C69), """", GOOGLEFINANCE($C69, ""price""))"),47.06)</f>
        <v>47.06</v>
      </c>
      <c r="P69" s="16">
        <f t="shared" si="2"/>
        <v>0.09978967048</v>
      </c>
      <c r="Q69" s="16">
        <f>IFERROR(__xludf.DUMMYFUNCTION("IF(OR(ISBLANK($G69), IFERROR(INDEX(GOOGLEFINANCE($C69, ""price"", WORKDAY(INT($B69), 1)), 2, 2), """")=""""), """", IF($D69=""LONG"", (IFERROR(INDEX(GOOGLEFINANCE($C69, ""price"", WORKDAY(INT($B69), 1)), 2, 2), """")-$G69)/$G69, ($G69-IFERROR(INDEX(GOOGLE"&amp;"FINANCE($C69, ""price"", WORKDAY(INT($B69), 1)), 2, 2), """"))/$G69))"),0.0142556672119654)</f>
        <v>0.01425566721</v>
      </c>
      <c r="R69" s="16">
        <f>IFERROR(__xludf.DUMMYFUNCTION("IF(OR(ISBLANK($G69), IFERROR(INDEX(GOOGLEFINANCE($C69, ""price"", WORKDAY(INT($B69), 5)), 2, 2), """")=""""), """", IF($D69=""LONG"", (IFERROR(INDEX(GOOGLEFINANCE($C69, ""price"", WORKDAY(INT($B69), 5)), 2, 2), """")-$G69)/$G69, ($G69-IFERROR(INDEX(GOOGLE"&amp;"FINANCE($C69, ""price"", WORKDAY(INT($B69), 5)), 2, 2), """"))/$G69))"),0.015190465061930324)</f>
        <v>0.01519046506</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1129</v>
      </c>
      <c r="U69" s="10" t="s">
        <v>984</v>
      </c>
      <c r="V69" s="10" t="s">
        <v>985</v>
      </c>
      <c r="W69" s="10" t="s">
        <v>51</v>
      </c>
      <c r="X69" s="10" t="s">
        <v>984</v>
      </c>
    </row>
    <row r="70">
      <c r="A70" s="9">
        <f t="shared" si="1"/>
        <v>69</v>
      </c>
      <c r="B70" s="11">
        <v>46217.66769675926</v>
      </c>
      <c r="C70" s="10" t="s">
        <v>358</v>
      </c>
      <c r="D70" s="10" t="s">
        <v>119</v>
      </c>
      <c r="E70" s="10" t="s">
        <v>120</v>
      </c>
      <c r="F70" s="13">
        <v>4.0</v>
      </c>
      <c r="G70" s="14">
        <v>47.57</v>
      </c>
      <c r="H70" s="10" t="s">
        <v>1132</v>
      </c>
      <c r="I70" s="10">
        <v>3.0</v>
      </c>
      <c r="O70" s="15">
        <f>IFERROR(__xludf.DUMMYFUNCTION("IF(ISBLANK($C70), """", GOOGLEFINANCE($C70, ""price""))"),51.54)</f>
        <v>51.54</v>
      </c>
      <c r="P70" s="16">
        <f t="shared" si="2"/>
        <v>-0.08345595964</v>
      </c>
      <c r="Q70" s="16">
        <f>IFERROR(__xludf.DUMMYFUNCTION("IF(OR(ISBLANK($G70), IFERROR(INDEX(GOOGLEFINANCE($C70, ""price"", WORKDAY(INT($B70), 1)), 2, 2), """")=""""), """", IF($D70=""LONG"", (IFERROR(INDEX(GOOGLEFINANCE($C70, ""price"", WORKDAY(INT($B70), 1)), 2, 2), """")-$G70)/$G70, ($G70-IFERROR(INDEX(GOOGLE"&amp;"FINANCE($C70, ""price"", WORKDAY(INT($B70), 1)), 2, 2), """"))/$G70))"),4.2043304603748427E-4)</f>
        <v>0.000420433046</v>
      </c>
      <c r="R70" s="16">
        <f>IFERROR(__xludf.DUMMYFUNCTION("IF(OR(ISBLANK($G70), IFERROR(INDEX(GOOGLEFINANCE($C70, ""price"", WORKDAY(INT($B70), 5)), 2, 2), """")=""""), """", IF($D70=""LONG"", (IFERROR(INDEX(GOOGLEFINANCE($C70, ""price"", WORKDAY(INT($B70), 5)), 2, 2), """")-$G70)/$G70, ($G70-IFERROR(INDEX(GOOGLE"&amp;"FINANCE($C70, ""price"", WORKDAY(INT($B70), 5)), 2, 2), """"))/$G70))"),0.02060121925583344)</f>
        <v>0.02060121926</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1138</v>
      </c>
      <c r="U70" s="10" t="s">
        <v>984</v>
      </c>
      <c r="V70" s="10" t="s">
        <v>985</v>
      </c>
      <c r="W70" s="10" t="s">
        <v>51</v>
      </c>
      <c r="X70" s="10" t="s">
        <v>984</v>
      </c>
    </row>
    <row r="71">
      <c r="A71" s="9">
        <f t="shared" si="1"/>
        <v>70</v>
      </c>
      <c r="B71" s="11">
        <v>46217.66768518519</v>
      </c>
      <c r="C71" s="10" t="s">
        <v>957</v>
      </c>
      <c r="D71" s="10" t="s">
        <v>119</v>
      </c>
      <c r="E71" s="10" t="s">
        <v>120</v>
      </c>
      <c r="F71" s="13">
        <v>4.0</v>
      </c>
      <c r="G71" s="14">
        <v>54.59</v>
      </c>
      <c r="H71" s="10" t="s">
        <v>1142</v>
      </c>
      <c r="I71" s="10">
        <v>9.7</v>
      </c>
      <c r="O71" s="15">
        <f>IFERROR(__xludf.DUMMYFUNCTION("IF(ISBLANK($C71), """", GOOGLEFINANCE($C71, ""price""))"),56.04)</f>
        <v>56.04</v>
      </c>
      <c r="P71" s="16">
        <f t="shared" si="2"/>
        <v>-0.02656164133</v>
      </c>
      <c r="Q71" s="16">
        <f>IFERROR(__xludf.DUMMYFUNCTION("IF(OR(ISBLANK($G71), IFERROR(INDEX(GOOGLEFINANCE($C71, ""price"", WORKDAY(INT($B71), 1)), 2, 2), """")=""""), """", IF($D71=""LONG"", (IFERROR(INDEX(GOOGLEFINANCE($C71, ""price"", WORKDAY(INT($B71), 1)), 2, 2), """")-$G71)/$G71, ($G71-IFERROR(INDEX(GOOGLE"&amp;"FINANCE($C71, ""price"", WORKDAY(INT($B71), 1)), 2, 2), """"))/$G71))"),0.01502106612932772)</f>
        <v>0.01502106613</v>
      </c>
      <c r="R71" s="16">
        <f>IFERROR(__xludf.DUMMYFUNCTION("IF(OR(ISBLANK($G71), IFERROR(INDEX(GOOGLEFINANCE($C71, ""price"", WORKDAY(INT($B71), 5)), 2, 2), """")=""""), """", IF($D71=""LONG"", (IFERROR(INDEX(GOOGLEFINANCE($C71, ""price"", WORKDAY(INT($B71), 5)), 2, 2), """")-$G71)/$G71, ($G71-IFERROR(INDEX(GOOGLE"&amp;"FINANCE($C71, ""price"", WORKDAY(INT($B71), 5)), 2, 2), """"))/$G71))"),-0.034988093057336446)</f>
        <v>-0.03498809306</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1144</v>
      </c>
      <c r="U71" s="10" t="s">
        <v>984</v>
      </c>
      <c r="V71" s="10" t="s">
        <v>985</v>
      </c>
      <c r="W71" s="10" t="s">
        <v>51</v>
      </c>
      <c r="X71" s="10" t="s">
        <v>984</v>
      </c>
    </row>
    <row r="72">
      <c r="A72" s="9">
        <f t="shared" si="1"/>
        <v>71</v>
      </c>
      <c r="B72" s="11">
        <v>46217.66775462963</v>
      </c>
      <c r="C72" s="10" t="s">
        <v>348</v>
      </c>
      <c r="D72" s="10" t="s">
        <v>36</v>
      </c>
      <c r="E72" s="10" t="s">
        <v>37</v>
      </c>
      <c r="F72" s="13">
        <v>2.0</v>
      </c>
      <c r="G72" s="14">
        <v>260.1</v>
      </c>
      <c r="H72" s="10" t="s">
        <v>1146</v>
      </c>
      <c r="I72" s="10">
        <v>96.9</v>
      </c>
      <c r="O72" s="15">
        <f>IFERROR(__xludf.DUMMYFUNCTION("IF(ISBLANK($C72), """", GOOGLEFINANCE($C72, ""price""))"),364.24)</f>
        <v>364.24</v>
      </c>
      <c r="P72" s="16">
        <f t="shared" si="2"/>
        <v>0.4003844675</v>
      </c>
      <c r="Q72" s="16">
        <f>IFERROR(__xludf.DUMMYFUNCTION("IF(OR(ISBLANK($G72), IFERROR(INDEX(GOOGLEFINANCE($C72, ""price"", WORKDAY(INT($B72), 1)), 2, 2), """")=""""), """", IF($D72=""LONG"", (IFERROR(INDEX(GOOGLEFINANCE($C72, ""price"", WORKDAY(INT($B72), 1)), 2, 2), """")-$G72)/$G72, ($G72-IFERROR(INDEX(GOOGLE"&amp;"FINANCE($C72, ""price"", WORKDAY(INT($B72), 1)), 2, 2), """"))/$G72))"),-0.018954248366013206)</f>
        <v>-0.01895424837</v>
      </c>
      <c r="R72" s="16">
        <f>IFERROR(__xludf.DUMMYFUNCTION("IF(OR(ISBLANK($G72), IFERROR(INDEX(GOOGLEFINANCE($C72, ""price"", WORKDAY(INT($B72), 5)), 2, 2), """")=""""), """", IF($D72=""LONG"", (IFERROR(INDEX(GOOGLEFINANCE($C72, ""price"", WORKDAY(INT($B72), 5)), 2, 2), """")-$G72)/$G72, ($G72-IFERROR(INDEX(GOOGLE"&amp;"FINANCE($C72, ""price"", WORKDAY(INT($B72), 5)), 2, 2), """"))/$G72))"),0.00884275278738929)</f>
        <v>0.008842752787</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1156</v>
      </c>
      <c r="U72" s="10" t="s">
        <v>984</v>
      </c>
      <c r="V72" s="10" t="s">
        <v>985</v>
      </c>
      <c r="W72" s="10" t="s">
        <v>51</v>
      </c>
      <c r="X72" s="10" t="s">
        <v>984</v>
      </c>
    </row>
    <row r="73">
      <c r="A73" s="9">
        <f t="shared" si="1"/>
        <v>72</v>
      </c>
      <c r="B73" s="11">
        <v>46217.66778935185</v>
      </c>
      <c r="C73" s="10" t="s">
        <v>986</v>
      </c>
      <c r="D73" s="10" t="s">
        <v>119</v>
      </c>
      <c r="E73" s="10" t="s">
        <v>120</v>
      </c>
      <c r="F73" s="13">
        <v>4.0</v>
      </c>
      <c r="G73" s="14">
        <v>220.89</v>
      </c>
      <c r="H73" s="10" t="s">
        <v>1157</v>
      </c>
      <c r="I73" s="10">
        <v>1.4</v>
      </c>
      <c r="O73" s="15">
        <f>IFERROR(__xludf.DUMMYFUNCTION("IF(ISBLANK($C73), """", GOOGLEFINANCE($C73, ""price""))"),254.31)</f>
        <v>254.31</v>
      </c>
      <c r="P73" s="16">
        <f t="shared" si="2"/>
        <v>-0.1512970257</v>
      </c>
      <c r="Q73" s="16">
        <f>IFERROR(__xludf.DUMMYFUNCTION("IF(OR(ISBLANK($G73), IFERROR(INDEX(GOOGLEFINANCE($C73, ""price"", WORKDAY(INT($B73), 1)), 2, 2), """")=""""), """", IF($D73=""LONG"", (IFERROR(INDEX(GOOGLEFINANCE($C73, ""price"", WORKDAY(INT($B73), 1)), 2, 2), """")-$G73)/$G73, ($G73-IFERROR(INDEX(GOOGLE"&amp;"FINANCE($C73, ""price"", WORKDAY(INT($B73), 1)), 2, 2), """"))/$G73))"),-0.022273529811218325)</f>
        <v>-0.02227352981</v>
      </c>
      <c r="R73" s="16">
        <f>IFERROR(__xludf.DUMMYFUNCTION("IF(OR(ISBLANK($G73), IFERROR(INDEX(GOOGLEFINANCE($C73, ""price"", WORKDAY(INT($B73), 5)), 2, 2), """")=""""), """", IF($D73=""LONG"", (IFERROR(INDEX(GOOGLEFINANCE($C73, ""price"", WORKDAY(INT($B73), 5)), 2, 2), """")-$G73)/$G73, ($G73-IFERROR(INDEX(GOOGLE"&amp;"FINANCE($C73, ""price"", WORKDAY(INT($B73), 5)), 2, 2), """"))/$G73))"),-0.06754493186653998)</f>
        <v>-0.06754493187</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1164</v>
      </c>
      <c r="U73" s="10" t="s">
        <v>984</v>
      </c>
      <c r="V73" s="10" t="s">
        <v>985</v>
      </c>
      <c r="W73" s="10" t="s">
        <v>51</v>
      </c>
      <c r="X73" s="10" t="s">
        <v>984</v>
      </c>
    </row>
    <row r="74">
      <c r="A74" s="9">
        <f t="shared" si="1"/>
        <v>73</v>
      </c>
      <c r="B74" s="11">
        <v>46217.66748842593</v>
      </c>
      <c r="C74" s="10" t="s">
        <v>1022</v>
      </c>
      <c r="D74" s="10" t="s">
        <v>119</v>
      </c>
      <c r="E74" s="10" t="s">
        <v>120</v>
      </c>
      <c r="F74" s="13">
        <v>4.0</v>
      </c>
      <c r="G74" s="14">
        <v>35.43</v>
      </c>
      <c r="H74" s="10" t="s">
        <v>1167</v>
      </c>
      <c r="I74" s="10">
        <v>0.8</v>
      </c>
      <c r="O74" s="15">
        <f>IFERROR(__xludf.DUMMYFUNCTION("IF(ISBLANK($C74), """", GOOGLEFINANCE($C74, ""price""))"),32.51)</f>
        <v>32.51</v>
      </c>
      <c r="P74" s="16">
        <f t="shared" si="2"/>
        <v>0.08241603161</v>
      </c>
      <c r="Q74" s="16">
        <f>IFERROR(__xludf.DUMMYFUNCTION("IF(OR(ISBLANK($G74), IFERROR(INDEX(GOOGLEFINANCE($C74, ""price"", WORKDAY(INT($B74), 1)), 2, 2), """")=""""), """", IF($D74=""LONG"", (IFERROR(INDEX(GOOGLEFINANCE($C74, ""price"", WORKDAY(INT($B74), 1)), 2, 2), """")-$G74)/$G74, ($G74-IFERROR(INDEX(GOOGLE"&amp;"FINANCE($C74, ""price"", WORKDAY(INT($B74), 1)), 2, 2), """"))/$G74))"),0.00508044030482641)</f>
        <v>0.005080440305</v>
      </c>
      <c r="R74" s="16">
        <f>IFERROR(__xludf.DUMMYFUNCTION("IF(OR(ISBLANK($G74), IFERROR(INDEX(GOOGLEFINANCE($C74, ""price"", WORKDAY(INT($B74), 5)), 2, 2), """")=""""), """", IF($D74=""LONG"", (IFERROR(INDEX(GOOGLEFINANCE($C74, ""price"", WORKDAY(INT($B74), 5)), 2, 2), """")-$G74)/$G74, ($G74-IFERROR(INDEX(GOOGLE"&amp;"FINANCE($C74, ""price"", WORKDAY(INT($B74), 5)), 2, 2), """"))/$G74))"),0.06322325712672881)</f>
        <v>0.06322325713</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1175</v>
      </c>
      <c r="U74" s="10" t="s">
        <v>984</v>
      </c>
      <c r="V74" s="10" t="s">
        <v>985</v>
      </c>
      <c r="W74" s="10" t="s">
        <v>51</v>
      </c>
      <c r="X74" s="10" t="s">
        <v>984</v>
      </c>
    </row>
    <row r="75">
      <c r="A75" s="9">
        <f t="shared" si="1"/>
        <v>74</v>
      </c>
      <c r="B75" s="11">
        <v>46217.66740740741</v>
      </c>
      <c r="C75" s="10" t="s">
        <v>76</v>
      </c>
      <c r="D75" s="10" t="s">
        <v>36</v>
      </c>
      <c r="E75" s="10" t="s">
        <v>37</v>
      </c>
      <c r="F75" s="13">
        <v>2.0</v>
      </c>
      <c r="G75" s="14">
        <v>272.28</v>
      </c>
      <c r="H75" s="10" t="s">
        <v>1176</v>
      </c>
      <c r="I75" s="10">
        <v>94.6</v>
      </c>
      <c r="O75" s="15">
        <f>IFERROR(__xludf.DUMMYFUNCTION("IF(ISBLANK($C75), """", GOOGLEFINANCE($C75, ""price""))"),294.7)</f>
        <v>294.7</v>
      </c>
      <c r="P75" s="16">
        <f t="shared" si="2"/>
        <v>0.08234170707</v>
      </c>
      <c r="Q75" s="16">
        <f>IFERROR(__xludf.DUMMYFUNCTION("IF(OR(ISBLANK($G75), IFERROR(INDEX(GOOGLEFINANCE($C75, ""price"", WORKDAY(INT($B75), 1)), 2, 2), """")=""""), """", IF($D75=""LONG"", (IFERROR(INDEX(GOOGLEFINANCE($C75, ""price"", WORKDAY(INT($B75), 1)), 2, 2), """")-$G75)/$G75, ($G75-IFERROR(INDEX(GOOGLE"&amp;"FINANCE($C75, ""price"", WORKDAY(INT($B75), 1)), 2, 2), """"))/$G75))"),-0.003195240193917834)</f>
        <v>-0.003195240194</v>
      </c>
      <c r="R75" s="16">
        <f>IFERROR(__xludf.DUMMYFUNCTION("IF(OR(ISBLANK($G75), IFERROR(INDEX(GOOGLEFINANCE($C75, ""price"", WORKDAY(INT($B75), 5)), 2, 2), """")=""""), """", IF($D75=""LONG"", (IFERROR(INDEX(GOOGLEFINANCE($C75, ""price"", WORKDAY(INT($B75), 5)), 2, 2), """")-$G75)/$G75, ($G75-IFERROR(INDEX(GOOGLE"&amp;"FINANCE($C75, ""price"", WORKDAY(INT($B75), 5)), 2, 2), """"))/$G75))"),-0.0010650800646392084)</f>
        <v>-0.001065080065</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1185</v>
      </c>
      <c r="U75" s="10" t="s">
        <v>984</v>
      </c>
      <c r="V75" s="10" t="s">
        <v>1086</v>
      </c>
      <c r="W75" s="10" t="s">
        <v>51</v>
      </c>
      <c r="X75" s="10" t="s">
        <v>984</v>
      </c>
    </row>
    <row r="76">
      <c r="A76" s="9">
        <f t="shared" si="1"/>
        <v>75</v>
      </c>
      <c r="B76" s="11">
        <v>46217.66740740741</v>
      </c>
      <c r="C76" s="10" t="s">
        <v>1187</v>
      </c>
      <c r="D76" s="10" t="s">
        <v>119</v>
      </c>
      <c r="E76" s="10" t="s">
        <v>120</v>
      </c>
      <c r="F76" s="13">
        <v>4.0</v>
      </c>
      <c r="G76" s="14">
        <v>117.07</v>
      </c>
      <c r="H76" s="10" t="s">
        <v>1188</v>
      </c>
      <c r="I76" s="10">
        <v>14.5</v>
      </c>
      <c r="O76" s="15">
        <f>IFERROR(__xludf.DUMMYFUNCTION("IF(ISBLANK($C76), """", GOOGLEFINANCE($C76, ""price""))"),120.88)</f>
        <v>120.88</v>
      </c>
      <c r="P76" s="16">
        <f t="shared" si="2"/>
        <v>-0.03254463142</v>
      </c>
      <c r="Q76" s="16">
        <f>IFERROR(__xludf.DUMMYFUNCTION("IF(OR(ISBLANK($G76), IFERROR(INDEX(GOOGLEFINANCE($C76, ""price"", WORKDAY(INT($B76), 1)), 2, 2), """")=""""), """", IF($D76=""LONG"", (IFERROR(INDEX(GOOGLEFINANCE($C76, ""price"", WORKDAY(INT($B76), 1)), 2, 2), """")-$G76)/$G76, ($G76-IFERROR(INDEX(GOOGLE"&amp;"FINANCE($C76, ""price"", WORKDAY(INT($B76), 1)), 2, 2), """"))/$G76))"),0.04527205945161013)</f>
        <v>0.04527205945</v>
      </c>
      <c r="R76" s="16">
        <f>IFERROR(__xludf.DUMMYFUNCTION("IF(OR(ISBLANK($G76), IFERROR(INDEX(GOOGLEFINANCE($C76, ""price"", WORKDAY(INT($B76), 5)), 2, 2), """")=""""), """", IF($D76=""LONG"", (IFERROR(INDEX(GOOGLEFINANCE($C76, ""price"", WORKDAY(INT($B76), 5)), 2, 2), """")-$G76)/$G76, ($G76-IFERROR(INDEX(GOOGLE"&amp;"FINANCE($C76, ""price"", WORKDAY(INT($B76), 5)), 2, 2), """"))/$G76))"),0.04176988126761755)</f>
        <v>0.04176988127</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1195</v>
      </c>
      <c r="U76" s="10" t="s">
        <v>984</v>
      </c>
      <c r="V76" s="10" t="s">
        <v>985</v>
      </c>
      <c r="W76" s="10" t="s">
        <v>51</v>
      </c>
      <c r="X76" s="10" t="s">
        <v>984</v>
      </c>
    </row>
    <row r="77">
      <c r="A77" s="9">
        <f t="shared" si="1"/>
        <v>76</v>
      </c>
      <c r="B77" s="11">
        <v>46217.667395833334</v>
      </c>
      <c r="C77" s="10" t="s">
        <v>148</v>
      </c>
      <c r="D77" s="10" t="s">
        <v>36</v>
      </c>
      <c r="E77" s="10" t="s">
        <v>133</v>
      </c>
      <c r="F77" s="13">
        <v>2.0</v>
      </c>
      <c r="G77" s="14">
        <v>199.09</v>
      </c>
      <c r="H77" s="10" t="s">
        <v>1200</v>
      </c>
      <c r="I77" s="10">
        <v>90.4</v>
      </c>
      <c r="O77" s="15">
        <f>IFERROR(__xludf.DUMMYFUNCTION("IF(ISBLANK($C77), """", GOOGLEFINANCE($C77, ""price""))"),199.98)</f>
        <v>199.98</v>
      </c>
      <c r="P77" s="16">
        <f t="shared" si="2"/>
        <v>0.004470340047</v>
      </c>
      <c r="Q77" s="16">
        <f>IFERROR(__xludf.DUMMYFUNCTION("IF(OR(ISBLANK($G77), IFERROR(INDEX(GOOGLEFINANCE($C77, ""price"", WORKDAY(INT($B77), 1)), 2, 2), """")=""""), """", IF($D77=""LONG"", (IFERROR(INDEX(GOOGLEFINANCE($C77, ""price"", WORKDAY(INT($B77), 1)), 2, 2), """")-$G77)/$G77, ($G77-IFERROR(INDEX(GOOGLE"&amp;"FINANCE($C77, ""price"", WORKDAY(INT($B77), 1)), 2, 2), """"))/$G77))"),0.008538851775578827)</f>
        <v>0.008538851776</v>
      </c>
      <c r="R77" s="16">
        <f>IFERROR(__xludf.DUMMYFUNCTION("IF(OR(ISBLANK($G77), IFERROR(INDEX(GOOGLEFINANCE($C77, ""price"", WORKDAY(INT($B77), 5)), 2, 2), """")=""""), """", IF($D77=""LONG"", (IFERROR(INDEX(GOOGLEFINANCE($C77, ""price"", WORKDAY(INT($B77), 5)), 2, 2), """")-$G77)/$G77, ($G77-IFERROR(INDEX(GOOGLE"&amp;"FINANCE($C77, ""price"", WORKDAY(INT($B77), 5)), 2, 2), """"))/$G77))"),-0.10085890803154358)</f>
        <v>-0.100858908</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1206</v>
      </c>
      <c r="U77" s="10" t="s">
        <v>984</v>
      </c>
      <c r="V77" s="10" t="s">
        <v>985</v>
      </c>
      <c r="W77" s="10" t="s">
        <v>51</v>
      </c>
      <c r="X77" s="10" t="s">
        <v>984</v>
      </c>
    </row>
    <row r="78">
      <c r="A78" s="9">
        <f t="shared" si="1"/>
        <v>77</v>
      </c>
      <c r="B78" s="11">
        <v>46217.66740740741</v>
      </c>
      <c r="C78" s="10" t="s">
        <v>1154</v>
      </c>
      <c r="D78" s="10" t="s">
        <v>36</v>
      </c>
      <c r="E78" s="10" t="s">
        <v>133</v>
      </c>
      <c r="F78" s="13">
        <v>2.0</v>
      </c>
      <c r="G78" s="14">
        <v>1316.25</v>
      </c>
      <c r="H78" s="10" t="s">
        <v>1212</v>
      </c>
      <c r="I78" s="10">
        <v>91.8</v>
      </c>
      <c r="O78" s="15">
        <f>IFERROR(__xludf.DUMMYFUNCTION("IF(ISBLANK($C78), """", GOOGLEFINANCE($C78, ""price""))"),1421.24)</f>
        <v>1421.24</v>
      </c>
      <c r="P78" s="16">
        <f t="shared" si="2"/>
        <v>0.07976448243</v>
      </c>
      <c r="Q78" s="16">
        <f>IFERROR(__xludf.DUMMYFUNCTION("IF(OR(ISBLANK($G78), IFERROR(INDEX(GOOGLEFINANCE($C78, ""price"", WORKDAY(INT($B78), 1)), 2, 2), """")=""""), """", IF($D78=""LONG"", (IFERROR(INDEX(GOOGLEFINANCE($C78, ""price"", WORKDAY(INT($B78), 1)), 2, 2), """")-$G78)/$G78, ($G78-IFERROR(INDEX(GOOGLE"&amp;"FINANCE($C78, ""price"", WORKDAY(INT($B78), 1)), 2, 2), """"))/$G78))"),2.2792022792019338E-4)</f>
        <v>0.0002279202279</v>
      </c>
      <c r="R78" s="16">
        <f>IFERROR(__xludf.DUMMYFUNCTION("IF(OR(ISBLANK($G78), IFERROR(INDEX(GOOGLEFINANCE($C78, ""price"", WORKDAY(INT($B78), 5)), 2, 2), """")=""""), """", IF($D78=""LONG"", (IFERROR(INDEX(GOOGLEFINANCE($C78, ""price"", WORKDAY(INT($B78), 5)), 2, 2), """")-$G78)/$G78, ($G78-IFERROR(INDEX(GOOGLE"&amp;"FINANCE($C78, ""price"", WORKDAY(INT($B78), 5)), 2, 2), """"))/$G78))"),-0.013735992402659014)</f>
        <v>-0.0137359924</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1220</v>
      </c>
      <c r="U78" s="10" t="s">
        <v>984</v>
      </c>
      <c r="V78" s="10" t="s">
        <v>985</v>
      </c>
      <c r="W78" s="10" t="s">
        <v>51</v>
      </c>
      <c r="X78" s="10" t="s">
        <v>984</v>
      </c>
    </row>
    <row r="79">
      <c r="A79" s="9">
        <f t="shared" si="1"/>
        <v>78</v>
      </c>
      <c r="B79" s="11">
        <v>46217.6675</v>
      </c>
      <c r="C79" s="10" t="s">
        <v>347</v>
      </c>
      <c r="D79" s="10" t="s">
        <v>36</v>
      </c>
      <c r="E79" s="10" t="s">
        <v>37</v>
      </c>
      <c r="F79" s="13">
        <v>2.0</v>
      </c>
      <c r="G79" s="14">
        <v>275.76</v>
      </c>
      <c r="H79" s="10" t="s">
        <v>1224</v>
      </c>
      <c r="I79" s="10">
        <v>94.6</v>
      </c>
      <c r="O79" s="15">
        <f>IFERROR(__xludf.DUMMYFUNCTION("IF(ISBLANK($C79), """", GOOGLEFINANCE($C79, ""price""))"),316.53)</f>
        <v>316.53</v>
      </c>
      <c r="P79" s="16">
        <f t="shared" si="2"/>
        <v>0.147845953</v>
      </c>
      <c r="Q79" s="16">
        <f>IFERROR(__xludf.DUMMYFUNCTION("IF(OR(ISBLANK($G79), IFERROR(INDEX(GOOGLEFINANCE($C79, ""price"", WORKDAY(INT($B79), 1)), 2, 2), """")=""""), """", IF($D79=""LONG"", (IFERROR(INDEX(GOOGLEFINANCE($C79, ""price"", WORKDAY(INT($B79), 1)), 2, 2), """")-$G79)/$G79, ($G79-IFERROR(INDEX(GOOGLE"&amp;"FINANCE($C79, ""price"", WORKDAY(INT($B79), 1)), 2, 2), """"))/$G79))"),-0.013671308384102052)</f>
        <v>-0.01367130838</v>
      </c>
      <c r="R79" s="16">
        <f>IFERROR(__xludf.DUMMYFUNCTION("IF(OR(ISBLANK($G79), IFERROR(INDEX(GOOGLEFINANCE($C79, ""price"", WORKDAY(INT($B79), 5)), 2, 2), """")=""""), """", IF($D79=""LONG"", (IFERROR(INDEX(GOOGLEFINANCE($C79, ""price"", WORKDAY(INT($B79), 5)), 2, 2), """")-$G79)/$G79, ($G79-IFERROR(INDEX(GOOGLE"&amp;"FINANCE($C79, ""price"", WORKDAY(INT($B79), 5)), 2, 2), """"))/$G79))"),0.013199883957064064)</f>
        <v>0.01319988396</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1230</v>
      </c>
      <c r="U79" s="10" t="s">
        <v>984</v>
      </c>
      <c r="V79" s="10" t="s">
        <v>998</v>
      </c>
      <c r="W79" s="10" t="s">
        <v>51</v>
      </c>
      <c r="X79" s="10" t="s">
        <v>984</v>
      </c>
    </row>
    <row r="80">
      <c r="A80" s="9">
        <f t="shared" si="1"/>
        <v>79</v>
      </c>
      <c r="B80" s="11">
        <v>46217.66743055556</v>
      </c>
      <c r="C80" s="10" t="s">
        <v>295</v>
      </c>
      <c r="D80" s="10" t="s">
        <v>119</v>
      </c>
      <c r="E80" s="10" t="s">
        <v>120</v>
      </c>
      <c r="F80" s="13">
        <v>4.0</v>
      </c>
      <c r="G80" s="14">
        <v>1376.75</v>
      </c>
      <c r="H80" s="10" t="s">
        <v>1233</v>
      </c>
      <c r="I80" s="10">
        <v>4.3</v>
      </c>
      <c r="O80" s="15">
        <f>IFERROR(__xludf.DUMMYFUNCTION("IF(ISBLANK($C80), """", GOOGLEFINANCE($C80, ""price""))"),1359.08)</f>
        <v>1359.08</v>
      </c>
      <c r="P80" s="16">
        <f t="shared" si="2"/>
        <v>0.01283457418</v>
      </c>
      <c r="Q80" s="16">
        <f>IFERROR(__xludf.DUMMYFUNCTION("IF(OR(ISBLANK($G80), IFERROR(INDEX(GOOGLEFINANCE($C80, ""price"", WORKDAY(INT($B80), 1)), 2, 2), """")=""""), """", IF($D80=""LONG"", (IFERROR(INDEX(GOOGLEFINANCE($C80, ""price"", WORKDAY(INT($B80), 1)), 2, 2), """")-$G80)/$G80, ($G80-IFERROR(INDEX(GOOGLE"&amp;"FINANCE($C80, ""price"", WORKDAY(INT($B80), 1)), 2, 2), """"))/$G80))"),0.017497730161612435)</f>
        <v>0.01749773016</v>
      </c>
      <c r="R80" s="16">
        <f>IFERROR(__xludf.DUMMYFUNCTION("IF(OR(ISBLANK($G80), IFERROR(INDEX(GOOGLEFINANCE($C80, ""price"", WORKDAY(INT($B80), 5)), 2, 2), """")=""""), """", IF($D80=""LONG"", (IFERROR(INDEX(GOOGLEFINANCE($C80, ""price"", WORKDAY(INT($B80), 5)), 2, 2), """")-$G80)/$G80, ($G80-IFERROR(INDEX(GOOGLE"&amp;"FINANCE($C80, ""price"", WORKDAY(INT($B80), 5)), 2, 2), """"))/$G80))"),-0.004728527328854179)</f>
        <v>-0.004728527329</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1238</v>
      </c>
      <c r="U80" s="10" t="s">
        <v>984</v>
      </c>
      <c r="V80" s="10" t="s">
        <v>985</v>
      </c>
      <c r="W80" s="10" t="s">
        <v>51</v>
      </c>
      <c r="X80" s="10" t="s">
        <v>984</v>
      </c>
    </row>
    <row r="81">
      <c r="A81" s="9">
        <f t="shared" si="1"/>
        <v>80</v>
      </c>
      <c r="B81" s="11">
        <v>46217.66755787037</v>
      </c>
      <c r="C81" s="10" t="s">
        <v>117</v>
      </c>
      <c r="D81" s="10" t="s">
        <v>36</v>
      </c>
      <c r="E81" s="10" t="s">
        <v>37</v>
      </c>
      <c r="F81" s="13">
        <v>2.0</v>
      </c>
      <c r="G81" s="14">
        <v>23.3</v>
      </c>
      <c r="H81" s="10" t="s">
        <v>1242</v>
      </c>
      <c r="I81" s="10">
        <v>91.9</v>
      </c>
      <c r="O81" s="15">
        <f>IFERROR(__xludf.DUMMYFUNCTION("IF(ISBLANK($C81), """", GOOGLEFINANCE($C81, ""price""))"),22.66)</f>
        <v>22.66</v>
      </c>
      <c r="P81" s="16">
        <f t="shared" si="2"/>
        <v>-0.02746781116</v>
      </c>
      <c r="Q81" s="16">
        <f>IFERROR(__xludf.DUMMYFUNCTION("IF(OR(ISBLANK($G81), IFERROR(INDEX(GOOGLEFINANCE($C81, ""price"", WORKDAY(INT($B81), 1)), 2, 2), """")=""""), """", IF($D81=""LONG"", (IFERROR(INDEX(GOOGLEFINANCE($C81, ""price"", WORKDAY(INT($B81), 1)), 2, 2), """")-$G81)/$G81, ($G81-IFERROR(INDEX(GOOGLE"&amp;"FINANCE($C81, ""price"", WORKDAY(INT($B81), 1)), 2, 2), """"))/$G81))"),0.009871244635193151)</f>
        <v>0.009871244635</v>
      </c>
      <c r="R81" s="16">
        <f>IFERROR(__xludf.DUMMYFUNCTION("IF(OR(ISBLANK($G81), IFERROR(INDEX(GOOGLEFINANCE($C81, ""price"", WORKDAY(INT($B81), 5)), 2, 2), """")=""""), """", IF($D81=""LONG"", (IFERROR(INDEX(GOOGLEFINANCE($C81, ""price"", WORKDAY(INT($B81), 5)), 2, 2), """")-$G81)/$G81, ($G81-IFERROR(INDEX(GOOGLE"&amp;"FINANCE($C81, ""price"", WORKDAY(INT($B81), 5)), 2, 2), """"))/$G81))"),-0.015021459227467872)</f>
        <v>-0.01502145923</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1247</v>
      </c>
      <c r="U81" s="10" t="s">
        <v>984</v>
      </c>
      <c r="V81" s="10" t="s">
        <v>1086</v>
      </c>
      <c r="W81" s="10" t="s">
        <v>51</v>
      </c>
      <c r="X81" s="10" t="s">
        <v>984</v>
      </c>
    </row>
    <row r="82">
      <c r="A82" s="9">
        <f t="shared" si="1"/>
        <v>81</v>
      </c>
      <c r="B82" s="11">
        <v>46217.66747685185</v>
      </c>
      <c r="C82" s="10" t="s">
        <v>243</v>
      </c>
      <c r="D82" s="10" t="s">
        <v>119</v>
      </c>
      <c r="E82" s="10" t="s">
        <v>120</v>
      </c>
      <c r="F82" s="13">
        <v>4.0</v>
      </c>
      <c r="G82" s="14">
        <v>126.03</v>
      </c>
      <c r="H82" s="10" t="s">
        <v>1250</v>
      </c>
      <c r="I82" s="10">
        <v>5.4</v>
      </c>
      <c r="O82" s="15">
        <f>IFERROR(__xludf.DUMMYFUNCTION("IF(ISBLANK($C82), """", GOOGLEFINANCE($C82, ""price""))"),118.55)</f>
        <v>118.55</v>
      </c>
      <c r="P82" s="16">
        <f t="shared" si="2"/>
        <v>0.05935094819</v>
      </c>
      <c r="Q82" s="16">
        <f>IFERROR(__xludf.DUMMYFUNCTION("IF(OR(ISBLANK($G82), IFERROR(INDEX(GOOGLEFINANCE($C82, ""price"", WORKDAY(INT($B82), 1)), 2, 2), """")=""""), """", IF($D82=""LONG"", (IFERROR(INDEX(GOOGLEFINANCE($C82, ""price"", WORKDAY(INT($B82), 1)), 2, 2), """")-$G82)/$G82, ($G82-IFERROR(INDEX(GOOGLE"&amp;"FINANCE($C82, ""price"", WORKDAY(INT($B82), 1)), 2, 2), """"))/$G82))"),0.04776640482424816)</f>
        <v>0.04776640482</v>
      </c>
      <c r="R82" s="16">
        <f>IFERROR(__xludf.DUMMYFUNCTION("IF(OR(ISBLANK($G82), IFERROR(INDEX(GOOGLEFINANCE($C82, ""price"", WORKDAY(INT($B82), 5)), 2, 2), """")=""""), """", IF($D82=""LONG"", (IFERROR(INDEX(GOOGLEFINANCE($C82, ""price"", WORKDAY(INT($B82), 5)), 2, 2), """")-$G82)/$G82, ($G82-IFERROR(INDEX(GOOGLE"&amp;"FINANCE($C82, ""price"", WORKDAY(INT($B82), 5)), 2, 2), """"))/$G82))"),0.00888677299055784)</f>
        <v>0.008886772991</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1258</v>
      </c>
      <c r="U82" s="10" t="s">
        <v>984</v>
      </c>
      <c r="V82" s="10" t="s">
        <v>985</v>
      </c>
      <c r="W82" s="10" t="s">
        <v>51</v>
      </c>
      <c r="X82" s="10" t="s">
        <v>984</v>
      </c>
    </row>
    <row r="83">
      <c r="A83" s="9">
        <f t="shared" si="1"/>
        <v>82</v>
      </c>
      <c r="B83" s="11">
        <v>46217.66752314815</v>
      </c>
      <c r="C83" s="10" t="s">
        <v>379</v>
      </c>
      <c r="D83" s="10" t="s">
        <v>36</v>
      </c>
      <c r="E83" s="10" t="s">
        <v>37</v>
      </c>
      <c r="F83" s="13">
        <v>2.0</v>
      </c>
      <c r="G83" s="14">
        <v>49.91</v>
      </c>
      <c r="H83" s="10" t="s">
        <v>1261</v>
      </c>
      <c r="I83" s="10">
        <v>74.9</v>
      </c>
      <c r="O83" s="15">
        <f>IFERROR(__xludf.DUMMYFUNCTION("IF(ISBLANK($C83), """", GOOGLEFINANCE($C83, ""price""))"),50.7)</f>
        <v>50.7</v>
      </c>
      <c r="P83" s="16">
        <f t="shared" si="2"/>
        <v>0.01582849128</v>
      </c>
      <c r="Q83" s="16">
        <f>IFERROR(__xludf.DUMMYFUNCTION("IF(OR(ISBLANK($G83), IFERROR(INDEX(GOOGLEFINANCE($C83, ""price"", WORKDAY(INT($B83), 1)), 2, 2), """")=""""), """", IF($D83=""LONG"", (IFERROR(INDEX(GOOGLEFINANCE($C83, ""price"", WORKDAY(INT($B83), 1)), 2, 2), """")-$G83)/$G83, ($G83-IFERROR(INDEX(GOOGLE"&amp;"FINANCE($C83, ""price"", WORKDAY(INT($B83), 1)), 2, 2), """"))/$G83))"),-0.009617311160088097)</f>
        <v>-0.00961731116</v>
      </c>
      <c r="R83" s="16">
        <f>IFERROR(__xludf.DUMMYFUNCTION("IF(OR(ISBLANK($G83), IFERROR(INDEX(GOOGLEFINANCE($C83, ""price"", WORKDAY(INT($B83), 5)), 2, 2), """")=""""), """", IF($D83=""LONG"", (IFERROR(INDEX(GOOGLEFINANCE($C83, ""price"", WORKDAY(INT($B83), 5)), 2, 2), """")-$G83)/$G83, ($G83-IFERROR(INDEX(GOOGLE"&amp;"FINANCE($C83, ""price"", WORKDAY(INT($B83), 5)), 2, 2), """"))/$G83))"),-4.0072129833692693E-4)</f>
        <v>-0.0004007212983</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1267</v>
      </c>
      <c r="U83" s="10" t="s">
        <v>984</v>
      </c>
      <c r="V83" s="10" t="s">
        <v>1086</v>
      </c>
      <c r="W83" s="10" t="s">
        <v>51</v>
      </c>
      <c r="X83" s="10" t="s">
        <v>984</v>
      </c>
    </row>
    <row r="84">
      <c r="A84" s="9">
        <f t="shared" si="1"/>
        <v>83</v>
      </c>
      <c r="B84" s="11">
        <v>46217.66748842593</v>
      </c>
      <c r="C84" s="10" t="s">
        <v>269</v>
      </c>
      <c r="D84" s="10" t="s">
        <v>36</v>
      </c>
      <c r="E84" s="10" t="s">
        <v>133</v>
      </c>
      <c r="F84" s="13">
        <v>2.0</v>
      </c>
      <c r="G84" s="14">
        <v>183.65</v>
      </c>
      <c r="H84" s="10" t="s">
        <v>1270</v>
      </c>
      <c r="I84" s="10">
        <v>81.6</v>
      </c>
      <c r="O84" s="15">
        <f>IFERROR(__xludf.DUMMYFUNCTION("IF(ISBLANK($C84), """", GOOGLEFINANCE($C84, ""price""))"),184.92)</f>
        <v>184.92</v>
      </c>
      <c r="P84" s="16">
        <f t="shared" si="2"/>
        <v>0.00691532807</v>
      </c>
      <c r="Q84" s="16">
        <f>IFERROR(__xludf.DUMMYFUNCTION("IF(OR(ISBLANK($G84), IFERROR(INDEX(GOOGLEFINANCE($C84, ""price"", WORKDAY(INT($B84), 1)), 2, 2), """")=""""), """", IF($D84=""LONG"", (IFERROR(INDEX(GOOGLEFINANCE($C84, ""price"", WORKDAY(INT($B84), 1)), 2, 2), """")-$G84)/$G84, ($G84-IFERROR(INDEX(GOOGLE"&amp;"FINANCE($C84, ""price"", WORKDAY(INT($B84), 1)), 2, 2), """"))/$G84))"),0.016008712224339763)</f>
        <v>0.01600871222</v>
      </c>
      <c r="R84" s="16">
        <f>IFERROR(__xludf.DUMMYFUNCTION("IF(OR(ISBLANK($G84), IFERROR(INDEX(GOOGLEFINANCE($C84, ""price"", WORKDAY(INT($B84), 5)), 2, 2), """")=""""), """", IF($D84=""LONG"", (IFERROR(INDEX(GOOGLEFINANCE($C84, ""price"", WORKDAY(INT($B84), 5)), 2, 2), """")-$G84)/$G84, ($G84-IFERROR(INDEX(GOOGLE"&amp;"FINANCE($C84, ""price"", WORKDAY(INT($B84), 5)), 2, 2), """"))/$G84))"),-0.0019057990743261328)</f>
        <v>-0.001905799074</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1274</v>
      </c>
      <c r="U84" s="10" t="s">
        <v>984</v>
      </c>
      <c r="V84" s="10" t="s">
        <v>985</v>
      </c>
      <c r="W84" s="10" t="s">
        <v>51</v>
      </c>
      <c r="X84" s="10" t="s">
        <v>984</v>
      </c>
    </row>
    <row r="85">
      <c r="A85" s="9">
        <f t="shared" si="1"/>
        <v>84</v>
      </c>
      <c r="B85" s="11">
        <v>46217.667395833334</v>
      </c>
      <c r="C85" s="10" t="s">
        <v>204</v>
      </c>
      <c r="D85" s="10" t="s">
        <v>36</v>
      </c>
      <c r="E85" s="10" t="s">
        <v>37</v>
      </c>
      <c r="F85" s="13">
        <v>2.0</v>
      </c>
      <c r="G85" s="14">
        <v>357.6</v>
      </c>
      <c r="H85" s="10" t="s">
        <v>1276</v>
      </c>
      <c r="I85" s="10">
        <v>92.2</v>
      </c>
      <c r="O85" s="15">
        <f>IFERROR(__xludf.DUMMYFUNCTION("IF(ISBLANK($C85), """", GOOGLEFINANCE($C85, ""price""))"),348.6)</f>
        <v>348.6</v>
      </c>
      <c r="P85" s="16">
        <f t="shared" si="2"/>
        <v>-0.02516778523</v>
      </c>
      <c r="Q85" s="16">
        <f>IFERROR(__xludf.DUMMYFUNCTION("IF(OR(ISBLANK($G85), IFERROR(INDEX(GOOGLEFINANCE($C85, ""price"", WORKDAY(INT($B85), 1)), 2, 2), """")=""""), """", IF($D85=""LONG"", (IFERROR(INDEX(GOOGLEFINANCE($C85, ""price"", WORKDAY(INT($B85), 1)), 2, 2), """")-$G85)/$G85, ($G85-IFERROR(INDEX(GOOGLE"&amp;"FINANCE($C85, ""price"", WORKDAY(INT($B85), 1)), 2, 2), """"))/$G85))"),0.003914988814317609)</f>
        <v>0.003914988814</v>
      </c>
      <c r="R85" s="16">
        <f>IFERROR(__xludf.DUMMYFUNCTION("IF(OR(ISBLANK($G85), IFERROR(INDEX(GOOGLEFINANCE($C85, ""price"", WORKDAY(INT($B85), 5)), 2, 2), """")=""""), """", IF($D85=""LONG"", (IFERROR(INDEX(GOOGLEFINANCE($C85, ""price"", WORKDAY(INT($B85), 5)), 2, 2), """")-$G85)/$G85, ($G85-IFERROR(INDEX(GOOGLE"&amp;"FINANCE($C85, ""price"", WORKDAY(INT($B85), 5)), 2, 2), """"))/$G85))"),0.00458612975391495)</f>
        <v>0.004586129754</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1285</v>
      </c>
      <c r="U85" s="10" t="s">
        <v>984</v>
      </c>
      <c r="V85" s="10" t="s">
        <v>998</v>
      </c>
      <c r="W85" s="10" t="s">
        <v>51</v>
      </c>
      <c r="X85" s="10" t="s">
        <v>984</v>
      </c>
    </row>
    <row r="86">
      <c r="A86" s="9">
        <f t="shared" si="1"/>
        <v>85</v>
      </c>
      <c r="B86" s="11">
        <v>46217.66763888889</v>
      </c>
      <c r="C86" s="10" t="s">
        <v>1288</v>
      </c>
      <c r="D86" s="10" t="s">
        <v>36</v>
      </c>
      <c r="E86" s="10" t="s">
        <v>87</v>
      </c>
      <c r="F86" s="13">
        <v>2.0</v>
      </c>
      <c r="G86" s="14">
        <v>106.18</v>
      </c>
      <c r="H86" s="10" t="s">
        <v>1289</v>
      </c>
      <c r="I86" s="10">
        <v>85.3</v>
      </c>
      <c r="O86" s="15">
        <f>IFERROR(__xludf.DUMMYFUNCTION("IF(ISBLANK($C86), """", GOOGLEFINANCE($C86, ""price""))"),105.16)</f>
        <v>105.16</v>
      </c>
      <c r="P86" s="16">
        <f t="shared" si="2"/>
        <v>-0.009606328875</v>
      </c>
      <c r="Q86" s="16">
        <f>IFERROR(__xludf.DUMMYFUNCTION("IF(OR(ISBLANK($G86), IFERROR(INDEX(GOOGLEFINANCE($C86, ""price"", WORKDAY(INT($B86), 1)), 2, 2), """")=""""), """", IF($D86=""LONG"", (IFERROR(INDEX(GOOGLEFINANCE($C86, ""price"", WORKDAY(INT($B86), 1)), 2, 2), """")-$G86)/$G86, ($G86-IFERROR(INDEX(GOOGLE"&amp;"FINANCE($C86, ""price"", WORKDAY(INT($B86), 1)), 2, 2), """"))/$G86))"),-0.010077227349783455)</f>
        <v>-0.01007722735</v>
      </c>
      <c r="R86" s="16">
        <f>IFERROR(__xludf.DUMMYFUNCTION("IF(OR(ISBLANK($G86), IFERROR(INDEX(GOOGLEFINANCE($C86, ""price"", WORKDAY(INT($B86), 5)), 2, 2), """")=""""), """", IF($D86=""LONG"", (IFERROR(INDEX(GOOGLEFINANCE($C86, ""price"", WORKDAY(INT($B86), 5)), 2, 2), """")-$G86)/$G86, ($G86-IFERROR(INDEX(GOOGLE"&amp;"FINANCE($C86, ""price"", WORKDAY(INT($B86), 5)), 2, 2), """"))/$G86))"),-0.016293087210397475)</f>
        <v>-0.01629308721</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1298</v>
      </c>
      <c r="U86" s="10" t="s">
        <v>984</v>
      </c>
      <c r="V86" s="10" t="s">
        <v>1086</v>
      </c>
      <c r="W86" s="10" t="s">
        <v>51</v>
      </c>
      <c r="X86" s="10" t="s">
        <v>984</v>
      </c>
    </row>
    <row r="87">
      <c r="A87" s="9">
        <f t="shared" si="1"/>
        <v>86</v>
      </c>
      <c r="B87" s="11">
        <v>46217.66761574074</v>
      </c>
      <c r="C87" s="10" t="s">
        <v>191</v>
      </c>
      <c r="D87" s="10" t="s">
        <v>36</v>
      </c>
      <c r="E87" s="10" t="s">
        <v>37</v>
      </c>
      <c r="F87" s="13">
        <v>2.0</v>
      </c>
      <c r="G87" s="14">
        <v>21.81</v>
      </c>
      <c r="H87" s="10" t="s">
        <v>1301</v>
      </c>
      <c r="I87" s="10">
        <v>96.8</v>
      </c>
      <c r="O87" s="15">
        <f>IFERROR(__xludf.DUMMYFUNCTION("IF(ISBLANK($C87), """", GOOGLEFINANCE($C87, ""price""))"),27.01)</f>
        <v>27.01</v>
      </c>
      <c r="P87" s="16">
        <f t="shared" si="2"/>
        <v>0.2384227419</v>
      </c>
      <c r="Q87" s="16">
        <f>IFERROR(__xludf.DUMMYFUNCTION("IF(OR(ISBLANK($G87), IFERROR(INDEX(GOOGLEFINANCE($C87, ""price"", WORKDAY(INT($B87), 1)), 2, 2), """")=""""), """", IF($D87=""LONG"", (IFERROR(INDEX(GOOGLEFINANCE($C87, ""price"", WORKDAY(INT($B87), 1)), 2, 2), """")-$G87)/$G87, ($G87-IFERROR(INDEX(GOOGLE"&amp;"FINANCE($C87, ""price"", WORKDAY(INT($B87), 1)), 2, 2), """"))/$G87))"),0.015589179275561664)</f>
        <v>0.01558917928</v>
      </c>
      <c r="R87" s="16">
        <f>IFERROR(__xludf.DUMMYFUNCTION("IF(OR(ISBLANK($G87), IFERROR(INDEX(GOOGLEFINANCE($C87, ""price"", WORKDAY(INT($B87), 5)), 2, 2), """")=""""), """", IF($D87=""LONG"", (IFERROR(INDEX(GOOGLEFINANCE($C87, ""price"", WORKDAY(INT($B87), 5)), 2, 2), """")-$G87)/$G87, ($G87-IFERROR(INDEX(GOOGLE"&amp;"FINANCE($C87, ""price"", WORKDAY(INT($B87), 5)), 2, 2), """"))/$G87))"),0.018340210912425593)</f>
        <v>0.01834021091</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1307</v>
      </c>
      <c r="U87" s="10" t="s">
        <v>984</v>
      </c>
      <c r="V87" s="10" t="s">
        <v>1059</v>
      </c>
      <c r="W87" s="10" t="s">
        <v>51</v>
      </c>
      <c r="X87" s="10" t="s">
        <v>984</v>
      </c>
    </row>
    <row r="88">
      <c r="A88" s="9">
        <f t="shared" si="1"/>
        <v>87</v>
      </c>
      <c r="B88" s="11">
        <v>46217.66758101852</v>
      </c>
      <c r="C88" s="10" t="s">
        <v>731</v>
      </c>
      <c r="D88" s="10" t="s">
        <v>36</v>
      </c>
      <c r="E88" s="10" t="s">
        <v>37</v>
      </c>
      <c r="F88" s="13">
        <v>2.0</v>
      </c>
      <c r="G88" s="14">
        <v>68.75</v>
      </c>
      <c r="H88" s="10" t="s">
        <v>1311</v>
      </c>
      <c r="I88" s="10">
        <v>94.1</v>
      </c>
      <c r="O88" s="15">
        <f>IFERROR(__xludf.DUMMYFUNCTION("IF(ISBLANK($C88), """", GOOGLEFINANCE($C88, ""price""))"),66.7)</f>
        <v>66.7</v>
      </c>
      <c r="P88" s="16">
        <f t="shared" si="2"/>
        <v>-0.02981818182</v>
      </c>
      <c r="Q88" s="16">
        <f>IFERROR(__xludf.DUMMYFUNCTION("IF(OR(ISBLANK($G88), IFERROR(INDEX(GOOGLEFINANCE($C88, ""price"", WORKDAY(INT($B88), 1)), 2, 2), """")=""""), """", IF($D88=""LONG"", (IFERROR(INDEX(GOOGLEFINANCE($C88, ""price"", WORKDAY(INT($B88), 1)), 2, 2), """")-$G88)/$G88, ($G88-IFERROR(INDEX(GOOGLE"&amp;"FINANCE($C88, ""price"", WORKDAY(INT($B88), 1)), 2, 2), """"))/$G88))"),-0.007127272727272653)</f>
        <v>-0.007127272727</v>
      </c>
      <c r="R88" s="16">
        <f>IFERROR(__xludf.DUMMYFUNCTION("IF(OR(ISBLANK($G88), IFERROR(INDEX(GOOGLEFINANCE($C88, ""price"", WORKDAY(INT($B88), 5)), 2, 2), """")=""""), """", IF($D88=""LONG"", (IFERROR(INDEX(GOOGLEFINANCE($C88, ""price"", WORKDAY(INT($B88), 5)), 2, 2), """")-$G88)/$G88, ($G88-IFERROR(INDEX(GOOGLE"&amp;"FINANCE($C88, ""price"", WORKDAY(INT($B88), 5)), 2, 2), """"))/$G88))"),-0.006690909090909)</f>
        <v>-0.006690909091</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1317</v>
      </c>
      <c r="U88" s="10" t="s">
        <v>984</v>
      </c>
      <c r="V88" s="10" t="s">
        <v>998</v>
      </c>
      <c r="W88" s="10" t="s">
        <v>51</v>
      </c>
      <c r="X88" s="10" t="s">
        <v>984</v>
      </c>
    </row>
    <row r="89">
      <c r="A89" s="9">
        <f t="shared" si="1"/>
        <v>88</v>
      </c>
      <c r="B89" s="11">
        <v>46217.667719907404</v>
      </c>
      <c r="C89" s="10" t="s">
        <v>1294</v>
      </c>
      <c r="D89" s="10" t="s">
        <v>119</v>
      </c>
      <c r="E89" s="10" t="s">
        <v>120</v>
      </c>
      <c r="F89" s="13">
        <v>4.0</v>
      </c>
      <c r="G89" s="14">
        <v>313.72</v>
      </c>
      <c r="H89" s="10" t="s">
        <v>1318</v>
      </c>
      <c r="I89" s="10">
        <v>2.2</v>
      </c>
      <c r="O89" s="15">
        <f>IFERROR(__xludf.DUMMYFUNCTION("IF(ISBLANK($C89), """", GOOGLEFINANCE($C89, ""price""))"),315.87)</f>
        <v>315.87</v>
      </c>
      <c r="P89" s="16">
        <f t="shared" si="2"/>
        <v>-0.006853244932</v>
      </c>
      <c r="Q89" s="16">
        <f>IFERROR(__xludf.DUMMYFUNCTION("IF(OR(ISBLANK($G89), IFERROR(INDEX(GOOGLEFINANCE($C89, ""price"", WORKDAY(INT($B89), 1)), 2, 2), """")=""""), """", IF($D89=""LONG"", (IFERROR(INDEX(GOOGLEFINANCE($C89, ""price"", WORKDAY(INT($B89), 1)), 2, 2), """")-$G89)/$G89, ($G89-IFERROR(INDEX(GOOGLE"&amp;"FINANCE($C89, ""price"", WORKDAY(INT($B89), 1)), 2, 2), """"))/$G89))"),9.562667346678928E-4)</f>
        <v>0.0009562667347</v>
      </c>
      <c r="R89" s="16">
        <f>IFERROR(__xludf.DUMMYFUNCTION("IF(OR(ISBLANK($G89), IFERROR(INDEX(GOOGLEFINANCE($C89, ""price"", WORKDAY(INT($B89), 5)), 2, 2), """")=""""), """", IF($D89=""LONG"", (IFERROR(INDEX(GOOGLEFINANCE($C89, ""price"", WORKDAY(INT($B89), 5)), 2, 2), """")-$G89)/$G89, ($G89-IFERROR(INDEX(GOOGLE"&amp;"FINANCE($C89, ""price"", WORKDAY(INT($B89), 5)), 2, 2), """"))/$G89))"),-0.004685706999872403)</f>
        <v>-0.004685707</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1328</v>
      </c>
      <c r="U89" s="10" t="s">
        <v>984</v>
      </c>
      <c r="V89" s="10" t="s">
        <v>985</v>
      </c>
      <c r="W89" s="10" t="s">
        <v>51</v>
      </c>
      <c r="X89" s="10" t="s">
        <v>984</v>
      </c>
    </row>
    <row r="90">
      <c r="A90" s="9">
        <f t="shared" si="1"/>
        <v>89</v>
      </c>
      <c r="B90" s="11">
        <v>46217.667962962965</v>
      </c>
      <c r="C90" s="10" t="s">
        <v>682</v>
      </c>
      <c r="D90" s="10" t="s">
        <v>36</v>
      </c>
      <c r="E90" s="10" t="s">
        <v>133</v>
      </c>
      <c r="F90" s="13">
        <v>2.0</v>
      </c>
      <c r="G90" s="14">
        <v>68.71</v>
      </c>
      <c r="H90" s="10" t="s">
        <v>1330</v>
      </c>
      <c r="I90" s="10">
        <v>62.3</v>
      </c>
      <c r="O90" s="15">
        <f>IFERROR(__xludf.DUMMYFUNCTION("IF(ISBLANK($C90), """", GOOGLEFINANCE($C90, ""price""))"),64.2)</f>
        <v>64.2</v>
      </c>
      <c r="P90" s="16">
        <f t="shared" si="2"/>
        <v>-0.06563818949</v>
      </c>
      <c r="Q90" s="16">
        <f>IFERROR(__xludf.DUMMYFUNCTION("IF(OR(ISBLANK($G90), IFERROR(INDEX(GOOGLEFINANCE($C90, ""price"", WORKDAY(INT($B90), 1)), 2, 2), """")=""""), """", IF($D90=""LONG"", (IFERROR(INDEX(GOOGLEFINANCE($C90, ""price"", WORKDAY(INT($B90), 1)), 2, 2), """")-$G90)/$G90, ($G90-IFERROR(INDEX(GOOGLE"&amp;"FINANCE($C90, ""price"", WORKDAY(INT($B90), 1)), 2, 2), """"))/$G90))"),-0.03056323679231545)</f>
        <v>-0.03056323679</v>
      </c>
      <c r="R90" s="16">
        <f>IFERROR(__xludf.DUMMYFUNCTION("IF(OR(ISBLANK($G90), IFERROR(INDEX(GOOGLEFINANCE($C90, ""price"", WORKDAY(INT($B90), 5)), 2, 2), """")=""""), """", IF($D90=""LONG"", (IFERROR(INDEX(GOOGLEFINANCE($C90, ""price"", WORKDAY(INT($B90), 5)), 2, 2), """")-$G90)/$G90, ($G90-IFERROR(INDEX(GOOGLE"&amp;"FINANCE($C90, ""price"", WORKDAY(INT($B90), 5)), 2, 2), """"))/$G90))"),-0.016300392955901476)</f>
        <v>-0.01630039296</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1334</v>
      </c>
      <c r="U90" s="10" t="s">
        <v>984</v>
      </c>
      <c r="V90" s="10" t="s">
        <v>1086</v>
      </c>
      <c r="W90" s="10" t="s">
        <v>51</v>
      </c>
      <c r="X90" s="10" t="s">
        <v>984</v>
      </c>
    </row>
    <row r="91">
      <c r="A91" s="9">
        <f t="shared" si="1"/>
        <v>90</v>
      </c>
      <c r="B91" s="11">
        <v>46217.66762731481</v>
      </c>
      <c r="C91" s="10" t="s">
        <v>310</v>
      </c>
      <c r="D91" s="10" t="s">
        <v>36</v>
      </c>
      <c r="E91" s="10" t="s">
        <v>37</v>
      </c>
      <c r="F91" s="13">
        <v>2.0</v>
      </c>
      <c r="G91" s="14">
        <v>207.9</v>
      </c>
      <c r="H91" s="10" t="s">
        <v>1335</v>
      </c>
      <c r="I91" s="10">
        <v>89.9</v>
      </c>
      <c r="O91" s="15">
        <f>IFERROR(__xludf.DUMMYFUNCTION("IF(ISBLANK($C91), """", GOOGLEFINANCE($C91, ""price""))"),232.43)</f>
        <v>232.43</v>
      </c>
      <c r="P91" s="16">
        <f t="shared" si="2"/>
        <v>0.117989418</v>
      </c>
      <c r="Q91" s="16">
        <f>IFERROR(__xludf.DUMMYFUNCTION("IF(OR(ISBLANK($G91), IFERROR(INDEX(GOOGLEFINANCE($C91, ""price"", WORKDAY(INT($B91), 1)), 2, 2), """")=""""), """", IF($D91=""LONG"", (IFERROR(INDEX(GOOGLEFINANCE($C91, ""price"", WORKDAY(INT($B91), 1)), 2, 2), """")-$G91)/$G91, ($G91-IFERROR(INDEX(GOOGLE"&amp;"FINANCE($C91, ""price"", WORKDAY(INT($B91), 1)), 2, 2), """"))/$G91))"),-0.005242905242905259)</f>
        <v>-0.005242905243</v>
      </c>
      <c r="R91" s="16">
        <f>IFERROR(__xludf.DUMMYFUNCTION("IF(OR(ISBLANK($G91), IFERROR(INDEX(GOOGLEFINANCE($C91, ""price"", WORKDAY(INT($B91), 5)), 2, 2), """")=""""), """", IF($D91=""LONG"", (IFERROR(INDEX(GOOGLEFINANCE($C91, ""price"", WORKDAY(INT($B91), 5)), 2, 2), """")-$G91)/$G91, ($G91-IFERROR(INDEX(GOOGLE"&amp;"FINANCE($C91, ""price"", WORKDAY(INT($B91), 5)), 2, 2), """"))/$G91))"),-0.030206830206830213)</f>
        <v>-0.03020683021</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1342</v>
      </c>
      <c r="U91" s="10" t="s">
        <v>984</v>
      </c>
      <c r="V91" s="10" t="s">
        <v>985</v>
      </c>
      <c r="W91" s="10" t="s">
        <v>51</v>
      </c>
      <c r="X91" s="10" t="s">
        <v>984</v>
      </c>
    </row>
    <row r="92">
      <c r="A92" s="9">
        <f t="shared" si="1"/>
        <v>91</v>
      </c>
      <c r="B92" s="11">
        <v>46217.667592592596</v>
      </c>
      <c r="C92" s="10" t="s">
        <v>1147</v>
      </c>
      <c r="D92" s="10" t="s">
        <v>119</v>
      </c>
      <c r="E92" s="10" t="s">
        <v>120</v>
      </c>
      <c r="F92" s="13">
        <v>4.0</v>
      </c>
      <c r="G92" s="14">
        <v>122.16</v>
      </c>
      <c r="H92" s="10" t="s">
        <v>1344</v>
      </c>
      <c r="I92" s="10">
        <v>8.0</v>
      </c>
      <c r="O92" s="15">
        <f>IFERROR(__xludf.DUMMYFUNCTION("IF(ISBLANK($C92), """", GOOGLEFINANCE($C92, ""price""))"),117.91)</f>
        <v>117.91</v>
      </c>
      <c r="P92" s="16">
        <f t="shared" si="2"/>
        <v>0.03479043877</v>
      </c>
      <c r="Q92" s="16">
        <f>IFERROR(__xludf.DUMMYFUNCTION("IF(OR(ISBLANK($G92), IFERROR(INDEX(GOOGLEFINANCE($C92, ""price"", WORKDAY(INT($B92), 1)), 2, 2), """")=""""), """", IF($D92=""LONG"", (IFERROR(INDEX(GOOGLEFINANCE($C92, ""price"", WORKDAY(INT($B92), 1)), 2, 2), """")-$G92)/$G92, ($G92-IFERROR(INDEX(GOOGLE"&amp;"FINANCE($C92, ""price"", WORKDAY(INT($B92), 1)), 2, 2), """"))/$G92))"),-6.548788474132146E-4)</f>
        <v>-0.0006548788474</v>
      </c>
      <c r="R92" s="16">
        <f>IFERROR(__xludf.DUMMYFUNCTION("IF(OR(ISBLANK($G92), IFERROR(INDEX(GOOGLEFINANCE($C92, ""price"", WORKDAY(INT($B92), 5)), 2, 2), """")=""""), """", IF($D92=""LONG"", (IFERROR(INDEX(GOOGLEFINANCE($C92, ""price"", WORKDAY(INT($B92), 5)), 2, 2), """")-$G92)/$G92, ($G92-IFERROR(INDEX(GOOGLE"&amp;"FINANCE($C92, ""price"", WORKDAY(INT($B92), 5)), 2, 2), """"))/$G92))"),-0.02807793058284223)</f>
        <v>-0.02807793058</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1351</v>
      </c>
      <c r="U92" s="10" t="s">
        <v>984</v>
      </c>
      <c r="V92" s="10" t="s">
        <v>1059</v>
      </c>
      <c r="W92" s="10" t="s">
        <v>51</v>
      </c>
      <c r="X92" s="10" t="s">
        <v>984</v>
      </c>
    </row>
    <row r="93">
      <c r="A93" s="9">
        <f t="shared" si="1"/>
        <v>92</v>
      </c>
      <c r="B93" s="11">
        <v>46217.667708333334</v>
      </c>
      <c r="C93" s="10" t="s">
        <v>129</v>
      </c>
      <c r="D93" s="10" t="s">
        <v>119</v>
      </c>
      <c r="E93" s="10" t="s">
        <v>120</v>
      </c>
      <c r="F93" s="13">
        <v>4.0</v>
      </c>
      <c r="G93" s="14">
        <v>57.77</v>
      </c>
      <c r="H93" s="10" t="s">
        <v>1355</v>
      </c>
      <c r="I93" s="10">
        <v>3.6</v>
      </c>
      <c r="O93" s="15">
        <f>IFERROR(__xludf.DUMMYFUNCTION("IF(ISBLANK($C93), """", GOOGLEFINANCE($C93, ""price""))"),62.75)</f>
        <v>62.75</v>
      </c>
      <c r="P93" s="16">
        <f t="shared" si="2"/>
        <v>-0.08620391207</v>
      </c>
      <c r="Q93" s="16">
        <f>IFERROR(__xludf.DUMMYFUNCTION("IF(OR(ISBLANK($G93), IFERROR(INDEX(GOOGLEFINANCE($C93, ""price"", WORKDAY(INT($B93), 1)), 2, 2), """")=""""), """", IF($D93=""LONG"", (IFERROR(INDEX(GOOGLEFINANCE($C93, ""price"", WORKDAY(INT($B93), 1)), 2, 2), """")-$G93)/$G93, ($G93-IFERROR(INDEX(GOOGLE"&amp;"FINANCE($C93, ""price"", WORKDAY(INT($B93), 1)), 2, 2), """"))/$G93))"),0.009001211701575265)</f>
        <v>0.009001211702</v>
      </c>
      <c r="R93" s="16">
        <f>IFERROR(__xludf.DUMMYFUNCTION("IF(OR(ISBLANK($G93), IFERROR(INDEX(GOOGLEFINANCE($C93, ""price"", WORKDAY(INT($B93), 5)), 2, 2), """")=""""), """", IF($D93=""LONG"", (IFERROR(INDEX(GOOGLEFINANCE($C93, ""price"", WORKDAY(INT($B93), 5)), 2, 2), """")-$G93)/$G93, ($G93-IFERROR(INDEX(GOOGLE"&amp;"FINANCE($C93, ""price"", WORKDAY(INT($B93), 5)), 2, 2), """"))/$G93))"),0.024060931279210673)</f>
        <v>0.02406093128</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1360</v>
      </c>
      <c r="U93" s="10" t="s">
        <v>984</v>
      </c>
      <c r="V93" s="10" t="s">
        <v>985</v>
      </c>
      <c r="W93" s="10" t="s">
        <v>51</v>
      </c>
      <c r="X93" s="10" t="s">
        <v>984</v>
      </c>
    </row>
    <row r="94">
      <c r="A94" s="9">
        <f t="shared" si="1"/>
        <v>93</v>
      </c>
      <c r="B94" s="11">
        <v>46217.66762731481</v>
      </c>
      <c r="C94" s="10" t="s">
        <v>312</v>
      </c>
      <c r="D94" s="10" t="s">
        <v>36</v>
      </c>
      <c r="E94" s="10" t="s">
        <v>87</v>
      </c>
      <c r="F94" s="13">
        <v>2.0</v>
      </c>
      <c r="G94" s="14">
        <v>14.8</v>
      </c>
      <c r="H94" s="10" t="s">
        <v>1365</v>
      </c>
      <c r="I94" s="10">
        <v>83.4</v>
      </c>
      <c r="O94" s="15">
        <f>IFERROR(__xludf.DUMMYFUNCTION("IF(ISBLANK($C94), """", GOOGLEFINANCE($C94, ""price""))"),14.7)</f>
        <v>14.7</v>
      </c>
      <c r="P94" s="16">
        <f t="shared" si="2"/>
        <v>-0.006756756757</v>
      </c>
      <c r="Q94" s="16">
        <f>IFERROR(__xludf.DUMMYFUNCTION("IF(OR(ISBLANK($G94), IFERROR(INDEX(GOOGLEFINANCE($C94, ""price"", WORKDAY(INT($B94), 1)), 2, 2), """")=""""), """", IF($D94=""LONG"", (IFERROR(INDEX(GOOGLEFINANCE($C94, ""price"", WORKDAY(INT($B94), 1)), 2, 2), """")-$G94)/$G94, ($G94-IFERROR(INDEX(GOOGLE"&amp;"FINANCE($C94, ""price"", WORKDAY(INT($B94), 1)), 2, 2), """"))/$G94))"),6.756756756756613E-4)</f>
        <v>0.0006756756757</v>
      </c>
      <c r="R94" s="16">
        <f>IFERROR(__xludf.DUMMYFUNCTION("IF(OR(ISBLANK($G94), IFERROR(INDEX(GOOGLEFINANCE($C94, ""price"", WORKDAY(INT($B94), 5)), 2, 2), """")=""""), """", IF($D94=""LONG"", (IFERROR(INDEX(GOOGLEFINANCE($C94, ""price"", WORKDAY(INT($B94), 5)), 2, 2), """")-$G94)/$G94, ($G94-IFERROR(INDEX(GOOGLE"&amp;"FINANCE($C94, ""price"", WORKDAY(INT($B94), 5)), 2, 2), """"))/$G94))"),0.0013513513513513226)</f>
        <v>0.001351351351</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1369</v>
      </c>
      <c r="U94" s="10" t="s">
        <v>984</v>
      </c>
      <c r="V94" s="10" t="s">
        <v>1086</v>
      </c>
      <c r="W94" s="10" t="s">
        <v>51</v>
      </c>
      <c r="X94" s="10" t="s">
        <v>984</v>
      </c>
    </row>
    <row r="95">
      <c r="A95" s="9">
        <f t="shared" si="1"/>
        <v>94</v>
      </c>
      <c r="B95" s="11">
        <v>46217.66758101852</v>
      </c>
      <c r="C95" s="10" t="s">
        <v>388</v>
      </c>
      <c r="D95" s="10" t="s">
        <v>119</v>
      </c>
      <c r="E95" s="10" t="s">
        <v>120</v>
      </c>
      <c r="F95" s="13">
        <v>4.0</v>
      </c>
      <c r="G95" s="14">
        <v>34.51</v>
      </c>
      <c r="H95" s="10" t="s">
        <v>1374</v>
      </c>
      <c r="I95" s="10">
        <v>5.1</v>
      </c>
      <c r="O95" s="15">
        <f>IFERROR(__xludf.DUMMYFUNCTION("IF(ISBLANK($C95), """", GOOGLEFINANCE($C95, ""price""))"),36.53)</f>
        <v>36.53</v>
      </c>
      <c r="P95" s="16">
        <f t="shared" si="2"/>
        <v>-0.05853375833</v>
      </c>
      <c r="Q95" s="16">
        <f>IFERROR(__xludf.DUMMYFUNCTION("IF(OR(ISBLANK($G95), IFERROR(INDEX(GOOGLEFINANCE($C95, ""price"", WORKDAY(INT($B95), 1)), 2, 2), """")=""""), """", IF($D95=""LONG"", (IFERROR(INDEX(GOOGLEFINANCE($C95, ""price"", WORKDAY(INT($B95), 1)), 2, 2), """")-$G95)/$G95, ($G95-IFERROR(INDEX(GOOGLE"&amp;"FINANCE($C95, ""price"", WORKDAY(INT($B95), 1)), 2, 2), """"))/$G95))"),0.00695450594030701)</f>
        <v>0.00695450594</v>
      </c>
      <c r="R95" s="16">
        <f>IFERROR(__xludf.DUMMYFUNCTION("IF(OR(ISBLANK($G95), IFERROR(INDEX(GOOGLEFINANCE($C95, ""price"", WORKDAY(INT($B95), 5)), 2, 2), """")=""""), """", IF($D95=""LONG"", (IFERROR(INDEX(GOOGLEFINANCE($C95, ""price"", WORKDAY(INT($B95), 5)), 2, 2), """")-$G95)/$G95, ($G95-IFERROR(INDEX(GOOGLE"&amp;"FINANCE($C95, ""price"", WORKDAY(INT($B95), 5)), 2, 2), """"))/$G95))"),-0.03651115618661273)</f>
        <v>-0.03651115619</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1381</v>
      </c>
      <c r="U95" s="10" t="s">
        <v>984</v>
      </c>
      <c r="V95" s="10" t="s">
        <v>985</v>
      </c>
      <c r="W95" s="10" t="s">
        <v>51</v>
      </c>
      <c r="X95" s="10" t="s">
        <v>984</v>
      </c>
    </row>
    <row r="96">
      <c r="A96" s="9">
        <f t="shared" si="1"/>
        <v>95</v>
      </c>
      <c r="B96" s="11">
        <v>46217.66793981481</v>
      </c>
      <c r="C96" s="10" t="s">
        <v>1121</v>
      </c>
      <c r="D96" s="10" t="s">
        <v>36</v>
      </c>
      <c r="E96" s="10" t="s">
        <v>133</v>
      </c>
      <c r="F96" s="13">
        <v>2.0</v>
      </c>
      <c r="G96" s="14">
        <v>49.56</v>
      </c>
      <c r="H96" s="10" t="s">
        <v>1384</v>
      </c>
      <c r="I96" s="10">
        <v>55.3</v>
      </c>
      <c r="O96" s="15">
        <f>IFERROR(__xludf.DUMMYFUNCTION("IF(ISBLANK($C96), """", GOOGLEFINANCE($C96, ""price""))"),52.43)</f>
        <v>52.43</v>
      </c>
      <c r="P96" s="16">
        <f t="shared" si="2"/>
        <v>0.05790960452</v>
      </c>
      <c r="Q96" s="16">
        <f>IFERROR(__xludf.DUMMYFUNCTION("IF(OR(ISBLANK($G96), IFERROR(INDEX(GOOGLEFINANCE($C96, ""price"", WORKDAY(INT($B96), 1)), 2, 2), """")=""""), """", IF($D96=""LONG"", (IFERROR(INDEX(GOOGLEFINANCE($C96, ""price"", WORKDAY(INT($B96), 1)), 2, 2), """")-$G96)/$G96, ($G96-IFERROR(INDEX(GOOGLE"&amp;"FINANCE($C96, ""price"", WORKDAY(INT($B96), 1)), 2, 2), """"))/$G96))"),-0.04378531073446331)</f>
        <v>-0.04378531073</v>
      </c>
      <c r="R96" s="16">
        <f>IFERROR(__xludf.DUMMYFUNCTION("IF(OR(ISBLANK($G96), IFERROR(INDEX(GOOGLEFINANCE($C96, ""price"", WORKDAY(INT($B96), 5)), 2, 2), """")=""""), """", IF($D96=""LONG"", (IFERROR(INDEX(GOOGLEFINANCE($C96, ""price"", WORKDAY(INT($B96), 5)), 2, 2), """")-$G96)/$G96, ($G96-IFERROR(INDEX(GOOGLE"&amp;"FINANCE($C96, ""price"", WORKDAY(INT($B96), 5)), 2, 2), """"))/$G96))"),-0.05730427764326076)</f>
        <v>-0.05730427764</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1391</v>
      </c>
      <c r="U96" s="10" t="s">
        <v>984</v>
      </c>
      <c r="V96" s="10" t="s">
        <v>1393</v>
      </c>
      <c r="W96" s="10" t="s">
        <v>51</v>
      </c>
      <c r="X96" s="10" t="s">
        <v>984</v>
      </c>
    </row>
    <row r="97">
      <c r="A97" s="9">
        <f t="shared" si="1"/>
        <v>96</v>
      </c>
      <c r="B97" s="11">
        <v>46217.667962962965</v>
      </c>
      <c r="C97" s="10" t="s">
        <v>52</v>
      </c>
      <c r="D97" s="10" t="s">
        <v>36</v>
      </c>
      <c r="E97" s="10" t="s">
        <v>37</v>
      </c>
      <c r="F97" s="13">
        <v>2.0</v>
      </c>
      <c r="G97" s="14">
        <v>114.9</v>
      </c>
      <c r="H97" s="10" t="s">
        <v>1395</v>
      </c>
      <c r="I97" s="10">
        <v>95.5</v>
      </c>
      <c r="O97" s="15">
        <f>IFERROR(__xludf.DUMMYFUNCTION("IF(ISBLANK($C97), """", GOOGLEFINANCE($C97, ""price""))"),118.38)</f>
        <v>118.38</v>
      </c>
      <c r="P97" s="16">
        <f t="shared" si="2"/>
        <v>0.03028720627</v>
      </c>
      <c r="Q97" s="16">
        <f>IFERROR(__xludf.DUMMYFUNCTION("IF(OR(ISBLANK($G97), IFERROR(INDEX(GOOGLEFINANCE($C97, ""price"", WORKDAY(INT($B97), 1)), 2, 2), """")=""""), """", IF($D97=""LONG"", (IFERROR(INDEX(GOOGLEFINANCE($C97, ""price"", WORKDAY(INT($B97), 1)), 2, 2), """")-$G97)/$G97, ($G97-IFERROR(INDEX(GOOGLE"&amp;"FINANCE($C97, ""price"", WORKDAY(INT($B97), 1)), 2, 2), """"))/$G97))"),0.0016536118363794405)</f>
        <v>0.001653611836</v>
      </c>
      <c r="R97" s="16">
        <f>IFERROR(__xludf.DUMMYFUNCTION("IF(OR(ISBLANK($G97), IFERROR(INDEX(GOOGLEFINANCE($C97, ""price"", WORKDAY(INT($B97), 5)), 2, 2), """")=""""), """", IF($D97=""LONG"", (IFERROR(INDEX(GOOGLEFINANCE($C97, ""price"", WORKDAY(INT($B97), 5)), 2, 2), """")-$G97)/$G97, ($G97-IFERROR(INDEX(GOOGLE"&amp;"FINANCE($C97, ""price"", WORKDAY(INT($B97), 5)), 2, 2), """"))/$G97))"),0.021671018276762356)</f>
        <v>0.02167101828</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1400</v>
      </c>
      <c r="U97" s="10" t="s">
        <v>984</v>
      </c>
      <c r="V97" s="10" t="s">
        <v>998</v>
      </c>
      <c r="W97" s="10" t="s">
        <v>51</v>
      </c>
      <c r="X97" s="10" t="s">
        <v>984</v>
      </c>
    </row>
    <row r="98">
      <c r="A98" s="9">
        <f t="shared" si="1"/>
        <v>97</v>
      </c>
      <c r="B98" s="11">
        <v>46217.66767361111</v>
      </c>
      <c r="C98" s="10" t="s">
        <v>185</v>
      </c>
      <c r="D98" s="10" t="s">
        <v>36</v>
      </c>
      <c r="E98" s="10" t="s">
        <v>37</v>
      </c>
      <c r="F98" s="13">
        <v>2.0</v>
      </c>
      <c r="G98" s="14">
        <v>77.86</v>
      </c>
      <c r="H98" s="10" t="s">
        <v>1404</v>
      </c>
      <c r="I98" s="10">
        <v>92.0</v>
      </c>
      <c r="O98" s="15">
        <f>IFERROR(__xludf.DUMMYFUNCTION("IF(ISBLANK($C98), """", GOOGLEFINANCE($C98, ""price""))"),75.47)</f>
        <v>75.47</v>
      </c>
      <c r="P98" s="16">
        <f t="shared" si="2"/>
        <v>-0.03069612124</v>
      </c>
      <c r="Q98" s="16">
        <f>IFERROR(__xludf.DUMMYFUNCTION("IF(OR(ISBLANK($G98), IFERROR(INDEX(GOOGLEFINANCE($C98, ""price"", WORKDAY(INT($B98), 1)), 2, 2), """")=""""), """", IF($D98=""LONG"", (IFERROR(INDEX(GOOGLEFINANCE($C98, ""price"", WORKDAY(INT($B98), 1)), 2, 2), """")-$G98)/$G98, ($G98-IFERROR(INDEX(GOOGLE"&amp;"FINANCE($C98, ""price"", WORKDAY(INT($B98), 1)), 2, 2), """"))/$G98))"),0.0023118417672746833)</f>
        <v>0.002311841767</v>
      </c>
      <c r="R98" s="16">
        <f>IFERROR(__xludf.DUMMYFUNCTION("IF(OR(ISBLANK($G98), IFERROR(INDEX(GOOGLEFINANCE($C98, ""price"", WORKDAY(INT($B98), 5)), 2, 2), """")=""""), """", IF($D98=""LONG"", (IFERROR(INDEX(GOOGLEFINANCE($C98, ""price"", WORKDAY(INT($B98), 5)), 2, 2), """")-$G98)/$G98, ($G98-IFERROR(INDEX(GOOGLE"&amp;"FINANCE($C98, ""price"", WORKDAY(INT($B98), 5)), 2, 2), """"))/$G98))"),-0.013357307988697742)</f>
        <v>-0.01335730799</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1410</v>
      </c>
      <c r="U98" s="10" t="s">
        <v>984</v>
      </c>
      <c r="V98" s="10" t="s">
        <v>998</v>
      </c>
      <c r="W98" s="10" t="s">
        <v>51</v>
      </c>
      <c r="X98" s="10" t="s">
        <v>984</v>
      </c>
    </row>
    <row r="99">
      <c r="A99" s="9">
        <f t="shared" si="1"/>
        <v>98</v>
      </c>
      <c r="B99" s="11">
        <v>46217.66767361111</v>
      </c>
      <c r="C99" s="10" t="s">
        <v>110</v>
      </c>
      <c r="D99" s="10" t="s">
        <v>36</v>
      </c>
      <c r="E99" s="10" t="s">
        <v>37</v>
      </c>
      <c r="F99" s="13">
        <v>2.0</v>
      </c>
      <c r="G99" s="14">
        <v>205.3</v>
      </c>
      <c r="H99" s="10" t="s">
        <v>1411</v>
      </c>
      <c r="I99" s="10">
        <v>97.3</v>
      </c>
      <c r="O99" s="15">
        <f>IFERROR(__xludf.DUMMYFUNCTION("IF(ISBLANK($C99), """", GOOGLEFINANCE($C99, ""price""))"),220.0)</f>
        <v>220</v>
      </c>
      <c r="P99" s="16">
        <f t="shared" si="2"/>
        <v>0.07160253288</v>
      </c>
      <c r="Q99" s="16">
        <f>IFERROR(__xludf.DUMMYFUNCTION("IF(OR(ISBLANK($G99), IFERROR(INDEX(GOOGLEFINANCE($C99, ""price"", WORKDAY(INT($B99), 1)), 2, 2), """")=""""), """", IF($D99=""LONG"", (IFERROR(INDEX(GOOGLEFINANCE($C99, ""price"", WORKDAY(INT($B99), 1)), 2, 2), """")-$G99)/$G99, ($G99-IFERROR(INDEX(GOOGLE"&amp;"FINANCE($C99, ""price"", WORKDAY(INT($B99), 1)), 2, 2), """"))/$G99))"),0.017486604968338895)</f>
        <v>0.01748660497</v>
      </c>
      <c r="R99" s="16">
        <f>IFERROR(__xludf.DUMMYFUNCTION("IF(OR(ISBLANK($G99), IFERROR(INDEX(GOOGLEFINANCE($C99, ""price"", WORKDAY(INT($B99), 5)), 2, 2), """")=""""), """", IF($D99=""LONG"", (IFERROR(INDEX(GOOGLEFINANCE($C99, ""price"", WORKDAY(INT($B99), 5)), 2, 2), """")-$G99)/$G99, ($G99-IFERROR(INDEX(GOOGLE"&amp;"FINANCE($C99, ""price"", WORKDAY(INT($B99), 5)), 2, 2), """"))/$G99))"),0.0044812469556745615)</f>
        <v>0.004481246956</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1416</v>
      </c>
      <c r="U99" s="10" t="s">
        <v>984</v>
      </c>
      <c r="V99" s="10" t="s">
        <v>985</v>
      </c>
      <c r="W99" s="10" t="s">
        <v>51</v>
      </c>
      <c r="X99" s="10" t="s">
        <v>984</v>
      </c>
    </row>
    <row r="100">
      <c r="A100" s="9">
        <f t="shared" si="1"/>
        <v>99</v>
      </c>
      <c r="B100" s="11">
        <v>46217.66777777778</v>
      </c>
      <c r="C100" s="10" t="s">
        <v>455</v>
      </c>
      <c r="D100" s="10" t="s">
        <v>36</v>
      </c>
      <c r="E100" s="10" t="s">
        <v>37</v>
      </c>
      <c r="F100" s="13">
        <v>2.0</v>
      </c>
      <c r="G100" s="14">
        <v>106.83</v>
      </c>
      <c r="H100" s="10" t="s">
        <v>1421</v>
      </c>
      <c r="I100" s="10">
        <v>99.0</v>
      </c>
      <c r="O100" s="15">
        <f>IFERROR(__xludf.DUMMYFUNCTION("IF(ISBLANK($C100), """", GOOGLEFINANCE($C100, ""price""))"),108.66)</f>
        <v>108.66</v>
      </c>
      <c r="P100" s="16">
        <f t="shared" si="2"/>
        <v>0.01713001966</v>
      </c>
      <c r="Q100" s="16">
        <f>IFERROR(__xludf.DUMMYFUNCTION("IF(OR(ISBLANK($G100), IFERROR(INDEX(GOOGLEFINANCE($C100, ""price"", WORKDAY(INT($B100), 1)), 2, 2), """")=""""), """", IF($D100=""LONG"", (IFERROR(INDEX(GOOGLEFINANCE($C100, ""price"", WORKDAY(INT($B100), 1)), 2, 2), """")-$G100)/$G100, ($G100-IFERROR(IND"&amp;"EX(GOOGLEFINANCE($C100, ""price"", WORKDAY(INT($B100), 1)), 2, 2), """"))/$G100))"),-0.0028081999438359746)</f>
        <v>-0.002808199944</v>
      </c>
      <c r="R100" s="16">
        <f>IFERROR(__xludf.DUMMYFUNCTION("IF(OR(ISBLANK($G100), IFERROR(INDEX(GOOGLEFINANCE($C100, ""price"", WORKDAY(INT($B100), 5)), 2, 2), """")=""""), """", IF($D100=""LONG"", (IFERROR(INDEX(GOOGLEFINANCE($C100, ""price"", WORKDAY(INT($B100), 5)), 2, 2), """")-$G100)/$G100, ($G100-IFERROR(IND"&amp;"EX(GOOGLEFINANCE($C100, ""price"", WORKDAY(INT($B100), 5)), 2, 2), """"))/$G100))"),0.01142001310493306)</f>
        <v>0.0114200131</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1425</v>
      </c>
      <c r="U100" s="10" t="s">
        <v>984</v>
      </c>
      <c r="V100" s="10" t="s">
        <v>985</v>
      </c>
      <c r="W100" s="10" t="s">
        <v>51</v>
      </c>
      <c r="X100" s="10" t="s">
        <v>984</v>
      </c>
    </row>
    <row r="101">
      <c r="A101" s="9">
        <f t="shared" si="1"/>
        <v>100</v>
      </c>
      <c r="B101" s="11">
        <v>46217.66775462963</v>
      </c>
      <c r="C101" s="10" t="s">
        <v>267</v>
      </c>
      <c r="D101" s="10" t="s">
        <v>36</v>
      </c>
      <c r="E101" s="10" t="s">
        <v>37</v>
      </c>
      <c r="F101" s="13">
        <v>2.0</v>
      </c>
      <c r="G101" s="14">
        <v>187.77</v>
      </c>
      <c r="H101" s="10" t="s">
        <v>1427</v>
      </c>
      <c r="I101" s="10">
        <v>97.8</v>
      </c>
      <c r="O101" s="15">
        <f>IFERROR(__xludf.DUMMYFUNCTION("IF(ISBLANK($C101), """", GOOGLEFINANCE($C101, ""price""))"),213.26)</f>
        <v>213.26</v>
      </c>
      <c r="P101" s="16">
        <f t="shared" si="2"/>
        <v>0.135751185</v>
      </c>
      <c r="Q101" s="16">
        <f>IFERROR(__xludf.DUMMYFUNCTION("IF(OR(ISBLANK($G101), IFERROR(INDEX(GOOGLEFINANCE($C101, ""price"", WORKDAY(INT($B101), 1)), 2, 2), """")=""""), """", IF($D101=""LONG"", (IFERROR(INDEX(GOOGLEFINANCE($C101, ""price"", WORKDAY(INT($B101), 1)), 2, 2), """")-$G101)/$G101, ($G101-IFERROR(IND"&amp;"EX(GOOGLEFINANCE($C101, ""price"", WORKDAY(INT($B101), 1)), 2, 2), """"))/$G101))"),0.01272833786014798)</f>
        <v>0.01272833786</v>
      </c>
      <c r="R101" s="16">
        <f>IFERROR(__xludf.DUMMYFUNCTION("IF(OR(ISBLANK($G101), IFERROR(INDEX(GOOGLEFINANCE($C101, ""price"", WORKDAY(INT($B101), 5)), 2, 2), """")=""""), """", IF($D101=""LONG"", (IFERROR(INDEX(GOOGLEFINANCE($C101, ""price"", WORKDAY(INT($B101), 5)), 2, 2), """")-$G101)/$G101, ($G101-IFERROR(IND"&amp;"EX(GOOGLEFINANCE($C101, ""price"", WORKDAY(INT($B101), 5)), 2, 2), """"))/$G101))"),0.001437929381690269)</f>
        <v>0.001437929382</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1432</v>
      </c>
      <c r="U101" s="10" t="s">
        <v>984</v>
      </c>
      <c r="V101" s="10" t="s">
        <v>985</v>
      </c>
      <c r="W101" s="10" t="s">
        <v>51</v>
      </c>
      <c r="X101" s="10" t="s">
        <v>984</v>
      </c>
    </row>
    <row r="102">
      <c r="A102" s="9">
        <f t="shared" si="1"/>
        <v>101</v>
      </c>
      <c r="B102" s="11">
        <v>46217.66746527778</v>
      </c>
      <c r="C102" s="10" t="s">
        <v>1183</v>
      </c>
      <c r="D102" s="10" t="s">
        <v>36</v>
      </c>
      <c r="E102" s="10" t="s">
        <v>133</v>
      </c>
      <c r="F102" s="13">
        <v>2.0</v>
      </c>
      <c r="G102" s="14">
        <v>186.71</v>
      </c>
      <c r="H102" s="10" t="s">
        <v>1434</v>
      </c>
      <c r="I102" s="10">
        <v>80.0</v>
      </c>
      <c r="O102" s="15">
        <f>IFERROR(__xludf.DUMMYFUNCTION("IF(ISBLANK($C102), """", GOOGLEFINANCE($C102, ""price""))"),184.14)</f>
        <v>184.14</v>
      </c>
      <c r="P102" s="16">
        <f t="shared" si="2"/>
        <v>-0.01376466177</v>
      </c>
      <c r="Q102" s="16">
        <f>IFERROR(__xludf.DUMMYFUNCTION("IF(OR(ISBLANK($G102), IFERROR(INDEX(GOOGLEFINANCE($C102, ""price"", WORKDAY(INT($B102), 1)), 2, 2), """")=""""), """", IF($D102=""LONG"", (IFERROR(INDEX(GOOGLEFINANCE($C102, ""price"", WORKDAY(INT($B102), 1)), 2, 2), """")-$G102)/$G102, ($G102-IFERROR(IND"&amp;"EX(GOOGLEFINANCE($C102, ""price"", WORKDAY(INT($B102), 1)), 2, 2), """"))/$G102))"),0.02367307589309618)</f>
        <v>0.02367307589</v>
      </c>
      <c r="R102" s="16">
        <f>IFERROR(__xludf.DUMMYFUNCTION("IF(OR(ISBLANK($G102), IFERROR(INDEX(GOOGLEFINANCE($C102, ""price"", WORKDAY(INT($B102), 5)), 2, 2), """")=""""), """", IF($D102=""LONG"", (IFERROR(INDEX(GOOGLEFINANCE($C102, ""price"", WORKDAY(INT($B102), 5)), 2, 2), """")-$G102)/$G102, ($G102-IFERROR(IND"&amp;"EX(GOOGLEFINANCE($C102, ""price"", WORKDAY(INT($B102), 5)), 2, 2), """"))/$G102))"),-0.008837234213486185)</f>
        <v>-0.008837234213</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1438</v>
      </c>
      <c r="U102" s="10" t="s">
        <v>984</v>
      </c>
      <c r="V102" s="10" t="s">
        <v>1086</v>
      </c>
      <c r="W102" s="10" t="s">
        <v>51</v>
      </c>
      <c r="X102" s="10" t="s">
        <v>984</v>
      </c>
    </row>
    <row r="103">
      <c r="A103" s="9">
        <f t="shared" si="1"/>
        <v>102</v>
      </c>
      <c r="B103" s="11">
        <v>46217.66753472222</v>
      </c>
      <c r="C103" s="10" t="s">
        <v>342</v>
      </c>
      <c r="D103" s="10" t="s">
        <v>36</v>
      </c>
      <c r="E103" s="10" t="s">
        <v>37</v>
      </c>
      <c r="F103" s="13">
        <v>2.0</v>
      </c>
      <c r="G103" s="14">
        <v>60.64</v>
      </c>
      <c r="H103" s="10" t="s">
        <v>1439</v>
      </c>
      <c r="I103" s="10">
        <v>91.1</v>
      </c>
      <c r="O103" s="15">
        <f>IFERROR(__xludf.DUMMYFUNCTION("IF(ISBLANK($C103), """", GOOGLEFINANCE($C103, ""price""))"),63.0)</f>
        <v>63</v>
      </c>
      <c r="P103" s="16">
        <f t="shared" si="2"/>
        <v>0.0389182058</v>
      </c>
      <c r="Q103" s="16">
        <f>IFERROR(__xludf.DUMMYFUNCTION("IF(OR(ISBLANK($G103), IFERROR(INDEX(GOOGLEFINANCE($C103, ""price"", WORKDAY(INT($B103), 1)), 2, 2), """")=""""), """", IF($D103=""LONG"", (IFERROR(INDEX(GOOGLEFINANCE($C103, ""price"", WORKDAY(INT($B103), 1)), 2, 2), """")-$G103)/$G103, ($G103-IFERROR(IND"&amp;"EX(GOOGLEFINANCE($C103, ""price"", WORKDAY(INT($B103), 1)), 2, 2), """"))/$G103))"),0.015666226912928807)</f>
        <v>0.01566622691</v>
      </c>
      <c r="R103" s="16">
        <f>IFERROR(__xludf.DUMMYFUNCTION("IF(OR(ISBLANK($G103), IFERROR(INDEX(GOOGLEFINANCE($C103, ""price"", WORKDAY(INT($B103), 5)), 2, 2), """")=""""), """", IF($D103=""LONG"", (IFERROR(INDEX(GOOGLEFINANCE($C103, ""price"", WORKDAY(INT($B103), 5)), 2, 2), """")-$G103)/$G103, ($G103-IFERROR(IND"&amp;"EX(GOOGLEFINANCE($C103, ""price"", WORKDAY(INT($B103), 5)), 2, 2), """"))/$G103))"),0.009564643799472267)</f>
        <v>0.009564643799</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1444</v>
      </c>
      <c r="U103" s="10" t="s">
        <v>984</v>
      </c>
      <c r="V103" s="10" t="s">
        <v>1086</v>
      </c>
      <c r="W103" s="10" t="s">
        <v>51</v>
      </c>
      <c r="X103" s="10" t="s">
        <v>984</v>
      </c>
    </row>
    <row r="104">
      <c r="A104" s="9">
        <f t="shared" si="1"/>
        <v>103</v>
      </c>
      <c r="B104" s="11">
        <v>46217.667708333334</v>
      </c>
      <c r="C104" s="10" t="s">
        <v>197</v>
      </c>
      <c r="D104" s="10" t="s">
        <v>36</v>
      </c>
      <c r="E104" s="10" t="s">
        <v>37</v>
      </c>
      <c r="F104" s="13">
        <v>2.0</v>
      </c>
      <c r="G104" s="14">
        <v>206.01</v>
      </c>
      <c r="H104" s="10" t="s">
        <v>1445</v>
      </c>
      <c r="I104" s="10">
        <v>94.1</v>
      </c>
      <c r="O104" s="15">
        <f>IFERROR(__xludf.DUMMYFUNCTION("IF(ISBLANK($C104), """", GOOGLEFINANCE($C104, ""price""))"),238.5)</f>
        <v>238.5</v>
      </c>
      <c r="P104" s="16">
        <f t="shared" si="2"/>
        <v>0.1577107907</v>
      </c>
      <c r="Q104" s="16">
        <f>IFERROR(__xludf.DUMMYFUNCTION("IF(OR(ISBLANK($G104), IFERROR(INDEX(GOOGLEFINANCE($C104, ""price"", WORKDAY(INT($B104), 1)), 2, 2), """")=""""), """", IF($D104=""LONG"", (IFERROR(INDEX(GOOGLEFINANCE($C104, ""price"", WORKDAY(INT($B104), 1)), 2, 2), """")-$G104)/$G104, ($G104-IFERROR(IND"&amp;"EX(GOOGLEFINANCE($C104, ""price"", WORKDAY(INT($B104), 1)), 2, 2), """"))/$G104))"),-0.020581525168681038)</f>
        <v>-0.02058152517</v>
      </c>
      <c r="R104" s="16">
        <f>IFERROR(__xludf.DUMMYFUNCTION("IF(OR(ISBLANK($G104), IFERROR(INDEX(GOOGLEFINANCE($C104, ""price"", WORKDAY(INT($B104), 5)), 2, 2), """")=""""), """", IF($D104=""LONG"", (IFERROR(INDEX(GOOGLEFINANCE($C104, ""price"", WORKDAY(INT($B104), 5)), 2, 2), """")-$G104)/$G104, ($G104-IFERROR(IND"&amp;"EX(GOOGLEFINANCE($C104, ""price"", WORKDAY(INT($B104), 5)), 2, 2), """"))/$G104))"),0.004028930634435282)</f>
        <v>0.004028930634</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1450</v>
      </c>
      <c r="U104" s="10" t="s">
        <v>984</v>
      </c>
      <c r="V104" s="10" t="s">
        <v>998</v>
      </c>
      <c r="W104" s="10" t="s">
        <v>51</v>
      </c>
      <c r="X104" s="10" t="s">
        <v>984</v>
      </c>
    </row>
    <row r="105">
      <c r="A105" s="9">
        <f t="shared" si="1"/>
        <v>104</v>
      </c>
      <c r="B105" s="11">
        <v>46217.66769675926</v>
      </c>
      <c r="C105" s="10" t="s">
        <v>464</v>
      </c>
      <c r="D105" s="10" t="s">
        <v>119</v>
      </c>
      <c r="E105" s="10" t="s">
        <v>120</v>
      </c>
      <c r="F105" s="13">
        <v>4.0</v>
      </c>
      <c r="G105" s="14">
        <v>268.79</v>
      </c>
      <c r="H105" s="10" t="s">
        <v>1451</v>
      </c>
      <c r="I105" s="10">
        <v>9.7</v>
      </c>
      <c r="O105" s="15">
        <f>IFERROR(__xludf.DUMMYFUNCTION("IF(ISBLANK($C105), """", GOOGLEFINANCE($C105, ""price""))"),292.53)</f>
        <v>292.53</v>
      </c>
      <c r="P105" s="16">
        <f t="shared" si="2"/>
        <v>-0.08832173816</v>
      </c>
      <c r="Q105" s="16">
        <f>IFERROR(__xludf.DUMMYFUNCTION("IF(OR(ISBLANK($G105), IFERROR(INDEX(GOOGLEFINANCE($C105, ""price"", WORKDAY(INT($B105), 1)), 2, 2), """")=""""), """", IF($D105=""LONG"", (IFERROR(INDEX(GOOGLEFINANCE($C105, ""price"", WORKDAY(INT($B105), 1)), 2, 2), """")-$G105)/$G105, ($G105-IFERROR(IND"&amp;"EX(GOOGLEFINANCE($C105, ""price"", WORKDAY(INT($B105), 1)), 2, 2), """"))/$G105))"),-0.006436251348636337)</f>
        <v>-0.006436251349</v>
      </c>
      <c r="R105" s="16">
        <f>IFERROR(__xludf.DUMMYFUNCTION("IF(OR(ISBLANK($G105), IFERROR(INDEX(GOOGLEFINANCE($C105, ""price"", WORKDAY(INT($B105), 5)), 2, 2), """")=""""), """", IF($D105=""LONG"", (IFERROR(INDEX(GOOGLEFINANCE($C105, ""price"", WORKDAY(INT($B105), 5)), 2, 2), """")-$G105)/$G105, ($G105-IFERROR(IND"&amp;"EX(GOOGLEFINANCE($C105, ""price"", WORKDAY(INT($B105), 5)), 2, 2), """"))/$G105))"),0.009821793965549474)</f>
        <v>0.009821793966</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1455</v>
      </c>
      <c r="U105" s="10" t="s">
        <v>984</v>
      </c>
      <c r="V105" s="10" t="s">
        <v>985</v>
      </c>
      <c r="W105" s="10" t="s">
        <v>51</v>
      </c>
      <c r="X105" s="10" t="s">
        <v>984</v>
      </c>
    </row>
    <row r="106">
      <c r="A106" s="9">
        <f t="shared" si="1"/>
        <v>105</v>
      </c>
      <c r="B106" s="11">
        <v>46217.66751157407</v>
      </c>
      <c r="C106" s="10" t="s">
        <v>201</v>
      </c>
      <c r="D106" s="10" t="s">
        <v>36</v>
      </c>
      <c r="E106" s="10" t="s">
        <v>37</v>
      </c>
      <c r="F106" s="13">
        <v>2.0</v>
      </c>
      <c r="G106" s="14">
        <v>131.58</v>
      </c>
      <c r="H106" s="10" t="s">
        <v>1456</v>
      </c>
      <c r="I106" s="10">
        <v>98.1</v>
      </c>
      <c r="O106" s="15">
        <f>IFERROR(__xludf.DUMMYFUNCTION("IF(ISBLANK($C106), """", GOOGLEFINANCE($C106, ""price""))"),134.82)</f>
        <v>134.82</v>
      </c>
      <c r="P106" s="16">
        <f t="shared" si="2"/>
        <v>0.02462380301</v>
      </c>
      <c r="Q106" s="16">
        <f>IFERROR(__xludf.DUMMYFUNCTION("IF(OR(ISBLANK($G106), IFERROR(INDEX(GOOGLEFINANCE($C106, ""price"", WORKDAY(INT($B106), 1)), 2, 2), """")=""""), """", IF($D106=""LONG"", (IFERROR(INDEX(GOOGLEFINANCE($C106, ""price"", WORKDAY(INT($B106), 1)), 2, 2), """")-$G106)/$G106, ($G106-IFERROR(IND"&amp;"EX(GOOGLEFINANCE($C106, ""price"", WORKDAY(INT($B106), 1)), 2, 2), """"))/$G106))"),-0.018011855905152793)</f>
        <v>-0.01801185591</v>
      </c>
      <c r="R106" s="16">
        <f>IFERROR(__xludf.DUMMYFUNCTION("IF(OR(ISBLANK($G106), IFERROR(INDEX(GOOGLEFINANCE($C106, ""price"", WORKDAY(INT($B106), 5)), 2, 2), """")=""""), """", IF($D106=""LONG"", (IFERROR(INDEX(GOOGLEFINANCE($C106, ""price"", WORKDAY(INT($B106), 5)), 2, 2), """")-$G106)/$G106, ($G106-IFERROR(IND"&amp;"EX(GOOGLEFINANCE($C106, ""price"", WORKDAY(INT($B106), 5)), 2, 2), """"))/$G106))"),-3.799969600244062E-4)</f>
        <v>-0.00037999696</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1461</v>
      </c>
      <c r="U106" s="10" t="s">
        <v>984</v>
      </c>
      <c r="V106" s="10" t="s">
        <v>985</v>
      </c>
      <c r="W106" s="10" t="s">
        <v>51</v>
      </c>
      <c r="X106" s="10" t="s">
        <v>984</v>
      </c>
    </row>
    <row r="107">
      <c r="A107" s="9">
        <f t="shared" si="1"/>
        <v>106</v>
      </c>
      <c r="B107" s="11">
        <v>46217.667546296296</v>
      </c>
      <c r="C107" s="10" t="s">
        <v>104</v>
      </c>
      <c r="D107" s="10" t="s">
        <v>36</v>
      </c>
      <c r="E107" s="10" t="s">
        <v>87</v>
      </c>
      <c r="F107" s="13">
        <v>2.0</v>
      </c>
      <c r="G107" s="14">
        <v>120.13</v>
      </c>
      <c r="H107" s="10" t="s">
        <v>1462</v>
      </c>
      <c r="I107" s="10">
        <v>96.8</v>
      </c>
      <c r="O107" s="15">
        <f>IFERROR(__xludf.DUMMYFUNCTION("IF(ISBLANK($C107), """", GOOGLEFINANCE($C107, ""price""))"),127.45)</f>
        <v>127.45</v>
      </c>
      <c r="P107" s="16">
        <f t="shared" si="2"/>
        <v>0.06093398818</v>
      </c>
      <c r="Q107" s="16">
        <f>IFERROR(__xludf.DUMMYFUNCTION("IF(OR(ISBLANK($G107), IFERROR(INDEX(GOOGLEFINANCE($C107, ""price"", WORKDAY(INT($B107), 1)), 2, 2), """")=""""), """", IF($D107=""LONG"", (IFERROR(INDEX(GOOGLEFINANCE($C107, ""price"", WORKDAY(INT($B107), 1)), 2, 2), """")-$G107)/$G107, ($G107-IFERROR(IND"&amp;"EX(GOOGLEFINANCE($C107, ""price"", WORKDAY(INT($B107), 1)), 2, 2), """"))/$G107))"),0.009572962623824238)</f>
        <v>0.009572962624</v>
      </c>
      <c r="R107" s="16">
        <f>IFERROR(__xludf.DUMMYFUNCTION("IF(OR(ISBLANK($G107), IFERROR(INDEX(GOOGLEFINANCE($C107, ""price"", WORKDAY(INT($B107), 5)), 2, 2), """")=""""), """", IF($D107=""LONG"", (IFERROR(INDEX(GOOGLEFINANCE($C107, ""price"", WORKDAY(INT($B107), 5)), 2, 2), """")-$G107)/$G107, ($G107-IFERROR(IND"&amp;"EX(GOOGLEFINANCE($C107, ""price"", WORKDAY(INT($B107), 5)), 2, 2), """"))/$G107))"),0.025555648047948118)</f>
        <v>0.02555564805</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1466</v>
      </c>
      <c r="U107" s="10" t="s">
        <v>984</v>
      </c>
      <c r="V107" s="10" t="s">
        <v>985</v>
      </c>
      <c r="W107" s="10" t="s">
        <v>51</v>
      </c>
      <c r="X107" s="10" t="s">
        <v>984</v>
      </c>
    </row>
    <row r="108">
      <c r="A108" s="9">
        <f t="shared" si="1"/>
        <v>107</v>
      </c>
      <c r="B108" s="11">
        <v>46217.6674537037</v>
      </c>
      <c r="C108" s="10" t="s">
        <v>299</v>
      </c>
      <c r="D108" s="10" t="s">
        <v>36</v>
      </c>
      <c r="E108" s="10" t="s">
        <v>37</v>
      </c>
      <c r="F108" s="13">
        <v>2.0</v>
      </c>
      <c r="G108" s="14">
        <v>39.98</v>
      </c>
      <c r="H108" s="10" t="s">
        <v>1468</v>
      </c>
      <c r="I108" s="10">
        <v>94.3</v>
      </c>
      <c r="O108" s="15">
        <f>IFERROR(__xludf.DUMMYFUNCTION("IF(ISBLANK($C108), """", GOOGLEFINANCE($C108, ""price""))"),38.14)</f>
        <v>38.14</v>
      </c>
      <c r="P108" s="16">
        <f t="shared" si="2"/>
        <v>-0.04602301151</v>
      </c>
      <c r="Q108" s="16">
        <f>IFERROR(__xludf.DUMMYFUNCTION("IF(OR(ISBLANK($G108), IFERROR(INDEX(GOOGLEFINANCE($C108, ""price"", WORKDAY(INT($B108), 1)), 2, 2), """")=""""), """", IF($D108=""LONG"", (IFERROR(INDEX(GOOGLEFINANCE($C108, ""price"", WORKDAY(INT($B108), 1)), 2, 2), """")-$G108)/$G108, ($G108-IFERROR(IND"&amp;"EX(GOOGLEFINANCE($C108, ""price"", WORKDAY(INT($B108), 1)), 2, 2), """"))/$G108))"),-0.013006503251625714)</f>
        <v>-0.01300650325</v>
      </c>
      <c r="R108" s="16">
        <f>IFERROR(__xludf.DUMMYFUNCTION("IF(OR(ISBLANK($G108), IFERROR(INDEX(GOOGLEFINANCE($C108, ""price"", WORKDAY(INT($B108), 5)), 2, 2), """")=""""), """", IF($D108=""LONG"", (IFERROR(INDEX(GOOGLEFINANCE($C108, ""price"", WORKDAY(INT($B108), 5)), 2, 2), """")-$G108)/$G108, ($G108-IFERROR(IND"&amp;"EX(GOOGLEFINANCE($C108, ""price"", WORKDAY(INT($B108), 5)), 2, 2), """"))/$G108))"),-0.010255127563781807)</f>
        <v>-0.01025512756</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1469</v>
      </c>
      <c r="U108" s="10" t="s">
        <v>984</v>
      </c>
      <c r="V108" s="10" t="s">
        <v>998</v>
      </c>
      <c r="W108" s="10" t="s">
        <v>51</v>
      </c>
      <c r="X108" s="10" t="s">
        <v>984</v>
      </c>
    </row>
    <row r="109">
      <c r="A109" s="9">
        <f t="shared" si="1"/>
        <v>108</v>
      </c>
      <c r="B109" s="11">
        <v>46217.66769675926</v>
      </c>
      <c r="C109" s="10" t="s">
        <v>426</v>
      </c>
      <c r="D109" s="10" t="s">
        <v>36</v>
      </c>
      <c r="E109" s="10" t="s">
        <v>133</v>
      </c>
      <c r="F109" s="13">
        <v>2.0</v>
      </c>
      <c r="G109" s="14">
        <v>534.5</v>
      </c>
      <c r="H109" s="10" t="s">
        <v>1473</v>
      </c>
      <c r="I109" s="10">
        <v>85.7</v>
      </c>
      <c r="O109" s="15">
        <f>IFERROR(__xludf.DUMMYFUNCTION("IF(ISBLANK($C109), """", GOOGLEFINANCE($C109, ""price""))"),580.02)</f>
        <v>580.02</v>
      </c>
      <c r="P109" s="16">
        <f t="shared" si="2"/>
        <v>0.0851637044</v>
      </c>
      <c r="Q109" s="16">
        <f>IFERROR(__xludf.DUMMYFUNCTION("IF(OR(ISBLANK($G109), IFERROR(INDEX(GOOGLEFINANCE($C109, ""price"", WORKDAY(INT($B109), 1)), 2, 2), """")=""""), """", IF($D109=""LONG"", (IFERROR(INDEX(GOOGLEFINANCE($C109, ""price"", WORKDAY(INT($B109), 1)), 2, 2), """")-$G109)/$G109, ($G109-IFERROR(IND"&amp;"EX(GOOGLEFINANCE($C109, ""price"", WORKDAY(INT($B109), 1)), 2, 2), """"))/$G109))"),0.0014780168381664427)</f>
        <v>0.001478016838</v>
      </c>
      <c r="R109" s="16">
        <f>IFERROR(__xludf.DUMMYFUNCTION("IF(OR(ISBLANK($G109), IFERROR(INDEX(GOOGLEFINANCE($C109, ""price"", WORKDAY(INT($B109), 5)), 2, 2), """")=""""), """", IF($D109=""LONG"", (IFERROR(INDEX(GOOGLEFINANCE($C109, ""price"", WORKDAY(INT($B109), 5)), 2, 2), """")-$G109)/$G109, ($G109-IFERROR(IND"&amp;"EX(GOOGLEFINANCE($C109, ""price"", WORKDAY(INT($B109), 5)), 2, 2), """"))/$G109))"),-0.0206548175865294)</f>
        <v>-0.02065481759</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1475</v>
      </c>
      <c r="U109" s="10" t="s">
        <v>984</v>
      </c>
      <c r="V109" s="10" t="s">
        <v>985</v>
      </c>
      <c r="W109" s="10" t="s">
        <v>51</v>
      </c>
      <c r="X109" s="10" t="s">
        <v>984</v>
      </c>
    </row>
    <row r="110">
      <c r="A110" s="9">
        <f t="shared" si="1"/>
        <v>109</v>
      </c>
      <c r="B110" s="11">
        <v>46217.66762731481</v>
      </c>
      <c r="C110" s="10" t="s">
        <v>415</v>
      </c>
      <c r="D110" s="10" t="s">
        <v>36</v>
      </c>
      <c r="E110" s="10" t="s">
        <v>37</v>
      </c>
      <c r="F110" s="13">
        <v>2.0</v>
      </c>
      <c r="G110" s="14">
        <v>457.42</v>
      </c>
      <c r="H110" s="10" t="s">
        <v>1477</v>
      </c>
      <c r="I110" s="10">
        <v>80.5</v>
      </c>
      <c r="O110" s="15">
        <f>IFERROR(__xludf.DUMMYFUNCTION("IF(ISBLANK($C110), """", GOOGLEFINANCE($C110, ""price""))"),437.65)</f>
        <v>437.65</v>
      </c>
      <c r="P110" s="16">
        <f t="shared" si="2"/>
        <v>-0.04322067247</v>
      </c>
      <c r="Q110" s="16">
        <f>IFERROR(__xludf.DUMMYFUNCTION("IF(OR(ISBLANK($G110), IFERROR(INDEX(GOOGLEFINANCE($C110, ""price"", WORKDAY(INT($B110), 1)), 2, 2), """")=""""), """", IF($D110=""LONG"", (IFERROR(INDEX(GOOGLEFINANCE($C110, ""price"", WORKDAY(INT($B110), 1)), 2, 2), """")-$G110)/$G110, ($G110-IFERROR(IND"&amp;"EX(GOOGLEFINANCE($C110, ""price"", WORKDAY(INT($B110), 1)), 2, 2), """"))/$G110))"),-0.09780945301910718)</f>
        <v>-0.09780945302</v>
      </c>
      <c r="R110" s="16">
        <f>IFERROR(__xludf.DUMMYFUNCTION("IF(OR(ISBLANK($G110), IFERROR(INDEX(GOOGLEFINANCE($C110, ""price"", WORKDAY(INT($B110), 5)), 2, 2), """")=""""), """", IF($D110=""LONG"", (IFERROR(INDEX(GOOGLEFINANCE($C110, ""price"", WORKDAY(INT($B110), 5)), 2, 2), """")-$G110)/$G110, ($G110-IFERROR(IND"&amp;"EX(GOOGLEFINANCE($C110, ""price"", WORKDAY(INT($B110), 5)), 2, 2), """"))/$G110))"),-0.11645752262690752)</f>
        <v>-0.1164575226</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1481</v>
      </c>
      <c r="U110" s="10" t="s">
        <v>984</v>
      </c>
      <c r="V110" s="10" t="s">
        <v>1059</v>
      </c>
      <c r="W110" s="10" t="s">
        <v>51</v>
      </c>
      <c r="X110" s="10" t="s">
        <v>984</v>
      </c>
    </row>
    <row r="111">
      <c r="A111" s="9">
        <f t="shared" si="1"/>
        <v>110</v>
      </c>
      <c r="B111" s="11">
        <v>46217.667395833334</v>
      </c>
      <c r="C111" s="10" t="s">
        <v>63</v>
      </c>
      <c r="D111" s="10" t="s">
        <v>36</v>
      </c>
      <c r="E111" s="10" t="s">
        <v>133</v>
      </c>
      <c r="F111" s="13">
        <v>2.0</v>
      </c>
      <c r="G111" s="14">
        <v>154.48</v>
      </c>
      <c r="H111" s="10" t="s">
        <v>1482</v>
      </c>
      <c r="I111" s="10">
        <v>82.2</v>
      </c>
      <c r="O111" s="15">
        <f>IFERROR(__xludf.DUMMYFUNCTION("IF(ISBLANK($C111), """", GOOGLEFINANCE($C111, ""price""))"),158.82)</f>
        <v>158.82</v>
      </c>
      <c r="P111" s="16">
        <f t="shared" si="2"/>
        <v>0.02809425168</v>
      </c>
      <c r="Q111" s="16">
        <f>IFERROR(__xludf.DUMMYFUNCTION("IF(OR(ISBLANK($G111), IFERROR(INDEX(GOOGLEFINANCE($C111, ""price"", WORKDAY(INT($B111), 1)), 2, 2), """")=""""), """", IF($D111=""LONG"", (IFERROR(INDEX(GOOGLEFINANCE($C111, ""price"", WORKDAY(INT($B111), 1)), 2, 2), """")-$G111)/$G111, ($G111-IFERROR(IND"&amp;"EX(GOOGLEFINANCE($C111, ""price"", WORKDAY(INT($B111), 1)), 2, 2), """"))/$G111))"),0.05094510616261008)</f>
        <v>0.05094510616</v>
      </c>
      <c r="R111" s="16">
        <f>IFERROR(__xludf.DUMMYFUNCTION("IF(OR(ISBLANK($G111), IFERROR(INDEX(GOOGLEFINANCE($C111, ""price"", WORKDAY(INT($B111), 5)), 2, 2), """")=""""), """", IF($D111=""LONG"", (IFERROR(INDEX(GOOGLEFINANCE($C111, ""price"", WORKDAY(INT($B111), 5)), 2, 2), """")-$G111)/$G111, ($G111-IFERROR(IND"&amp;"EX(GOOGLEFINANCE($C111, ""price"", WORKDAY(INT($B111), 5)), 2, 2), """"))/$G111))"),0.0285473847747281)</f>
        <v>0.02854738477</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1487</v>
      </c>
      <c r="U111" s="10" t="s">
        <v>984</v>
      </c>
      <c r="V111" s="10" t="s">
        <v>1086</v>
      </c>
      <c r="W111" s="10" t="s">
        <v>51</v>
      </c>
      <c r="X111" s="10" t="s">
        <v>984</v>
      </c>
    </row>
    <row r="112">
      <c r="A112" s="9">
        <f t="shared" si="1"/>
        <v>111</v>
      </c>
      <c r="B112" s="11">
        <v>46217.667546296296</v>
      </c>
      <c r="C112" s="10" t="s">
        <v>431</v>
      </c>
      <c r="D112" s="10" t="s">
        <v>119</v>
      </c>
      <c r="E112" s="10" t="s">
        <v>120</v>
      </c>
      <c r="F112" s="13">
        <v>4.0</v>
      </c>
      <c r="G112" s="14">
        <v>145.08</v>
      </c>
      <c r="H112" s="10" t="s">
        <v>1488</v>
      </c>
      <c r="I112" s="10">
        <v>5.9</v>
      </c>
      <c r="O112" s="15">
        <f>IFERROR(__xludf.DUMMYFUNCTION("IF(ISBLANK($C112), """", GOOGLEFINANCE($C112, ""price""))"),154.84)</f>
        <v>154.84</v>
      </c>
      <c r="P112" s="16">
        <f t="shared" si="2"/>
        <v>-0.06727322856</v>
      </c>
      <c r="Q112" s="16">
        <f>IFERROR(__xludf.DUMMYFUNCTION("IF(OR(ISBLANK($G112), IFERROR(INDEX(GOOGLEFINANCE($C112, ""price"", WORKDAY(INT($B112), 1)), 2, 2), """")=""""), """", IF($D112=""LONG"", (IFERROR(INDEX(GOOGLEFINANCE($C112, ""price"", WORKDAY(INT($B112), 1)), 2, 2), """")-$G112)/$G112, ($G112-IFERROR(IND"&amp;"EX(GOOGLEFINANCE($C112, ""price"", WORKDAY(INT($B112), 1)), 2, 2), """"))/$G112))"),0.0039288668320927875)</f>
        <v>0.003928866832</v>
      </c>
      <c r="R112" s="16">
        <f>IFERROR(__xludf.DUMMYFUNCTION("IF(OR(ISBLANK($G112), IFERROR(INDEX(GOOGLEFINANCE($C112, ""price"", WORKDAY(INT($B112), 5)), 2, 2), """")=""""), """", IF($D112=""LONG"", (IFERROR(INDEX(GOOGLEFINANCE($C112, ""price"", WORKDAY(INT($B112), 5)), 2, 2), """")-$G112)/$G112, ($G112-IFERROR(IND"&amp;"EX(GOOGLEFINANCE($C112, ""price"", WORKDAY(INT($B112), 5)), 2, 2), """"))/$G112))"),-0.04569892473118276)</f>
        <v>-0.04569892473</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1493</v>
      </c>
      <c r="U112" s="10" t="s">
        <v>984</v>
      </c>
      <c r="V112" s="10" t="s">
        <v>985</v>
      </c>
      <c r="W112" s="10" t="s">
        <v>51</v>
      </c>
      <c r="X112" s="10" t="s">
        <v>984</v>
      </c>
    </row>
    <row r="113">
      <c r="A113" s="9">
        <f t="shared" si="1"/>
        <v>112</v>
      </c>
      <c r="B113" s="11">
        <v>46217.6675</v>
      </c>
      <c r="C113" s="10" t="s">
        <v>422</v>
      </c>
      <c r="D113" s="10" t="s">
        <v>119</v>
      </c>
      <c r="E113" s="10" t="s">
        <v>120</v>
      </c>
      <c r="F113" s="13">
        <v>4.0</v>
      </c>
      <c r="G113" s="14">
        <v>247.5</v>
      </c>
      <c r="H113" s="10" t="s">
        <v>1494</v>
      </c>
      <c r="I113" s="10">
        <v>12.5</v>
      </c>
      <c r="O113" s="15">
        <f>IFERROR(__xludf.DUMMYFUNCTION("IF(ISBLANK($C113), """", GOOGLEFINANCE($C113, ""price""))"),272.26)</f>
        <v>272.26</v>
      </c>
      <c r="P113" s="16">
        <f t="shared" si="2"/>
        <v>-0.100040404</v>
      </c>
      <c r="Q113" s="16">
        <f>IFERROR(__xludf.DUMMYFUNCTION("IF(OR(ISBLANK($G113), IFERROR(INDEX(GOOGLEFINANCE($C113, ""price"", WORKDAY(INT($B113), 1)), 2, 2), """")=""""), """", IF($D113=""LONG"", (IFERROR(INDEX(GOOGLEFINANCE($C113, ""price"", WORKDAY(INT($B113), 1)), 2, 2), """")-$G113)/$G113, ($G113-IFERROR(IND"&amp;"EX(GOOGLEFINANCE($C113, ""price"", WORKDAY(INT($B113), 1)), 2, 2), """"))/$G113))"),-0.030141414141414174)</f>
        <v>-0.03014141414</v>
      </c>
      <c r="R113" s="16">
        <f>IFERROR(__xludf.DUMMYFUNCTION("IF(OR(ISBLANK($G113), IFERROR(INDEX(GOOGLEFINANCE($C113, ""price"", WORKDAY(INT($B113), 5)), 2, 2), """")=""""), """", IF($D113=""LONG"", (IFERROR(INDEX(GOOGLEFINANCE($C113, ""price"", WORKDAY(INT($B113), 5)), 2, 2), """")-$G113)/$G113, ($G113-IFERROR(IND"&amp;"EX(GOOGLEFINANCE($C113, ""price"", WORKDAY(INT($B113), 5)), 2, 2), """"))/$G113))"),-2.0202020202024796E-4)</f>
        <v>-0.000202020202</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1497</v>
      </c>
      <c r="U113" s="10" t="s">
        <v>984</v>
      </c>
      <c r="V113" s="10" t="s">
        <v>985</v>
      </c>
      <c r="W113" s="10" t="s">
        <v>51</v>
      </c>
      <c r="X113" s="10" t="s">
        <v>984</v>
      </c>
    </row>
    <row r="114">
      <c r="A114" s="9">
        <f t="shared" si="1"/>
        <v>113</v>
      </c>
      <c r="B114" s="11">
        <v>46217.667604166665</v>
      </c>
      <c r="C114" s="10" t="s">
        <v>226</v>
      </c>
      <c r="D114" s="10" t="s">
        <v>36</v>
      </c>
      <c r="E114" s="10" t="s">
        <v>37</v>
      </c>
      <c r="F114" s="13">
        <v>2.0</v>
      </c>
      <c r="G114" s="14">
        <v>21.65</v>
      </c>
      <c r="H114" s="10" t="s">
        <v>1500</v>
      </c>
      <c r="I114" s="10">
        <v>94.0</v>
      </c>
      <c r="O114" s="15">
        <f>IFERROR(__xludf.DUMMYFUNCTION("IF(ISBLANK($C114), """", GOOGLEFINANCE($C114, ""price""))"),21.1)</f>
        <v>21.1</v>
      </c>
      <c r="P114" s="16">
        <f t="shared" si="2"/>
        <v>-0.02540415704</v>
      </c>
      <c r="Q114" s="16">
        <f>IFERROR(__xludf.DUMMYFUNCTION("IF(OR(ISBLANK($G114), IFERROR(INDEX(GOOGLEFINANCE($C114, ""price"", WORKDAY(INT($B114), 1)), 2, 2), """")=""""), """", IF($D114=""LONG"", (IFERROR(INDEX(GOOGLEFINANCE($C114, ""price"", WORKDAY(INT($B114), 1)), 2, 2), """")-$G114)/$G114, ($G114-IFERROR(IND"&amp;"EX(GOOGLEFINANCE($C114, ""price"", WORKDAY(INT($B114), 1)), 2, 2), """"))/$G114))"),0.004157043879907615)</f>
        <v>0.00415704388</v>
      </c>
      <c r="R114" s="16">
        <f>IFERROR(__xludf.DUMMYFUNCTION("IF(OR(ISBLANK($G114), IFERROR(INDEX(GOOGLEFINANCE($C114, ""price"", WORKDAY(INT($B114), 5)), 2, 2), """")=""""), """", IF($D114=""LONG"", (IFERROR(INDEX(GOOGLEFINANCE($C114, ""price"", WORKDAY(INT($B114), 5)), 2, 2), """")-$G114)/$G114, ($G114-IFERROR(IND"&amp;"EX(GOOGLEFINANCE($C114, ""price"", WORKDAY(INT($B114), 5)), 2, 2), """"))/$G114))"),0.043879907621247244)</f>
        <v>0.04387990762</v>
      </c>
      <c r="S114" s="16" t="str">
        <f>IFERROR(__xludf.DUMMYFUNCTION("IF(OR(ISBLANK($G114), IFERROR(INDEX(GOOGLEFINANCE($C114, ""price"", WORKDAY(INT($B114), 20)), 2, 2), """")=""""), """", IF($D114=""LONG"", (IFERROR(INDEX(GOOGLEFINANCE($C114, ""price"", WORKDAY(INT($B114), 20)), 2, 2), """")-$G114)/$G114, ($G114-IFERROR(I"&amp;"NDEX(GOOGLEFINANCE($C114, ""price"", WORKDAY(INT($B114), 20)), 2, 2), """"))/$G114))"),"")</f>
        <v/>
      </c>
      <c r="T114" s="10" t="s">
        <v>1506</v>
      </c>
      <c r="U114" s="10" t="s">
        <v>984</v>
      </c>
      <c r="V114" s="10" t="s">
        <v>998</v>
      </c>
      <c r="W114" s="10" t="s">
        <v>51</v>
      </c>
      <c r="X114" s="10" t="s">
        <v>984</v>
      </c>
    </row>
    <row r="115">
      <c r="A115" s="9">
        <f t="shared" si="1"/>
        <v>114</v>
      </c>
      <c r="B115" s="11">
        <v>46217.66773148148</v>
      </c>
      <c r="C115" s="10" t="s">
        <v>1507</v>
      </c>
      <c r="D115" s="10" t="s">
        <v>36</v>
      </c>
      <c r="E115" s="10" t="s">
        <v>133</v>
      </c>
      <c r="F115" s="13">
        <v>2.0</v>
      </c>
      <c r="G115" s="14">
        <v>75.91</v>
      </c>
      <c r="H115" s="10" t="s">
        <v>1508</v>
      </c>
      <c r="I115" s="10">
        <v>94.0</v>
      </c>
      <c r="O115" s="15">
        <f>IFERROR(__xludf.DUMMYFUNCTION("IF(ISBLANK($C115), """", GOOGLEFINANCE($C115, ""price""))"),87.69)</f>
        <v>87.69</v>
      </c>
      <c r="P115" s="16">
        <f t="shared" si="2"/>
        <v>0.1551837703</v>
      </c>
      <c r="Q115" s="16">
        <f>IFERROR(__xludf.DUMMYFUNCTION("IF(OR(ISBLANK($G115), IFERROR(INDEX(GOOGLEFINANCE($C115, ""price"", WORKDAY(INT($B115), 1)), 2, 2), """")=""""), """", IF($D115=""LONG"", (IFERROR(INDEX(GOOGLEFINANCE($C115, ""price"", WORKDAY(INT($B115), 1)), 2, 2), """")-$G115)/$G115, ($G115-IFERROR(IND"&amp;"EX(GOOGLEFINANCE($C115, ""price"", WORKDAY(INT($B115), 1)), 2, 2), """"))/$G115))"),0.030430773284152317)</f>
        <v>0.03043077328</v>
      </c>
      <c r="R115" s="16">
        <f>IFERROR(__xludf.DUMMYFUNCTION("IF(OR(ISBLANK($G115), IFERROR(INDEX(GOOGLEFINANCE($C115, ""price"", WORKDAY(INT($B115), 5)), 2, 2), """")=""""), """", IF($D115=""LONG"", (IFERROR(INDEX(GOOGLEFINANCE($C115, ""price"", WORKDAY(INT($B115), 5)), 2, 2), """")-$G115)/$G115, ($G115-IFERROR(IND"&amp;"EX(GOOGLEFINANCE($C115, ""price"", WORKDAY(INT($B115), 5)), 2, 2), """"))/$G115))"),0.05480173890133048)</f>
        <v>0.0548017389</v>
      </c>
      <c r="S115" s="16" t="str">
        <f>IFERROR(__xludf.DUMMYFUNCTION("IF(OR(ISBLANK($G115), IFERROR(INDEX(GOOGLEFINANCE($C115, ""price"", WORKDAY(INT($B115), 20)), 2, 2), """")=""""), """", IF($D115=""LONG"", (IFERROR(INDEX(GOOGLEFINANCE($C115, ""price"", WORKDAY(INT($B115), 20)), 2, 2), """")-$G115)/$G115, ($G115-IFERROR(I"&amp;"NDEX(GOOGLEFINANCE($C115, ""price"", WORKDAY(INT($B115), 20)), 2, 2), """"))/$G115))"),"")</f>
        <v/>
      </c>
      <c r="T115" s="10" t="s">
        <v>1512</v>
      </c>
      <c r="U115" s="10" t="s">
        <v>984</v>
      </c>
      <c r="V115" s="10" t="s">
        <v>985</v>
      </c>
      <c r="W115" s="10" t="s">
        <v>51</v>
      </c>
      <c r="X115" s="10" t="s">
        <v>984</v>
      </c>
    </row>
    <row r="116">
      <c r="A116" s="9">
        <f t="shared" si="1"/>
        <v>115</v>
      </c>
      <c r="B116" s="11">
        <v>46217.66737268519</v>
      </c>
      <c r="C116" s="10" t="s">
        <v>1171</v>
      </c>
      <c r="D116" s="10" t="s">
        <v>36</v>
      </c>
      <c r="E116" s="10" t="s">
        <v>37</v>
      </c>
      <c r="F116" s="13">
        <v>2.0</v>
      </c>
      <c r="G116" s="14">
        <v>236.02</v>
      </c>
      <c r="H116" s="10" t="s">
        <v>1513</v>
      </c>
      <c r="I116" s="10">
        <v>89.1</v>
      </c>
      <c r="O116" s="15">
        <f>IFERROR(__xludf.DUMMYFUNCTION("IF(ISBLANK($C116), """", GOOGLEFINANCE($C116, ""price""))"),236.0)</f>
        <v>236</v>
      </c>
      <c r="P116" s="16">
        <f t="shared" si="2"/>
        <v>-0.00008473858148</v>
      </c>
      <c r="Q116" s="16">
        <f>IFERROR(__xludf.DUMMYFUNCTION("IF(OR(ISBLANK($G116), IFERROR(INDEX(GOOGLEFINANCE($C116, ""price"", WORKDAY(INT($B116), 1)), 2, 2), """")=""""), """", IF($D116=""LONG"", (IFERROR(INDEX(GOOGLEFINANCE($C116, ""price"", WORKDAY(INT($B116), 1)), 2, 2), """")-$G116)/$G116, ($G116-IFERROR(IND"&amp;"EX(GOOGLEFINANCE($C116, ""price"", WORKDAY(INT($B116), 1)), 2, 2), """"))/$G116))"),-0.011566816371494018)</f>
        <v>-0.01156681637</v>
      </c>
      <c r="R116" s="16">
        <f>IFERROR(__xludf.DUMMYFUNCTION("IF(OR(ISBLANK($G116), IFERROR(INDEX(GOOGLEFINANCE($C116, ""price"", WORKDAY(INT($B116), 5)), 2, 2), """")=""""), """", IF($D116=""LONG"", (IFERROR(INDEX(GOOGLEFINANCE($C116, ""price"", WORKDAY(INT($B116), 5)), 2, 2), """")-$G116)/$G116, ($G116-IFERROR(IND"&amp;"EX(GOOGLEFINANCE($C116, ""price"", WORKDAY(INT($B116), 5)), 2, 2), """"))/$G116))"),0.043852215913905576)</f>
        <v>0.04385221591</v>
      </c>
      <c r="S116" s="16" t="str">
        <f>IFERROR(__xludf.DUMMYFUNCTION("IF(OR(ISBLANK($G116), IFERROR(INDEX(GOOGLEFINANCE($C116, ""price"", WORKDAY(INT($B116), 20)), 2, 2), """")=""""), """", IF($D116=""LONG"", (IFERROR(INDEX(GOOGLEFINANCE($C116, ""price"", WORKDAY(INT($B116), 20)), 2, 2), """")-$G116)/$G116, ($G116-IFERROR(I"&amp;"NDEX(GOOGLEFINANCE($C116, ""price"", WORKDAY(INT($B116), 20)), 2, 2), """"))/$G116))"),"")</f>
        <v/>
      </c>
      <c r="T116" s="10" t="s">
        <v>1515</v>
      </c>
      <c r="U116" s="10" t="s">
        <v>984</v>
      </c>
      <c r="V116" s="10" t="s">
        <v>998</v>
      </c>
      <c r="W116" s="10" t="s">
        <v>51</v>
      </c>
      <c r="X116" s="10" t="s">
        <v>984</v>
      </c>
    </row>
    <row r="117">
      <c r="A117" s="9">
        <f t="shared" si="1"/>
        <v>116</v>
      </c>
      <c r="B117" s="11">
        <v>46217.667604166665</v>
      </c>
      <c r="C117" s="10" t="s">
        <v>264</v>
      </c>
      <c r="D117" s="10" t="s">
        <v>36</v>
      </c>
      <c r="E117" s="10" t="s">
        <v>133</v>
      </c>
      <c r="F117" s="13">
        <v>2.0</v>
      </c>
      <c r="G117" s="14">
        <v>352.81</v>
      </c>
      <c r="H117" s="10" t="s">
        <v>1518</v>
      </c>
      <c r="I117" s="10">
        <v>91.9</v>
      </c>
      <c r="O117" s="15">
        <f>IFERROR(__xludf.DUMMYFUNCTION("IF(ISBLANK($C117), """", GOOGLEFINANCE($C117, ""price""))"),359.49)</f>
        <v>359.49</v>
      </c>
      <c r="P117" s="16">
        <f t="shared" si="2"/>
        <v>0.01893370369</v>
      </c>
      <c r="Q117" s="16">
        <f>IFERROR(__xludf.DUMMYFUNCTION("IF(OR(ISBLANK($G117), IFERROR(INDEX(GOOGLEFINANCE($C117, ""price"", WORKDAY(INT($B117), 1)), 2, 2), """")=""""), """", IF($D117=""LONG"", (IFERROR(INDEX(GOOGLEFINANCE($C117, ""price"", WORKDAY(INT($B117), 1)), 2, 2), """")-$G117)/$G117, ($G117-IFERROR(IND"&amp;"EX(GOOGLEFINANCE($C117, ""price"", WORKDAY(INT($B117), 1)), 2, 2), """"))/$G117))"),0.00342960800430821)</f>
        <v>0.003429608004</v>
      </c>
      <c r="R117" s="16">
        <f>IFERROR(__xludf.DUMMYFUNCTION("IF(OR(ISBLANK($G117), IFERROR(INDEX(GOOGLEFINANCE($C117, ""price"", WORKDAY(INT($B117), 5)), 2, 2), """")=""""), """", IF($D117=""LONG"", (IFERROR(INDEX(GOOGLEFINANCE($C117, ""price"", WORKDAY(INT($B117), 5)), 2, 2), """")-$G117)/$G117, ($G117-IFERROR(IND"&amp;"EX(GOOGLEFINANCE($C117, ""price"", WORKDAY(INT($B117), 5)), 2, 2), """"))/$G117))"),-0.03021456307927787)</f>
        <v>-0.03021456308</v>
      </c>
      <c r="S117" s="16" t="str">
        <f>IFERROR(__xludf.DUMMYFUNCTION("IF(OR(ISBLANK($G117), IFERROR(INDEX(GOOGLEFINANCE($C117, ""price"", WORKDAY(INT($B117), 20)), 2, 2), """")=""""), """", IF($D117=""LONG"", (IFERROR(INDEX(GOOGLEFINANCE($C117, ""price"", WORKDAY(INT($B117), 20)), 2, 2), """")-$G117)/$G117, ($G117-IFERROR(I"&amp;"NDEX(GOOGLEFINANCE($C117, ""price"", WORKDAY(INT($B117), 20)), 2, 2), """"))/$G117))"),"")</f>
        <v/>
      </c>
      <c r="T117" s="10" t="s">
        <v>1521</v>
      </c>
      <c r="U117" s="10" t="s">
        <v>984</v>
      </c>
      <c r="V117" s="10" t="s">
        <v>1393</v>
      </c>
      <c r="W117" s="10" t="s">
        <v>51</v>
      </c>
      <c r="X117" s="10" t="s">
        <v>984</v>
      </c>
    </row>
    <row r="118">
      <c r="A118" s="9">
        <f t="shared" si="1"/>
        <v>117</v>
      </c>
      <c r="B118" s="11">
        <v>46217.66768518519</v>
      </c>
      <c r="C118" s="10" t="s">
        <v>142</v>
      </c>
      <c r="D118" s="10" t="s">
        <v>119</v>
      </c>
      <c r="E118" s="10" t="s">
        <v>120</v>
      </c>
      <c r="F118" s="13">
        <v>4.0</v>
      </c>
      <c r="G118" s="14">
        <v>87.07</v>
      </c>
      <c r="H118" s="10" t="s">
        <v>1524</v>
      </c>
      <c r="I118" s="10">
        <v>15.4</v>
      </c>
      <c r="O118" s="15">
        <f>IFERROR(__xludf.DUMMYFUNCTION("IF(ISBLANK($C118), """", GOOGLEFINANCE($C118, ""price""))"),74.36)</f>
        <v>74.36</v>
      </c>
      <c r="P118" s="16">
        <f t="shared" si="2"/>
        <v>0.1459745033</v>
      </c>
      <c r="Q118" s="16">
        <f>IFERROR(__xludf.DUMMYFUNCTION("IF(OR(ISBLANK($G118), IFERROR(INDEX(GOOGLEFINANCE($C118, ""price"", WORKDAY(INT($B118), 1)), 2, 2), """")=""""), """", IF($D118=""LONG"", (IFERROR(INDEX(GOOGLEFINANCE($C118, ""price"", WORKDAY(INT($B118), 1)), 2, 2), """")-$G118)/$G118, ($G118-IFERROR(IND"&amp;"EX(GOOGLEFINANCE($C118, ""price"", WORKDAY(INT($B118), 1)), 2, 2), """"))/$G118))"),0.00930285976800262)</f>
        <v>0.009302859768</v>
      </c>
      <c r="R118" s="16">
        <f>IFERROR(__xludf.DUMMYFUNCTION("IF(OR(ISBLANK($G118), IFERROR(INDEX(GOOGLEFINANCE($C118, ""price"", WORKDAY(INT($B118), 5)), 2, 2), """")=""""), """", IF($D118=""LONG"", (IFERROR(INDEX(GOOGLEFINANCE($C118, ""price"", WORKDAY(INT($B118), 5)), 2, 2), """")-$G118)/$G118, ($G118-IFERROR(IND"&amp;"EX(GOOGLEFINANCE($C118, ""price"", WORKDAY(INT($B118), 5)), 2, 2), """"))/$G118))"),0.0423796944986792)</f>
        <v>0.0423796945</v>
      </c>
      <c r="S118" s="16" t="str">
        <f>IFERROR(__xludf.DUMMYFUNCTION("IF(OR(ISBLANK($G118), IFERROR(INDEX(GOOGLEFINANCE($C118, ""price"", WORKDAY(INT($B118), 20)), 2, 2), """")=""""), """", IF($D118=""LONG"", (IFERROR(INDEX(GOOGLEFINANCE($C118, ""price"", WORKDAY(INT($B118), 20)), 2, 2), """")-$G118)/$G118, ($G118-IFERROR(I"&amp;"NDEX(GOOGLEFINANCE($C118, ""price"", WORKDAY(INT($B118), 20)), 2, 2), """"))/$G118))"),"")</f>
        <v/>
      </c>
      <c r="T118" s="10" t="s">
        <v>1527</v>
      </c>
      <c r="U118" s="10" t="s">
        <v>984</v>
      </c>
      <c r="V118" s="10" t="s">
        <v>985</v>
      </c>
      <c r="W118" s="10" t="s">
        <v>51</v>
      </c>
      <c r="X118" s="10" t="s">
        <v>984</v>
      </c>
    </row>
    <row r="119">
      <c r="A119" s="9">
        <f t="shared" si="1"/>
        <v>118</v>
      </c>
      <c r="B119" s="11">
        <v>46217.667719907404</v>
      </c>
      <c r="C119" s="10" t="s">
        <v>386</v>
      </c>
      <c r="D119" s="10" t="s">
        <v>36</v>
      </c>
      <c r="E119" s="10" t="s">
        <v>37</v>
      </c>
      <c r="F119" s="13">
        <v>2.0</v>
      </c>
      <c r="G119" s="14">
        <v>406.76</v>
      </c>
      <c r="H119" s="10" t="s">
        <v>1528</v>
      </c>
      <c r="I119" s="10">
        <v>88.6</v>
      </c>
      <c r="O119" s="15">
        <f>IFERROR(__xludf.DUMMYFUNCTION("IF(ISBLANK($C119), """", GOOGLEFINANCE($C119, ""price""))"),367.24)</f>
        <v>367.24</v>
      </c>
      <c r="P119" s="16">
        <f t="shared" si="2"/>
        <v>-0.0971580293</v>
      </c>
      <c r="Q119" s="16">
        <f>IFERROR(__xludf.DUMMYFUNCTION("IF(OR(ISBLANK($G119), IFERROR(INDEX(GOOGLEFINANCE($C119, ""price"", WORKDAY(INT($B119), 1)), 2, 2), """")=""""), """", IF($D119=""LONG"", (IFERROR(INDEX(GOOGLEFINANCE($C119, ""price"", WORKDAY(INT($B119), 1)), 2, 2), """")-$G119)/$G119, ($G119-IFERROR(IND"&amp;"EX(GOOGLEFINANCE($C119, ""price"", WORKDAY(INT($B119), 1)), 2, 2), """"))/$G119))"),0.0025076212016913704)</f>
        <v>0.002507621202</v>
      </c>
      <c r="R119" s="16">
        <f>IFERROR(__xludf.DUMMYFUNCTION("IF(OR(ISBLANK($G119), IFERROR(INDEX(GOOGLEFINANCE($C119, ""price"", WORKDAY(INT($B119), 5)), 2, 2), """")=""""), """", IF($D119=""LONG"", (IFERROR(INDEX(GOOGLEFINANCE($C119, ""price"", WORKDAY(INT($B119), 5)), 2, 2), """")-$G119)/$G119, ($G119-IFERROR(IND"&amp;"EX(GOOGLEFINANCE($C119, ""price"", WORKDAY(INT($B119), 5)), 2, 2), """"))/$G119))"),-0.005949454223620847)</f>
        <v>-0.005949454224</v>
      </c>
      <c r="S119" s="16" t="str">
        <f>IFERROR(__xludf.DUMMYFUNCTION("IF(OR(ISBLANK($G119), IFERROR(INDEX(GOOGLEFINANCE($C119, ""price"", WORKDAY(INT($B119), 20)), 2, 2), """")=""""), """", IF($D119=""LONG"", (IFERROR(INDEX(GOOGLEFINANCE($C119, ""price"", WORKDAY(INT($B119), 20)), 2, 2), """")-$G119)/$G119, ($G119-IFERROR(I"&amp;"NDEX(GOOGLEFINANCE($C119, ""price"", WORKDAY(INT($B119), 20)), 2, 2), """"))/$G119))"),"")</f>
        <v/>
      </c>
      <c r="T119" s="10" t="s">
        <v>1531</v>
      </c>
      <c r="U119" s="10" t="s">
        <v>984</v>
      </c>
      <c r="V119" s="10" t="s">
        <v>1086</v>
      </c>
      <c r="W119" s="10" t="s">
        <v>51</v>
      </c>
      <c r="X119" s="10" t="s">
        <v>984</v>
      </c>
    </row>
    <row r="120">
      <c r="A120" s="9">
        <f t="shared" si="1"/>
        <v>119</v>
      </c>
      <c r="B120" s="11">
        <v>46217.66777777778</v>
      </c>
      <c r="C120" s="10" t="s">
        <v>1255</v>
      </c>
      <c r="D120" s="10" t="s">
        <v>36</v>
      </c>
      <c r="E120" s="10" t="s">
        <v>37</v>
      </c>
      <c r="F120" s="13">
        <v>2.0</v>
      </c>
      <c r="G120" s="14">
        <v>76.58</v>
      </c>
      <c r="H120" s="10" t="s">
        <v>1534</v>
      </c>
      <c r="I120" s="10">
        <v>90.0</v>
      </c>
      <c r="O120" s="15">
        <f>IFERROR(__xludf.DUMMYFUNCTION("IF(ISBLANK($C120), """", GOOGLEFINANCE($C120, ""price""))"),67.23)</f>
        <v>67.23</v>
      </c>
      <c r="P120" s="16">
        <f t="shared" si="2"/>
        <v>-0.1220945417</v>
      </c>
      <c r="Q120" s="16">
        <f>IFERROR(__xludf.DUMMYFUNCTION("IF(OR(ISBLANK($G120), IFERROR(INDEX(GOOGLEFINANCE($C120, ""price"", WORKDAY(INT($B120), 1)), 2, 2), """")=""""), """", IF($D120=""LONG"", (IFERROR(INDEX(GOOGLEFINANCE($C120, ""price"", WORKDAY(INT($B120), 1)), 2, 2), """")-$G120)/$G120, ($G120-IFERROR(IND"&amp;"EX(GOOGLEFINANCE($C120, ""price"", WORKDAY(INT($B120), 1)), 2, 2), """"))/$G120))"),0.001305823974928291)</f>
        <v>0.001305823975</v>
      </c>
      <c r="R120" s="16">
        <f>IFERROR(__xludf.DUMMYFUNCTION("IF(OR(ISBLANK($G120), IFERROR(INDEX(GOOGLEFINANCE($C120, ""price"", WORKDAY(INT($B120), 5)), 2, 2), """")=""""), """", IF($D120=""LONG"", (IFERROR(INDEX(GOOGLEFINANCE($C120, ""price"", WORKDAY(INT($B120), 5)), 2, 2), """")-$G120)/$G120, ($G120-IFERROR(IND"&amp;"EX(GOOGLEFINANCE($C120, ""price"", WORKDAY(INT($B120), 5)), 2, 2), """"))/$G120))"),0.020762601201358102)</f>
        <v>0.0207626012</v>
      </c>
      <c r="S120" s="16" t="str">
        <f>IFERROR(__xludf.DUMMYFUNCTION("IF(OR(ISBLANK($G120), IFERROR(INDEX(GOOGLEFINANCE($C120, ""price"", WORKDAY(INT($B120), 20)), 2, 2), """")=""""), """", IF($D120=""LONG"", (IFERROR(INDEX(GOOGLEFINANCE($C120, ""price"", WORKDAY(INT($B120), 20)), 2, 2), """")-$G120)/$G120, ($G120-IFERROR(I"&amp;"NDEX(GOOGLEFINANCE($C120, ""price"", WORKDAY(INT($B120), 20)), 2, 2), """"))/$G120))"),"")</f>
        <v/>
      </c>
      <c r="T120" s="10" t="s">
        <v>1537</v>
      </c>
      <c r="U120" s="10" t="s">
        <v>984</v>
      </c>
      <c r="V120" s="10" t="s">
        <v>1086</v>
      </c>
      <c r="W120" s="10" t="s">
        <v>51</v>
      </c>
      <c r="X120" s="10" t="s">
        <v>984</v>
      </c>
    </row>
    <row r="121">
      <c r="A121" s="9">
        <f t="shared" si="1"/>
        <v>120</v>
      </c>
      <c r="B121" s="11">
        <v>46217.66736111111</v>
      </c>
      <c r="C121" s="10" t="s">
        <v>1226</v>
      </c>
      <c r="D121" s="10" t="s">
        <v>36</v>
      </c>
      <c r="E121" s="10" t="s">
        <v>37</v>
      </c>
      <c r="F121" s="13">
        <v>2.0</v>
      </c>
      <c r="G121" s="14">
        <v>237.01</v>
      </c>
      <c r="H121" s="10" t="s">
        <v>1540</v>
      </c>
      <c r="I121" s="10">
        <v>95.5</v>
      </c>
      <c r="O121" s="15">
        <f>IFERROR(__xludf.DUMMYFUNCTION("IF(ISBLANK($C121), """", GOOGLEFINANCE($C121, ""price""))"),232.47)</f>
        <v>232.47</v>
      </c>
      <c r="P121" s="16">
        <f t="shared" si="2"/>
        <v>-0.0191553099</v>
      </c>
      <c r="Q121" s="16">
        <f>IFERROR(__xludf.DUMMYFUNCTION("IF(OR(ISBLANK($G121), IFERROR(INDEX(GOOGLEFINANCE($C121, ""price"", WORKDAY(INT($B121), 1)), 2, 2), """")=""""), """", IF($D121=""LONG"", (IFERROR(INDEX(GOOGLEFINANCE($C121, ""price"", WORKDAY(INT($B121), 1)), 2, 2), """")-$G121)/$G121, ($G121-IFERROR(IND"&amp;"EX(GOOGLEFINANCE($C121, ""price"", WORKDAY(INT($B121), 1)), 2, 2), """"))/$G121))"),0.02864858022868242)</f>
        <v>0.02864858023</v>
      </c>
      <c r="R121" s="16">
        <f>IFERROR(__xludf.DUMMYFUNCTION("IF(OR(ISBLANK($G121), IFERROR(INDEX(GOOGLEFINANCE($C121, ""price"", WORKDAY(INT($B121), 5)), 2, 2), """")=""""), """", IF($D121=""LONG"", (IFERROR(INDEX(GOOGLEFINANCE($C121, ""price"", WORKDAY(INT($B121), 5)), 2, 2), """")-$G121)/$G121, ($G121-IFERROR(IND"&amp;"EX(GOOGLEFINANCE($C121, ""price"", WORKDAY(INT($B121), 5)), 2, 2), """"))/$G121))"),-0.00455676975655029)</f>
        <v>-0.004556769757</v>
      </c>
      <c r="S121" s="16" t="str">
        <f>IFERROR(__xludf.DUMMYFUNCTION("IF(OR(ISBLANK($G121), IFERROR(INDEX(GOOGLEFINANCE($C121, ""price"", WORKDAY(INT($B121), 20)), 2, 2), """")=""""), """", IF($D121=""LONG"", (IFERROR(INDEX(GOOGLEFINANCE($C121, ""price"", WORKDAY(INT($B121), 20)), 2, 2), """")-$G121)/$G121, ($G121-IFERROR(I"&amp;"NDEX(GOOGLEFINANCE($C121, ""price"", WORKDAY(INT($B121), 20)), 2, 2), """"))/$G121))"),"")</f>
        <v/>
      </c>
      <c r="T121" s="10" t="s">
        <v>1546</v>
      </c>
      <c r="U121" s="10" t="s">
        <v>507</v>
      </c>
      <c r="V121" s="10" t="s">
        <v>1547</v>
      </c>
      <c r="W121" s="10" t="s">
        <v>51</v>
      </c>
      <c r="X121" s="10" t="s">
        <v>507</v>
      </c>
    </row>
    <row r="122">
      <c r="A122" s="9">
        <f t="shared" si="1"/>
        <v>121</v>
      </c>
      <c r="B122" s="11">
        <v>46217.66740740741</v>
      </c>
      <c r="C122" s="10" t="s">
        <v>170</v>
      </c>
      <c r="D122" s="10" t="s">
        <v>36</v>
      </c>
      <c r="E122" s="10" t="s">
        <v>87</v>
      </c>
      <c r="F122" s="13">
        <v>2.0</v>
      </c>
      <c r="G122" s="14">
        <v>71.31</v>
      </c>
      <c r="H122" s="10" t="s">
        <v>1549</v>
      </c>
      <c r="I122" s="10">
        <v>89.5</v>
      </c>
      <c r="O122" s="15">
        <f>IFERROR(__xludf.DUMMYFUNCTION("IF(ISBLANK($C122), """", GOOGLEFINANCE($C122, ""price""))"),66.8)</f>
        <v>66.8</v>
      </c>
      <c r="P122" s="16">
        <f t="shared" si="2"/>
        <v>-0.06324498668</v>
      </c>
      <c r="Q122" s="16">
        <f>IFERROR(__xludf.DUMMYFUNCTION("IF(OR(ISBLANK($G122), IFERROR(INDEX(GOOGLEFINANCE($C122, ""price"", WORKDAY(INT($B122), 1)), 2, 2), """")=""""), """", IF($D122=""LONG"", (IFERROR(INDEX(GOOGLEFINANCE($C122, ""price"", WORKDAY(INT($B122), 1)), 2, 2), """")-$G122)/$G122, ($G122-IFERROR(IND"&amp;"EX(GOOGLEFINANCE($C122, ""price"", WORKDAY(INT($B122), 1)), 2, 2), """"))/$G122))"),-0.004767914738465901)</f>
        <v>-0.004767914738</v>
      </c>
      <c r="R122" s="16">
        <f>IFERROR(__xludf.DUMMYFUNCTION("IF(OR(ISBLANK($G122), IFERROR(INDEX(GOOGLEFINANCE($C122, ""price"", WORKDAY(INT($B122), 5)), 2, 2), """")=""""), """", IF($D122=""LONG"", (IFERROR(INDEX(GOOGLEFINANCE($C122, ""price"", WORKDAY(INT($B122), 5)), 2, 2), """")-$G122)/$G122, ($G122-IFERROR(IND"&amp;"EX(GOOGLEFINANCE($C122, ""price"", WORKDAY(INT($B122), 5)), 2, 2), """"))/$G122))"),-0.020473986818118187)</f>
        <v>-0.02047398682</v>
      </c>
      <c r="S122" s="16" t="str">
        <f>IFERROR(__xludf.DUMMYFUNCTION("IF(OR(ISBLANK($G122), IFERROR(INDEX(GOOGLEFINANCE($C122, ""price"", WORKDAY(INT($B122), 20)), 2, 2), """")=""""), """", IF($D122=""LONG"", (IFERROR(INDEX(GOOGLEFINANCE($C122, ""price"", WORKDAY(INT($B122), 20)), 2, 2), """")-$G122)/$G122, ($G122-IFERROR(I"&amp;"NDEX(GOOGLEFINANCE($C122, ""price"", WORKDAY(INT($B122), 20)), 2, 2), """"))/$G122))"),"")</f>
        <v/>
      </c>
      <c r="T122" s="10" t="s">
        <v>1552</v>
      </c>
      <c r="U122" s="10" t="s">
        <v>507</v>
      </c>
      <c r="V122" s="10" t="s">
        <v>1554</v>
      </c>
      <c r="W122" s="10" t="s">
        <v>51</v>
      </c>
      <c r="X122" s="10" t="s">
        <v>507</v>
      </c>
    </row>
    <row r="123">
      <c r="A123" s="9">
        <f t="shared" si="1"/>
        <v>122</v>
      </c>
      <c r="B123" s="11">
        <v>46217.66744212963</v>
      </c>
      <c r="C123" s="10" t="s">
        <v>1555</v>
      </c>
      <c r="D123" s="10" t="s">
        <v>36</v>
      </c>
      <c r="E123" s="10" t="s">
        <v>133</v>
      </c>
      <c r="F123" s="13">
        <v>2.0</v>
      </c>
      <c r="G123" s="14">
        <v>371.99</v>
      </c>
      <c r="H123" s="10" t="s">
        <v>1556</v>
      </c>
      <c r="I123" s="10">
        <v>87.5</v>
      </c>
      <c r="O123" s="15">
        <f>IFERROR(__xludf.DUMMYFUNCTION("IF(ISBLANK($C123), """", GOOGLEFINANCE($C123, ""price""))"),370.35)</f>
        <v>370.35</v>
      </c>
      <c r="P123" s="16">
        <f t="shared" si="2"/>
        <v>-0.004408720665</v>
      </c>
      <c r="Q123" s="16">
        <f>IFERROR(__xludf.DUMMYFUNCTION("IF(OR(ISBLANK($G123), IFERROR(INDEX(GOOGLEFINANCE($C123, ""price"", WORKDAY(INT($B123), 1)), 2, 2), """")=""""), """", IF($D123=""LONG"", (IFERROR(INDEX(GOOGLEFINANCE($C123, ""price"", WORKDAY(INT($B123), 1)), 2, 2), """")-$G123)/$G123, ($G123-IFERROR(IND"&amp;"EX(GOOGLEFINANCE($C123, ""price"", WORKDAY(INT($B123), 1)), 2, 2), """"))/$G123))"),-0.02112960025807149)</f>
        <v>-0.02112960026</v>
      </c>
      <c r="R123" s="16">
        <f>IFERROR(__xludf.DUMMYFUNCTION("IF(OR(ISBLANK($G123), IFERROR(INDEX(GOOGLEFINANCE($C123, ""price"", WORKDAY(INT($B123), 5)), 2, 2), """")=""""), """", IF($D123=""LONG"", (IFERROR(INDEX(GOOGLEFINANCE($C123, ""price"", WORKDAY(INT($B123), 5)), 2, 2), """")-$G123)/$G123, ($G123-IFERROR(IND"&amp;"EX(GOOGLEFINANCE($C123, ""price"", WORKDAY(INT($B123), 5)), 2, 2), """"))/$G123))"),0.013710045968977569)</f>
        <v>0.01371004597</v>
      </c>
      <c r="S123" s="16" t="str">
        <f>IFERROR(__xludf.DUMMYFUNCTION("IF(OR(ISBLANK($G123), IFERROR(INDEX(GOOGLEFINANCE($C123, ""price"", WORKDAY(INT($B123), 20)), 2, 2), """")=""""), """", IF($D123=""LONG"", (IFERROR(INDEX(GOOGLEFINANCE($C123, ""price"", WORKDAY(INT($B123), 20)), 2, 2), """")-$G123)/$G123, ($G123-IFERROR(I"&amp;"NDEX(GOOGLEFINANCE($C123, ""price"", WORKDAY(INT($B123), 20)), 2, 2), """"))/$G123))"),"")</f>
        <v/>
      </c>
      <c r="T123" s="10" t="s">
        <v>1559</v>
      </c>
      <c r="U123" s="10" t="s">
        <v>507</v>
      </c>
      <c r="V123" s="10" t="s">
        <v>1560</v>
      </c>
      <c r="W123" s="10" t="s">
        <v>51</v>
      </c>
      <c r="X123" s="10" t="s">
        <v>507</v>
      </c>
    </row>
    <row r="124">
      <c r="A124" s="9">
        <f t="shared" si="1"/>
        <v>123</v>
      </c>
      <c r="B124" s="11">
        <v>46217.66773148148</v>
      </c>
      <c r="C124" s="10" t="s">
        <v>257</v>
      </c>
      <c r="D124" s="10" t="s">
        <v>36</v>
      </c>
      <c r="E124" s="10" t="s">
        <v>37</v>
      </c>
      <c r="F124" s="13">
        <v>2.0</v>
      </c>
      <c r="G124" s="14">
        <v>67.72</v>
      </c>
      <c r="H124" s="10" t="s">
        <v>1564</v>
      </c>
      <c r="I124" s="10">
        <v>94.4</v>
      </c>
      <c r="O124" s="15">
        <f>IFERROR(__xludf.DUMMYFUNCTION("IF(ISBLANK($C124), """", GOOGLEFINANCE($C124, ""price""))"),68.81)</f>
        <v>68.81</v>
      </c>
      <c r="P124" s="16">
        <f t="shared" si="2"/>
        <v>0.01609568813</v>
      </c>
      <c r="Q124" s="16">
        <f>IFERROR(__xludf.DUMMYFUNCTION("IF(OR(ISBLANK($G124), IFERROR(INDEX(GOOGLEFINANCE($C124, ""price"", WORKDAY(INT($B124), 1)), 2, 2), """")=""""), """", IF($D124=""LONG"", (IFERROR(INDEX(GOOGLEFINANCE($C124, ""price"", WORKDAY(INT($B124), 1)), 2, 2), """")-$G124)/$G124, ($G124-IFERROR(IND"&amp;"EX(GOOGLEFINANCE($C124, ""price"", WORKDAY(INT($B124), 1)), 2, 2), """"))/$G124))"),0.01801535735380979)</f>
        <v>0.01801535735</v>
      </c>
      <c r="R124" s="16">
        <f>IFERROR(__xludf.DUMMYFUNCTION("IF(OR(ISBLANK($G124), IFERROR(INDEX(GOOGLEFINANCE($C124, ""price"", WORKDAY(INT($B124), 5)), 2, 2), """")=""""), """", IF($D124=""LONG"", (IFERROR(INDEX(GOOGLEFINANCE($C124, ""price"", WORKDAY(INT($B124), 5)), 2, 2), """")-$G124)/$G124, ($G124-IFERROR(IND"&amp;"EX(GOOGLEFINANCE($C124, ""price"", WORKDAY(INT($B124), 5)), 2, 2), """"))/$G124))"),0.008712344949793317)</f>
        <v>0.00871234495</v>
      </c>
      <c r="S124" s="16" t="str">
        <f>IFERROR(__xludf.DUMMYFUNCTION("IF(OR(ISBLANK($G124), IFERROR(INDEX(GOOGLEFINANCE($C124, ""price"", WORKDAY(INT($B124), 20)), 2, 2), """")=""""), """", IF($D124=""LONG"", (IFERROR(INDEX(GOOGLEFINANCE($C124, ""price"", WORKDAY(INT($B124), 20)), 2, 2), """")-$G124)/$G124, ($G124-IFERROR(I"&amp;"NDEX(GOOGLEFINANCE($C124, ""price"", WORKDAY(INT($B124), 20)), 2, 2), """"))/$G124))"),"")</f>
        <v/>
      </c>
      <c r="T124" s="10" t="s">
        <v>1566</v>
      </c>
      <c r="U124" s="10" t="s">
        <v>507</v>
      </c>
      <c r="V124" s="10" t="s">
        <v>1567</v>
      </c>
      <c r="W124" s="10" t="s">
        <v>51</v>
      </c>
      <c r="X124" s="10" t="s">
        <v>507</v>
      </c>
    </row>
    <row r="125">
      <c r="A125" s="9">
        <f t="shared" si="1"/>
        <v>124</v>
      </c>
      <c r="B125" s="11">
        <v>46217.66773148148</v>
      </c>
      <c r="C125" s="10" t="s">
        <v>258</v>
      </c>
      <c r="D125" s="10" t="s">
        <v>36</v>
      </c>
      <c r="E125" s="10" t="s">
        <v>37</v>
      </c>
      <c r="F125" s="13">
        <v>2.0</v>
      </c>
      <c r="G125" s="14">
        <v>116.09</v>
      </c>
      <c r="H125" s="10" t="s">
        <v>1569</v>
      </c>
      <c r="I125" s="10">
        <v>94.5</v>
      </c>
      <c r="O125" s="15">
        <f>IFERROR(__xludf.DUMMYFUNCTION("IF(ISBLANK($C125), """", GOOGLEFINANCE($C125, ""price""))"),113.62)</f>
        <v>113.62</v>
      </c>
      <c r="P125" s="16">
        <f t="shared" si="2"/>
        <v>-0.02127659574</v>
      </c>
      <c r="Q125" s="16">
        <f>IFERROR(__xludf.DUMMYFUNCTION("IF(OR(ISBLANK($G125), IFERROR(INDEX(GOOGLEFINANCE($C125, ""price"", WORKDAY(INT($B125), 1)), 2, 2), """")=""""), """", IF($D125=""LONG"", (IFERROR(INDEX(GOOGLEFINANCE($C125, ""price"", WORKDAY(INT($B125), 1)), 2, 2), """")-$G125)/$G125, ($G125-IFERROR(IND"&amp;"EX(GOOGLEFINANCE($C125, ""price"", WORKDAY(INT($B125), 1)), 2, 2), """"))/$G125))"),0.0214488758721681)</f>
        <v>0.02144887587</v>
      </c>
      <c r="R125" s="16">
        <f>IFERROR(__xludf.DUMMYFUNCTION("IF(OR(ISBLANK($G125), IFERROR(INDEX(GOOGLEFINANCE($C125, ""price"", WORKDAY(INT($B125), 5)), 2, 2), """")=""""), """", IF($D125=""LONG"", (IFERROR(INDEX(GOOGLEFINANCE($C125, ""price"", WORKDAY(INT($B125), 5)), 2, 2), """")-$G125)/$G125, ($G125-IFERROR(IND"&amp;"EX(GOOGLEFINANCE($C125, ""price"", WORKDAY(INT($B125), 5)), 2, 2), """"))/$G125))"),0.013093289689034336)</f>
        <v>0.01309328969</v>
      </c>
      <c r="S125" s="16" t="str">
        <f>IFERROR(__xludf.DUMMYFUNCTION("IF(OR(ISBLANK($G125), IFERROR(INDEX(GOOGLEFINANCE($C125, ""price"", WORKDAY(INT($B125), 20)), 2, 2), """")=""""), """", IF($D125=""LONG"", (IFERROR(INDEX(GOOGLEFINANCE($C125, ""price"", WORKDAY(INT($B125), 20)), 2, 2), """")-$G125)/$G125, ($G125-IFERROR(I"&amp;"NDEX(GOOGLEFINANCE($C125, ""price"", WORKDAY(INT($B125), 20)), 2, 2), """"))/$G125))"),"")</f>
        <v/>
      </c>
      <c r="T125" s="10" t="s">
        <v>1573</v>
      </c>
      <c r="U125" s="10" t="s">
        <v>507</v>
      </c>
      <c r="V125" s="10" t="s">
        <v>1575</v>
      </c>
      <c r="W125" s="10" t="s">
        <v>51</v>
      </c>
      <c r="X125" s="10" t="s">
        <v>507</v>
      </c>
    </row>
    <row r="126">
      <c r="A126" s="9">
        <f t="shared" si="1"/>
        <v>125</v>
      </c>
      <c r="B126" s="11">
        <v>46217.66768518519</v>
      </c>
      <c r="C126" s="10" t="s">
        <v>383</v>
      </c>
      <c r="D126" s="10" t="s">
        <v>36</v>
      </c>
      <c r="E126" s="10" t="s">
        <v>37</v>
      </c>
      <c r="F126" s="13">
        <v>2.0</v>
      </c>
      <c r="G126" s="14">
        <v>964.28</v>
      </c>
      <c r="H126" s="10" t="s">
        <v>1576</v>
      </c>
      <c r="I126" s="10">
        <v>87.5</v>
      </c>
      <c r="O126" s="15">
        <f>IFERROR(__xludf.DUMMYFUNCTION("IF(ISBLANK($C126), """", GOOGLEFINANCE($C126, ""price""))"),1069.8)</f>
        <v>1069.8</v>
      </c>
      <c r="P126" s="16">
        <f t="shared" si="2"/>
        <v>0.1094287966</v>
      </c>
      <c r="Q126" s="16">
        <f>IFERROR(__xludf.DUMMYFUNCTION("IF(OR(ISBLANK($G126), IFERROR(INDEX(GOOGLEFINANCE($C126, ""price"", WORKDAY(INT($B126), 1)), 2, 2), """")=""""), """", IF($D126=""LONG"", (IFERROR(INDEX(GOOGLEFINANCE($C126, ""price"", WORKDAY(INT($B126), 1)), 2, 2), """")-$G126)/$G126, ($G126-IFERROR(IND"&amp;"EX(GOOGLEFINANCE($C126, ""price"", WORKDAY(INT($B126), 1)), 2, 2), """"))/$G126))"),-0.011749699257477006)</f>
        <v>-0.01174969926</v>
      </c>
      <c r="R126" s="16">
        <f>IFERROR(__xludf.DUMMYFUNCTION("IF(OR(ISBLANK($G126), IFERROR(INDEX(GOOGLEFINANCE($C126, ""price"", WORKDAY(INT($B126), 5)), 2, 2), """")=""""), """", IF($D126=""LONG"", (IFERROR(INDEX(GOOGLEFINANCE($C126, ""price"", WORKDAY(INT($B126), 5)), 2, 2), """")-$G126)/$G126, ($G126-IFERROR(IND"&amp;"EX(GOOGLEFINANCE($C126, ""price"", WORKDAY(INT($B126), 5)), 2, 2), """"))/$G126))"),-0.004874102957647086)</f>
        <v>-0.004874102958</v>
      </c>
      <c r="S126" s="16" t="str">
        <f>IFERROR(__xludf.DUMMYFUNCTION("IF(OR(ISBLANK($G126), IFERROR(INDEX(GOOGLEFINANCE($C126, ""price"", WORKDAY(INT($B126), 20)), 2, 2), """")=""""), """", IF($D126=""LONG"", (IFERROR(INDEX(GOOGLEFINANCE($C126, ""price"", WORKDAY(INT($B126), 20)), 2, 2), """")-$G126)/$G126, ($G126-IFERROR(I"&amp;"NDEX(GOOGLEFINANCE($C126, ""price"", WORKDAY(INT($B126), 20)), 2, 2), """"))/$G126))"),"")</f>
        <v/>
      </c>
      <c r="T126" s="10" t="s">
        <v>1580</v>
      </c>
      <c r="U126" s="10" t="s">
        <v>507</v>
      </c>
      <c r="V126" s="10" t="s">
        <v>1581</v>
      </c>
      <c r="W126" s="10" t="s">
        <v>51</v>
      </c>
      <c r="X126" s="10" t="s">
        <v>507</v>
      </c>
    </row>
    <row r="127">
      <c r="A127" s="9">
        <f t="shared" si="1"/>
        <v>126</v>
      </c>
      <c r="B127" s="11">
        <v>46217.66775462963</v>
      </c>
      <c r="C127" s="10" t="s">
        <v>134</v>
      </c>
      <c r="D127" s="10" t="s">
        <v>36</v>
      </c>
      <c r="E127" s="10" t="s">
        <v>37</v>
      </c>
      <c r="F127" s="13">
        <v>2.0</v>
      </c>
      <c r="G127" s="14">
        <v>269.84</v>
      </c>
      <c r="H127" s="10" t="s">
        <v>1582</v>
      </c>
      <c r="I127" s="10">
        <v>97.0</v>
      </c>
      <c r="O127" s="15">
        <f>IFERROR(__xludf.DUMMYFUNCTION("IF(ISBLANK($C127), """", GOOGLEFINANCE($C127, ""price""))"),283.46)</f>
        <v>283.46</v>
      </c>
      <c r="P127" s="16">
        <f t="shared" si="2"/>
        <v>0.05047435517</v>
      </c>
      <c r="Q127" s="16">
        <f>IFERROR(__xludf.DUMMYFUNCTION("IF(OR(ISBLANK($G127), IFERROR(INDEX(GOOGLEFINANCE($C127, ""price"", WORKDAY(INT($B127), 1)), 2, 2), """")=""""), """", IF($D127=""LONG"", (IFERROR(INDEX(GOOGLEFINANCE($C127, ""price"", WORKDAY(INT($B127), 1)), 2, 2), """")-$G127)/$G127, ($G127-IFERROR(IND"&amp;"EX(GOOGLEFINANCE($C127, ""price"", WORKDAY(INT($B127), 1)), 2, 2), """"))/$G127))"),0.0015194189149126335)</f>
        <v>0.001519418915</v>
      </c>
      <c r="R127" s="16">
        <f>IFERROR(__xludf.DUMMYFUNCTION("IF(OR(ISBLANK($G127), IFERROR(INDEX(GOOGLEFINANCE($C127, ""price"", WORKDAY(INT($B127), 5)), 2, 2), """")=""""), """", IF($D127=""LONG"", (IFERROR(INDEX(GOOGLEFINANCE($C127, ""price"", WORKDAY(INT($B127), 5)), 2, 2), """")-$G127)/$G127, ($G127-IFERROR(IND"&amp;"EX(GOOGLEFINANCE($C127, ""price"", WORKDAY(INT($B127), 5)), 2, 2), """"))/$G127))"),-0.02090127482952856)</f>
        <v>-0.02090127483</v>
      </c>
      <c r="S127" s="16" t="str">
        <f>IFERROR(__xludf.DUMMYFUNCTION("IF(OR(ISBLANK($G127), IFERROR(INDEX(GOOGLEFINANCE($C127, ""price"", WORKDAY(INT($B127), 20)), 2, 2), """")=""""), """", IF($D127=""LONG"", (IFERROR(INDEX(GOOGLEFINANCE($C127, ""price"", WORKDAY(INT($B127), 20)), 2, 2), """")-$G127)/$G127, ($G127-IFERROR(I"&amp;"NDEX(GOOGLEFINANCE($C127, ""price"", WORKDAY(INT($B127), 20)), 2, 2), """"))/$G127))"),"")</f>
        <v/>
      </c>
      <c r="T127" s="10" t="s">
        <v>1587</v>
      </c>
      <c r="U127" s="10" t="s">
        <v>507</v>
      </c>
      <c r="V127" s="10" t="s">
        <v>1588</v>
      </c>
      <c r="W127" s="10" t="s">
        <v>51</v>
      </c>
      <c r="X127" s="10" t="s">
        <v>507</v>
      </c>
    </row>
    <row r="128">
      <c r="A128" s="9">
        <f t="shared" si="1"/>
        <v>127</v>
      </c>
      <c r="B128" s="11">
        <v>46217.66775462963</v>
      </c>
      <c r="C128" s="10" t="s">
        <v>721</v>
      </c>
      <c r="D128" s="10" t="s">
        <v>36</v>
      </c>
      <c r="E128" s="10" t="s">
        <v>37</v>
      </c>
      <c r="F128" s="13">
        <v>2.0</v>
      </c>
      <c r="G128" s="14">
        <v>431.27</v>
      </c>
      <c r="H128" s="10" t="s">
        <v>1590</v>
      </c>
      <c r="I128" s="10">
        <v>77.6</v>
      </c>
      <c r="O128" s="15">
        <f>IFERROR(__xludf.DUMMYFUNCTION("IF(ISBLANK($C128), """", GOOGLEFINANCE($C128, ""price""))"),413.07)</f>
        <v>413.07</v>
      </c>
      <c r="P128" s="16">
        <f t="shared" si="2"/>
        <v>-0.04220094141</v>
      </c>
      <c r="Q128" s="16">
        <f>IFERROR(__xludf.DUMMYFUNCTION("IF(OR(ISBLANK($G128), IFERROR(INDEX(GOOGLEFINANCE($C128, ""price"", WORKDAY(INT($B128), 1)), 2, 2), """")=""""), """", IF($D128=""LONG"", (IFERROR(INDEX(GOOGLEFINANCE($C128, ""price"", WORKDAY(INT($B128), 1)), 2, 2), """")-$G128)/$G128, ($G128-IFERROR(IND"&amp;"EX(GOOGLEFINANCE($C128, ""price"", WORKDAY(INT($B128), 1)), 2, 2), """"))/$G128))"),-0.02272358383379311)</f>
        <v>-0.02272358383</v>
      </c>
      <c r="R128" s="16">
        <f>IFERROR(__xludf.DUMMYFUNCTION("IF(OR(ISBLANK($G128), IFERROR(INDEX(GOOGLEFINANCE($C128, ""price"", WORKDAY(INT($B128), 5)), 2, 2), """")=""""), """", IF($D128=""LONG"", (IFERROR(INDEX(GOOGLEFINANCE($C128, ""price"", WORKDAY(INT($B128), 5)), 2, 2), """")-$G128)/$G128, ($G128-IFERROR(IND"&amp;"EX(GOOGLEFINANCE($C128, ""price"", WORKDAY(INT($B128), 5)), 2, 2), """"))/$G128))"),-0.05224105548728169)</f>
        <v>-0.05224105549</v>
      </c>
      <c r="S128" s="16" t="str">
        <f>IFERROR(__xludf.DUMMYFUNCTION("IF(OR(ISBLANK($G128), IFERROR(INDEX(GOOGLEFINANCE($C128, ""price"", WORKDAY(INT($B128), 20)), 2, 2), """")=""""), """", IF($D128=""LONG"", (IFERROR(INDEX(GOOGLEFINANCE($C128, ""price"", WORKDAY(INT($B128), 20)), 2, 2), """")-$G128)/$G128, ($G128-IFERROR(I"&amp;"NDEX(GOOGLEFINANCE($C128, ""price"", WORKDAY(INT($B128), 20)), 2, 2), """"))/$G128))"),"")</f>
        <v/>
      </c>
      <c r="T128" s="10" t="s">
        <v>1594</v>
      </c>
      <c r="U128" s="10" t="s">
        <v>507</v>
      </c>
      <c r="V128" s="10" t="s">
        <v>1595</v>
      </c>
      <c r="W128" s="10" t="s">
        <v>51</v>
      </c>
      <c r="X128" s="10" t="s">
        <v>507</v>
      </c>
    </row>
    <row r="129">
      <c r="A129" s="9">
        <f t="shared" si="1"/>
        <v>128</v>
      </c>
      <c r="B129" s="11">
        <v>46217.66748842593</v>
      </c>
      <c r="C129" s="10" t="s">
        <v>424</v>
      </c>
      <c r="D129" s="10" t="s">
        <v>36</v>
      </c>
      <c r="E129" s="10" t="s">
        <v>37</v>
      </c>
      <c r="F129" s="13">
        <v>2.0</v>
      </c>
      <c r="G129" s="14">
        <v>82.85</v>
      </c>
      <c r="H129" s="10" t="s">
        <v>1596</v>
      </c>
      <c r="I129" s="10">
        <v>96.9</v>
      </c>
      <c r="O129" s="15">
        <f>IFERROR(__xludf.DUMMYFUNCTION("IF(ISBLANK($C129), """", GOOGLEFINANCE($C129, ""price""))"),84.35)</f>
        <v>84.35</v>
      </c>
      <c r="P129" s="16">
        <f t="shared" si="2"/>
        <v>0.01810500905</v>
      </c>
      <c r="Q129" s="16">
        <f>IFERROR(__xludf.DUMMYFUNCTION("IF(OR(ISBLANK($G129), IFERROR(INDEX(GOOGLEFINANCE($C129, ""price"", WORKDAY(INT($B129), 1)), 2, 2), """")=""""), """", IF($D129=""LONG"", (IFERROR(INDEX(GOOGLEFINANCE($C129, ""price"", WORKDAY(INT($B129), 1)), 2, 2), """")-$G129)/$G129, ($G129-IFERROR(IND"&amp;"EX(GOOGLEFINANCE($C129, ""price"", WORKDAY(INT($B129), 1)), 2, 2), """"))/$G129))"),-0.025588412794206282)</f>
        <v>-0.02558841279</v>
      </c>
      <c r="R129" s="16">
        <f>IFERROR(__xludf.DUMMYFUNCTION("IF(OR(ISBLANK($G129), IFERROR(INDEX(GOOGLEFINANCE($C129, ""price"", WORKDAY(INT($B129), 5)), 2, 2), """")=""""), """", IF($D129=""LONG"", (IFERROR(INDEX(GOOGLEFINANCE($C129, ""price"", WORKDAY(INT($B129), 5)), 2, 2), """")-$G129)/$G129, ($G129-IFERROR(IND"&amp;"EX(GOOGLEFINANCE($C129, ""price"", WORKDAY(INT($B129), 5)), 2, 2), """"))/$G129))"),-0.019674109837054865)</f>
        <v>-0.01967410984</v>
      </c>
      <c r="S129" s="16" t="str">
        <f>IFERROR(__xludf.DUMMYFUNCTION("IF(OR(ISBLANK($G129), IFERROR(INDEX(GOOGLEFINANCE($C129, ""price"", WORKDAY(INT($B129), 20)), 2, 2), """")=""""), """", IF($D129=""LONG"", (IFERROR(INDEX(GOOGLEFINANCE($C129, ""price"", WORKDAY(INT($B129), 20)), 2, 2), """")-$G129)/$G129, ($G129-IFERROR(I"&amp;"NDEX(GOOGLEFINANCE($C129, ""price"", WORKDAY(INT($B129), 20)), 2, 2), """"))/$G129))"),"")</f>
        <v/>
      </c>
      <c r="T129" s="10" t="s">
        <v>1601</v>
      </c>
      <c r="U129" s="10" t="s">
        <v>507</v>
      </c>
      <c r="V129" s="10" t="s">
        <v>1602</v>
      </c>
      <c r="W129" s="10" t="s">
        <v>51</v>
      </c>
      <c r="X129" s="10" t="s">
        <v>507</v>
      </c>
    </row>
    <row r="130">
      <c r="A130" s="9">
        <f t="shared" si="1"/>
        <v>129</v>
      </c>
      <c r="B130" s="11">
        <v>46217.66756944444</v>
      </c>
      <c r="C130" s="10" t="s">
        <v>1603</v>
      </c>
      <c r="D130" s="10" t="s">
        <v>36</v>
      </c>
      <c r="E130" s="10" t="s">
        <v>133</v>
      </c>
      <c r="F130" s="13">
        <v>2.0</v>
      </c>
      <c r="G130" s="14">
        <v>138.15</v>
      </c>
      <c r="H130" s="10" t="s">
        <v>1604</v>
      </c>
      <c r="I130" s="10">
        <v>91.3</v>
      </c>
      <c r="O130" s="15">
        <f>IFERROR(__xludf.DUMMYFUNCTION("IF(ISBLANK($C130), """", GOOGLEFINANCE($C130, ""price""))"),144.51)</f>
        <v>144.51</v>
      </c>
      <c r="P130" s="16">
        <f t="shared" si="2"/>
        <v>0.0460369164</v>
      </c>
      <c r="Q130" s="16">
        <f>IFERROR(__xludf.DUMMYFUNCTION("IF(OR(ISBLANK($G130), IFERROR(INDEX(GOOGLEFINANCE($C130, ""price"", WORKDAY(INT($B130), 1)), 2, 2), """")=""""), """", IF($D130=""LONG"", (IFERROR(INDEX(GOOGLEFINANCE($C130, ""price"", WORKDAY(INT($B130), 1)), 2, 2), """")-$G130)/$G130, ($G130-IFERROR(IND"&amp;"EX(GOOGLEFINANCE($C130, ""price"", WORKDAY(INT($B130), 1)), 2, 2), """"))/$G130))"),-0.026420557365182812)</f>
        <v>-0.02642055737</v>
      </c>
      <c r="R130" s="16">
        <f>IFERROR(__xludf.DUMMYFUNCTION("IF(OR(ISBLANK($G130), IFERROR(INDEX(GOOGLEFINANCE($C130, ""price"", WORKDAY(INT($B130), 5)), 2, 2), """")=""""), """", IF($D130=""LONG"", (IFERROR(INDEX(GOOGLEFINANCE($C130, ""price"", WORKDAY(INT($B130), 5)), 2, 2), """")-$G130)/$G130, ($G130-IFERROR(IND"&amp;"EX(GOOGLEFINANCE($C130, ""price"", WORKDAY(INT($B130), 5)), 2, 2), """"))/$G130))"),0.02772348896127386)</f>
        <v>0.02772348896</v>
      </c>
      <c r="S130" s="16" t="str">
        <f>IFERROR(__xludf.DUMMYFUNCTION("IF(OR(ISBLANK($G130), IFERROR(INDEX(GOOGLEFINANCE($C130, ""price"", WORKDAY(INT($B130), 20)), 2, 2), """")=""""), """", IF($D130=""LONG"", (IFERROR(INDEX(GOOGLEFINANCE($C130, ""price"", WORKDAY(INT($B130), 20)), 2, 2), """")-$G130)/$G130, ($G130-IFERROR(I"&amp;"NDEX(GOOGLEFINANCE($C130, ""price"", WORKDAY(INT($B130), 20)), 2, 2), """"))/$G130))"),"")</f>
        <v/>
      </c>
      <c r="T130" s="10" t="s">
        <v>1608</v>
      </c>
      <c r="U130" s="10" t="s">
        <v>507</v>
      </c>
      <c r="V130" s="10" t="s">
        <v>1609</v>
      </c>
      <c r="W130" s="10" t="s">
        <v>51</v>
      </c>
      <c r="X130" s="10" t="s">
        <v>507</v>
      </c>
    </row>
    <row r="131">
      <c r="A131" s="9">
        <f t="shared" si="1"/>
        <v>130</v>
      </c>
      <c r="B131" s="11">
        <v>46217.66755787037</v>
      </c>
      <c r="C131" s="10" t="s">
        <v>280</v>
      </c>
      <c r="D131" s="10" t="s">
        <v>36</v>
      </c>
      <c r="E131" s="10" t="s">
        <v>37</v>
      </c>
      <c r="F131" s="13">
        <v>2.0</v>
      </c>
      <c r="G131" s="14">
        <v>76.32</v>
      </c>
      <c r="H131" s="10" t="s">
        <v>1611</v>
      </c>
      <c r="I131" s="10">
        <v>93.3</v>
      </c>
      <c r="O131" s="15">
        <f>IFERROR(__xludf.DUMMYFUNCTION("IF(ISBLANK($C131), """", GOOGLEFINANCE($C131, ""price""))"),69.52)</f>
        <v>69.52</v>
      </c>
      <c r="P131" s="16">
        <f t="shared" si="2"/>
        <v>-0.08909853249</v>
      </c>
      <c r="Q131" s="16">
        <f>IFERROR(__xludf.DUMMYFUNCTION("IF(OR(ISBLANK($G131), IFERROR(INDEX(GOOGLEFINANCE($C131, ""price"", WORKDAY(INT($B131), 1)), 2, 2), """")=""""), """", IF($D131=""LONG"", (IFERROR(INDEX(GOOGLEFINANCE($C131, ""price"", WORKDAY(INT($B131), 1)), 2, 2), """")-$G131)/$G131, ($G131-IFERROR(IND"&amp;"EX(GOOGLEFINANCE($C131, ""price"", WORKDAY(INT($B131), 1)), 2, 2), """"))/$G131))"),-0.02319182389937102)</f>
        <v>-0.0231918239</v>
      </c>
      <c r="R131" s="16">
        <f>IFERROR(__xludf.DUMMYFUNCTION("IF(OR(ISBLANK($G131), IFERROR(INDEX(GOOGLEFINANCE($C131, ""price"", WORKDAY(INT($B131), 5)), 2, 2), """")=""""), """", IF($D131=""LONG"", (IFERROR(INDEX(GOOGLEFINANCE($C131, ""price"", WORKDAY(INT($B131), 5)), 2, 2), """")-$G131)/$G131, ($G131-IFERROR(IND"&amp;"EX(GOOGLEFINANCE($C131, ""price"", WORKDAY(INT($B131), 5)), 2, 2), """"))/$G131))"),-0.04205974842767288)</f>
        <v>-0.04205974843</v>
      </c>
      <c r="S131" s="16" t="str">
        <f>IFERROR(__xludf.DUMMYFUNCTION("IF(OR(ISBLANK($G131), IFERROR(INDEX(GOOGLEFINANCE($C131, ""price"", WORKDAY(INT($B131), 20)), 2, 2), """")=""""), """", IF($D131=""LONG"", (IFERROR(INDEX(GOOGLEFINANCE($C131, ""price"", WORKDAY(INT($B131), 20)), 2, 2), """")-$G131)/$G131, ($G131-IFERROR(I"&amp;"NDEX(GOOGLEFINANCE($C131, ""price"", WORKDAY(INT($B131), 20)), 2, 2), """"))/$G131))"),"")</f>
        <v/>
      </c>
      <c r="T131" s="10" t="s">
        <v>1616</v>
      </c>
      <c r="U131" s="10" t="s">
        <v>507</v>
      </c>
      <c r="V131" s="10" t="s">
        <v>1617</v>
      </c>
      <c r="W131" s="10" t="s">
        <v>51</v>
      </c>
      <c r="X131" s="10" t="s">
        <v>507</v>
      </c>
    </row>
    <row r="132">
      <c r="A132" s="9">
        <f t="shared" si="1"/>
        <v>131</v>
      </c>
      <c r="B132" s="11">
        <v>46217.66743055556</v>
      </c>
      <c r="C132" s="10" t="s">
        <v>1198</v>
      </c>
      <c r="D132" s="10" t="s">
        <v>36</v>
      </c>
      <c r="E132" s="10" t="s">
        <v>37</v>
      </c>
      <c r="F132" s="13">
        <v>2.0</v>
      </c>
      <c r="G132" s="14">
        <v>346.31</v>
      </c>
      <c r="H132" s="10" t="s">
        <v>1619</v>
      </c>
      <c r="I132" s="10">
        <v>96.1</v>
      </c>
      <c r="O132" s="15">
        <f>IFERROR(__xludf.DUMMYFUNCTION("IF(ISBLANK($C132), """", GOOGLEFINANCE($C132, ""price""))"),354.03)</f>
        <v>354.03</v>
      </c>
      <c r="P132" s="16">
        <f t="shared" si="2"/>
        <v>0.02229216598</v>
      </c>
      <c r="Q132" s="16">
        <f>IFERROR(__xludf.DUMMYFUNCTION("IF(OR(ISBLANK($G132), IFERROR(INDEX(GOOGLEFINANCE($C132, ""price"", WORKDAY(INT($B132), 1)), 2, 2), """")=""""), """", IF($D132=""LONG"", (IFERROR(INDEX(GOOGLEFINANCE($C132, ""price"", WORKDAY(INT($B132), 1)), 2, 2), """")-$G132)/$G132, ($G132-IFERROR(IND"&amp;"EX(GOOGLEFINANCE($C132, ""price"", WORKDAY(INT($B132), 1)), 2, 2), """"))/$G132))"),-0.025612890185094293)</f>
        <v>-0.02561289019</v>
      </c>
      <c r="R132" s="16">
        <f>IFERROR(__xludf.DUMMYFUNCTION("IF(OR(ISBLANK($G132), IFERROR(INDEX(GOOGLEFINANCE($C132, ""price"", WORKDAY(INT($B132), 5)), 2, 2), """")=""""), """", IF($D132=""LONG"", (IFERROR(INDEX(GOOGLEFINANCE($C132, ""price"", WORKDAY(INT($B132), 5)), 2, 2), """")-$G132)/$G132, ($G132-IFERROR(IND"&amp;"EX(GOOGLEFINANCE($C132, ""price"", WORKDAY(INT($B132), 5)), 2, 2), """"))/$G132))"),0.024515607403771213)</f>
        <v>0.0245156074</v>
      </c>
      <c r="S132" s="16" t="str">
        <f>IFERROR(__xludf.DUMMYFUNCTION("IF(OR(ISBLANK($G132), IFERROR(INDEX(GOOGLEFINANCE($C132, ""price"", WORKDAY(INT($B132), 20)), 2, 2), """")=""""), """", IF($D132=""LONG"", (IFERROR(INDEX(GOOGLEFINANCE($C132, ""price"", WORKDAY(INT($B132), 20)), 2, 2), """")-$G132)/$G132, ($G132-IFERROR(I"&amp;"NDEX(GOOGLEFINANCE($C132, ""price"", WORKDAY(INT($B132), 20)), 2, 2), """"))/$G132))"),"")</f>
        <v/>
      </c>
      <c r="T132" s="10" t="s">
        <v>1622</v>
      </c>
      <c r="U132" s="10" t="s">
        <v>507</v>
      </c>
      <c r="V132" s="10" t="s">
        <v>1623</v>
      </c>
      <c r="W132" s="10" t="s">
        <v>51</v>
      </c>
      <c r="X132" s="10" t="s">
        <v>507</v>
      </c>
    </row>
    <row r="133">
      <c r="A133" s="9">
        <f t="shared" si="1"/>
        <v>132</v>
      </c>
      <c r="B133" s="11">
        <v>46217.66763888889</v>
      </c>
      <c r="C133" s="10" t="s">
        <v>158</v>
      </c>
      <c r="D133" s="10" t="s">
        <v>36</v>
      </c>
      <c r="E133" s="10" t="s">
        <v>37</v>
      </c>
      <c r="F133" s="13">
        <v>2.0</v>
      </c>
      <c r="G133" s="14">
        <v>74.64</v>
      </c>
      <c r="H133" s="10" t="s">
        <v>1624</v>
      </c>
      <c r="I133" s="10">
        <v>95.4</v>
      </c>
      <c r="O133" s="15">
        <f>IFERROR(__xludf.DUMMYFUNCTION("IF(ISBLANK($C133), """", GOOGLEFINANCE($C133, ""price""))"),72.06)</f>
        <v>72.06</v>
      </c>
      <c r="P133" s="16">
        <f t="shared" si="2"/>
        <v>-0.0345659164</v>
      </c>
      <c r="Q133" s="16">
        <f>IFERROR(__xludf.DUMMYFUNCTION("IF(OR(ISBLANK($G133), IFERROR(INDEX(GOOGLEFINANCE($C133, ""price"", WORKDAY(INT($B133), 1)), 2, 2), """")=""""), """", IF($D133=""LONG"", (IFERROR(INDEX(GOOGLEFINANCE($C133, ""price"", WORKDAY(INT($B133), 1)), 2, 2), """")-$G133)/$G133, ($G133-IFERROR(IND"&amp;"EX(GOOGLEFINANCE($C133, ""price"", WORKDAY(INT($B133), 1)), 2, 2), """"))/$G133))"),-0.011387995712754478)</f>
        <v>-0.01138799571</v>
      </c>
      <c r="R133" s="16">
        <f>IFERROR(__xludf.DUMMYFUNCTION("IF(OR(ISBLANK($G133), IFERROR(INDEX(GOOGLEFINANCE($C133, ""price"", WORKDAY(INT($B133), 5)), 2, 2), """")=""""), """", IF($D133=""LONG"", (IFERROR(INDEX(GOOGLEFINANCE($C133, ""price"", WORKDAY(INT($B133), 5)), 2, 2), """")-$G133)/$G133, ($G133-IFERROR(IND"&amp;"EX(GOOGLEFINANCE($C133, ""price"", WORKDAY(INT($B133), 5)), 2, 2), """"))/$G133))"),-0.021302250803858565)</f>
        <v>-0.0213022508</v>
      </c>
      <c r="S133" s="16" t="str">
        <f>IFERROR(__xludf.DUMMYFUNCTION("IF(OR(ISBLANK($G133), IFERROR(INDEX(GOOGLEFINANCE($C133, ""price"", WORKDAY(INT($B133), 20)), 2, 2), """")=""""), """", IF($D133=""LONG"", (IFERROR(INDEX(GOOGLEFINANCE($C133, ""price"", WORKDAY(INT($B133), 20)), 2, 2), """")-$G133)/$G133, ($G133-IFERROR(I"&amp;"NDEX(GOOGLEFINANCE($C133, ""price"", WORKDAY(INT($B133), 20)), 2, 2), """"))/$G133))"),"")</f>
        <v/>
      </c>
      <c r="T133" s="10" t="s">
        <v>1627</v>
      </c>
      <c r="U133" s="10" t="s">
        <v>507</v>
      </c>
      <c r="V133" s="10" t="s">
        <v>1628</v>
      </c>
      <c r="W133" s="10" t="s">
        <v>51</v>
      </c>
      <c r="X133" s="10" t="s">
        <v>507</v>
      </c>
    </row>
    <row r="134">
      <c r="A134" s="9">
        <f t="shared" si="1"/>
        <v>133</v>
      </c>
      <c r="B134" s="11">
        <v>46217.667604166665</v>
      </c>
      <c r="C134" s="10" t="s">
        <v>471</v>
      </c>
      <c r="D134" s="10" t="s">
        <v>36</v>
      </c>
      <c r="E134" s="10" t="s">
        <v>37</v>
      </c>
      <c r="F134" s="13">
        <v>2.0</v>
      </c>
      <c r="G134" s="14">
        <v>369.51</v>
      </c>
      <c r="H134" s="10" t="s">
        <v>1632</v>
      </c>
      <c r="I134" s="10">
        <v>95.6</v>
      </c>
      <c r="O134" s="15">
        <f>IFERROR(__xludf.DUMMYFUNCTION("IF(ISBLANK($C134), """", GOOGLEFINANCE($C134, ""price""))"),386.92)</f>
        <v>386.92</v>
      </c>
      <c r="P134" s="16">
        <f t="shared" si="2"/>
        <v>0.04711645152</v>
      </c>
      <c r="Q134" s="16">
        <f>IFERROR(__xludf.DUMMYFUNCTION("IF(OR(ISBLANK($G134), IFERROR(INDEX(GOOGLEFINANCE($C134, ""price"", WORKDAY(INT($B134), 1)), 2, 2), """")=""""), """", IF($D134=""LONG"", (IFERROR(INDEX(GOOGLEFINANCE($C134, ""price"", WORKDAY(INT($B134), 1)), 2, 2), """")-$G134)/$G134, ($G134-IFERROR(IND"&amp;"EX(GOOGLEFINANCE($C134, ""price"", WORKDAY(INT($B134), 1)), 2, 2), """"))/$G134))"),-0.01050039241157207)</f>
        <v>-0.01050039241</v>
      </c>
      <c r="R134" s="16">
        <f>IFERROR(__xludf.DUMMYFUNCTION("IF(OR(ISBLANK($G134), IFERROR(INDEX(GOOGLEFINANCE($C134, ""price"", WORKDAY(INT($B134), 5)), 2, 2), """")=""""), """", IF($D134=""LONG"", (IFERROR(INDEX(GOOGLEFINANCE($C134, ""price"", WORKDAY(INT($B134), 5)), 2, 2), """")-$G134)/$G134, ($G134-IFERROR(IND"&amp;"EX(GOOGLEFINANCE($C134, ""price"", WORKDAY(INT($B134), 5)), 2, 2), """"))/$G134))"),-0.00481719033314382)</f>
        <v>-0.004817190333</v>
      </c>
      <c r="S134" s="16" t="str">
        <f>IFERROR(__xludf.DUMMYFUNCTION("IF(OR(ISBLANK($G134), IFERROR(INDEX(GOOGLEFINANCE($C134, ""price"", WORKDAY(INT($B134), 20)), 2, 2), """")=""""), """", IF($D134=""LONG"", (IFERROR(INDEX(GOOGLEFINANCE($C134, ""price"", WORKDAY(INT($B134), 20)), 2, 2), """")-$G134)/$G134, ($G134-IFERROR(I"&amp;"NDEX(GOOGLEFINANCE($C134, ""price"", WORKDAY(INT($B134), 20)), 2, 2), """"))/$G134))"),"")</f>
        <v/>
      </c>
      <c r="T134" s="10" t="s">
        <v>1635</v>
      </c>
      <c r="U134" s="10" t="s">
        <v>507</v>
      </c>
      <c r="V134" s="10" t="s">
        <v>1636</v>
      </c>
      <c r="W134" s="10" t="s">
        <v>51</v>
      </c>
      <c r="X134" s="10" t="s">
        <v>507</v>
      </c>
    </row>
    <row r="135">
      <c r="A135" s="9">
        <f t="shared" si="1"/>
        <v>134</v>
      </c>
      <c r="B135" s="11">
        <v>46217.66753472222</v>
      </c>
      <c r="C135" s="10" t="s">
        <v>228</v>
      </c>
      <c r="D135" s="10" t="s">
        <v>36</v>
      </c>
      <c r="E135" s="10" t="s">
        <v>37</v>
      </c>
      <c r="F135" s="13">
        <v>2.0</v>
      </c>
      <c r="G135" s="14">
        <v>72.0</v>
      </c>
      <c r="H135" s="10" t="s">
        <v>1637</v>
      </c>
      <c r="I135" s="10">
        <v>96.8</v>
      </c>
      <c r="O135" s="15">
        <f>IFERROR(__xludf.DUMMYFUNCTION("IF(ISBLANK($C135), """", GOOGLEFINANCE($C135, ""price""))"),72.13)</f>
        <v>72.13</v>
      </c>
      <c r="P135" s="16">
        <f t="shared" si="2"/>
        <v>0.001805555556</v>
      </c>
      <c r="Q135" s="16">
        <f>IFERROR(__xludf.DUMMYFUNCTION("IF(OR(ISBLANK($G135), IFERROR(INDEX(GOOGLEFINANCE($C135, ""price"", WORKDAY(INT($B135), 1)), 2, 2), """")=""""), """", IF($D135=""LONG"", (IFERROR(INDEX(GOOGLEFINANCE($C135, ""price"", WORKDAY(INT($B135), 1)), 2, 2), """")-$G135)/$G135, ($G135-IFERROR(IND"&amp;"EX(GOOGLEFINANCE($C135, ""price"", WORKDAY(INT($B135), 1)), 2, 2), """"))/$G135))"),-0.02944444444444451)</f>
        <v>-0.02944444444</v>
      </c>
      <c r="R135" s="16">
        <f>IFERROR(__xludf.DUMMYFUNCTION("IF(OR(ISBLANK($G135), IFERROR(INDEX(GOOGLEFINANCE($C135, ""price"", WORKDAY(INT($B135), 5)), 2, 2), """")=""""), """", IF($D135=""LONG"", (IFERROR(INDEX(GOOGLEFINANCE($C135, ""price"", WORKDAY(INT($B135), 5)), 2, 2), """")-$G135)/$G135, ($G135-IFERROR(IND"&amp;"EX(GOOGLEFINANCE($C135, ""price"", WORKDAY(INT($B135), 5)), 2, 2), """"))/$G135))"),0.002222222222222175)</f>
        <v>0.002222222222</v>
      </c>
      <c r="S135" s="16" t="str">
        <f>IFERROR(__xludf.DUMMYFUNCTION("IF(OR(ISBLANK($G135), IFERROR(INDEX(GOOGLEFINANCE($C135, ""price"", WORKDAY(INT($B135), 20)), 2, 2), """")=""""), """", IF($D135=""LONG"", (IFERROR(INDEX(GOOGLEFINANCE($C135, ""price"", WORKDAY(INT($B135), 20)), 2, 2), """")-$G135)/$G135, ($G135-IFERROR(I"&amp;"NDEX(GOOGLEFINANCE($C135, ""price"", WORKDAY(INT($B135), 20)), 2, 2), """"))/$G135))"),"")</f>
        <v/>
      </c>
      <c r="T135" s="10" t="s">
        <v>1642</v>
      </c>
      <c r="U135" s="10" t="s">
        <v>507</v>
      </c>
      <c r="V135" s="10" t="s">
        <v>1643</v>
      </c>
      <c r="W135" s="10" t="s">
        <v>51</v>
      </c>
      <c r="X135" s="10" t="s">
        <v>507</v>
      </c>
    </row>
    <row r="136">
      <c r="A136" s="9">
        <f t="shared" si="1"/>
        <v>135</v>
      </c>
      <c r="B136" s="11">
        <v>46217.66767361111</v>
      </c>
      <c r="C136" s="10" t="s">
        <v>162</v>
      </c>
      <c r="D136" s="10" t="s">
        <v>36</v>
      </c>
      <c r="E136" s="10" t="s">
        <v>37</v>
      </c>
      <c r="F136" s="13">
        <v>2.0</v>
      </c>
      <c r="G136" s="14">
        <v>47.56</v>
      </c>
      <c r="H136" s="10" t="s">
        <v>1644</v>
      </c>
      <c r="I136" s="10">
        <v>93.2</v>
      </c>
      <c r="O136" s="15">
        <f>IFERROR(__xludf.DUMMYFUNCTION("IF(ISBLANK($C136), """", GOOGLEFINANCE($C136, ""price""))"),46.94)</f>
        <v>46.94</v>
      </c>
      <c r="P136" s="16">
        <f t="shared" si="2"/>
        <v>-0.01303616484</v>
      </c>
      <c r="Q136" s="16">
        <f>IFERROR(__xludf.DUMMYFUNCTION("IF(OR(ISBLANK($G136), IFERROR(INDEX(GOOGLEFINANCE($C136, ""price"", WORKDAY(INT($B136), 1)), 2, 2), """")=""""), """", IF($D136=""LONG"", (IFERROR(INDEX(GOOGLEFINANCE($C136, ""price"", WORKDAY(INT($B136), 1)), 2, 2), """")-$G136)/$G136, ($G136-IFERROR(IND"&amp;"EX(GOOGLEFINANCE($C136, ""price"", WORKDAY(INT($B136), 1)), 2, 2), """"))/$G136))"),0.03553406223717405)</f>
        <v>0.03553406224</v>
      </c>
      <c r="R136" s="16">
        <f>IFERROR(__xludf.DUMMYFUNCTION("IF(OR(ISBLANK($G136), IFERROR(INDEX(GOOGLEFINANCE($C136, ""price"", WORKDAY(INT($B136), 5)), 2, 2), """")=""""), """", IF($D136=""LONG"", (IFERROR(INDEX(GOOGLEFINANCE($C136, ""price"", WORKDAY(INT($B136), 5)), 2, 2), """")-$G136)/$G136, ($G136-IFERROR(IND"&amp;"EX(GOOGLEFINANCE($C136, ""price"", WORKDAY(INT($B136), 5)), 2, 2), """"))/$G136))"),0.023759461732548264)</f>
        <v>0.02375946173</v>
      </c>
      <c r="S136" s="16" t="str">
        <f>IFERROR(__xludf.DUMMYFUNCTION("IF(OR(ISBLANK($G136), IFERROR(INDEX(GOOGLEFINANCE($C136, ""price"", WORKDAY(INT($B136), 20)), 2, 2), """")=""""), """", IF($D136=""LONG"", (IFERROR(INDEX(GOOGLEFINANCE($C136, ""price"", WORKDAY(INT($B136), 20)), 2, 2), """")-$G136)/$G136, ($G136-IFERROR(I"&amp;"NDEX(GOOGLEFINANCE($C136, ""price"", WORKDAY(INT($B136), 20)), 2, 2), """"))/$G136))"),"")</f>
        <v/>
      </c>
      <c r="T136" s="10" t="s">
        <v>1649</v>
      </c>
      <c r="U136" s="10" t="s">
        <v>507</v>
      </c>
      <c r="V136" s="10" t="s">
        <v>1650</v>
      </c>
      <c r="W136" s="10" t="s">
        <v>51</v>
      </c>
      <c r="X136" s="10" t="s">
        <v>507</v>
      </c>
    </row>
    <row r="137">
      <c r="A137" s="9">
        <f t="shared" si="1"/>
        <v>136</v>
      </c>
      <c r="B137" s="11">
        <v>46217.66774305556</v>
      </c>
      <c r="C137" s="10" t="s">
        <v>406</v>
      </c>
      <c r="D137" s="10" t="s">
        <v>36</v>
      </c>
      <c r="E137" s="10" t="s">
        <v>37</v>
      </c>
      <c r="F137" s="13">
        <v>2.0</v>
      </c>
      <c r="G137" s="14">
        <v>180.0</v>
      </c>
      <c r="H137" s="10" t="s">
        <v>1651</v>
      </c>
      <c r="I137" s="10">
        <v>92.9</v>
      </c>
      <c r="O137" s="15">
        <f>IFERROR(__xludf.DUMMYFUNCTION("IF(ISBLANK($C137), """", GOOGLEFINANCE($C137, ""price""))"),179.04)</f>
        <v>179.04</v>
      </c>
      <c r="P137" s="16">
        <f t="shared" si="2"/>
        <v>-0.005333333333</v>
      </c>
      <c r="Q137" s="16">
        <f>IFERROR(__xludf.DUMMYFUNCTION("IF(OR(ISBLANK($G137), IFERROR(INDEX(GOOGLEFINANCE($C137, ""price"", WORKDAY(INT($B137), 1)), 2, 2), """")=""""), """", IF($D137=""LONG"", (IFERROR(INDEX(GOOGLEFINANCE($C137, ""price"", WORKDAY(INT($B137), 1)), 2, 2), """")-$G137)/$G137, ($G137-IFERROR(IND"&amp;"EX(GOOGLEFINANCE($C137, ""price"", WORKDAY(INT($B137), 1)), 2, 2), """"))/$G137))"),-0.04205555555555552)</f>
        <v>-0.04205555556</v>
      </c>
      <c r="R137" s="16">
        <f>IFERROR(__xludf.DUMMYFUNCTION("IF(OR(ISBLANK($G137), IFERROR(INDEX(GOOGLEFINANCE($C137, ""price"", WORKDAY(INT($B137), 5)), 2, 2), """")=""""), """", IF($D137=""LONG"", (IFERROR(INDEX(GOOGLEFINANCE($C137, ""price"", WORKDAY(INT($B137), 5)), 2, 2), """")-$G137)/$G137, ($G137-IFERROR(IND"&amp;"EX(GOOGLEFINANCE($C137, ""price"", WORKDAY(INT($B137), 5)), 2, 2), """"))/$G137))"),0.002833333333333283)</f>
        <v>0.002833333333</v>
      </c>
      <c r="S137" s="16" t="str">
        <f>IFERROR(__xludf.DUMMYFUNCTION("IF(OR(ISBLANK($G137), IFERROR(INDEX(GOOGLEFINANCE($C137, ""price"", WORKDAY(INT($B137), 20)), 2, 2), """")=""""), """", IF($D137=""LONG"", (IFERROR(INDEX(GOOGLEFINANCE($C137, ""price"", WORKDAY(INT($B137), 20)), 2, 2), """")-$G137)/$G137, ($G137-IFERROR(I"&amp;"NDEX(GOOGLEFINANCE($C137, ""price"", WORKDAY(INT($B137), 20)), 2, 2), """"))/$G137))"),"")</f>
        <v/>
      </c>
      <c r="T137" s="10" t="s">
        <v>1656</v>
      </c>
      <c r="U137" s="10" t="s">
        <v>507</v>
      </c>
      <c r="V137" s="10" t="s">
        <v>1657</v>
      </c>
      <c r="W137" s="10" t="s">
        <v>51</v>
      </c>
      <c r="X137" s="10" t="s">
        <v>507</v>
      </c>
    </row>
    <row r="138">
      <c r="A138" s="9">
        <f t="shared" si="1"/>
        <v>137</v>
      </c>
      <c r="B138" s="11">
        <v>46217.667546296296</v>
      </c>
      <c r="C138" s="10" t="s">
        <v>316</v>
      </c>
      <c r="D138" s="10" t="s">
        <v>36</v>
      </c>
      <c r="E138" s="10" t="s">
        <v>37</v>
      </c>
      <c r="F138" s="13">
        <v>2.0</v>
      </c>
      <c r="G138" s="14">
        <v>112.99</v>
      </c>
      <c r="H138" s="10" t="s">
        <v>1658</v>
      </c>
      <c r="I138" s="10">
        <v>90.9</v>
      </c>
      <c r="O138" s="15">
        <f>IFERROR(__xludf.DUMMYFUNCTION("IF(ISBLANK($C138), """", GOOGLEFINANCE($C138, ""price""))"),110.74)</f>
        <v>110.74</v>
      </c>
      <c r="P138" s="16">
        <f t="shared" si="2"/>
        <v>-0.01991326666</v>
      </c>
      <c r="Q138" s="16">
        <f>IFERROR(__xludf.DUMMYFUNCTION("IF(OR(ISBLANK($G138), IFERROR(INDEX(GOOGLEFINANCE($C138, ""price"", WORKDAY(INT($B138), 1)), 2, 2), """")=""""), """", IF($D138=""LONG"", (IFERROR(INDEX(GOOGLEFINANCE($C138, ""price"", WORKDAY(INT($B138), 1)), 2, 2), """")-$G138)/$G138, ($G138-IFERROR(IND"&amp;"EX(GOOGLEFINANCE($C138, ""price"", WORKDAY(INT($B138), 1)), 2, 2), """"))/$G138))"),-0.009912381626692543)</f>
        <v>-0.009912381627</v>
      </c>
      <c r="R138" s="16">
        <f>IFERROR(__xludf.DUMMYFUNCTION("IF(OR(ISBLANK($G138), IFERROR(INDEX(GOOGLEFINANCE($C138, ""price"", WORKDAY(INT($B138), 5)), 2, 2), """")=""""), """", IF($D138=""LONG"", (IFERROR(INDEX(GOOGLEFINANCE($C138, ""price"", WORKDAY(INT($B138), 5)), 2, 2), """")-$G138)/$G138, ($G138-IFERROR(IND"&amp;"EX(GOOGLEFINANCE($C138, ""price"", WORKDAY(INT($B138), 5)), 2, 2), """"))/$G138))"),-0.0079653066643065)</f>
        <v>-0.007965306664</v>
      </c>
      <c r="S138" s="16" t="str">
        <f>IFERROR(__xludf.DUMMYFUNCTION("IF(OR(ISBLANK($G138), IFERROR(INDEX(GOOGLEFINANCE($C138, ""price"", WORKDAY(INT($B138), 20)), 2, 2), """")=""""), """", IF($D138=""LONG"", (IFERROR(INDEX(GOOGLEFINANCE($C138, ""price"", WORKDAY(INT($B138), 20)), 2, 2), """")-$G138)/$G138, ($G138-IFERROR(I"&amp;"NDEX(GOOGLEFINANCE($C138, ""price"", WORKDAY(INT($B138), 20)), 2, 2), """"))/$G138))"),"")</f>
        <v/>
      </c>
      <c r="T138" s="10" t="s">
        <v>1663</v>
      </c>
      <c r="U138" s="10" t="s">
        <v>507</v>
      </c>
      <c r="V138" s="10" t="s">
        <v>1664</v>
      </c>
      <c r="W138" s="10" t="s">
        <v>51</v>
      </c>
      <c r="X138" s="10" t="s">
        <v>507</v>
      </c>
    </row>
    <row r="139">
      <c r="A139" s="9">
        <f t="shared" si="1"/>
        <v>138</v>
      </c>
      <c r="B139" s="11">
        <v>46217.667708333334</v>
      </c>
      <c r="C139" s="10" t="s">
        <v>707</v>
      </c>
      <c r="D139" s="10" t="s">
        <v>36</v>
      </c>
      <c r="E139" s="10" t="s">
        <v>37</v>
      </c>
      <c r="F139" s="13">
        <v>2.0</v>
      </c>
      <c r="G139" s="14">
        <v>111.96</v>
      </c>
      <c r="H139" s="10" t="s">
        <v>1665</v>
      </c>
      <c r="I139" s="10">
        <v>95.3</v>
      </c>
      <c r="O139" s="15">
        <f>IFERROR(__xludf.DUMMYFUNCTION("IF(ISBLANK($C139), """", GOOGLEFINANCE($C139, ""price""))"),108.95)</f>
        <v>108.95</v>
      </c>
      <c r="P139" s="16">
        <f t="shared" si="2"/>
        <v>-0.02688460164</v>
      </c>
      <c r="Q139" s="16">
        <f>IFERROR(__xludf.DUMMYFUNCTION("IF(OR(ISBLANK($G139), IFERROR(INDEX(GOOGLEFINANCE($C139, ""price"", WORKDAY(INT($B139), 1)), 2, 2), """")=""""), """", IF($D139=""LONG"", (IFERROR(INDEX(GOOGLEFINANCE($C139, ""price"", WORKDAY(INT($B139), 1)), 2, 2), """")-$G139)/$G139, ($G139-IFERROR(IND"&amp;"EX(GOOGLEFINANCE($C139, ""price"", WORKDAY(INT($B139), 1)), 2, 2), """"))/$G139))"),-0.01473740621650582)</f>
        <v>-0.01473740622</v>
      </c>
      <c r="R139" s="16">
        <f>IFERROR(__xludf.DUMMYFUNCTION("IF(OR(ISBLANK($G139), IFERROR(INDEX(GOOGLEFINANCE($C139, ""price"", WORKDAY(INT($B139), 5)), 2, 2), """")=""""), """", IF($D139=""LONG"", (IFERROR(INDEX(GOOGLEFINANCE($C139, ""price"", WORKDAY(INT($B139), 5)), 2, 2), """")-$G139)/$G139, ($G139-IFERROR(IND"&amp;"EX(GOOGLEFINANCE($C139, ""price"", WORKDAY(INT($B139), 5)), 2, 2), """"))/$G139))"),-0.019203286888174274)</f>
        <v>-0.01920328689</v>
      </c>
      <c r="S139" s="16" t="str">
        <f>IFERROR(__xludf.DUMMYFUNCTION("IF(OR(ISBLANK($G139), IFERROR(INDEX(GOOGLEFINANCE($C139, ""price"", WORKDAY(INT($B139), 20)), 2, 2), """")=""""), """", IF($D139=""LONG"", (IFERROR(INDEX(GOOGLEFINANCE($C139, ""price"", WORKDAY(INT($B139), 20)), 2, 2), """")-$G139)/$G139, ($G139-IFERROR(I"&amp;"NDEX(GOOGLEFINANCE($C139, ""price"", WORKDAY(INT($B139), 20)), 2, 2), """"))/$G139))"),"")</f>
        <v/>
      </c>
      <c r="T139" s="10" t="s">
        <v>1669</v>
      </c>
      <c r="U139" s="10" t="s">
        <v>507</v>
      </c>
      <c r="V139" s="10" t="s">
        <v>1670</v>
      </c>
      <c r="W139" s="10" t="s">
        <v>51</v>
      </c>
      <c r="X139" s="10" t="s">
        <v>507</v>
      </c>
    </row>
    <row r="140">
      <c r="A140" s="9">
        <f t="shared" si="1"/>
        <v>139</v>
      </c>
      <c r="B140" s="11">
        <v>46217.66762731481</v>
      </c>
      <c r="C140" s="10" t="s">
        <v>1672</v>
      </c>
      <c r="D140" s="10" t="s">
        <v>36</v>
      </c>
      <c r="E140" s="10" t="s">
        <v>133</v>
      </c>
      <c r="F140" s="13">
        <v>2.0</v>
      </c>
      <c r="G140" s="14">
        <v>101.51</v>
      </c>
      <c r="H140" s="10" t="s">
        <v>1673</v>
      </c>
      <c r="I140" s="10">
        <v>93.1</v>
      </c>
      <c r="O140" s="15">
        <f>IFERROR(__xludf.DUMMYFUNCTION("IF(ISBLANK($C140), """", GOOGLEFINANCE($C140, ""price""))"),99.29)</f>
        <v>99.29</v>
      </c>
      <c r="P140" s="16">
        <f t="shared" si="2"/>
        <v>-0.02186976653</v>
      </c>
      <c r="Q140" s="16">
        <f>IFERROR(__xludf.DUMMYFUNCTION("IF(OR(ISBLANK($G140), IFERROR(INDEX(GOOGLEFINANCE($C140, ""price"", WORKDAY(INT($B140), 1)), 2, 2), """")=""""), """", IF($D140=""LONG"", (IFERROR(INDEX(GOOGLEFINANCE($C140, ""price"", WORKDAY(INT($B140), 1)), 2, 2), """")-$G140)/$G140, ($G140-IFERROR(IND"&amp;"EX(GOOGLEFINANCE($C140, ""price"", WORKDAY(INT($B140), 1)), 2, 2), """"))/$G140))"),-0.029258201162447036)</f>
        <v>-0.02925820116</v>
      </c>
      <c r="R140" s="16">
        <f>IFERROR(__xludf.DUMMYFUNCTION("IF(OR(ISBLANK($G140), IFERROR(INDEX(GOOGLEFINANCE($C140, ""price"", WORKDAY(INT($B140), 5)), 2, 2), """")=""""), """", IF($D140=""LONG"", (IFERROR(INDEX(GOOGLEFINANCE($C140, ""price"", WORKDAY(INT($B140), 5)), 2, 2), """")-$G140)/$G140, ($G140-IFERROR(IND"&amp;"EX(GOOGLEFINANCE($C140, ""price"", WORKDAY(INT($B140), 5)), 2, 2), """"))/$G140))"),-0.009457196335336497)</f>
        <v>-0.009457196335</v>
      </c>
      <c r="S140" s="16" t="str">
        <f>IFERROR(__xludf.DUMMYFUNCTION("IF(OR(ISBLANK($G140), IFERROR(INDEX(GOOGLEFINANCE($C140, ""price"", WORKDAY(INT($B140), 20)), 2, 2), """")=""""), """", IF($D140=""LONG"", (IFERROR(INDEX(GOOGLEFINANCE($C140, ""price"", WORKDAY(INT($B140), 20)), 2, 2), """")-$G140)/$G140, ($G140-IFERROR(I"&amp;"NDEX(GOOGLEFINANCE($C140, ""price"", WORKDAY(INT($B140), 20)), 2, 2), """"))/$G140))"),"")</f>
        <v/>
      </c>
      <c r="T140" s="10" t="s">
        <v>1677</v>
      </c>
      <c r="U140" s="10" t="s">
        <v>507</v>
      </c>
      <c r="V140" s="10" t="s">
        <v>1678</v>
      </c>
      <c r="W140" s="10" t="s">
        <v>51</v>
      </c>
      <c r="X140" s="10" t="s">
        <v>507</v>
      </c>
    </row>
    <row r="141">
      <c r="A141" s="9">
        <f t="shared" si="1"/>
        <v>140</v>
      </c>
      <c r="B141" s="11">
        <v>46217.66752314815</v>
      </c>
      <c r="C141" s="10" t="s">
        <v>95</v>
      </c>
      <c r="D141" s="10" t="s">
        <v>36</v>
      </c>
      <c r="E141" s="10" t="s">
        <v>37</v>
      </c>
      <c r="F141" s="13">
        <v>2.0</v>
      </c>
      <c r="G141" s="14">
        <v>181.35</v>
      </c>
      <c r="H141" s="10" t="s">
        <v>1679</v>
      </c>
      <c r="I141" s="10">
        <v>91.8</v>
      </c>
      <c r="O141" s="15">
        <f>IFERROR(__xludf.DUMMYFUNCTION("IF(ISBLANK($C141), """", GOOGLEFINANCE($C141, ""price""))"),181.77)</f>
        <v>181.77</v>
      </c>
      <c r="P141" s="16">
        <f t="shared" si="2"/>
        <v>0.002315963606</v>
      </c>
      <c r="Q141" s="16">
        <f>IFERROR(__xludf.DUMMYFUNCTION("IF(OR(ISBLANK($G141), IFERROR(INDEX(GOOGLEFINANCE($C141, ""price"", WORKDAY(INT($B141), 1)), 2, 2), """")=""""), """", IF($D141=""LONG"", (IFERROR(INDEX(GOOGLEFINANCE($C141, ""price"", WORKDAY(INT($B141), 1)), 2, 2), """")-$G141)/$G141, ($G141-IFERROR(IND"&amp;"EX(GOOGLEFINANCE($C141, ""price"", WORKDAY(INT($B141), 1)), 2, 2), """"))/$G141))"),-0.016046319272125704)</f>
        <v>-0.01604631927</v>
      </c>
      <c r="R141" s="16">
        <f>IFERROR(__xludf.DUMMYFUNCTION("IF(OR(ISBLANK($G141), IFERROR(INDEX(GOOGLEFINANCE($C141, ""price"", WORKDAY(INT($B141), 5)), 2, 2), """")=""""), """", IF($D141=""LONG"", (IFERROR(INDEX(GOOGLEFINANCE($C141, ""price"", WORKDAY(INT($B141), 5)), 2, 2), """")-$G141)/$G141, ($G141-IFERROR(IND"&amp;"EX(GOOGLEFINANCE($C141, ""price"", WORKDAY(INT($B141), 5)), 2, 2), """"))/$G141))"),-0.01940998070030318)</f>
        <v>-0.0194099807</v>
      </c>
      <c r="S141" s="16" t="str">
        <f>IFERROR(__xludf.DUMMYFUNCTION("IF(OR(ISBLANK($G141), IFERROR(INDEX(GOOGLEFINANCE($C141, ""price"", WORKDAY(INT($B141), 20)), 2, 2), """")=""""), """", IF($D141=""LONG"", (IFERROR(INDEX(GOOGLEFINANCE($C141, ""price"", WORKDAY(INT($B141), 20)), 2, 2), """")-$G141)/$G141, ($G141-IFERROR(I"&amp;"NDEX(GOOGLEFINANCE($C141, ""price"", WORKDAY(INT($B141), 20)), 2, 2), """"))/$G141))"),"")</f>
        <v/>
      </c>
      <c r="T141" s="10" t="s">
        <v>1682</v>
      </c>
      <c r="U141" s="10" t="s">
        <v>507</v>
      </c>
      <c r="V141" s="10" t="s">
        <v>1684</v>
      </c>
      <c r="W141" s="10" t="s">
        <v>51</v>
      </c>
      <c r="X141" s="10" t="s">
        <v>507</v>
      </c>
    </row>
    <row r="142">
      <c r="A142" s="9">
        <f t="shared" si="1"/>
        <v>141</v>
      </c>
      <c r="B142" s="11">
        <v>46217.667662037034</v>
      </c>
      <c r="C142" s="10" t="s">
        <v>94</v>
      </c>
      <c r="D142" s="10" t="s">
        <v>36</v>
      </c>
      <c r="E142" s="10" t="s">
        <v>37</v>
      </c>
      <c r="F142" s="13">
        <v>2.0</v>
      </c>
      <c r="G142" s="14">
        <v>57.08</v>
      </c>
      <c r="H142" s="10" t="s">
        <v>1686</v>
      </c>
      <c r="I142" s="10">
        <v>92.5</v>
      </c>
      <c r="O142" s="15">
        <f>IFERROR(__xludf.DUMMYFUNCTION("IF(ISBLANK($C142), """", GOOGLEFINANCE($C142, ""price""))"),56.96)</f>
        <v>56.96</v>
      </c>
      <c r="P142" s="16">
        <f t="shared" si="2"/>
        <v>-0.002102312544</v>
      </c>
      <c r="Q142" s="16">
        <f>IFERROR(__xludf.DUMMYFUNCTION("IF(OR(ISBLANK($G142), IFERROR(INDEX(GOOGLEFINANCE($C142, ""price"", WORKDAY(INT($B142), 1)), 2, 2), """")=""""), """", IF($D142=""LONG"", (IFERROR(INDEX(GOOGLEFINANCE($C142, ""price"", WORKDAY(INT($B142), 1)), 2, 2), """")-$G142)/$G142, ($G142-IFERROR(IND"&amp;"EX(GOOGLEFINANCE($C142, ""price"", WORKDAY(INT($B142), 1)), 2, 2), """"))/$G142))"),0.0150665732305536)</f>
        <v>0.01506657323</v>
      </c>
      <c r="R142" s="16">
        <f>IFERROR(__xludf.DUMMYFUNCTION("IF(OR(ISBLANK($G142), IFERROR(INDEX(GOOGLEFINANCE($C142, ""price"", WORKDAY(INT($B142), 5)), 2, 2), """")=""""), """", IF($D142=""LONG"", (IFERROR(INDEX(GOOGLEFINANCE($C142, ""price"", WORKDAY(INT($B142), 5)), 2, 2), """")-$G142)/$G142, ($G142-IFERROR(IND"&amp;"EX(GOOGLEFINANCE($C142, ""price"", WORKDAY(INT($B142), 5)), 2, 2), """"))/$G142))"),0.010161177295024497)</f>
        <v>0.0101611773</v>
      </c>
      <c r="S142" s="16" t="str">
        <f>IFERROR(__xludf.DUMMYFUNCTION("IF(OR(ISBLANK($G142), IFERROR(INDEX(GOOGLEFINANCE($C142, ""price"", WORKDAY(INT($B142), 20)), 2, 2), """")=""""), """", IF($D142=""LONG"", (IFERROR(INDEX(GOOGLEFINANCE($C142, ""price"", WORKDAY(INT($B142), 20)), 2, 2), """")-$G142)/$G142, ($G142-IFERROR(I"&amp;"NDEX(GOOGLEFINANCE($C142, ""price"", WORKDAY(INT($B142), 20)), 2, 2), """"))/$G142))"),"")</f>
        <v/>
      </c>
      <c r="T142" s="10" t="s">
        <v>1689</v>
      </c>
      <c r="U142" s="10" t="s">
        <v>507</v>
      </c>
      <c r="V142" s="10" t="s">
        <v>1691</v>
      </c>
      <c r="W142" s="10" t="s">
        <v>51</v>
      </c>
      <c r="X142" s="10" t="s">
        <v>507</v>
      </c>
    </row>
    <row r="143">
      <c r="A143" s="9">
        <f t="shared" si="1"/>
        <v>142</v>
      </c>
      <c r="B143" s="11">
        <v>46217.66738425926</v>
      </c>
      <c r="C143" s="10" t="s">
        <v>539</v>
      </c>
      <c r="D143" s="10" t="s">
        <v>36</v>
      </c>
      <c r="E143" s="10" t="s">
        <v>133</v>
      </c>
      <c r="F143" s="13">
        <v>2.0</v>
      </c>
      <c r="G143" s="14">
        <v>26.58</v>
      </c>
      <c r="H143" s="10" t="s">
        <v>1693</v>
      </c>
      <c r="I143" s="10">
        <v>91.5</v>
      </c>
      <c r="O143" s="15">
        <f>IFERROR(__xludf.DUMMYFUNCTION("IF(ISBLANK($C143), """", GOOGLEFINANCE($C143, ""price""))"),28.1)</f>
        <v>28.1</v>
      </c>
      <c r="P143" s="16">
        <f t="shared" si="2"/>
        <v>0.05718585403</v>
      </c>
      <c r="Q143" s="16">
        <f>IFERROR(__xludf.DUMMYFUNCTION("IF(OR(ISBLANK($G143), IFERROR(INDEX(GOOGLEFINANCE($C143, ""price"", WORKDAY(INT($B143), 1)), 2, 2), """")=""""), """", IF($D143=""LONG"", (IFERROR(INDEX(GOOGLEFINANCE($C143, ""price"", WORKDAY(INT($B143), 1)), 2, 2), """")-$G143)/$G143, ($G143-IFERROR(IND"&amp;"EX(GOOGLEFINANCE($C143, ""price"", WORKDAY(INT($B143), 1)), 2, 2), """"))/$G143))"),-0.004890895410082732)</f>
        <v>-0.00489089541</v>
      </c>
      <c r="R143" s="16">
        <f>IFERROR(__xludf.DUMMYFUNCTION("IF(OR(ISBLANK($G143), IFERROR(INDEX(GOOGLEFINANCE($C143, ""price"", WORKDAY(INT($B143), 5)), 2, 2), """")=""""), """", IF($D143=""LONG"", (IFERROR(INDEX(GOOGLEFINANCE($C143, ""price"", WORKDAY(INT($B143), 5)), 2, 2), """")-$G143)/$G143, ($G143-IFERROR(IND"&amp;"EX(GOOGLEFINANCE($C143, ""price"", WORKDAY(INT($B143), 5)), 2, 2), """"))/$G143))"),-0.01768246802106843)</f>
        <v>-0.01768246802</v>
      </c>
      <c r="S143" s="16" t="str">
        <f>IFERROR(__xludf.DUMMYFUNCTION("IF(OR(ISBLANK($G143), IFERROR(INDEX(GOOGLEFINANCE($C143, ""price"", WORKDAY(INT($B143), 20)), 2, 2), """")=""""), """", IF($D143=""LONG"", (IFERROR(INDEX(GOOGLEFINANCE($C143, ""price"", WORKDAY(INT($B143), 20)), 2, 2), """")-$G143)/$G143, ($G143-IFERROR(I"&amp;"NDEX(GOOGLEFINANCE($C143, ""price"", WORKDAY(INT($B143), 20)), 2, 2), """"))/$G143))"),"")</f>
        <v/>
      </c>
      <c r="T143" s="10" t="s">
        <v>1696</v>
      </c>
      <c r="U143" s="10" t="s">
        <v>722</v>
      </c>
      <c r="V143" s="10" t="s">
        <v>1697</v>
      </c>
      <c r="W143" s="10" t="s">
        <v>51</v>
      </c>
      <c r="X143" s="10" t="s">
        <v>722</v>
      </c>
    </row>
    <row r="144">
      <c r="A144" s="9">
        <f t="shared" si="1"/>
        <v>143</v>
      </c>
      <c r="B144" s="11">
        <v>46217.66740740741</v>
      </c>
      <c r="C144" s="10" t="s">
        <v>398</v>
      </c>
      <c r="D144" s="10" t="s">
        <v>36</v>
      </c>
      <c r="E144" s="10" t="s">
        <v>37</v>
      </c>
      <c r="F144" s="13">
        <v>2.0</v>
      </c>
      <c r="G144" s="14">
        <v>71.24</v>
      </c>
      <c r="H144" s="10" t="s">
        <v>1700</v>
      </c>
      <c r="I144" s="10">
        <v>93.5</v>
      </c>
      <c r="O144" s="15">
        <f>IFERROR(__xludf.DUMMYFUNCTION("IF(ISBLANK($C144), """", GOOGLEFINANCE($C144, ""price""))"),71.9)</f>
        <v>71.9</v>
      </c>
      <c r="P144" s="16">
        <f t="shared" si="2"/>
        <v>0.00926445817</v>
      </c>
      <c r="Q144" s="16">
        <f>IFERROR(__xludf.DUMMYFUNCTION("IF(OR(ISBLANK($G144), IFERROR(INDEX(GOOGLEFINANCE($C144, ""price"", WORKDAY(INT($B144), 1)), 2, 2), """")=""""), """", IF($D144=""LONG"", (IFERROR(INDEX(GOOGLEFINANCE($C144, ""price"", WORKDAY(INT($B144), 1)), 2, 2), """")-$G144)/$G144, ($G144-IFERROR(IND"&amp;"EX(GOOGLEFINANCE($C144, ""price"", WORKDAY(INT($B144), 1)), 2, 2), """"))/$G144))"),0.003368893879842913)</f>
        <v>0.00336889388</v>
      </c>
      <c r="R144" s="16">
        <f>IFERROR(__xludf.DUMMYFUNCTION("IF(OR(ISBLANK($G144), IFERROR(INDEX(GOOGLEFINANCE($C144, ""price"", WORKDAY(INT($B144), 5)), 2, 2), """")=""""), """", IF($D144=""LONG"", (IFERROR(INDEX(GOOGLEFINANCE($C144, ""price"", WORKDAY(INT($B144), 5)), 2, 2), """")-$G144)/$G144, ($G144-IFERROR(IND"&amp;"EX(GOOGLEFINANCE($C144, ""price"", WORKDAY(INT($B144), 5)), 2, 2), """"))/$G144))"),0.005474452554744534)</f>
        <v>0.005474452555</v>
      </c>
      <c r="S144" s="16" t="str">
        <f>IFERROR(__xludf.DUMMYFUNCTION("IF(OR(ISBLANK($G144), IFERROR(INDEX(GOOGLEFINANCE($C144, ""price"", WORKDAY(INT($B144), 20)), 2, 2), """")=""""), """", IF($D144=""LONG"", (IFERROR(INDEX(GOOGLEFINANCE($C144, ""price"", WORKDAY(INT($B144), 20)), 2, 2), """")-$G144)/$G144, ($G144-IFERROR(I"&amp;"NDEX(GOOGLEFINANCE($C144, ""price"", WORKDAY(INT($B144), 20)), 2, 2), """"))/$G144))"),"")</f>
        <v/>
      </c>
      <c r="T144" s="10" t="s">
        <v>1703</v>
      </c>
      <c r="U144" s="10" t="s">
        <v>722</v>
      </c>
      <c r="V144" s="10" t="s">
        <v>1704</v>
      </c>
      <c r="W144" s="10" t="s">
        <v>51</v>
      </c>
      <c r="X144" s="10" t="s">
        <v>722</v>
      </c>
    </row>
    <row r="145">
      <c r="A145" s="9">
        <f t="shared" si="1"/>
        <v>144</v>
      </c>
      <c r="B145" s="11">
        <v>46217.66775462963</v>
      </c>
      <c r="C145" s="10" t="s">
        <v>548</v>
      </c>
      <c r="D145" s="10" t="s">
        <v>36</v>
      </c>
      <c r="E145" s="10" t="s">
        <v>37</v>
      </c>
      <c r="F145" s="13">
        <v>2.0</v>
      </c>
      <c r="G145" s="14">
        <v>92.4</v>
      </c>
      <c r="H145" s="10" t="s">
        <v>1705</v>
      </c>
      <c r="I145" s="10">
        <v>90.5</v>
      </c>
      <c r="O145" s="15">
        <f>IFERROR(__xludf.DUMMYFUNCTION("IF(ISBLANK($C145), """", GOOGLEFINANCE($C145, ""price""))"),92.26)</f>
        <v>92.26</v>
      </c>
      <c r="P145" s="16">
        <f t="shared" si="2"/>
        <v>-0.001515151515</v>
      </c>
      <c r="Q145" s="16">
        <f>IFERROR(__xludf.DUMMYFUNCTION("IF(OR(ISBLANK($G145), IFERROR(INDEX(GOOGLEFINANCE($C145, ""price"", WORKDAY(INT($B145), 1)), 2, 2), """")=""""), """", IF($D145=""LONG"", (IFERROR(INDEX(GOOGLEFINANCE($C145, ""price"", WORKDAY(INT($B145), 1)), 2, 2), """")-$G145)/$G145, ($G145-IFERROR(IND"&amp;"EX(GOOGLEFINANCE($C145, ""price"", WORKDAY(INT($B145), 1)), 2, 2), """"))/$G145))"),-0.0011904761904761843)</f>
        <v>-0.00119047619</v>
      </c>
      <c r="R145" s="16">
        <f>IFERROR(__xludf.DUMMYFUNCTION("IF(OR(ISBLANK($G145), IFERROR(INDEX(GOOGLEFINANCE($C145, ""price"", WORKDAY(INT($B145), 5)), 2, 2), """")=""""), """", IF($D145=""LONG"", (IFERROR(INDEX(GOOGLEFINANCE($C145, ""price"", WORKDAY(INT($B145), 5)), 2, 2), """")-$G145)/$G145, ($G145-IFERROR(IND"&amp;"EX(GOOGLEFINANCE($C145, ""price"", WORKDAY(INT($B145), 5)), 2, 2), """"))/$G145))"),0.05649350649350648)</f>
        <v>0.05649350649</v>
      </c>
      <c r="S145" s="16" t="str">
        <f>IFERROR(__xludf.DUMMYFUNCTION("IF(OR(ISBLANK($G145), IFERROR(INDEX(GOOGLEFINANCE($C145, ""price"", WORKDAY(INT($B145), 20)), 2, 2), """")=""""), """", IF($D145=""LONG"", (IFERROR(INDEX(GOOGLEFINANCE($C145, ""price"", WORKDAY(INT($B145), 20)), 2, 2), """")-$G145)/$G145, ($G145-IFERROR(I"&amp;"NDEX(GOOGLEFINANCE($C145, ""price"", WORKDAY(INT($B145), 20)), 2, 2), """"))/$G145))"),"")</f>
        <v/>
      </c>
      <c r="T145" s="10" t="s">
        <v>1709</v>
      </c>
      <c r="U145" s="10" t="s">
        <v>722</v>
      </c>
      <c r="V145" s="10" t="s">
        <v>1710</v>
      </c>
      <c r="W145" s="10" t="s">
        <v>51</v>
      </c>
      <c r="X145" s="10" t="s">
        <v>722</v>
      </c>
    </row>
    <row r="146">
      <c r="A146" s="9">
        <f t="shared" si="1"/>
        <v>145</v>
      </c>
      <c r="B146" s="11">
        <v>46217.66756944444</v>
      </c>
      <c r="C146" s="10" t="s">
        <v>1216</v>
      </c>
      <c r="D146" s="10" t="s">
        <v>36</v>
      </c>
      <c r="E146" s="10" t="s">
        <v>37</v>
      </c>
      <c r="F146" s="13">
        <v>2.0</v>
      </c>
      <c r="G146" s="14">
        <v>79.99</v>
      </c>
      <c r="H146" s="10" t="s">
        <v>1711</v>
      </c>
      <c r="I146" s="10">
        <v>90.4</v>
      </c>
      <c r="O146" s="15">
        <f>IFERROR(__xludf.DUMMYFUNCTION("IF(ISBLANK($C146), """", GOOGLEFINANCE($C146, ""price""))"),79.02)</f>
        <v>79.02</v>
      </c>
      <c r="P146" s="16">
        <f t="shared" si="2"/>
        <v>-0.01212651581</v>
      </c>
      <c r="Q146" s="16">
        <f>IFERROR(__xludf.DUMMYFUNCTION("IF(OR(ISBLANK($G146), IFERROR(INDEX(GOOGLEFINANCE($C146, ""price"", WORKDAY(INT($B146), 1)), 2, 2), """")=""""), """", IF($D146=""LONG"", (IFERROR(INDEX(GOOGLEFINANCE($C146, ""price"", WORKDAY(INT($B146), 1)), 2, 2), """")-$G146)/$G146, ($G146-IFERROR(IND"&amp;"EX(GOOGLEFINANCE($C146, ""price"", WORKDAY(INT($B146), 1)), 2, 2), """"))/$G146))"),0.022752844105513283)</f>
        <v>0.02275284411</v>
      </c>
      <c r="R146" s="16">
        <f>IFERROR(__xludf.DUMMYFUNCTION("IF(OR(ISBLANK($G146), IFERROR(INDEX(GOOGLEFINANCE($C146, ""price"", WORKDAY(INT($B146), 5)), 2, 2), """")=""""), """", IF($D146=""LONG"", (IFERROR(INDEX(GOOGLEFINANCE($C146, ""price"", WORKDAY(INT($B146), 5)), 2, 2), """")-$G146)/$G146, ($G146-IFERROR(IND"&amp;"EX(GOOGLEFINANCE($C146, ""price"", WORKDAY(INT($B146), 5)), 2, 2), """"))/$G146))"),0.004875609451181405)</f>
        <v>0.004875609451</v>
      </c>
      <c r="S146" s="16" t="str">
        <f>IFERROR(__xludf.DUMMYFUNCTION("IF(OR(ISBLANK($G146), IFERROR(INDEX(GOOGLEFINANCE($C146, ""price"", WORKDAY(INT($B146), 20)), 2, 2), """")=""""), """", IF($D146=""LONG"", (IFERROR(INDEX(GOOGLEFINANCE($C146, ""price"", WORKDAY(INT($B146), 20)), 2, 2), """")-$G146)/$G146, ($G146-IFERROR(I"&amp;"NDEX(GOOGLEFINANCE($C146, ""price"", WORKDAY(INT($B146), 20)), 2, 2), """"))/$G146))"),"")</f>
        <v/>
      </c>
      <c r="T146" s="10" t="s">
        <v>1716</v>
      </c>
      <c r="U146" s="10" t="s">
        <v>722</v>
      </c>
      <c r="V146" s="10" t="s">
        <v>1717</v>
      </c>
      <c r="W146" s="10" t="s">
        <v>51</v>
      </c>
      <c r="X146" s="10" t="s">
        <v>722</v>
      </c>
    </row>
    <row r="147">
      <c r="A147" s="9">
        <f t="shared" si="1"/>
        <v>146</v>
      </c>
      <c r="B147" s="11">
        <v>46217.667719907404</v>
      </c>
      <c r="C147" s="10" t="s">
        <v>331</v>
      </c>
      <c r="D147" s="10" t="s">
        <v>36</v>
      </c>
      <c r="E147" s="10" t="s">
        <v>37</v>
      </c>
      <c r="F147" s="13">
        <v>2.0</v>
      </c>
      <c r="G147" s="14">
        <v>251.8</v>
      </c>
      <c r="H147" s="10" t="s">
        <v>1301</v>
      </c>
      <c r="I147" s="10">
        <v>94.1</v>
      </c>
      <c r="O147" s="15">
        <f>IFERROR(__xludf.DUMMYFUNCTION("IF(ISBLANK($C147), """", GOOGLEFINANCE($C147, ""price""))"),252.76)</f>
        <v>252.76</v>
      </c>
      <c r="P147" s="16">
        <f t="shared" si="2"/>
        <v>0.003812549643</v>
      </c>
      <c r="Q147" s="16">
        <f>IFERROR(__xludf.DUMMYFUNCTION("IF(OR(ISBLANK($G147), IFERROR(INDEX(GOOGLEFINANCE($C147, ""price"", WORKDAY(INT($B147), 1)), 2, 2), """")=""""), """", IF($D147=""LONG"", (IFERROR(INDEX(GOOGLEFINANCE($C147, ""price"", WORKDAY(INT($B147), 1)), 2, 2), """")-$G147)/$G147, ($G147-IFERROR(IND"&amp;"EX(GOOGLEFINANCE($C147, ""price"", WORKDAY(INT($B147), 1)), 2, 2), """"))/$G147))"),0.00933280381254962)</f>
        <v>0.009332803813</v>
      </c>
      <c r="R147" s="16">
        <f>IFERROR(__xludf.DUMMYFUNCTION("IF(OR(ISBLANK($G147), IFERROR(INDEX(GOOGLEFINANCE($C147, ""price"", WORKDAY(INT($B147), 5)), 2, 2), """")=""""), """", IF($D147=""LONG"", (IFERROR(INDEX(GOOGLEFINANCE($C147, ""price"", WORKDAY(INT($B147), 5)), 2, 2), """")-$G147)/$G147, ($G147-IFERROR(IND"&amp;"EX(GOOGLEFINANCE($C147, ""price"", WORKDAY(INT($B147), 5)), 2, 2), """"))/$G147))"),-0.005639396346306656)</f>
        <v>-0.005639396346</v>
      </c>
      <c r="S147" s="16" t="str">
        <f>IFERROR(__xludf.DUMMYFUNCTION("IF(OR(ISBLANK($G147), IFERROR(INDEX(GOOGLEFINANCE($C147, ""price"", WORKDAY(INT($B147), 20)), 2, 2), """")=""""), """", IF($D147=""LONG"", (IFERROR(INDEX(GOOGLEFINANCE($C147, ""price"", WORKDAY(INT($B147), 20)), 2, 2), """")-$G147)/$G147, ($G147-IFERROR(I"&amp;"NDEX(GOOGLEFINANCE($C147, ""price"", WORKDAY(INT($B147), 20)), 2, 2), """"))/$G147))"),"")</f>
        <v/>
      </c>
      <c r="T147" s="10" t="s">
        <v>1722</v>
      </c>
      <c r="U147" s="10" t="s">
        <v>722</v>
      </c>
      <c r="V147" s="10" t="s">
        <v>1723</v>
      </c>
      <c r="W147" s="10" t="s">
        <v>51</v>
      </c>
      <c r="X147" s="10" t="s">
        <v>722</v>
      </c>
    </row>
    <row r="148">
      <c r="A148" s="9">
        <f t="shared" si="1"/>
        <v>147</v>
      </c>
      <c r="B148" s="11">
        <v>46217.66755787037</v>
      </c>
      <c r="C148" s="10" t="s">
        <v>272</v>
      </c>
      <c r="D148" s="10" t="s">
        <v>36</v>
      </c>
      <c r="E148" s="10" t="s">
        <v>37</v>
      </c>
      <c r="F148" s="13">
        <v>2.0</v>
      </c>
      <c r="G148" s="14">
        <v>343.04</v>
      </c>
      <c r="H148" s="10" t="s">
        <v>1724</v>
      </c>
      <c r="I148" s="10">
        <v>93.8</v>
      </c>
      <c r="O148" s="15">
        <f>IFERROR(__xludf.DUMMYFUNCTION("IF(ISBLANK($C148), """", GOOGLEFINANCE($C148, ""price""))"),356.3)</f>
        <v>356.3</v>
      </c>
      <c r="P148" s="16">
        <f t="shared" si="2"/>
        <v>0.03865438433</v>
      </c>
      <c r="Q148" s="16">
        <f>IFERROR(__xludf.DUMMYFUNCTION("IF(OR(ISBLANK($G148), IFERROR(INDEX(GOOGLEFINANCE($C148, ""price"", WORKDAY(INT($B148), 1)), 2, 2), """")=""""), """", IF($D148=""LONG"", (IFERROR(INDEX(GOOGLEFINANCE($C148, ""price"", WORKDAY(INT($B148), 1)), 2, 2), """")-$G148)/$G148, ($G148-IFERROR(IND"&amp;"EX(GOOGLEFINANCE($C148, ""price"", WORKDAY(INT($B148), 1)), 2, 2), """"))/$G148))"),0.011281483208955237)</f>
        <v>0.01128148321</v>
      </c>
      <c r="R148" s="16">
        <f>IFERROR(__xludf.DUMMYFUNCTION("IF(OR(ISBLANK($G148), IFERROR(INDEX(GOOGLEFINANCE($C148, ""price"", WORKDAY(INT($B148), 5)), 2, 2), """")=""""), """", IF($D148=""LONG"", (IFERROR(INDEX(GOOGLEFINANCE($C148, ""price"", WORKDAY(INT($B148), 5)), 2, 2), """")-$G148)/$G148, ($G148-IFERROR(IND"&amp;"EX(GOOGLEFINANCE($C148, ""price"", WORKDAY(INT($B148), 5)), 2, 2), """"))/$G148))"),0.006384095149253724)</f>
        <v>0.006384095149</v>
      </c>
      <c r="S148" s="16" t="str">
        <f>IFERROR(__xludf.DUMMYFUNCTION("IF(OR(ISBLANK($G148), IFERROR(INDEX(GOOGLEFINANCE($C148, ""price"", WORKDAY(INT($B148), 20)), 2, 2), """")=""""), """", IF($D148=""LONG"", (IFERROR(INDEX(GOOGLEFINANCE($C148, ""price"", WORKDAY(INT($B148), 20)), 2, 2), """")-$G148)/$G148, ($G148-IFERROR(I"&amp;"NDEX(GOOGLEFINANCE($C148, ""price"", WORKDAY(INT($B148), 20)), 2, 2), """"))/$G148))"),"")</f>
        <v/>
      </c>
      <c r="T148" s="10" t="s">
        <v>1729</v>
      </c>
      <c r="U148" s="10" t="s">
        <v>722</v>
      </c>
      <c r="V148" s="10" t="s">
        <v>1730</v>
      </c>
      <c r="W148" s="10" t="s">
        <v>51</v>
      </c>
      <c r="X148" s="10" t="s">
        <v>722</v>
      </c>
    </row>
    <row r="149">
      <c r="A149" s="9">
        <f t="shared" si="1"/>
        <v>148</v>
      </c>
      <c r="B149" s="11">
        <v>46217.6675</v>
      </c>
      <c r="C149" s="10" t="s">
        <v>600</v>
      </c>
      <c r="D149" s="10" t="s">
        <v>36</v>
      </c>
      <c r="E149" s="10" t="s">
        <v>37</v>
      </c>
      <c r="F149" s="13">
        <v>2.0</v>
      </c>
      <c r="G149" s="14">
        <v>231.0</v>
      </c>
      <c r="H149" s="10" t="s">
        <v>1732</v>
      </c>
      <c r="I149" s="10">
        <v>95.0</v>
      </c>
      <c r="O149" s="15">
        <f>IFERROR(__xludf.DUMMYFUNCTION("IF(ISBLANK($C149), """", GOOGLEFINANCE($C149, ""price""))"),265.51)</f>
        <v>265.51</v>
      </c>
      <c r="P149" s="16">
        <f t="shared" si="2"/>
        <v>0.1493939394</v>
      </c>
      <c r="Q149" s="16">
        <f>IFERROR(__xludf.DUMMYFUNCTION("IF(OR(ISBLANK($G149), IFERROR(INDEX(GOOGLEFINANCE($C149, ""price"", WORKDAY(INT($B149), 1)), 2, 2), """")=""""), """", IF($D149=""LONG"", (IFERROR(INDEX(GOOGLEFINANCE($C149, ""price"", WORKDAY(INT($B149), 1)), 2, 2), """")-$G149)/$G149, ($G149-IFERROR(IND"&amp;"EX(GOOGLEFINANCE($C149, ""price"", WORKDAY(INT($B149), 1)), 2, 2), """"))/$G149))"),-0.01203463203463204)</f>
        <v>-0.01203463203</v>
      </c>
      <c r="R149" s="16">
        <f>IFERROR(__xludf.DUMMYFUNCTION("IF(OR(ISBLANK($G149), IFERROR(INDEX(GOOGLEFINANCE($C149, ""price"", WORKDAY(INT($B149), 5)), 2, 2), """")=""""), """", IF($D149=""LONG"", (IFERROR(INDEX(GOOGLEFINANCE($C149, ""price"", WORKDAY(INT($B149), 5)), 2, 2), """")-$G149)/$G149, ($G149-IFERROR(IND"&amp;"EX(GOOGLEFINANCE($C149, ""price"", WORKDAY(INT($B149), 5)), 2, 2), """"))/$G149))"),-0.050216450216450194)</f>
        <v>-0.05021645022</v>
      </c>
      <c r="S149" s="16" t="str">
        <f>IFERROR(__xludf.DUMMYFUNCTION("IF(OR(ISBLANK($G149), IFERROR(INDEX(GOOGLEFINANCE($C149, ""price"", WORKDAY(INT($B149), 20)), 2, 2), """")=""""), """", IF($D149=""LONG"", (IFERROR(INDEX(GOOGLEFINANCE($C149, ""price"", WORKDAY(INT($B149), 20)), 2, 2), """")-$G149)/$G149, ($G149-IFERROR(I"&amp;"NDEX(GOOGLEFINANCE($C149, ""price"", WORKDAY(INT($B149), 20)), 2, 2), """"))/$G149))"),"")</f>
        <v/>
      </c>
      <c r="T149" s="10" t="s">
        <v>1737</v>
      </c>
      <c r="U149" s="10" t="s">
        <v>722</v>
      </c>
      <c r="V149" s="10" t="s">
        <v>1738</v>
      </c>
      <c r="W149" s="10" t="s">
        <v>51</v>
      </c>
      <c r="X149" s="10" t="s">
        <v>722</v>
      </c>
    </row>
    <row r="150">
      <c r="A150" s="9">
        <f t="shared" si="1"/>
        <v>149</v>
      </c>
      <c r="B150" s="11">
        <v>46217.66736111111</v>
      </c>
      <c r="C150" s="10" t="s">
        <v>1739</v>
      </c>
      <c r="D150" s="10" t="s">
        <v>36</v>
      </c>
      <c r="E150" s="10" t="s">
        <v>133</v>
      </c>
      <c r="F150" s="13">
        <v>2.0</v>
      </c>
      <c r="G150" s="14">
        <v>250.34</v>
      </c>
      <c r="H150" s="10" t="s">
        <v>1740</v>
      </c>
      <c r="I150" s="10">
        <v>88.0</v>
      </c>
      <c r="O150" s="15">
        <f>IFERROR(__xludf.DUMMYFUNCTION("IF(ISBLANK($C150), """", GOOGLEFINANCE($C150, ""price""))"),275.11)</f>
        <v>275.11</v>
      </c>
      <c r="P150" s="16">
        <f t="shared" si="2"/>
        <v>0.09894543421</v>
      </c>
      <c r="Q150" s="16">
        <f>IFERROR(__xludf.DUMMYFUNCTION("IF(OR(ISBLANK($G150), IFERROR(INDEX(GOOGLEFINANCE($C150, ""price"", WORKDAY(INT($B150), 1)), 2, 2), """")=""""), """", IF($D150=""LONG"", (IFERROR(INDEX(GOOGLEFINANCE($C150, ""price"", WORKDAY(INT($B150), 1)), 2, 2), """")-$G150)/$G150, ($G150-IFERROR(IND"&amp;"EX(GOOGLEFINANCE($C150, ""price"", WORKDAY(INT($B150), 1)), 2, 2), """"))/$G150))"),-0.04338100183750105)</f>
        <v>-0.04338100184</v>
      </c>
      <c r="R150" s="16">
        <f>IFERROR(__xludf.DUMMYFUNCTION("IF(OR(ISBLANK($G150), IFERROR(INDEX(GOOGLEFINANCE($C150, ""price"", WORKDAY(INT($B150), 5)), 2, 2), """")=""""), """", IF($D150=""LONG"", (IFERROR(INDEX(GOOGLEFINANCE($C150, ""price"", WORKDAY(INT($B150), 5)), 2, 2), """")-$G150)/$G150, ($G150-IFERROR(IND"&amp;"EX(GOOGLEFINANCE($C150, ""price"", WORKDAY(INT($B150), 5)), 2, 2), """"))/$G150))"),0.005592394343692601)</f>
        <v>0.005592394344</v>
      </c>
      <c r="S150" s="16" t="str">
        <f>IFERROR(__xludf.DUMMYFUNCTION("IF(OR(ISBLANK($G150), IFERROR(INDEX(GOOGLEFINANCE($C150, ""price"", WORKDAY(INT($B150), 20)), 2, 2), """")=""""), """", IF($D150=""LONG"", (IFERROR(INDEX(GOOGLEFINANCE($C150, ""price"", WORKDAY(INT($B150), 20)), 2, 2), """")-$G150)/$G150, ($G150-IFERROR(I"&amp;"NDEX(GOOGLEFINANCE($C150, ""price"", WORKDAY(INT($B150), 20)), 2, 2), """"))/$G150))"),"")</f>
        <v/>
      </c>
      <c r="T150" s="10" t="s">
        <v>1744</v>
      </c>
      <c r="U150" s="10" t="s">
        <v>704</v>
      </c>
      <c r="V150" s="10" t="s">
        <v>1745</v>
      </c>
      <c r="W150" s="10" t="s">
        <v>51</v>
      </c>
      <c r="X150" s="10" t="s">
        <v>704</v>
      </c>
    </row>
    <row r="151">
      <c r="A151" s="9">
        <f t="shared" si="1"/>
        <v>150</v>
      </c>
      <c r="B151" s="11">
        <v>46217.66744212963</v>
      </c>
      <c r="C151" s="10" t="s">
        <v>123</v>
      </c>
      <c r="D151" s="10" t="s">
        <v>36</v>
      </c>
      <c r="E151" s="10" t="s">
        <v>37</v>
      </c>
      <c r="F151" s="13">
        <v>2.0</v>
      </c>
      <c r="G151" s="14">
        <v>17.86</v>
      </c>
      <c r="H151" s="10" t="s">
        <v>1747</v>
      </c>
      <c r="I151" s="10">
        <v>94.9</v>
      </c>
      <c r="O151" s="15">
        <f>IFERROR(__xludf.DUMMYFUNCTION("IF(ISBLANK($C151), """", GOOGLEFINANCE($C151, ""price""))"),17.36)</f>
        <v>17.36</v>
      </c>
      <c r="P151" s="16">
        <f t="shared" si="2"/>
        <v>-0.02799552072</v>
      </c>
      <c r="Q151" s="16">
        <f>IFERROR(__xludf.DUMMYFUNCTION("IF(OR(ISBLANK($G151), IFERROR(INDEX(GOOGLEFINANCE($C151, ""price"", WORKDAY(INT($B151), 1)), 2, 2), """")=""""), """", IF($D151=""LONG"", (IFERROR(INDEX(GOOGLEFINANCE($C151, ""price"", WORKDAY(INT($B151), 1)), 2, 2), """")-$G151)/$G151, ($G151-IFERROR(IND"&amp;"EX(GOOGLEFINANCE($C151, ""price"", WORKDAY(INT($B151), 1)), 2, 2), """"))/$G151))"),0.01455767077267646)</f>
        <v>0.01455767077</v>
      </c>
      <c r="R151" s="16">
        <f>IFERROR(__xludf.DUMMYFUNCTION("IF(OR(ISBLANK($G151), IFERROR(INDEX(GOOGLEFINANCE($C151, ""price"", WORKDAY(INT($B151), 5)), 2, 2), """")=""""), """", IF($D151=""LONG"", (IFERROR(INDEX(GOOGLEFINANCE($C151, ""price"", WORKDAY(INT($B151), 5)), 2, 2), """")-$G151)/$G151, ($G151-IFERROR(IND"&amp;"EX(GOOGLEFINANCE($C151, ""price"", WORKDAY(INT($B151), 5)), 2, 2), """"))/$G151))"),0.017357222844345033)</f>
        <v>0.01735722284</v>
      </c>
      <c r="S151" s="16" t="str">
        <f>IFERROR(__xludf.DUMMYFUNCTION("IF(OR(ISBLANK($G151), IFERROR(INDEX(GOOGLEFINANCE($C151, ""price"", WORKDAY(INT($B151), 20)), 2, 2), """")=""""), """", IF($D151=""LONG"", (IFERROR(INDEX(GOOGLEFINANCE($C151, ""price"", WORKDAY(INT($B151), 20)), 2, 2), """")-$G151)/$G151, ($G151-IFERROR(I"&amp;"NDEX(GOOGLEFINANCE($C151, ""price"", WORKDAY(INT($B151), 20)), 2, 2), """"))/$G151))"),"")</f>
        <v/>
      </c>
      <c r="T151" s="10" t="s">
        <v>1748</v>
      </c>
      <c r="U151" s="10" t="s">
        <v>704</v>
      </c>
      <c r="V151" s="10" t="s">
        <v>1749</v>
      </c>
      <c r="W151" s="10" t="s">
        <v>51</v>
      </c>
      <c r="X151" s="10" t="s">
        <v>704</v>
      </c>
    </row>
    <row r="152">
      <c r="A152" s="9">
        <f t="shared" si="1"/>
        <v>151</v>
      </c>
      <c r="B152" s="11">
        <v>46217.66748842593</v>
      </c>
      <c r="C152" s="10" t="s">
        <v>58</v>
      </c>
      <c r="D152" s="10" t="s">
        <v>36</v>
      </c>
      <c r="E152" s="10" t="s">
        <v>37</v>
      </c>
      <c r="F152" s="13">
        <v>2.0</v>
      </c>
      <c r="G152" s="14">
        <v>353.51</v>
      </c>
      <c r="H152" s="10" t="s">
        <v>1750</v>
      </c>
      <c r="I152" s="10">
        <v>94.9</v>
      </c>
      <c r="O152" s="15">
        <f>IFERROR(__xludf.DUMMYFUNCTION("IF(ISBLANK($C152), """", GOOGLEFINANCE($C152, ""price""))"),374.55)</f>
        <v>374.55</v>
      </c>
      <c r="P152" s="16">
        <f t="shared" si="2"/>
        <v>0.05951741111</v>
      </c>
      <c r="Q152" s="16">
        <f>IFERROR(__xludf.DUMMYFUNCTION("IF(OR(ISBLANK($G152), IFERROR(INDEX(GOOGLEFINANCE($C152, ""price"", WORKDAY(INT($B152), 1)), 2, 2), """")=""""), """", IF($D152=""LONG"", (IFERROR(INDEX(GOOGLEFINANCE($C152, ""price"", WORKDAY(INT($B152), 1)), 2, 2), """")-$G152)/$G152, ($G152-IFERROR(IND"&amp;"EX(GOOGLEFINANCE($C152, ""price"", WORKDAY(INT($B152), 1)), 2, 2), """"))/$G152))"),0.01934881615795885)</f>
        <v>0.01934881616</v>
      </c>
      <c r="R152" s="16">
        <f>IFERROR(__xludf.DUMMYFUNCTION("IF(OR(ISBLANK($G152), IFERROR(INDEX(GOOGLEFINANCE($C152, ""price"", WORKDAY(INT($B152), 5)), 2, 2), """")=""""), """", IF($D152=""LONG"", (IFERROR(INDEX(GOOGLEFINANCE($C152, ""price"", WORKDAY(INT($B152), 5)), 2, 2), """")-$G152)/$G152, ($G152-IFERROR(IND"&amp;"EX(GOOGLEFINANCE($C152, ""price"", WORKDAY(INT($B152), 5)), 2, 2), """"))/$G152))"),-0.03623659868179119)</f>
        <v>-0.03623659868</v>
      </c>
      <c r="S152" s="16" t="str">
        <f>IFERROR(__xludf.DUMMYFUNCTION("IF(OR(ISBLANK($G152), IFERROR(INDEX(GOOGLEFINANCE($C152, ""price"", WORKDAY(INT($B152), 20)), 2, 2), """")=""""), """", IF($D152=""LONG"", (IFERROR(INDEX(GOOGLEFINANCE($C152, ""price"", WORKDAY(INT($B152), 20)), 2, 2), """")-$G152)/$G152, ($G152-IFERROR(I"&amp;"NDEX(GOOGLEFINANCE($C152, ""price"", WORKDAY(INT($B152), 20)), 2, 2), """"))/$G152))"),"")</f>
        <v/>
      </c>
      <c r="T152" s="10" t="s">
        <v>1752</v>
      </c>
      <c r="U152" s="10" t="s">
        <v>704</v>
      </c>
      <c r="V152" s="10" t="s">
        <v>1753</v>
      </c>
      <c r="W152" s="10" t="s">
        <v>51</v>
      </c>
      <c r="X152" s="10" t="s">
        <v>704</v>
      </c>
    </row>
    <row r="153">
      <c r="A153" s="9">
        <f t="shared" si="1"/>
        <v>152</v>
      </c>
      <c r="B153" s="11">
        <v>46217.66752314815</v>
      </c>
      <c r="C153" s="10" t="s">
        <v>351</v>
      </c>
      <c r="D153" s="10" t="s">
        <v>36</v>
      </c>
      <c r="E153" s="10" t="s">
        <v>37</v>
      </c>
      <c r="F153" s="13">
        <v>2.0</v>
      </c>
      <c r="G153" s="14">
        <v>221.31</v>
      </c>
      <c r="H153" s="10" t="s">
        <v>1754</v>
      </c>
      <c r="I153" s="10">
        <v>87.9</v>
      </c>
      <c r="O153" s="15">
        <f>IFERROR(__xludf.DUMMYFUNCTION("IF(ISBLANK($C153), """", GOOGLEFINANCE($C153, ""price""))"),221.83)</f>
        <v>221.83</v>
      </c>
      <c r="P153" s="16">
        <f t="shared" si="2"/>
        <v>0.002349645294</v>
      </c>
      <c r="Q153" s="16">
        <f>IFERROR(__xludf.DUMMYFUNCTION("IF(OR(ISBLANK($G153), IFERROR(INDEX(GOOGLEFINANCE($C153, ""price"", WORKDAY(INT($B153), 1)), 2, 2), """")=""""), """", IF($D153=""LONG"", (IFERROR(INDEX(GOOGLEFINANCE($C153, ""price"", WORKDAY(INT($B153), 1)), 2, 2), """")-$G153)/$G153, ($G153-IFERROR(IND"&amp;"EX(GOOGLEFINANCE($C153, ""price"", WORKDAY(INT($B153), 1)), 2, 2), """"))/$G153))"),0.0031629840495232416)</f>
        <v>0.00316298405</v>
      </c>
      <c r="R153" s="16">
        <f>IFERROR(__xludf.DUMMYFUNCTION("IF(OR(ISBLANK($G153), IFERROR(INDEX(GOOGLEFINANCE($C153, ""price"", WORKDAY(INT($B153), 5)), 2, 2), """")=""""), """", IF($D153=""LONG"", (IFERROR(INDEX(GOOGLEFINANCE($C153, ""price"", WORKDAY(INT($B153), 5)), 2, 2), """")-$G153)/$G153, ($G153-IFERROR(IND"&amp;"EX(GOOGLEFINANCE($C153, ""price"", WORKDAY(INT($B153), 5)), 2, 2), """"))/$G153))"),0.02476164655912516)</f>
        <v>0.02476164656</v>
      </c>
      <c r="S153" s="16" t="str">
        <f>IFERROR(__xludf.DUMMYFUNCTION("IF(OR(ISBLANK($G153), IFERROR(INDEX(GOOGLEFINANCE($C153, ""price"", WORKDAY(INT($B153), 20)), 2, 2), """")=""""), """", IF($D153=""LONG"", (IFERROR(INDEX(GOOGLEFINANCE($C153, ""price"", WORKDAY(INT($B153), 20)), 2, 2), """")-$G153)/$G153, ($G153-IFERROR(I"&amp;"NDEX(GOOGLEFINANCE($C153, ""price"", WORKDAY(INT($B153), 20)), 2, 2), """"))/$G153))"),"")</f>
        <v/>
      </c>
      <c r="T153" s="10" t="s">
        <v>1756</v>
      </c>
      <c r="U153" s="10" t="s">
        <v>704</v>
      </c>
      <c r="V153" s="10" t="s">
        <v>1757</v>
      </c>
      <c r="W153" s="10" t="s">
        <v>51</v>
      </c>
      <c r="X153" s="10" t="s">
        <v>704</v>
      </c>
    </row>
    <row r="154">
      <c r="A154" s="9">
        <f t="shared" si="1"/>
        <v>153</v>
      </c>
      <c r="B154" s="11">
        <v>46217.66767361111</v>
      </c>
      <c r="C154" s="10" t="s">
        <v>445</v>
      </c>
      <c r="D154" s="10" t="s">
        <v>36</v>
      </c>
      <c r="E154" s="10" t="s">
        <v>37</v>
      </c>
      <c r="F154" s="13">
        <v>2.0</v>
      </c>
      <c r="G154" s="14">
        <v>146.51</v>
      </c>
      <c r="H154" s="10" t="s">
        <v>1758</v>
      </c>
      <c r="I154" s="10">
        <v>96.4</v>
      </c>
      <c r="O154" s="15">
        <f>IFERROR(__xludf.DUMMYFUNCTION("IF(ISBLANK($C154), """", GOOGLEFINANCE($C154, ""price""))"),151.64)</f>
        <v>151.64</v>
      </c>
      <c r="P154" s="16">
        <f t="shared" si="2"/>
        <v>0.03501467477</v>
      </c>
      <c r="Q154" s="16">
        <f>IFERROR(__xludf.DUMMYFUNCTION("IF(OR(ISBLANK($G154), IFERROR(INDEX(GOOGLEFINANCE($C154, ""price"", WORKDAY(INT($B154), 1)), 2, 2), """")=""""), """", IF($D154=""LONG"", (IFERROR(INDEX(GOOGLEFINANCE($C154, ""price"", WORKDAY(INT($B154), 1)), 2, 2), """")-$G154)/$G154, ($G154-IFERROR(IND"&amp;"EX(GOOGLEFINANCE($C154, ""price"", WORKDAY(INT($B154), 1)), 2, 2), """"))/$G154))"),0.012763633881646336)</f>
        <v>0.01276363388</v>
      </c>
      <c r="R154" s="16">
        <f>IFERROR(__xludf.DUMMYFUNCTION("IF(OR(ISBLANK($G154), IFERROR(INDEX(GOOGLEFINANCE($C154, ""price"", WORKDAY(INT($B154), 5)), 2, 2), """")=""""), """", IF($D154=""LONG"", (IFERROR(INDEX(GOOGLEFINANCE($C154, ""price"", WORKDAY(INT($B154), 5)), 2, 2), """")-$G154)/$G154, ($G154-IFERROR(IND"&amp;"EX(GOOGLEFINANCE($C154, ""price"", WORKDAY(INT($B154), 5)), 2, 2), """"))/$G154))"),-0.016449389120196552)</f>
        <v>-0.01644938912</v>
      </c>
      <c r="S154" s="16" t="str">
        <f>IFERROR(__xludf.DUMMYFUNCTION("IF(OR(ISBLANK($G154), IFERROR(INDEX(GOOGLEFINANCE($C154, ""price"", WORKDAY(INT($B154), 20)), 2, 2), """")=""""), """", IF($D154=""LONG"", (IFERROR(INDEX(GOOGLEFINANCE($C154, ""price"", WORKDAY(INT($B154), 20)), 2, 2), """")-$G154)/$G154, ($G154-IFERROR(I"&amp;"NDEX(GOOGLEFINANCE($C154, ""price"", WORKDAY(INT($B154), 20)), 2, 2), """"))/$G154))"),"")</f>
        <v/>
      </c>
      <c r="T154" s="10" t="s">
        <v>1760</v>
      </c>
      <c r="U154" s="10" t="s">
        <v>704</v>
      </c>
      <c r="V154" s="10" t="s">
        <v>1761</v>
      </c>
      <c r="W154" s="10" t="s">
        <v>51</v>
      </c>
      <c r="X154" s="10" t="s">
        <v>704</v>
      </c>
    </row>
    <row r="155">
      <c r="A155" s="9">
        <f t="shared" si="1"/>
        <v>154</v>
      </c>
      <c r="B155" s="11">
        <v>46217.66775462963</v>
      </c>
      <c r="C155" s="10" t="s">
        <v>1762</v>
      </c>
      <c r="D155" s="10" t="s">
        <v>36</v>
      </c>
      <c r="E155" s="10" t="s">
        <v>37</v>
      </c>
      <c r="F155" s="13">
        <v>2.0</v>
      </c>
      <c r="G155" s="14">
        <v>199.62</v>
      </c>
      <c r="H155" s="10" t="s">
        <v>1763</v>
      </c>
      <c r="I155" s="10">
        <v>83.8</v>
      </c>
      <c r="O155" s="15">
        <f>IFERROR(__xludf.DUMMYFUNCTION("IF(ISBLANK($C155), """", GOOGLEFINANCE($C155, ""price""))"),146.66)</f>
        <v>146.66</v>
      </c>
      <c r="P155" s="16">
        <f t="shared" si="2"/>
        <v>-0.2653040777</v>
      </c>
      <c r="Q155" s="16">
        <f>IFERROR(__xludf.DUMMYFUNCTION("IF(OR(ISBLANK($G155), IFERROR(INDEX(GOOGLEFINANCE($C155, ""price"", WORKDAY(INT($B155), 1)), 2, 2), """")=""""), """", IF($D155=""LONG"", (IFERROR(INDEX(GOOGLEFINANCE($C155, ""price"", WORKDAY(INT($B155), 1)), 2, 2), """")-$G155)/$G155, ($G155-IFERROR(IND"&amp;"EX(GOOGLEFINANCE($C155, ""price"", WORKDAY(INT($B155), 1)), 2, 2), """"))/$G155))"),-0.010620178338843825)</f>
        <v>-0.01062017834</v>
      </c>
      <c r="R155" s="16">
        <f>IFERROR(__xludf.DUMMYFUNCTION("IF(OR(ISBLANK($G155), IFERROR(INDEX(GOOGLEFINANCE($C155, ""price"", WORKDAY(INT($B155), 5)), 2, 2), """")=""""), """", IF($D155=""LONG"", (IFERROR(INDEX(GOOGLEFINANCE($C155, ""price"", WORKDAY(INT($B155), 5)), 2, 2), """")-$G155)/$G155, ($G155-IFERROR(IND"&amp;"EX(GOOGLEFINANCE($C155, ""price"", WORKDAY(INT($B155), 5)), 2, 2), """"))/$G155))"),0.0490932772267307)</f>
        <v>0.04909327723</v>
      </c>
      <c r="S155" s="16" t="str">
        <f>IFERROR(__xludf.DUMMYFUNCTION("IF(OR(ISBLANK($G155), IFERROR(INDEX(GOOGLEFINANCE($C155, ""price"", WORKDAY(INT($B155), 20)), 2, 2), """")=""""), """", IF($D155=""LONG"", (IFERROR(INDEX(GOOGLEFINANCE($C155, ""price"", WORKDAY(INT($B155), 20)), 2, 2), """")-$G155)/$G155, ($G155-IFERROR(I"&amp;"NDEX(GOOGLEFINANCE($C155, ""price"", WORKDAY(INT($B155), 20)), 2, 2), """"))/$G155))"),"")</f>
        <v/>
      </c>
      <c r="T155" s="10" t="s">
        <v>1765</v>
      </c>
      <c r="U155" s="10" t="s">
        <v>704</v>
      </c>
      <c r="V155" s="10" t="s">
        <v>1766</v>
      </c>
      <c r="W155" s="10" t="s">
        <v>51</v>
      </c>
      <c r="X155" s="10" t="s">
        <v>704</v>
      </c>
    </row>
    <row r="156">
      <c r="A156" s="9">
        <f t="shared" si="1"/>
        <v>155</v>
      </c>
      <c r="B156" s="11">
        <v>46217.66777777778</v>
      </c>
      <c r="C156" s="10" t="s">
        <v>108</v>
      </c>
      <c r="D156" s="10" t="s">
        <v>36</v>
      </c>
      <c r="E156" s="10" t="s">
        <v>37</v>
      </c>
      <c r="F156" s="13">
        <v>2.0</v>
      </c>
      <c r="G156" s="14">
        <v>124.54</v>
      </c>
      <c r="H156" s="10" t="s">
        <v>1767</v>
      </c>
      <c r="I156" s="10">
        <v>95.8</v>
      </c>
      <c r="O156" s="15">
        <f>IFERROR(__xludf.DUMMYFUNCTION("IF(ISBLANK($C156), """", GOOGLEFINANCE($C156, ""price""))"),129.68)</f>
        <v>129.68</v>
      </c>
      <c r="P156" s="16">
        <f t="shared" si="2"/>
        <v>0.04127188052</v>
      </c>
      <c r="Q156" s="16">
        <f>IFERROR(__xludf.DUMMYFUNCTION("IF(OR(ISBLANK($G156), IFERROR(INDEX(GOOGLEFINANCE($C156, ""price"", WORKDAY(INT($B156), 1)), 2, 2), """")=""""), """", IF($D156=""LONG"", (IFERROR(INDEX(GOOGLEFINANCE($C156, ""price"", WORKDAY(INT($B156), 1)), 2, 2), """")-$G156)/$G156, ($G156-IFERROR(IND"&amp;"EX(GOOGLEFINANCE($C156, ""price"", WORKDAY(INT($B156), 1)), 2, 2), """"))/$G156))"),0.01999357636100847)</f>
        <v>0.01999357636</v>
      </c>
      <c r="R156" s="16">
        <f>IFERROR(__xludf.DUMMYFUNCTION("IF(OR(ISBLANK($G156), IFERROR(INDEX(GOOGLEFINANCE($C156, ""price"", WORKDAY(INT($B156), 5)), 2, 2), """")=""""), """", IF($D156=""LONG"", (IFERROR(INDEX(GOOGLEFINANCE($C156, ""price"", WORKDAY(INT($B156), 5)), 2, 2), """")-$G156)/$G156, ($G156-IFERROR(IND"&amp;"EX(GOOGLEFINANCE($C156, ""price"", WORKDAY(INT($B156), 5)), 2, 2), """"))/$G156))"),0.009635458487232925)</f>
        <v>0.009635458487</v>
      </c>
      <c r="S156" s="16" t="str">
        <f>IFERROR(__xludf.DUMMYFUNCTION("IF(OR(ISBLANK($G156), IFERROR(INDEX(GOOGLEFINANCE($C156, ""price"", WORKDAY(INT($B156), 20)), 2, 2), """")=""""), """", IF($D156=""LONG"", (IFERROR(INDEX(GOOGLEFINANCE($C156, ""price"", WORKDAY(INT($B156), 20)), 2, 2), """")-$G156)/$G156, ($G156-IFERROR(I"&amp;"NDEX(GOOGLEFINANCE($C156, ""price"", WORKDAY(INT($B156), 20)), 2, 2), """"))/$G156))"),"")</f>
        <v/>
      </c>
      <c r="T156" s="10" t="s">
        <v>1769</v>
      </c>
      <c r="U156" s="10" t="s">
        <v>704</v>
      </c>
      <c r="V156" s="10" t="s">
        <v>1770</v>
      </c>
      <c r="W156" s="10" t="s">
        <v>51</v>
      </c>
      <c r="X156" s="10" t="s">
        <v>704</v>
      </c>
    </row>
    <row r="157">
      <c r="A157" s="9">
        <f t="shared" si="1"/>
        <v>156</v>
      </c>
      <c r="B157" s="11">
        <v>46217.667604166665</v>
      </c>
      <c r="C157" s="10" t="s">
        <v>234</v>
      </c>
      <c r="D157" s="10" t="s">
        <v>36</v>
      </c>
      <c r="E157" s="10" t="s">
        <v>37</v>
      </c>
      <c r="F157" s="13">
        <v>2.0</v>
      </c>
      <c r="G157" s="14">
        <v>62.16</v>
      </c>
      <c r="H157" s="10" t="s">
        <v>1122</v>
      </c>
      <c r="I157" s="10">
        <v>93.5</v>
      </c>
      <c r="O157" s="15">
        <f>IFERROR(__xludf.DUMMYFUNCTION("IF(ISBLANK($C157), """", GOOGLEFINANCE($C157, ""price""))"),63.81)</f>
        <v>63.81</v>
      </c>
      <c r="P157" s="16">
        <f t="shared" si="2"/>
        <v>0.02654440154</v>
      </c>
      <c r="Q157" s="16">
        <f>IFERROR(__xludf.DUMMYFUNCTION("IF(OR(ISBLANK($G157), IFERROR(INDEX(GOOGLEFINANCE($C157, ""price"", WORKDAY(INT($B157), 1)), 2, 2), """")=""""), """", IF($D157=""LONG"", (IFERROR(INDEX(GOOGLEFINANCE($C157, ""price"", WORKDAY(INT($B157), 1)), 2, 2), """")-$G157)/$G157, ($G157-IFERROR(IND"&amp;"EX(GOOGLEFINANCE($C157, ""price"", WORKDAY(INT($B157), 1)), 2, 2), """"))/$G157))"),0.013674388674388699)</f>
        <v>0.01367438867</v>
      </c>
      <c r="R157" s="16">
        <f>IFERROR(__xludf.DUMMYFUNCTION("IF(OR(ISBLANK($G157), IFERROR(INDEX(GOOGLEFINANCE($C157, ""price"", WORKDAY(INT($B157), 5)), 2, 2), """")=""""), """", IF($D157=""LONG"", (IFERROR(INDEX(GOOGLEFINANCE($C157, ""price"", WORKDAY(INT($B157), 5)), 2, 2), """")-$G157)/$G157, ($G157-IFERROR(IND"&amp;"EX(GOOGLEFINANCE($C157, ""price"", WORKDAY(INT($B157), 5)), 2, 2), """"))/$G157))"),0.024935649935650006)</f>
        <v>0.02493564994</v>
      </c>
      <c r="S157" s="16" t="str">
        <f>IFERROR(__xludf.DUMMYFUNCTION("IF(OR(ISBLANK($G157), IFERROR(INDEX(GOOGLEFINANCE($C157, ""price"", WORKDAY(INT($B157), 20)), 2, 2), """")=""""), """", IF($D157=""LONG"", (IFERROR(INDEX(GOOGLEFINANCE($C157, ""price"", WORKDAY(INT($B157), 20)), 2, 2), """")-$G157)/$G157, ($G157-IFERROR(I"&amp;"NDEX(GOOGLEFINANCE($C157, ""price"", WORKDAY(INT($B157), 20)), 2, 2), """"))/$G157))"),"")</f>
        <v/>
      </c>
      <c r="T157" s="10" t="s">
        <v>1772</v>
      </c>
      <c r="U157" s="10" t="s">
        <v>704</v>
      </c>
      <c r="V157" s="10" t="s">
        <v>1773</v>
      </c>
      <c r="W157" s="10" t="s">
        <v>51</v>
      </c>
      <c r="X157" s="10" t="s">
        <v>704</v>
      </c>
    </row>
    <row r="158">
      <c r="A158" s="9">
        <f t="shared" si="1"/>
        <v>157</v>
      </c>
      <c r="B158" s="11">
        <v>46217.66738425926</v>
      </c>
      <c r="C158" s="10" t="s">
        <v>41</v>
      </c>
      <c r="D158" s="10" t="s">
        <v>36</v>
      </c>
      <c r="E158" s="10" t="s">
        <v>37</v>
      </c>
      <c r="F158" s="13">
        <v>2.0</v>
      </c>
      <c r="G158" s="14">
        <v>179.0</v>
      </c>
      <c r="H158" s="10" t="s">
        <v>1774</v>
      </c>
      <c r="I158" s="10">
        <v>86.5</v>
      </c>
      <c r="O158" s="15">
        <f>IFERROR(__xludf.DUMMYFUNCTION("IF(ISBLANK($C158), """", GOOGLEFINANCE($C158, ""price""))"),186.02)</f>
        <v>186.02</v>
      </c>
      <c r="P158" s="16">
        <f t="shared" si="2"/>
        <v>0.03921787709</v>
      </c>
      <c r="Q158" s="16">
        <f>IFERROR(__xludf.DUMMYFUNCTION("IF(OR(ISBLANK($G158), IFERROR(INDEX(GOOGLEFINANCE($C158, ""price"", WORKDAY(INT($B158), 1)), 2, 2), """")=""""), """", IF($D158=""LONG"", (IFERROR(INDEX(GOOGLEFINANCE($C158, ""price"", WORKDAY(INT($B158), 1)), 2, 2), """")-$G158)/$G158, ($G158-IFERROR(IND"&amp;"EX(GOOGLEFINANCE($C158, ""price"", WORKDAY(INT($B158), 1)), 2, 2), """"))/$G158))"),0.014022346368715032)</f>
        <v>0.01402234637</v>
      </c>
      <c r="R158" s="16">
        <f>IFERROR(__xludf.DUMMYFUNCTION("IF(OR(ISBLANK($G158), IFERROR(INDEX(GOOGLEFINANCE($C158, ""price"", WORKDAY(INT($B158), 5)), 2, 2), """")=""""), """", IF($D158=""LONG"", (IFERROR(INDEX(GOOGLEFINANCE($C158, ""price"", WORKDAY(INT($B158), 5)), 2, 2), """")-$G158)/$G158, ($G158-IFERROR(IND"&amp;"EX(GOOGLEFINANCE($C158, ""price"", WORKDAY(INT($B158), 5)), 2, 2), """"))/$G158))"),0.02983240223463689)</f>
        <v>0.02983240223</v>
      </c>
      <c r="S158" s="16" t="str">
        <f>IFERROR(__xludf.DUMMYFUNCTION("IF(OR(ISBLANK($G158), IFERROR(INDEX(GOOGLEFINANCE($C158, ""price"", WORKDAY(INT($B158), 20)), 2, 2), """")=""""), """", IF($D158=""LONG"", (IFERROR(INDEX(GOOGLEFINANCE($C158, ""price"", WORKDAY(INT($B158), 20)), 2, 2), """")-$G158)/$G158, ($G158-IFERROR(I"&amp;"NDEX(GOOGLEFINANCE($C158, ""price"", WORKDAY(INT($B158), 20)), 2, 2), """"))/$G158))"),"")</f>
        <v/>
      </c>
      <c r="T158" s="10" t="s">
        <v>1776</v>
      </c>
      <c r="U158" s="10" t="s">
        <v>704</v>
      </c>
      <c r="V158" s="10" t="s">
        <v>1777</v>
      </c>
      <c r="W158" s="10" t="s">
        <v>51</v>
      </c>
      <c r="X158" s="10" t="s">
        <v>704</v>
      </c>
    </row>
    <row r="159">
      <c r="A159" s="9">
        <f t="shared" si="1"/>
        <v>158</v>
      </c>
      <c r="B159" s="11">
        <v>46217.66753472222</v>
      </c>
      <c r="C159" s="10" t="s">
        <v>1778</v>
      </c>
      <c r="D159" s="10" t="s">
        <v>36</v>
      </c>
      <c r="E159" s="10" t="s">
        <v>37</v>
      </c>
      <c r="F159" s="13">
        <v>2.0</v>
      </c>
      <c r="G159" s="14">
        <v>84.9</v>
      </c>
      <c r="H159" s="10" t="s">
        <v>1779</v>
      </c>
      <c r="I159" s="10">
        <v>94.5</v>
      </c>
      <c r="O159" s="15">
        <f>IFERROR(__xludf.DUMMYFUNCTION("IF(ISBLANK($C159), """", GOOGLEFINANCE($C159, ""price""))"),76.86)</f>
        <v>76.86</v>
      </c>
      <c r="P159" s="16">
        <f t="shared" si="2"/>
        <v>-0.09469964664</v>
      </c>
      <c r="Q159" s="16">
        <f>IFERROR(__xludf.DUMMYFUNCTION("IF(OR(ISBLANK($G159), IFERROR(INDEX(GOOGLEFINANCE($C159, ""price"", WORKDAY(INT($B159), 1)), 2, 2), """")=""""), """", IF($D159=""LONG"", (IFERROR(INDEX(GOOGLEFINANCE($C159, ""price"", WORKDAY(INT($B159), 1)), 2, 2), """")-$G159)/$G159, ($G159-IFERROR(IND"&amp;"EX(GOOGLEFINANCE($C159, ""price"", WORKDAY(INT($B159), 1)), 2, 2), """"))/$G159))"),-0.005300353356890493)</f>
        <v>-0.005300353357</v>
      </c>
      <c r="R159" s="16">
        <f>IFERROR(__xludf.DUMMYFUNCTION("IF(OR(ISBLANK($G159), IFERROR(INDEX(GOOGLEFINANCE($C159, ""price"", WORKDAY(INT($B159), 5)), 2, 2), """")=""""), """", IF($D159=""LONG"", (IFERROR(INDEX(GOOGLEFINANCE($C159, ""price"", WORKDAY(INT($B159), 5)), 2, 2), """")-$G159)/$G159, ($G159-IFERROR(IND"&amp;"EX(GOOGLEFINANCE($C159, ""price"", WORKDAY(INT($B159), 5)), 2, 2), """"))/$G159))"),0.024028268551236655)</f>
        <v>0.02402826855</v>
      </c>
      <c r="S159" s="16" t="str">
        <f>IFERROR(__xludf.DUMMYFUNCTION("IF(OR(ISBLANK($G159), IFERROR(INDEX(GOOGLEFINANCE($C159, ""price"", WORKDAY(INT($B159), 20)), 2, 2), """")=""""), """", IF($D159=""LONG"", (IFERROR(INDEX(GOOGLEFINANCE($C159, ""price"", WORKDAY(INT($B159), 20)), 2, 2), """")-$G159)/$G159, ($G159-IFERROR(I"&amp;"NDEX(GOOGLEFINANCE($C159, ""price"", WORKDAY(INT($B159), 20)), 2, 2), """"))/$G159))"),"")</f>
        <v/>
      </c>
      <c r="T159" s="10" t="s">
        <v>1781</v>
      </c>
      <c r="U159" s="10" t="s">
        <v>704</v>
      </c>
      <c r="V159" s="10" t="s">
        <v>1782</v>
      </c>
      <c r="W159" s="10" t="s">
        <v>51</v>
      </c>
      <c r="X159" s="10" t="s">
        <v>704</v>
      </c>
    </row>
    <row r="160">
      <c r="A160" s="9">
        <f t="shared" si="1"/>
        <v>159</v>
      </c>
      <c r="B160" s="11">
        <v>46217.66761574074</v>
      </c>
      <c r="C160" s="10" t="s">
        <v>82</v>
      </c>
      <c r="D160" s="10" t="s">
        <v>36</v>
      </c>
      <c r="E160" s="10" t="s">
        <v>37</v>
      </c>
      <c r="F160" s="13">
        <v>2.0</v>
      </c>
      <c r="G160" s="14">
        <v>158.39</v>
      </c>
      <c r="H160" s="10" t="s">
        <v>1783</v>
      </c>
      <c r="I160" s="10">
        <v>92.0</v>
      </c>
      <c r="O160" s="15">
        <f>IFERROR(__xludf.DUMMYFUNCTION("IF(ISBLANK($C160), """", GOOGLEFINANCE($C160, ""price""))"),170.61)</f>
        <v>170.61</v>
      </c>
      <c r="P160" s="16">
        <f t="shared" si="2"/>
        <v>0.07715133531</v>
      </c>
      <c r="Q160" s="16">
        <f>IFERROR(__xludf.DUMMYFUNCTION("IF(OR(ISBLANK($G160), IFERROR(INDEX(GOOGLEFINANCE($C160, ""price"", WORKDAY(INT($B160), 1)), 2, 2), """")=""""), """", IF($D160=""LONG"", (IFERROR(INDEX(GOOGLEFINANCE($C160, ""price"", WORKDAY(INT($B160), 1)), 2, 2), """")-$G160)/$G160, ($G160-IFERROR(IND"&amp;"EX(GOOGLEFINANCE($C160, ""price"", WORKDAY(INT($B160), 1)), 2, 2), """"))/$G160))"),-0.008523265357661434)</f>
        <v>-0.008523265358</v>
      </c>
      <c r="R160" s="16">
        <f>IFERROR(__xludf.DUMMYFUNCTION("IF(OR(ISBLANK($G160), IFERROR(INDEX(GOOGLEFINANCE($C160, ""price"", WORKDAY(INT($B160), 5)), 2, 2), """")=""""), """", IF($D160=""LONG"", (IFERROR(INDEX(GOOGLEFINANCE($C160, ""price"", WORKDAY(INT($B160), 5)), 2, 2), """")-$G160)/$G160, ($G160-IFERROR(IND"&amp;"EX(GOOGLEFINANCE($C160, ""price"", WORKDAY(INT($B160), 5)), 2, 2), """"))/$G160))"),-0.003661847338847049)</f>
        <v>-0.003661847339</v>
      </c>
      <c r="S160" s="16" t="str">
        <f>IFERROR(__xludf.DUMMYFUNCTION("IF(OR(ISBLANK($G160), IFERROR(INDEX(GOOGLEFINANCE($C160, ""price"", WORKDAY(INT($B160), 20)), 2, 2), """")=""""), """", IF($D160=""LONG"", (IFERROR(INDEX(GOOGLEFINANCE($C160, ""price"", WORKDAY(INT($B160), 20)), 2, 2), """")-$G160)/$G160, ($G160-IFERROR(I"&amp;"NDEX(GOOGLEFINANCE($C160, ""price"", WORKDAY(INT($B160), 20)), 2, 2), """"))/$G160))"),"")</f>
        <v/>
      </c>
      <c r="T160" s="10" t="s">
        <v>1785</v>
      </c>
      <c r="U160" s="10" t="s">
        <v>704</v>
      </c>
      <c r="V160" s="10" t="s">
        <v>1786</v>
      </c>
      <c r="W160" s="10" t="s">
        <v>51</v>
      </c>
      <c r="X160" s="10" t="s">
        <v>704</v>
      </c>
    </row>
    <row r="161">
      <c r="A161" s="9">
        <f t="shared" si="1"/>
        <v>160</v>
      </c>
      <c r="B161" s="11">
        <v>46217.66744212963</v>
      </c>
      <c r="C161" s="10" t="s">
        <v>260</v>
      </c>
      <c r="D161" s="10" t="s">
        <v>36</v>
      </c>
      <c r="E161" s="10" t="s">
        <v>37</v>
      </c>
      <c r="F161" s="13">
        <v>2.0</v>
      </c>
      <c r="G161" s="14">
        <v>113.47</v>
      </c>
      <c r="H161" s="10" t="s">
        <v>1787</v>
      </c>
      <c r="I161" s="10">
        <v>93.1</v>
      </c>
      <c r="L161" s="10" t="s">
        <v>1788</v>
      </c>
      <c r="M161" s="34" t="s">
        <v>1789</v>
      </c>
      <c r="N161" s="10" t="s">
        <v>1790</v>
      </c>
      <c r="O161" s="15">
        <f>IFERROR(__xludf.DUMMYFUNCTION("IF(ISBLANK($C161), """", GOOGLEFINANCE($C161, ""price""))"),90.71)</f>
        <v>90.71</v>
      </c>
      <c r="P161" s="16">
        <f t="shared" si="2"/>
        <v>-0.2005816515</v>
      </c>
      <c r="Q161" s="16">
        <f>IFERROR(__xludf.DUMMYFUNCTION("IF(OR(ISBLANK($G161), IFERROR(INDEX(GOOGLEFINANCE($C161, ""price"", WORKDAY(INT($B161), 1)), 2, 2), """")=""""), """", IF($D161=""LONG"", (IFERROR(INDEX(GOOGLEFINANCE($C161, ""price"", WORKDAY(INT($B161), 1)), 2, 2), """")-$G161)/$G161, ($G161-IFERROR(IND"&amp;"EX(GOOGLEFINANCE($C161, ""price"", WORKDAY(INT($B161), 1)), 2, 2), """"))/$G161))"),0.0182427073235217)</f>
        <v>0.01824270732</v>
      </c>
      <c r="R161" s="16">
        <f>IFERROR(__xludf.DUMMYFUNCTION("IF(OR(ISBLANK($G161), IFERROR(INDEX(GOOGLEFINANCE($C161, ""price"", WORKDAY(INT($B161), 5)), 2, 2), """")=""""), """", IF($D161=""LONG"", (IFERROR(INDEX(GOOGLEFINANCE($C161, ""price"", WORKDAY(INT($B161), 5)), 2, 2), """")-$G161)/$G161, ($G161-IFERROR(IND"&amp;"EX(GOOGLEFINANCE($C161, ""price"", WORKDAY(INT($B161), 5)), 2, 2), """"))/$G161))"),-0.06265973385035692)</f>
        <v>-0.06265973385</v>
      </c>
      <c r="S161" s="16" t="str">
        <f>IFERROR(__xludf.DUMMYFUNCTION("IF(OR(ISBLANK($G161), IFERROR(INDEX(GOOGLEFINANCE($C161, ""price"", WORKDAY(INT($B161), 20)), 2, 2), """")=""""), """", IF($D161=""LONG"", (IFERROR(INDEX(GOOGLEFINANCE($C161, ""price"", WORKDAY(INT($B161), 20)), 2, 2), """")-$G161)/$G161, ($G161-IFERROR(I"&amp;"NDEX(GOOGLEFINANCE($C161, ""price"", WORKDAY(INT($B161), 20)), 2, 2), """"))/$G161))"),"")</f>
        <v/>
      </c>
      <c r="T161" s="10" t="s">
        <v>1792</v>
      </c>
      <c r="U161" s="10" t="s">
        <v>704</v>
      </c>
      <c r="V161" s="10" t="s">
        <v>1793</v>
      </c>
      <c r="W161" s="10" t="s">
        <v>51</v>
      </c>
      <c r="X161" s="10" t="s">
        <v>704</v>
      </c>
    </row>
    <row r="162">
      <c r="A162" s="9">
        <f t="shared" si="1"/>
        <v>161</v>
      </c>
      <c r="B162" s="11">
        <v>46217.667662037034</v>
      </c>
      <c r="C162" s="10" t="s">
        <v>499</v>
      </c>
      <c r="D162" s="10" t="s">
        <v>36</v>
      </c>
      <c r="E162" s="10" t="s">
        <v>37</v>
      </c>
      <c r="F162" s="13">
        <v>2.0</v>
      </c>
      <c r="G162" s="14">
        <v>114.45</v>
      </c>
      <c r="H162" s="10" t="s">
        <v>1794</v>
      </c>
      <c r="I162" s="10">
        <v>92.9</v>
      </c>
      <c r="O162" s="15">
        <f>IFERROR(__xludf.DUMMYFUNCTION("IF(ISBLANK($C162), """", GOOGLEFINANCE($C162, ""price""))"),115.98)</f>
        <v>115.98</v>
      </c>
      <c r="P162" s="16">
        <f t="shared" si="2"/>
        <v>0.01336828309</v>
      </c>
      <c r="Q162" s="16">
        <f>IFERROR(__xludf.DUMMYFUNCTION("IF(OR(ISBLANK($G162), IFERROR(INDEX(GOOGLEFINANCE($C162, ""price"", WORKDAY(INT($B162), 1)), 2, 2), """")=""""), """", IF($D162=""LONG"", (IFERROR(INDEX(GOOGLEFINANCE($C162, ""price"", WORKDAY(INT($B162), 1)), 2, 2), """")-$G162)/$G162, ($G162-IFERROR(IND"&amp;"EX(GOOGLEFINANCE($C162, ""price"", WORKDAY(INT($B162), 1)), 2, 2), """"))/$G162))"),-0.016863259065093988)</f>
        <v>-0.01686325907</v>
      </c>
      <c r="R162" s="16">
        <f>IFERROR(__xludf.DUMMYFUNCTION("IF(OR(ISBLANK($G162), IFERROR(INDEX(GOOGLEFINANCE($C162, ""price"", WORKDAY(INT($B162), 5)), 2, 2), """")=""""), """", IF($D162=""LONG"", (IFERROR(INDEX(GOOGLEFINANCE($C162, ""price"", WORKDAY(INT($B162), 5)), 2, 2), """")-$G162)/$G162, ($G162-IFERROR(IND"&amp;"EX(GOOGLEFINANCE($C162, ""price"", WORKDAY(INT($B162), 5)), 2, 2), """"))/$G162))"),0.0012232415902140722)</f>
        <v>0.00122324159</v>
      </c>
      <c r="S162" s="16" t="str">
        <f>IFERROR(__xludf.DUMMYFUNCTION("IF(OR(ISBLANK($G162), IFERROR(INDEX(GOOGLEFINANCE($C162, ""price"", WORKDAY(INT($B162), 20)), 2, 2), """")=""""), """", IF($D162=""LONG"", (IFERROR(INDEX(GOOGLEFINANCE($C162, ""price"", WORKDAY(INT($B162), 20)), 2, 2), """")-$G162)/$G162, ($G162-IFERROR(I"&amp;"NDEX(GOOGLEFINANCE($C162, ""price"", WORKDAY(INT($B162), 20)), 2, 2), """"))/$G162))"),"")</f>
        <v/>
      </c>
      <c r="T162" s="10" t="s">
        <v>1796</v>
      </c>
      <c r="U162" s="10" t="s">
        <v>704</v>
      </c>
      <c r="V162" s="10" t="s">
        <v>1797</v>
      </c>
      <c r="W162" s="10" t="s">
        <v>51</v>
      </c>
      <c r="X162" s="10" t="s">
        <v>704</v>
      </c>
    </row>
    <row r="163">
      <c r="A163" s="9">
        <f t="shared" si="1"/>
        <v>162</v>
      </c>
      <c r="B163" s="11">
        <v>46217.6675</v>
      </c>
      <c r="C163" s="10" t="s">
        <v>77</v>
      </c>
      <c r="D163" s="10" t="s">
        <v>36</v>
      </c>
      <c r="E163" s="10" t="s">
        <v>37</v>
      </c>
      <c r="F163" s="13">
        <v>2.0</v>
      </c>
      <c r="G163" s="14">
        <v>112.94</v>
      </c>
      <c r="H163" s="10" t="s">
        <v>1798</v>
      </c>
      <c r="I163" s="10">
        <v>88.4</v>
      </c>
      <c r="O163" s="15">
        <f>IFERROR(__xludf.DUMMYFUNCTION("IF(ISBLANK($C163), """", GOOGLEFINANCE($C163, ""price""))"),108.27)</f>
        <v>108.27</v>
      </c>
      <c r="P163" s="16">
        <f t="shared" si="2"/>
        <v>-0.04134938906</v>
      </c>
      <c r="Q163" s="16">
        <f>IFERROR(__xludf.DUMMYFUNCTION("IF(OR(ISBLANK($G163), IFERROR(INDEX(GOOGLEFINANCE($C163, ""price"", WORKDAY(INT($B163), 1)), 2, 2), """")=""""), """", IF($D163=""LONG"", (IFERROR(INDEX(GOOGLEFINANCE($C163, ""price"", WORKDAY(INT($B163), 1)), 2, 2), """")-$G163)/$G163, ($G163-IFERROR(IND"&amp;"EX(GOOGLEFINANCE($C163, ""price"", WORKDAY(INT($B163), 1)), 2, 2), """"))/$G163))"),-0.013812643881707122)</f>
        <v>-0.01381264388</v>
      </c>
      <c r="R163" s="16">
        <f>IFERROR(__xludf.DUMMYFUNCTION("IF(OR(ISBLANK($G163), IFERROR(INDEX(GOOGLEFINANCE($C163, ""price"", WORKDAY(INT($B163), 5)), 2, 2), """")=""""), """", IF($D163=""LONG"", (IFERROR(INDEX(GOOGLEFINANCE($C163, ""price"", WORKDAY(INT($B163), 5)), 2, 2), """")-$G163)/$G163, ($G163-IFERROR(IND"&amp;"EX(GOOGLEFINANCE($C163, ""price"", WORKDAY(INT($B163), 5)), 2, 2), """"))/$G163))"),-0.026562776695590578)</f>
        <v>-0.0265627767</v>
      </c>
      <c r="S163" s="16" t="str">
        <f>IFERROR(__xludf.DUMMYFUNCTION("IF(OR(ISBLANK($G163), IFERROR(INDEX(GOOGLEFINANCE($C163, ""price"", WORKDAY(INT($B163), 20)), 2, 2), """")=""""), """", IF($D163=""LONG"", (IFERROR(INDEX(GOOGLEFINANCE($C163, ""price"", WORKDAY(INT($B163), 20)), 2, 2), """")-$G163)/$G163, ($G163-IFERROR(I"&amp;"NDEX(GOOGLEFINANCE($C163, ""price"", WORKDAY(INT($B163), 20)), 2, 2), """"))/$G163))"),"")</f>
        <v/>
      </c>
      <c r="T163" s="10" t="s">
        <v>1800</v>
      </c>
      <c r="U163" s="10" t="s">
        <v>704</v>
      </c>
      <c r="V163" s="10" t="s">
        <v>1801</v>
      </c>
      <c r="W163" s="10" t="s">
        <v>51</v>
      </c>
      <c r="X163" s="10" t="s">
        <v>704</v>
      </c>
    </row>
    <row r="164">
      <c r="A164" s="9">
        <f t="shared" si="1"/>
        <v>163</v>
      </c>
      <c r="B164" s="11">
        <v>46217.66748842593</v>
      </c>
      <c r="C164" s="10" t="s">
        <v>92</v>
      </c>
      <c r="D164" s="10" t="s">
        <v>36</v>
      </c>
      <c r="E164" s="10" t="s">
        <v>37</v>
      </c>
      <c r="F164" s="13">
        <v>2.0</v>
      </c>
      <c r="G164" s="14">
        <v>83.08</v>
      </c>
      <c r="H164" s="10" t="s">
        <v>1802</v>
      </c>
      <c r="I164" s="10">
        <v>92.6</v>
      </c>
      <c r="O164" s="15">
        <f>IFERROR(__xludf.DUMMYFUNCTION("IF(ISBLANK($C164), """", GOOGLEFINANCE($C164, ""price""))"),86.85)</f>
        <v>86.85</v>
      </c>
      <c r="P164" s="16">
        <f t="shared" si="2"/>
        <v>0.04537794896</v>
      </c>
      <c r="Q164" s="16">
        <f>IFERROR(__xludf.DUMMYFUNCTION("IF(OR(ISBLANK($G164), IFERROR(INDEX(GOOGLEFINANCE($C164, ""price"", WORKDAY(INT($B164), 1)), 2, 2), """")=""""), """", IF($D164=""LONG"", (IFERROR(INDEX(GOOGLEFINANCE($C164, ""price"", WORKDAY(INT($B164), 1)), 2, 2), """")-$G164)/$G164, ($G164-IFERROR(IND"&amp;"EX(GOOGLEFINANCE($C164, ""price"", WORKDAY(INT($B164), 1)), 2, 2), """"))/$G164))"),-0.00758305247953774)</f>
        <v>-0.00758305248</v>
      </c>
      <c r="R164" s="16">
        <f>IFERROR(__xludf.DUMMYFUNCTION("IF(OR(ISBLANK($G164), IFERROR(INDEX(GOOGLEFINANCE($C164, ""price"", WORKDAY(INT($B164), 5)), 2, 2), """")=""""), """", IF($D164=""LONG"", (IFERROR(INDEX(GOOGLEFINANCE($C164, ""price"", WORKDAY(INT($B164), 5)), 2, 2), """")-$G164)/$G164, ($G164-IFERROR(IND"&amp;"EX(GOOGLEFINANCE($C164, ""price"", WORKDAY(INT($B164), 5)), 2, 2), """"))/$G164))"),-0.013360616273471347)</f>
        <v>-0.01336061627</v>
      </c>
      <c r="S164" s="16" t="str">
        <f>IFERROR(__xludf.DUMMYFUNCTION("IF(OR(ISBLANK($G164), IFERROR(INDEX(GOOGLEFINANCE($C164, ""price"", WORKDAY(INT($B164), 20)), 2, 2), """")=""""), """", IF($D164=""LONG"", (IFERROR(INDEX(GOOGLEFINANCE($C164, ""price"", WORKDAY(INT($B164), 20)), 2, 2), """")-$G164)/$G164, ($G164-IFERROR(I"&amp;"NDEX(GOOGLEFINANCE($C164, ""price"", WORKDAY(INT($B164), 20)), 2, 2), """"))/$G164))"),"")</f>
        <v/>
      </c>
      <c r="T164" s="10" t="s">
        <v>1803</v>
      </c>
      <c r="U164" s="10" t="s">
        <v>704</v>
      </c>
      <c r="V164" s="10" t="s">
        <v>1804</v>
      </c>
      <c r="W164" s="10" t="s">
        <v>51</v>
      </c>
      <c r="X164" s="10" t="s">
        <v>704</v>
      </c>
    </row>
    <row r="165">
      <c r="A165" s="9">
        <f t="shared" si="1"/>
        <v>164</v>
      </c>
      <c r="B165" s="11">
        <v>46217.66767361111</v>
      </c>
      <c r="C165" s="10" t="s">
        <v>248</v>
      </c>
      <c r="D165" s="10" t="s">
        <v>36</v>
      </c>
      <c r="E165" s="10" t="s">
        <v>37</v>
      </c>
      <c r="F165" s="13">
        <v>2.0</v>
      </c>
      <c r="G165" s="14">
        <v>70.3</v>
      </c>
      <c r="H165" s="10" t="s">
        <v>1806</v>
      </c>
      <c r="I165" s="10">
        <v>88.1</v>
      </c>
      <c r="O165" s="15">
        <f>IFERROR(__xludf.DUMMYFUNCTION("IF(ISBLANK($C165), """", GOOGLEFINANCE($C165, ""price""))"),72.43)</f>
        <v>72.43</v>
      </c>
      <c r="P165" s="16">
        <f t="shared" si="2"/>
        <v>0.03029871977</v>
      </c>
      <c r="Q165" s="16">
        <f>IFERROR(__xludf.DUMMYFUNCTION("IF(OR(ISBLANK($G165), IFERROR(INDEX(GOOGLEFINANCE($C165, ""price"", WORKDAY(INT($B165), 1)), 2, 2), """")=""""), """", IF($D165=""LONG"", (IFERROR(INDEX(GOOGLEFINANCE($C165, ""price"", WORKDAY(INT($B165), 1)), 2, 2), """")-$G165)/$G165, ($G165-IFERROR(IND"&amp;"EX(GOOGLEFINANCE($C165, ""price"", WORKDAY(INT($B165), 1)), 2, 2), """"))/$G165))"),0.011664295874822296)</f>
        <v>0.01166429587</v>
      </c>
      <c r="R165" s="16">
        <f>IFERROR(__xludf.DUMMYFUNCTION("IF(OR(ISBLANK($G165), IFERROR(INDEX(GOOGLEFINANCE($C165, ""price"", WORKDAY(INT($B165), 5)), 2, 2), """")=""""), """", IF($D165=""LONG"", (IFERROR(INDEX(GOOGLEFINANCE($C165, ""price"", WORKDAY(INT($B165), 5)), 2, 2), """")-$G165)/$G165, ($G165-IFERROR(IND"&amp;"EX(GOOGLEFINANCE($C165, ""price"", WORKDAY(INT($B165), 5)), 2, 2), """"))/$G165))"),0.024182076813655803)</f>
        <v>0.02418207681</v>
      </c>
      <c r="S165" s="16" t="str">
        <f>IFERROR(__xludf.DUMMYFUNCTION("IF(OR(ISBLANK($G165), IFERROR(INDEX(GOOGLEFINANCE($C165, ""price"", WORKDAY(INT($B165), 20)), 2, 2), """")=""""), """", IF($D165=""LONG"", (IFERROR(INDEX(GOOGLEFINANCE($C165, ""price"", WORKDAY(INT($B165), 20)), 2, 2), """")-$G165)/$G165, ($G165-IFERROR(I"&amp;"NDEX(GOOGLEFINANCE($C165, ""price"", WORKDAY(INT($B165), 20)), 2, 2), """"))/$G165))"),"")</f>
        <v/>
      </c>
      <c r="T165" s="10" t="s">
        <v>1807</v>
      </c>
      <c r="U165" s="10" t="s">
        <v>704</v>
      </c>
      <c r="V165" s="10" t="s">
        <v>1808</v>
      </c>
      <c r="W165" s="10" t="s">
        <v>51</v>
      </c>
      <c r="X165" s="10" t="s">
        <v>704</v>
      </c>
    </row>
    <row r="166">
      <c r="A166" s="9">
        <f t="shared" si="1"/>
        <v>165</v>
      </c>
      <c r="B166" s="11">
        <v>46217.66751157407</v>
      </c>
      <c r="C166" s="10" t="s">
        <v>1810</v>
      </c>
      <c r="D166" s="10" t="s">
        <v>36</v>
      </c>
      <c r="E166" s="10" t="s">
        <v>37</v>
      </c>
      <c r="F166" s="13">
        <v>2.0</v>
      </c>
      <c r="G166" s="14">
        <v>95.63</v>
      </c>
      <c r="H166" s="10" t="s">
        <v>1811</v>
      </c>
      <c r="I166" s="10">
        <v>65.4</v>
      </c>
      <c r="O166" s="15">
        <f>IFERROR(__xludf.DUMMYFUNCTION("IF(ISBLANK($C166), """", GOOGLEFINANCE($C166, ""price""))"),86.02)</f>
        <v>86.02</v>
      </c>
      <c r="P166" s="16">
        <f t="shared" si="2"/>
        <v>-0.1004914776</v>
      </c>
      <c r="Q166" s="16">
        <f>IFERROR(__xludf.DUMMYFUNCTION("IF(OR(ISBLANK($G166), IFERROR(INDEX(GOOGLEFINANCE($C166, ""price"", WORKDAY(INT($B166), 1)), 2, 2), """")=""""), """", IF($D166=""LONG"", (IFERROR(INDEX(GOOGLEFINANCE($C166, ""price"", WORKDAY(INT($B166), 1)), 2, 2), """")-$G166)/$G166, ($G166-IFERROR(IND"&amp;"EX(GOOGLEFINANCE($C166, ""price"", WORKDAY(INT($B166), 1)), 2, 2), """"))/$G166))"),0.018613405834989032)</f>
        <v>0.01861340583</v>
      </c>
      <c r="R166" s="16">
        <f>IFERROR(__xludf.DUMMYFUNCTION("IF(OR(ISBLANK($G166), IFERROR(INDEX(GOOGLEFINANCE($C166, ""price"", WORKDAY(INT($B166), 5)), 2, 2), """")=""""), """", IF($D166=""LONG"", (IFERROR(INDEX(GOOGLEFINANCE($C166, ""price"", WORKDAY(INT($B166), 5)), 2, 2), """")-$G166)/$G166, ($G166-IFERROR(IND"&amp;"EX(GOOGLEFINANCE($C166, ""price"", WORKDAY(INT($B166), 5)), 2, 2), """"))/$G166))"),-0.012652933179964382)</f>
        <v>-0.01265293318</v>
      </c>
      <c r="S166" s="16" t="str">
        <f>IFERROR(__xludf.DUMMYFUNCTION("IF(OR(ISBLANK($G166), IFERROR(INDEX(GOOGLEFINANCE($C166, ""price"", WORKDAY(INT($B166), 20)), 2, 2), """")=""""), """", IF($D166=""LONG"", (IFERROR(INDEX(GOOGLEFINANCE($C166, ""price"", WORKDAY(INT($B166), 20)), 2, 2), """")-$G166)/$G166, ($G166-IFERROR(I"&amp;"NDEX(GOOGLEFINANCE($C166, ""price"", WORKDAY(INT($B166), 20)), 2, 2), """"))/$G166))"),"")</f>
        <v/>
      </c>
      <c r="T166" s="10" t="s">
        <v>1812</v>
      </c>
      <c r="U166" s="10" t="s">
        <v>704</v>
      </c>
      <c r="V166" s="10" t="s">
        <v>1813</v>
      </c>
      <c r="W166" s="10" t="s">
        <v>51</v>
      </c>
      <c r="X166" s="10" t="s">
        <v>704</v>
      </c>
    </row>
    <row r="167">
      <c r="A167" s="9">
        <f t="shared" si="1"/>
        <v>166</v>
      </c>
      <c r="B167" s="11">
        <v>46217.667708333334</v>
      </c>
      <c r="C167" s="10" t="s">
        <v>939</v>
      </c>
      <c r="D167" s="10" t="s">
        <v>36</v>
      </c>
      <c r="E167" s="10" t="s">
        <v>37</v>
      </c>
      <c r="F167" s="13">
        <v>2.0</v>
      </c>
      <c r="G167" s="14">
        <v>193.65</v>
      </c>
      <c r="H167" s="10" t="s">
        <v>1814</v>
      </c>
      <c r="I167" s="10">
        <v>92.8</v>
      </c>
      <c r="O167" s="15">
        <f>IFERROR(__xludf.DUMMYFUNCTION("IF(ISBLANK($C167), """", GOOGLEFINANCE($C167, ""price""))"),223.25)</f>
        <v>223.25</v>
      </c>
      <c r="P167" s="16">
        <f t="shared" si="2"/>
        <v>0.1528530855</v>
      </c>
      <c r="Q167" s="16">
        <f>IFERROR(__xludf.DUMMYFUNCTION("IF(OR(ISBLANK($G167), IFERROR(INDEX(GOOGLEFINANCE($C167, ""price"", WORKDAY(INT($B167), 1)), 2, 2), """")=""""), """", IF($D167=""LONG"", (IFERROR(INDEX(GOOGLEFINANCE($C167, ""price"", WORKDAY(INT($B167), 1)), 2, 2), """")-$G167)/$G167, ($G167-IFERROR(IND"&amp;"EX(GOOGLEFINANCE($C167, ""price"", WORKDAY(INT($B167), 1)), 2, 2), """"))/$G167))"),0.011567260521559415)</f>
        <v>0.01156726052</v>
      </c>
      <c r="R167" s="16">
        <f>IFERROR(__xludf.DUMMYFUNCTION("IF(OR(ISBLANK($G167), IFERROR(INDEX(GOOGLEFINANCE($C167, ""price"", WORKDAY(INT($B167), 5)), 2, 2), """")=""""), """", IF($D167=""LONG"", (IFERROR(INDEX(GOOGLEFINANCE($C167, ""price"", WORKDAY(INT($B167), 5)), 2, 2), """")-$G167)/$G167, ($G167-IFERROR(IND"&amp;"EX(GOOGLEFINANCE($C167, ""price"", WORKDAY(INT($B167), 5)), 2, 2), """"))/$G167))"),1.0327911179954458E-4)</f>
        <v>0.0001032791118</v>
      </c>
      <c r="S167" s="16" t="str">
        <f>IFERROR(__xludf.DUMMYFUNCTION("IF(OR(ISBLANK($G167), IFERROR(INDEX(GOOGLEFINANCE($C167, ""price"", WORKDAY(INT($B167), 20)), 2, 2), """")=""""), """", IF($D167=""LONG"", (IFERROR(INDEX(GOOGLEFINANCE($C167, ""price"", WORKDAY(INT($B167), 20)), 2, 2), """")-$G167)/$G167, ($G167-IFERROR(I"&amp;"NDEX(GOOGLEFINANCE($C167, ""price"", WORKDAY(INT($B167), 20)), 2, 2), """"))/$G167))"),"")</f>
        <v/>
      </c>
      <c r="T167" s="10" t="s">
        <v>1816</v>
      </c>
      <c r="U167" s="10" t="s">
        <v>704</v>
      </c>
      <c r="V167" s="10" t="s">
        <v>1817</v>
      </c>
      <c r="W167" s="10" t="s">
        <v>51</v>
      </c>
      <c r="X167" s="10" t="s">
        <v>704</v>
      </c>
    </row>
    <row r="168">
      <c r="A168" s="9">
        <f t="shared" si="1"/>
        <v>167</v>
      </c>
      <c r="B168" s="11">
        <v>46217.66758101852</v>
      </c>
      <c r="C168" s="10" t="s">
        <v>434</v>
      </c>
      <c r="D168" s="10" t="s">
        <v>36</v>
      </c>
      <c r="E168" s="10" t="s">
        <v>37</v>
      </c>
      <c r="F168" s="13">
        <v>2.0</v>
      </c>
      <c r="G168" s="14">
        <v>111.14</v>
      </c>
      <c r="H168" s="10" t="s">
        <v>1819</v>
      </c>
      <c r="I168" s="10">
        <v>92.3</v>
      </c>
      <c r="O168" s="15">
        <f>IFERROR(__xludf.DUMMYFUNCTION("IF(ISBLANK($C168), """", GOOGLEFINANCE($C168, ""price""))"),114.24)</f>
        <v>114.24</v>
      </c>
      <c r="P168" s="16">
        <f t="shared" si="2"/>
        <v>0.02789274789</v>
      </c>
      <c r="Q168" s="16">
        <f>IFERROR(__xludf.DUMMYFUNCTION("IF(OR(ISBLANK($G168), IFERROR(INDEX(GOOGLEFINANCE($C168, ""price"", WORKDAY(INT($B168), 1)), 2, 2), """")=""""), """", IF($D168=""LONG"", (IFERROR(INDEX(GOOGLEFINANCE($C168, ""price"", WORKDAY(INT($B168), 1)), 2, 2), """")-$G168)/$G168, ($G168-IFERROR(IND"&amp;"EX(GOOGLEFINANCE($C168, ""price"", WORKDAY(INT($B168), 1)), 2, 2), """"))/$G168))"),0.0018895087277307338)</f>
        <v>0.001889508728</v>
      </c>
      <c r="R168" s="16">
        <f>IFERROR(__xludf.DUMMYFUNCTION("IF(OR(ISBLANK($G168), IFERROR(INDEX(GOOGLEFINANCE($C168, ""price"", WORKDAY(INT($B168), 5)), 2, 2), """")=""""), """", IF($D168=""LONG"", (IFERROR(INDEX(GOOGLEFINANCE($C168, ""price"", WORKDAY(INT($B168), 5)), 2, 2), """")-$G168)/$G168, ($G168-IFERROR(IND"&amp;"EX(GOOGLEFINANCE($C168, ""price"", WORKDAY(INT($B168), 5)), 2, 2), """"))/$G168))"),-0.005578549577109992)</f>
        <v>-0.005578549577</v>
      </c>
      <c r="S168" s="16" t="str">
        <f>IFERROR(__xludf.DUMMYFUNCTION("IF(OR(ISBLANK($G168), IFERROR(INDEX(GOOGLEFINANCE($C168, ""price"", WORKDAY(INT($B168), 20)), 2, 2), """")=""""), """", IF($D168=""LONG"", (IFERROR(INDEX(GOOGLEFINANCE($C168, ""price"", WORKDAY(INT($B168), 20)), 2, 2), """")-$G168)/$G168, ($G168-IFERROR(I"&amp;"NDEX(GOOGLEFINANCE($C168, ""price"", WORKDAY(INT($B168), 20)), 2, 2), """"))/$G168))"),"")</f>
        <v/>
      </c>
      <c r="T168" s="10" t="s">
        <v>1820</v>
      </c>
      <c r="U168" s="10" t="s">
        <v>704</v>
      </c>
      <c r="V168" s="10" t="s">
        <v>1821</v>
      </c>
      <c r="W168" s="10" t="s">
        <v>51</v>
      </c>
      <c r="X168" s="10" t="s">
        <v>704</v>
      </c>
    </row>
    <row r="169">
      <c r="A169" s="9">
        <f t="shared" si="1"/>
        <v>168</v>
      </c>
      <c r="B169" s="11">
        <v>46217.6675</v>
      </c>
      <c r="C169" s="10" t="s">
        <v>173</v>
      </c>
      <c r="D169" s="10" t="s">
        <v>36</v>
      </c>
      <c r="E169" s="10" t="s">
        <v>37</v>
      </c>
      <c r="F169" s="13">
        <v>2.0</v>
      </c>
      <c r="G169" s="14">
        <v>85.4</v>
      </c>
      <c r="H169" s="10" t="s">
        <v>1822</v>
      </c>
      <c r="I169" s="10">
        <v>89.3</v>
      </c>
      <c r="O169" s="15">
        <f>IFERROR(__xludf.DUMMYFUNCTION("IF(ISBLANK($C169), """", GOOGLEFINANCE($C169, ""price""))"),87.59)</f>
        <v>87.59</v>
      </c>
      <c r="P169" s="16">
        <f t="shared" si="2"/>
        <v>0.0256440281</v>
      </c>
      <c r="Q169" s="16">
        <f>IFERROR(__xludf.DUMMYFUNCTION("IF(OR(ISBLANK($G169), IFERROR(INDEX(GOOGLEFINANCE($C169, ""price"", WORKDAY(INT($B169), 1)), 2, 2), """")=""""), """", IF($D169=""LONG"", (IFERROR(INDEX(GOOGLEFINANCE($C169, ""price"", WORKDAY(INT($B169), 1)), 2, 2), """")-$G169)/$G169, ($G169-IFERROR(IND"&amp;"EX(GOOGLEFINANCE($C169, ""price"", WORKDAY(INT($B169), 1)), 2, 2), """"))/$G169))"),0.024707259953161583)</f>
        <v>0.02470725995</v>
      </c>
      <c r="R169" s="16">
        <f>IFERROR(__xludf.DUMMYFUNCTION("IF(OR(ISBLANK($G169), IFERROR(INDEX(GOOGLEFINANCE($C169, ""price"", WORKDAY(INT($B169), 5)), 2, 2), """")=""""), """", IF($D169=""LONG"", (IFERROR(INDEX(GOOGLEFINANCE($C169, ""price"", WORKDAY(INT($B169), 5)), 2, 2), """")-$G169)/$G169, ($G169-IFERROR(IND"&amp;"EX(GOOGLEFINANCE($C169, ""price"", WORKDAY(INT($B169), 5)), 2, 2), """"))/$G169))"),0.027400468384074814)</f>
        <v>0.02740046838</v>
      </c>
      <c r="S169" s="16" t="str">
        <f>IFERROR(__xludf.DUMMYFUNCTION("IF(OR(ISBLANK($G169), IFERROR(INDEX(GOOGLEFINANCE($C169, ""price"", WORKDAY(INT($B169), 20)), 2, 2), """")=""""), """", IF($D169=""LONG"", (IFERROR(INDEX(GOOGLEFINANCE($C169, ""price"", WORKDAY(INT($B169), 20)), 2, 2), """")-$G169)/$G169, ($G169-IFERROR(I"&amp;"NDEX(GOOGLEFINANCE($C169, ""price"", WORKDAY(INT($B169), 20)), 2, 2), """"))/$G169))"),"")</f>
        <v/>
      </c>
      <c r="T169" s="10" t="s">
        <v>1824</v>
      </c>
      <c r="U169" s="10" t="s">
        <v>704</v>
      </c>
      <c r="V169" s="10" t="s">
        <v>1825</v>
      </c>
      <c r="W169" s="10" t="s">
        <v>51</v>
      </c>
      <c r="X169" s="10" t="s">
        <v>704</v>
      </c>
    </row>
    <row r="170">
      <c r="A170" s="9">
        <f t="shared" si="1"/>
        <v>169</v>
      </c>
      <c r="B170" s="11">
        <v>46217.66769675926</v>
      </c>
      <c r="C170" s="10" t="s">
        <v>691</v>
      </c>
      <c r="D170" s="10" t="s">
        <v>36</v>
      </c>
      <c r="E170" s="10" t="s">
        <v>133</v>
      </c>
      <c r="F170" s="13">
        <v>2.0</v>
      </c>
      <c r="G170" s="14">
        <v>28.74</v>
      </c>
      <c r="H170" s="10" t="s">
        <v>1826</v>
      </c>
      <c r="I170" s="10">
        <v>68.7</v>
      </c>
      <c r="O170" s="15">
        <f>IFERROR(__xludf.DUMMYFUNCTION("IF(ISBLANK($C170), """", GOOGLEFINANCE($C170, ""price""))"),31.69)</f>
        <v>31.69</v>
      </c>
      <c r="P170" s="16">
        <f t="shared" si="2"/>
        <v>0.1026443981</v>
      </c>
      <c r="Q170" s="16">
        <f>IFERROR(__xludf.DUMMYFUNCTION("IF(OR(ISBLANK($G170), IFERROR(INDEX(GOOGLEFINANCE($C170, ""price"", WORKDAY(INT($B170), 1)), 2, 2), """")=""""), """", IF($D170=""LONG"", (IFERROR(INDEX(GOOGLEFINANCE($C170, ""price"", WORKDAY(INT($B170), 1)), 2, 2), """")-$G170)/$G170, ($G170-IFERROR(IND"&amp;"EX(GOOGLEFINANCE($C170, ""price"", WORKDAY(INT($B170), 1)), 2, 2), """"))/$G170))"),0.05427974947807941)</f>
        <v>0.05427974948</v>
      </c>
      <c r="R170" s="16">
        <f>IFERROR(__xludf.DUMMYFUNCTION("IF(OR(ISBLANK($G170), IFERROR(INDEX(GOOGLEFINANCE($C170, ""price"", WORKDAY(INT($B170), 5)), 2, 2), """")=""""), """", IF($D170=""LONG"", (IFERROR(INDEX(GOOGLEFINANCE($C170, ""price"", WORKDAY(INT($B170), 5)), 2, 2), """")-$G170)/$G170, ($G170-IFERROR(IND"&amp;"EX(GOOGLEFINANCE($C170, ""price"", WORKDAY(INT($B170), 5)), 2, 2), """"))/$G170))"),0.04732080723730004)</f>
        <v>0.04732080724</v>
      </c>
      <c r="S170" s="16" t="str">
        <f>IFERROR(__xludf.DUMMYFUNCTION("IF(OR(ISBLANK($G170), IFERROR(INDEX(GOOGLEFINANCE($C170, ""price"", WORKDAY(INT($B170), 20)), 2, 2), """")=""""), """", IF($D170=""LONG"", (IFERROR(INDEX(GOOGLEFINANCE($C170, ""price"", WORKDAY(INT($B170), 20)), 2, 2), """")-$G170)/$G170, ($G170-IFERROR(I"&amp;"NDEX(GOOGLEFINANCE($C170, ""price"", WORKDAY(INT($B170), 20)), 2, 2), """"))/$G170))"),"")</f>
        <v/>
      </c>
      <c r="T170" s="10" t="s">
        <v>1828</v>
      </c>
      <c r="U170" s="10" t="s">
        <v>704</v>
      </c>
      <c r="V170" s="10" t="s">
        <v>1829</v>
      </c>
      <c r="W170" s="10" t="s">
        <v>51</v>
      </c>
      <c r="X170" s="10" t="s">
        <v>704</v>
      </c>
    </row>
    <row r="171">
      <c r="A171" s="9">
        <f t="shared" si="1"/>
        <v>170</v>
      </c>
      <c r="B171" s="11">
        <v>46217.66748842593</v>
      </c>
      <c r="C171" s="10" t="s">
        <v>296</v>
      </c>
      <c r="D171" s="10" t="s">
        <v>36</v>
      </c>
      <c r="E171" s="10" t="s">
        <v>37</v>
      </c>
      <c r="F171" s="13">
        <v>2.0</v>
      </c>
      <c r="G171" s="14">
        <v>114.81</v>
      </c>
      <c r="H171" s="10" t="s">
        <v>1830</v>
      </c>
      <c r="I171" s="10">
        <v>92.6</v>
      </c>
      <c r="O171" s="15">
        <f>IFERROR(__xludf.DUMMYFUNCTION("IF(ISBLANK($C171), """", GOOGLEFINANCE($C171, ""price""))"),121.5)</f>
        <v>121.5</v>
      </c>
      <c r="P171" s="16">
        <f t="shared" si="2"/>
        <v>0.05827018552</v>
      </c>
      <c r="Q171" s="16">
        <f>IFERROR(__xludf.DUMMYFUNCTION("IF(OR(ISBLANK($G171), IFERROR(INDEX(GOOGLEFINANCE($C171, ""price"", WORKDAY(INT($B171), 1)), 2, 2), """")=""""), """", IF($D171=""LONG"", (IFERROR(INDEX(GOOGLEFINANCE($C171, ""price"", WORKDAY(INT($B171), 1)), 2, 2), """")-$G171)/$G171, ($G171-IFERROR(IND"&amp;"EX(GOOGLEFINANCE($C171, ""price"", WORKDAY(INT($B171), 1)), 2, 2), """"))/$G171))"),0.002003309816218134)</f>
        <v>0.002003309816</v>
      </c>
      <c r="R171" s="16">
        <f>IFERROR(__xludf.DUMMYFUNCTION("IF(OR(ISBLANK($G171), IFERROR(INDEX(GOOGLEFINANCE($C171, ""price"", WORKDAY(INT($B171), 5)), 2, 2), """")=""""), """", IF($D171=""LONG"", (IFERROR(INDEX(GOOGLEFINANCE($C171, ""price"", WORKDAY(INT($B171), 5)), 2, 2), """")-$G171)/$G171, ($G171-IFERROR(IND"&amp;"EX(GOOGLEFINANCE($C171, ""price"", WORKDAY(INT($B171), 5)), 2, 2), """"))/$G171))"),0.03292396132741052)</f>
        <v>0.03292396133</v>
      </c>
      <c r="S171" s="16" t="str">
        <f>IFERROR(__xludf.DUMMYFUNCTION("IF(OR(ISBLANK($G171), IFERROR(INDEX(GOOGLEFINANCE($C171, ""price"", WORKDAY(INT($B171), 20)), 2, 2), """")=""""), """", IF($D171=""LONG"", (IFERROR(INDEX(GOOGLEFINANCE($C171, ""price"", WORKDAY(INT($B171), 20)), 2, 2), """")-$G171)/$G171, ($G171-IFERROR(I"&amp;"NDEX(GOOGLEFINANCE($C171, ""price"", WORKDAY(INT($B171), 20)), 2, 2), """"))/$G171))"),"")</f>
        <v/>
      </c>
      <c r="T171" s="10" t="s">
        <v>1832</v>
      </c>
      <c r="U171" s="10" t="s">
        <v>704</v>
      </c>
      <c r="V171" s="10" t="s">
        <v>1833</v>
      </c>
      <c r="W171" s="10" t="s">
        <v>51</v>
      </c>
      <c r="X171" s="10" t="s">
        <v>704</v>
      </c>
    </row>
    <row r="172">
      <c r="A172" s="9">
        <f t="shared" si="1"/>
        <v>171</v>
      </c>
      <c r="B172" s="11">
        <v>46217.667546296296</v>
      </c>
      <c r="C172" s="10" t="s">
        <v>400</v>
      </c>
      <c r="D172" s="10" t="s">
        <v>36</v>
      </c>
      <c r="E172" s="10" t="s">
        <v>37</v>
      </c>
      <c r="F172" s="13">
        <v>2.0</v>
      </c>
      <c r="G172" s="14">
        <v>491.17</v>
      </c>
      <c r="H172" s="10" t="s">
        <v>1834</v>
      </c>
      <c r="I172" s="10">
        <v>92.2</v>
      </c>
      <c r="O172" s="15">
        <f>IFERROR(__xludf.DUMMYFUNCTION("IF(ISBLANK($C172), """", GOOGLEFINANCE($C172, ""price""))"),524.61)</f>
        <v>524.61</v>
      </c>
      <c r="P172" s="16">
        <f t="shared" si="2"/>
        <v>0.06808233402</v>
      </c>
      <c r="Q172" s="16">
        <f>IFERROR(__xludf.DUMMYFUNCTION("IF(OR(ISBLANK($G172), IFERROR(INDEX(GOOGLEFINANCE($C172, ""price"", WORKDAY(INT($B172), 1)), 2, 2), """")=""""), """", IF($D172=""LONG"", (IFERROR(INDEX(GOOGLEFINANCE($C172, ""price"", WORKDAY(INT($B172), 1)), 2, 2), """")-$G172)/$G172, ($G172-IFERROR(IND"&amp;"EX(GOOGLEFINANCE($C172, ""price"", WORKDAY(INT($B172), 1)), 2, 2), """"))/$G172))"),-0.005741393000386817)</f>
        <v>-0.005741393</v>
      </c>
      <c r="R172" s="16">
        <f>IFERROR(__xludf.DUMMYFUNCTION("IF(OR(ISBLANK($G172), IFERROR(INDEX(GOOGLEFINANCE($C172, ""price"", WORKDAY(INT($B172), 5)), 2, 2), """")=""""), """", IF($D172=""LONG"", (IFERROR(INDEX(GOOGLEFINANCE($C172, ""price"", WORKDAY(INT($B172), 5)), 2, 2), """")-$G172)/$G172, ($G172-IFERROR(IND"&amp;"EX(GOOGLEFINANCE($C172, ""price"", WORKDAY(INT($B172), 5)), 2, 2), """"))/$G172))"),-0.0030946515463078743)</f>
        <v>-0.003094651546</v>
      </c>
      <c r="S172" s="16" t="str">
        <f>IFERROR(__xludf.DUMMYFUNCTION("IF(OR(ISBLANK($G172), IFERROR(INDEX(GOOGLEFINANCE($C172, ""price"", WORKDAY(INT($B172), 20)), 2, 2), """")=""""), """", IF($D172=""LONG"", (IFERROR(INDEX(GOOGLEFINANCE($C172, ""price"", WORKDAY(INT($B172), 20)), 2, 2), """")-$G172)/$G172, ($G172-IFERROR(I"&amp;"NDEX(GOOGLEFINANCE($C172, ""price"", WORKDAY(INT($B172), 20)), 2, 2), """"))/$G172))"),"")</f>
        <v/>
      </c>
      <c r="T172" s="10" t="s">
        <v>1836</v>
      </c>
      <c r="U172" s="10" t="s">
        <v>704</v>
      </c>
      <c r="V172" s="10" t="s">
        <v>1837</v>
      </c>
      <c r="W172" s="10" t="s">
        <v>51</v>
      </c>
      <c r="X172" s="10" t="s">
        <v>704</v>
      </c>
    </row>
    <row r="173">
      <c r="A173" s="9">
        <f t="shared" si="1"/>
        <v>172</v>
      </c>
      <c r="B173" s="11">
        <v>46217.66763888889</v>
      </c>
      <c r="C173" s="10" t="s">
        <v>47</v>
      </c>
      <c r="D173" s="10" t="s">
        <v>36</v>
      </c>
      <c r="E173" s="10" t="s">
        <v>133</v>
      </c>
      <c r="F173" s="13">
        <v>2.0</v>
      </c>
      <c r="G173" s="14">
        <v>298.21</v>
      </c>
      <c r="H173" s="10" t="s">
        <v>1838</v>
      </c>
      <c r="I173" s="10">
        <v>93.7</v>
      </c>
      <c r="O173" s="15">
        <f>IFERROR(__xludf.DUMMYFUNCTION("IF(ISBLANK($C173), """", GOOGLEFINANCE($C173, ""price""))"),285.12)</f>
        <v>285.12</v>
      </c>
      <c r="P173" s="16">
        <f t="shared" si="2"/>
        <v>-0.04389524161</v>
      </c>
      <c r="Q173" s="16">
        <f>IFERROR(__xludf.DUMMYFUNCTION("IF(OR(ISBLANK($G173), IFERROR(INDEX(GOOGLEFINANCE($C173, ""price"", WORKDAY(INT($B173), 1)), 2, 2), """")=""""), """", IF($D173=""LONG"", (IFERROR(INDEX(GOOGLEFINANCE($C173, ""price"", WORKDAY(INT($B173), 1)), 2, 2), """")-$G173)/$G173, ($G173-IFERROR(IND"&amp;"EX(GOOGLEFINANCE($C173, ""price"", WORKDAY(INT($B173), 1)), 2, 2), """"))/$G173))"),-0.01817511149860823)</f>
        <v>-0.0181751115</v>
      </c>
      <c r="R173" s="16">
        <f>IFERROR(__xludf.DUMMYFUNCTION("IF(OR(ISBLANK($G173), IFERROR(INDEX(GOOGLEFINANCE($C173, ""price"", WORKDAY(INT($B173), 5)), 2, 2), """")=""""), """", IF($D173=""LONG"", (IFERROR(INDEX(GOOGLEFINANCE($C173, ""price"", WORKDAY(INT($B173), 5)), 2, 2), """")-$G173)/$G173, ($G173-IFERROR(IND"&amp;"EX(GOOGLEFINANCE($C173, ""price"", WORKDAY(INT($B173), 5)), 2, 2), """"))/$G173))"),-0.01408403474061899)</f>
        <v>-0.01408403474</v>
      </c>
      <c r="S173" s="16" t="str">
        <f>IFERROR(__xludf.DUMMYFUNCTION("IF(OR(ISBLANK($G173), IFERROR(INDEX(GOOGLEFINANCE($C173, ""price"", WORKDAY(INT($B173), 20)), 2, 2), """")=""""), """", IF($D173=""LONG"", (IFERROR(INDEX(GOOGLEFINANCE($C173, ""price"", WORKDAY(INT($B173), 20)), 2, 2), """")-$G173)/$G173, ($G173-IFERROR(I"&amp;"NDEX(GOOGLEFINANCE($C173, ""price"", WORKDAY(INT($B173), 20)), 2, 2), """"))/$G173))"),"")</f>
        <v/>
      </c>
      <c r="T173" s="10" t="s">
        <v>1840</v>
      </c>
      <c r="U173" s="10" t="s">
        <v>704</v>
      </c>
      <c r="V173" s="10" t="s">
        <v>1841</v>
      </c>
      <c r="W173" s="10" t="s">
        <v>51</v>
      </c>
      <c r="X173" s="10" t="s">
        <v>704</v>
      </c>
    </row>
    <row r="174">
      <c r="A174" s="9">
        <f t="shared" si="1"/>
        <v>173</v>
      </c>
      <c r="B174" s="11">
        <v>46217.667708333334</v>
      </c>
      <c r="C174" s="10" t="s">
        <v>303</v>
      </c>
      <c r="D174" s="10" t="s">
        <v>36</v>
      </c>
      <c r="E174" s="10" t="s">
        <v>37</v>
      </c>
      <c r="F174" s="13">
        <v>2.0</v>
      </c>
      <c r="G174" s="14">
        <v>106.19</v>
      </c>
      <c r="H174" s="10" t="s">
        <v>1842</v>
      </c>
      <c r="I174" s="10">
        <v>90.0</v>
      </c>
      <c r="O174" s="15">
        <f>IFERROR(__xludf.DUMMYFUNCTION("IF(ISBLANK($C174), """", GOOGLEFINANCE($C174, ""price""))"),96.22)</f>
        <v>96.22</v>
      </c>
      <c r="P174" s="16">
        <f t="shared" si="2"/>
        <v>-0.0938883134</v>
      </c>
      <c r="Q174" s="16">
        <f>IFERROR(__xludf.DUMMYFUNCTION("IF(OR(ISBLANK($G174), IFERROR(INDEX(GOOGLEFINANCE($C174, ""price"", WORKDAY(INT($B174), 1)), 2, 2), """")=""""), """", IF($D174=""LONG"", (IFERROR(INDEX(GOOGLEFINANCE($C174, ""price"", WORKDAY(INT($B174), 1)), 2, 2), """")-$G174)/$G174, ($G174-IFERROR(IND"&amp;"EX(GOOGLEFINANCE($C174, ""price"", WORKDAY(INT($B174), 1)), 2, 2), """"))/$G174))"),-0.0026367831245880133)</f>
        <v>-0.002636783125</v>
      </c>
      <c r="R174" s="16">
        <f>IFERROR(__xludf.DUMMYFUNCTION("IF(OR(ISBLANK($G174), IFERROR(INDEX(GOOGLEFINANCE($C174, ""price"", WORKDAY(INT($B174), 5)), 2, 2), """")=""""), """", IF($D174=""LONG"", (IFERROR(INDEX(GOOGLEFINANCE($C174, ""price"", WORKDAY(INT($B174), 5)), 2, 2), """")-$G174)/$G174, ($G174-IFERROR(IND"&amp;"EX(GOOGLEFINANCE($C174, ""price"", WORKDAY(INT($B174), 5)), 2, 2), """"))/$G174))"),0.04152933421226101)</f>
        <v>0.04152933421</v>
      </c>
      <c r="S174" s="16" t="str">
        <f>IFERROR(__xludf.DUMMYFUNCTION("IF(OR(ISBLANK($G174), IFERROR(INDEX(GOOGLEFINANCE($C174, ""price"", WORKDAY(INT($B174), 20)), 2, 2), """")=""""), """", IF($D174=""LONG"", (IFERROR(INDEX(GOOGLEFINANCE($C174, ""price"", WORKDAY(INT($B174), 20)), 2, 2), """")-$G174)/$G174, ($G174-IFERROR(I"&amp;"NDEX(GOOGLEFINANCE($C174, ""price"", WORKDAY(INT($B174), 20)), 2, 2), """"))/$G174))"),"")</f>
        <v/>
      </c>
      <c r="T174" s="10" t="s">
        <v>1844</v>
      </c>
      <c r="U174" s="10" t="s">
        <v>704</v>
      </c>
      <c r="V174" s="10" t="s">
        <v>1845</v>
      </c>
      <c r="W174" s="10" t="s">
        <v>51</v>
      </c>
      <c r="X174" s="10" t="s">
        <v>704</v>
      </c>
    </row>
    <row r="175">
      <c r="A175" s="9">
        <f t="shared" si="1"/>
        <v>174</v>
      </c>
      <c r="B175" s="11">
        <v>46217.667962962965</v>
      </c>
      <c r="C175" s="10" t="s">
        <v>641</v>
      </c>
      <c r="D175" s="10" t="s">
        <v>36</v>
      </c>
      <c r="E175" s="10" t="s">
        <v>37</v>
      </c>
      <c r="F175" s="13">
        <v>2.0</v>
      </c>
      <c r="G175" s="14">
        <v>60.45</v>
      </c>
      <c r="H175" s="10" t="s">
        <v>1846</v>
      </c>
      <c r="I175" s="10">
        <v>97.1</v>
      </c>
      <c r="O175" s="15">
        <f>IFERROR(__xludf.DUMMYFUNCTION("IF(ISBLANK($C175), """", GOOGLEFINANCE($C175, ""price""))"),63.13)</f>
        <v>63.13</v>
      </c>
      <c r="P175" s="16">
        <f t="shared" si="2"/>
        <v>0.04433416046</v>
      </c>
      <c r="Q175" s="16">
        <f>IFERROR(__xludf.DUMMYFUNCTION("IF(OR(ISBLANK($G175), IFERROR(INDEX(GOOGLEFINANCE($C175, ""price"", WORKDAY(INT($B175), 1)), 2, 2), """")=""""), """", IF($D175=""LONG"", (IFERROR(INDEX(GOOGLEFINANCE($C175, ""price"", WORKDAY(INT($B175), 1)), 2, 2), """")-$G175)/$G175, ($G175-IFERROR(IND"&amp;"EX(GOOGLEFINANCE($C175, ""price"", WORKDAY(INT($B175), 1)), 2, 2), """"))/$G175))"),0.005789909015715373)</f>
        <v>0.005789909016</v>
      </c>
      <c r="R175" s="16">
        <f>IFERROR(__xludf.DUMMYFUNCTION("IF(OR(ISBLANK($G175), IFERROR(INDEX(GOOGLEFINANCE($C175, ""price"", WORKDAY(INT($B175), 5)), 2, 2), """")=""""), """", IF($D175=""LONG"", (IFERROR(INDEX(GOOGLEFINANCE($C175, ""price"", WORKDAY(INT($B175), 5)), 2, 2), """")-$G175)/$G175, ($G175-IFERROR(IND"&amp;"EX(GOOGLEFINANCE($C175, ""price"", WORKDAY(INT($B175), 5)), 2, 2), """"))/$G175))"),0.03473945409429271)</f>
        <v>0.03473945409</v>
      </c>
      <c r="S175" s="16" t="str">
        <f>IFERROR(__xludf.DUMMYFUNCTION("IF(OR(ISBLANK($G175), IFERROR(INDEX(GOOGLEFINANCE($C175, ""price"", WORKDAY(INT($B175), 20)), 2, 2), """")=""""), """", IF($D175=""LONG"", (IFERROR(INDEX(GOOGLEFINANCE($C175, ""price"", WORKDAY(INT($B175), 20)), 2, 2), """")-$G175)/$G175, ($G175-IFERROR(I"&amp;"NDEX(GOOGLEFINANCE($C175, ""price"", WORKDAY(INT($B175), 20)), 2, 2), """"))/$G175))"),"")</f>
        <v/>
      </c>
      <c r="T175" s="10" t="s">
        <v>1848</v>
      </c>
      <c r="U175" s="10" t="s">
        <v>704</v>
      </c>
      <c r="V175" s="10" t="s">
        <v>1849</v>
      </c>
      <c r="W175" s="10" t="s">
        <v>51</v>
      </c>
      <c r="X175" s="10" t="s">
        <v>704</v>
      </c>
    </row>
    <row r="176">
      <c r="A176" s="9">
        <f t="shared" si="1"/>
        <v>175</v>
      </c>
      <c r="B176" s="11">
        <v>46217.667592592596</v>
      </c>
      <c r="C176" s="10" t="s">
        <v>222</v>
      </c>
      <c r="D176" s="10" t="s">
        <v>36</v>
      </c>
      <c r="E176" s="10" t="s">
        <v>37</v>
      </c>
      <c r="F176" s="13">
        <v>2.0</v>
      </c>
      <c r="G176" s="14">
        <v>476.3</v>
      </c>
      <c r="H176" s="10" t="s">
        <v>1565</v>
      </c>
      <c r="I176" s="10">
        <v>94.0</v>
      </c>
      <c r="O176" s="15">
        <f>IFERROR(__xludf.DUMMYFUNCTION("IF(ISBLANK($C176), """", GOOGLEFINANCE($C176, ""price""))"),484.03)</f>
        <v>484.03</v>
      </c>
      <c r="P176" s="16">
        <f t="shared" si="2"/>
        <v>0.01622926727</v>
      </c>
      <c r="Q176" s="16">
        <f>IFERROR(__xludf.DUMMYFUNCTION("IF(OR(ISBLANK($G176), IFERROR(INDEX(GOOGLEFINANCE($C176, ""price"", WORKDAY(INT($B176), 1)), 2, 2), """")=""""), """", IF($D176=""LONG"", (IFERROR(INDEX(GOOGLEFINANCE($C176, ""price"", WORKDAY(INT($B176), 1)), 2, 2), """")-$G176)/$G176, ($G176-IFERROR(IND"&amp;"EX(GOOGLEFINANCE($C176, ""price"", WORKDAY(INT($B176), 1)), 2, 2), """"))/$G176))"),0.0016376233466302177)</f>
        <v>0.001637623347</v>
      </c>
      <c r="R176" s="16">
        <f>IFERROR(__xludf.DUMMYFUNCTION("IF(OR(ISBLANK($G176), IFERROR(INDEX(GOOGLEFINANCE($C176, ""price"", WORKDAY(INT($B176), 5)), 2, 2), """")=""""), """", IF($D176=""LONG"", (IFERROR(INDEX(GOOGLEFINANCE($C176, ""price"", WORKDAY(INT($B176), 5)), 2, 2), """")-$G176)/$G176, ($G176-IFERROR(IND"&amp;"EX(GOOGLEFINANCE($C176, ""price"", WORKDAY(INT($B176), 5)), 2, 2), """"))/$G176))"),0.01196724753306737)</f>
        <v>0.01196724753</v>
      </c>
      <c r="S176" s="16" t="str">
        <f>IFERROR(__xludf.DUMMYFUNCTION("IF(OR(ISBLANK($G176), IFERROR(INDEX(GOOGLEFINANCE($C176, ""price"", WORKDAY(INT($B176), 20)), 2, 2), """")=""""), """", IF($D176=""LONG"", (IFERROR(INDEX(GOOGLEFINANCE($C176, ""price"", WORKDAY(INT($B176), 20)), 2, 2), """")-$G176)/$G176, ($G176-IFERROR(I"&amp;"NDEX(GOOGLEFINANCE($C176, ""price"", WORKDAY(INT($B176), 20)), 2, 2), """"))/$G176))"),"")</f>
        <v/>
      </c>
      <c r="T176" s="10" t="s">
        <v>1851</v>
      </c>
      <c r="U176" s="10" t="s">
        <v>850</v>
      </c>
      <c r="V176" s="10" t="s">
        <v>1852</v>
      </c>
      <c r="W176" s="10" t="s">
        <v>51</v>
      </c>
      <c r="X176" s="10" t="s">
        <v>850</v>
      </c>
    </row>
    <row r="177">
      <c r="A177" s="9">
        <f t="shared" si="1"/>
        <v>176</v>
      </c>
      <c r="B177" s="11">
        <v>46217.667546296296</v>
      </c>
      <c r="C177" s="10" t="s">
        <v>437</v>
      </c>
      <c r="D177" s="10" t="s">
        <v>36</v>
      </c>
      <c r="E177" s="10" t="s">
        <v>37</v>
      </c>
      <c r="F177" s="13">
        <v>2.0</v>
      </c>
      <c r="G177" s="14">
        <v>182.56</v>
      </c>
      <c r="H177" s="10" t="s">
        <v>1853</v>
      </c>
      <c r="I177" s="10">
        <v>90.7</v>
      </c>
      <c r="O177" s="15">
        <f>IFERROR(__xludf.DUMMYFUNCTION("IF(ISBLANK($C177), """", GOOGLEFINANCE($C177, ""price""))"),192.32)</f>
        <v>192.32</v>
      </c>
      <c r="P177" s="16">
        <f t="shared" si="2"/>
        <v>0.05346187555</v>
      </c>
      <c r="Q177" s="16">
        <f>IFERROR(__xludf.DUMMYFUNCTION("IF(OR(ISBLANK($G177), IFERROR(INDEX(GOOGLEFINANCE($C177, ""price"", WORKDAY(INT($B177), 1)), 2, 2), """")=""""), """", IF($D177=""LONG"", (IFERROR(INDEX(GOOGLEFINANCE($C177, ""price"", WORKDAY(INT($B177), 1)), 2, 2), """")-$G177)/$G177, ($G177-IFERROR(IND"&amp;"EX(GOOGLEFINANCE($C177, ""price"", WORKDAY(INT($B177), 1)), 2, 2), """"))/$G177))"),-0.058282208588957135)</f>
        <v>-0.05828220859</v>
      </c>
      <c r="R177" s="16">
        <f>IFERROR(__xludf.DUMMYFUNCTION("IF(OR(ISBLANK($G177), IFERROR(INDEX(GOOGLEFINANCE($C177, ""price"", WORKDAY(INT($B177), 5)), 2, 2), """")=""""), """", IF($D177=""LONG"", (IFERROR(INDEX(GOOGLEFINANCE($C177, ""price"", WORKDAY(INT($B177), 5)), 2, 2), """")-$G177)/$G177, ($G177-IFERROR(IND"&amp;"EX(GOOGLEFINANCE($C177, ""price"", WORKDAY(INT($B177), 5)), 2, 2), """"))/$G177))"),-0.04371165644171773)</f>
        <v>-0.04371165644</v>
      </c>
      <c r="S177" s="16" t="str">
        <f>IFERROR(__xludf.DUMMYFUNCTION("IF(OR(ISBLANK($G177), IFERROR(INDEX(GOOGLEFINANCE($C177, ""price"", WORKDAY(INT($B177), 20)), 2, 2), """")=""""), """", IF($D177=""LONG"", (IFERROR(INDEX(GOOGLEFINANCE($C177, ""price"", WORKDAY(INT($B177), 20)), 2, 2), """")-$G177)/$G177, ($G177-IFERROR(I"&amp;"NDEX(GOOGLEFINANCE($C177, ""price"", WORKDAY(INT($B177), 20)), 2, 2), """"))/$G177))"),"")</f>
        <v/>
      </c>
      <c r="T177" s="10" t="s">
        <v>1854</v>
      </c>
      <c r="U177" s="10" t="s">
        <v>850</v>
      </c>
      <c r="V177" s="10" t="s">
        <v>1856</v>
      </c>
      <c r="W177" s="10" t="s">
        <v>51</v>
      </c>
      <c r="X177" s="10" t="s">
        <v>850</v>
      </c>
    </row>
    <row r="178">
      <c r="A178" s="9">
        <f t="shared" si="1"/>
        <v>177</v>
      </c>
      <c r="B178" s="11">
        <v>46217.667708333334</v>
      </c>
      <c r="C178" s="10" t="s">
        <v>663</v>
      </c>
      <c r="D178" s="10" t="s">
        <v>36</v>
      </c>
      <c r="E178" s="10" t="s">
        <v>37</v>
      </c>
      <c r="F178" s="13">
        <v>2.0</v>
      </c>
      <c r="G178" s="14">
        <v>75.09</v>
      </c>
      <c r="H178" s="10" t="s">
        <v>1857</v>
      </c>
      <c r="I178" s="10">
        <v>92.6</v>
      </c>
      <c r="O178" s="15">
        <f>IFERROR(__xludf.DUMMYFUNCTION("IF(ISBLANK($C178), """", GOOGLEFINANCE($C178, ""price""))"),71.2)</f>
        <v>71.2</v>
      </c>
      <c r="P178" s="16">
        <f t="shared" si="2"/>
        <v>-0.05180450127</v>
      </c>
      <c r="Q178" s="16">
        <f>IFERROR(__xludf.DUMMYFUNCTION("IF(OR(ISBLANK($G178), IFERROR(INDEX(GOOGLEFINANCE($C178, ""price"", WORKDAY(INT($B178), 1)), 2, 2), """")=""""), """", IF($D178=""LONG"", (IFERROR(INDEX(GOOGLEFINANCE($C178, ""price"", WORKDAY(INT($B178), 1)), 2, 2), """")-$G178)/$G178, ($G178-IFERROR(IND"&amp;"EX(GOOGLEFINANCE($C178, ""price"", WORKDAY(INT($B178), 1)), 2, 2), """"))/$G178))"),-0.014249567186043512)</f>
        <v>-0.01424956719</v>
      </c>
      <c r="R178" s="16">
        <f>IFERROR(__xludf.DUMMYFUNCTION("IF(OR(ISBLANK($G178), IFERROR(INDEX(GOOGLEFINANCE($C178, ""price"", WORKDAY(INT($B178), 5)), 2, 2), """")=""""), """", IF($D178=""LONG"", (IFERROR(INDEX(GOOGLEFINANCE($C178, ""price"", WORKDAY(INT($B178), 5)), 2, 2), """")-$G178)/$G178, ($G178-IFERROR(IND"&amp;"EX(GOOGLEFINANCE($C178, ""price"", WORKDAY(INT($B178), 5)), 2, 2), """"))/$G178))"),-0.0344919430017313)</f>
        <v>-0.034491943</v>
      </c>
      <c r="S178" s="16" t="str">
        <f>IFERROR(__xludf.DUMMYFUNCTION("IF(OR(ISBLANK($G178), IFERROR(INDEX(GOOGLEFINANCE($C178, ""price"", WORKDAY(INT($B178), 20)), 2, 2), """")=""""), """", IF($D178=""LONG"", (IFERROR(INDEX(GOOGLEFINANCE($C178, ""price"", WORKDAY(INT($B178), 20)), 2, 2), """")-$G178)/$G178, ($G178-IFERROR(I"&amp;"NDEX(GOOGLEFINANCE($C178, ""price"", WORKDAY(INT($B178), 20)), 2, 2), """"))/$G178))"),"")</f>
        <v/>
      </c>
      <c r="T178" s="10" t="s">
        <v>1859</v>
      </c>
      <c r="U178" s="10" t="s">
        <v>850</v>
      </c>
      <c r="V178" s="10" t="s">
        <v>1860</v>
      </c>
      <c r="W178" s="10" t="s">
        <v>51</v>
      </c>
      <c r="X178" s="10" t="s">
        <v>850</v>
      </c>
    </row>
    <row r="179">
      <c r="A179" s="9">
        <f t="shared" si="1"/>
        <v>178</v>
      </c>
      <c r="B179" s="11">
        <v>46217.66752314815</v>
      </c>
      <c r="C179" s="10" t="s">
        <v>217</v>
      </c>
      <c r="D179" s="10" t="s">
        <v>36</v>
      </c>
      <c r="E179" s="10" t="s">
        <v>37</v>
      </c>
      <c r="F179" s="13">
        <v>2.0</v>
      </c>
      <c r="G179" s="14">
        <v>376.35</v>
      </c>
      <c r="H179" s="10" t="s">
        <v>1861</v>
      </c>
      <c r="I179" s="10">
        <v>86.3</v>
      </c>
      <c r="O179" s="15">
        <f>IFERROR(__xludf.DUMMYFUNCTION("IF(ISBLANK($C179), """", GOOGLEFINANCE($C179, ""price""))"),399.7)</f>
        <v>399.7</v>
      </c>
      <c r="P179" s="16">
        <f t="shared" si="2"/>
        <v>0.06204331075</v>
      </c>
      <c r="Q179" s="16">
        <f>IFERROR(__xludf.DUMMYFUNCTION("IF(OR(ISBLANK($G179), IFERROR(INDEX(GOOGLEFINANCE($C179, ""price"", WORKDAY(INT($B179), 1)), 2, 2), """")=""""), """", IF($D179=""LONG"", (IFERROR(INDEX(GOOGLEFINANCE($C179, ""price"", WORKDAY(INT($B179), 1)), 2, 2), """")-$G179)/$G179, ($G179-IFERROR(IND"&amp;"EX(GOOGLEFINANCE($C179, ""price"", WORKDAY(INT($B179), 1)), 2, 2), """"))/$G179))"),-0.0037996545768566674)</f>
        <v>-0.003799654577</v>
      </c>
      <c r="R179" s="16">
        <f>IFERROR(__xludf.DUMMYFUNCTION("IF(OR(ISBLANK($G179), IFERROR(INDEX(GOOGLEFINANCE($C179, ""price"", WORKDAY(INT($B179), 5)), 2, 2), """")=""""), """", IF($D179=""LONG"", (IFERROR(INDEX(GOOGLEFINANCE($C179, ""price"", WORKDAY(INT($B179), 5)), 2, 2), """")-$G179)/$G179, ($G179-IFERROR(IND"&amp;"EX(GOOGLEFINANCE($C179, ""price"", WORKDAY(INT($B179), 5)), 2, 2), """"))/$G179))"),-0.023382489703733255)</f>
        <v>-0.0233824897</v>
      </c>
      <c r="S179" s="16" t="str">
        <f>IFERROR(__xludf.DUMMYFUNCTION("IF(OR(ISBLANK($G179), IFERROR(INDEX(GOOGLEFINANCE($C179, ""price"", WORKDAY(INT($B179), 20)), 2, 2), """")=""""), """", IF($D179=""LONG"", (IFERROR(INDEX(GOOGLEFINANCE($C179, ""price"", WORKDAY(INT($B179), 20)), 2, 2), """")-$G179)/$G179, ($G179-IFERROR(I"&amp;"NDEX(GOOGLEFINANCE($C179, ""price"", WORKDAY(INT($B179), 20)), 2, 2), """"))/$G179))"),"")</f>
        <v/>
      </c>
      <c r="T179" s="10" t="s">
        <v>1862</v>
      </c>
      <c r="U179" s="10" t="s">
        <v>850</v>
      </c>
      <c r="V179" s="10" t="s">
        <v>1863</v>
      </c>
      <c r="W179" s="10" t="s">
        <v>51</v>
      </c>
      <c r="X179" s="10" t="s">
        <v>850</v>
      </c>
    </row>
    <row r="180">
      <c r="A180" s="9">
        <f t="shared" si="1"/>
        <v>179</v>
      </c>
      <c r="B180" s="11">
        <v>46217.66744212963</v>
      </c>
      <c r="C180" s="10" t="s">
        <v>444</v>
      </c>
      <c r="D180" s="10" t="s">
        <v>36</v>
      </c>
      <c r="E180" s="10" t="s">
        <v>37</v>
      </c>
      <c r="F180" s="13">
        <v>2.0</v>
      </c>
      <c r="G180" s="14">
        <v>355.15</v>
      </c>
      <c r="H180" s="10" t="s">
        <v>1864</v>
      </c>
      <c r="I180" s="10">
        <v>95.5</v>
      </c>
      <c r="O180" s="15">
        <f>IFERROR(__xludf.DUMMYFUNCTION("IF(ISBLANK($C180), """", GOOGLEFINANCE($C180, ""price""))"),342.6)</f>
        <v>342.6</v>
      </c>
      <c r="P180" s="16">
        <f t="shared" si="2"/>
        <v>-0.03533718147</v>
      </c>
      <c r="Q180" s="16">
        <f>IFERROR(__xludf.DUMMYFUNCTION("IF(OR(ISBLANK($G180), IFERROR(INDEX(GOOGLEFINANCE($C180, ""price"", WORKDAY(INT($B180), 1)), 2, 2), """")=""""), """", IF($D180=""LONG"", (IFERROR(INDEX(GOOGLEFINANCE($C180, ""price"", WORKDAY(INT($B180), 1)), 2, 2), """")-$G180)/$G180, ($G180-IFERROR(IND"&amp;"EX(GOOGLEFINANCE($C180, ""price"", WORKDAY(INT($B180), 1)), 2, 2), """"))/$G180))"),0.009263691398000902)</f>
        <v>0.009263691398</v>
      </c>
      <c r="R180" s="16">
        <f>IFERROR(__xludf.DUMMYFUNCTION("IF(OR(ISBLANK($G180), IFERROR(INDEX(GOOGLEFINANCE($C180, ""price"", WORKDAY(INT($B180), 5)), 2, 2), """")=""""), """", IF($D180=""LONG"", (IFERROR(INDEX(GOOGLEFINANCE($C180, ""price"", WORKDAY(INT($B180), 5)), 2, 2), """")-$G180)/$G180, ($G180-IFERROR(IND"&amp;"EX(GOOGLEFINANCE($C180, ""price"", WORKDAY(INT($B180), 5)), 2, 2), """"))/$G180))"),-0.012276502886104343)</f>
        <v>-0.01227650289</v>
      </c>
      <c r="S180" s="16" t="str">
        <f>IFERROR(__xludf.DUMMYFUNCTION("IF(OR(ISBLANK($G180), IFERROR(INDEX(GOOGLEFINANCE($C180, ""price"", WORKDAY(INT($B180), 20)), 2, 2), """")=""""), """", IF($D180=""LONG"", (IFERROR(INDEX(GOOGLEFINANCE($C180, ""price"", WORKDAY(INT($B180), 20)), 2, 2), """")-$G180)/$G180, ($G180-IFERROR(I"&amp;"NDEX(GOOGLEFINANCE($C180, ""price"", WORKDAY(INT($B180), 20)), 2, 2), """"))/$G180))"),"")</f>
        <v/>
      </c>
      <c r="T180" s="10" t="s">
        <v>1866</v>
      </c>
      <c r="U180" s="10" t="s">
        <v>850</v>
      </c>
      <c r="V180" s="10" t="s">
        <v>1867</v>
      </c>
      <c r="W180" s="10" t="s">
        <v>51</v>
      </c>
      <c r="X180" s="10" t="s">
        <v>850</v>
      </c>
    </row>
    <row r="181">
      <c r="A181" s="9">
        <f t="shared" si="1"/>
        <v>180</v>
      </c>
      <c r="B181" s="11">
        <v>46217.66738425926</v>
      </c>
      <c r="C181" s="10" t="s">
        <v>397</v>
      </c>
      <c r="D181" s="10" t="s">
        <v>36</v>
      </c>
      <c r="E181" s="10" t="s">
        <v>37</v>
      </c>
      <c r="F181" s="13">
        <v>2.0</v>
      </c>
      <c r="G181" s="14">
        <v>266.25</v>
      </c>
      <c r="H181" s="10" t="s">
        <v>1869</v>
      </c>
      <c r="I181" s="10">
        <v>91.4</v>
      </c>
      <c r="O181" s="15">
        <f>IFERROR(__xludf.DUMMYFUNCTION("IF(ISBLANK($C181), """", GOOGLEFINANCE($C181, ""price""))"),306.57)</f>
        <v>306.57</v>
      </c>
      <c r="P181" s="16">
        <f t="shared" si="2"/>
        <v>0.1514366197</v>
      </c>
      <c r="Q181" s="16">
        <f>IFERROR(__xludf.DUMMYFUNCTION("IF(OR(ISBLANK($G181), IFERROR(INDEX(GOOGLEFINANCE($C181, ""price"", WORKDAY(INT($B181), 1)), 2, 2), """")=""""), """", IF($D181=""LONG"", (IFERROR(INDEX(GOOGLEFINANCE($C181, ""price"", WORKDAY(INT($B181), 1)), 2, 2), """")-$G181)/$G181, ($G181-IFERROR(IND"&amp;"EX(GOOGLEFINANCE($C181, ""price"", WORKDAY(INT($B181), 1)), 2, 2), """"))/$G181))"),0.0032300469483568586)</f>
        <v>0.003230046948</v>
      </c>
      <c r="R181" s="16">
        <f>IFERROR(__xludf.DUMMYFUNCTION("IF(OR(ISBLANK($G181), IFERROR(INDEX(GOOGLEFINANCE($C181, ""price"", WORKDAY(INT($B181), 5)), 2, 2), """")=""""), """", IF($D181=""LONG"", (IFERROR(INDEX(GOOGLEFINANCE($C181, ""price"", WORKDAY(INT($B181), 5)), 2, 2), """")-$G181)/$G181, ($G181-IFERROR(IND"&amp;"EX(GOOGLEFINANCE($C181, ""price"", WORKDAY(INT($B181), 5)), 2, 2), """"))/$G181))"),-0.004920187793427238)</f>
        <v>-0.004920187793</v>
      </c>
      <c r="S181" s="16" t="str">
        <f>IFERROR(__xludf.DUMMYFUNCTION("IF(OR(ISBLANK($G181), IFERROR(INDEX(GOOGLEFINANCE($C181, ""price"", WORKDAY(INT($B181), 20)), 2, 2), """")=""""), """", IF($D181=""LONG"", (IFERROR(INDEX(GOOGLEFINANCE($C181, ""price"", WORKDAY(INT($B181), 20)), 2, 2), """")-$G181)/$G181, ($G181-IFERROR(I"&amp;"NDEX(GOOGLEFINANCE($C181, ""price"", WORKDAY(INT($B181), 20)), 2, 2), """"))/$G181))"),"")</f>
        <v/>
      </c>
      <c r="T181" s="10" t="s">
        <v>1870</v>
      </c>
      <c r="U181" s="10" t="s">
        <v>850</v>
      </c>
      <c r="V181" s="10" t="s">
        <v>1871</v>
      </c>
      <c r="W181" s="10" t="s">
        <v>51</v>
      </c>
      <c r="X181" s="10" t="s">
        <v>850</v>
      </c>
    </row>
    <row r="182">
      <c r="A182" s="9">
        <f t="shared" si="1"/>
        <v>181</v>
      </c>
      <c r="B182" s="11">
        <v>46217.66761574074</v>
      </c>
      <c r="C182" s="10" t="s">
        <v>215</v>
      </c>
      <c r="D182" s="10" t="s">
        <v>36</v>
      </c>
      <c r="E182" s="10" t="s">
        <v>37</v>
      </c>
      <c r="F182" s="13">
        <v>2.0</v>
      </c>
      <c r="G182" s="14">
        <v>98.01</v>
      </c>
      <c r="H182" s="10" t="s">
        <v>1872</v>
      </c>
      <c r="I182" s="10">
        <v>87.7</v>
      </c>
      <c r="O182" s="15">
        <f>IFERROR(__xludf.DUMMYFUNCTION("IF(ISBLANK($C182), """", GOOGLEFINANCE($C182, ""price""))"),94.16)</f>
        <v>94.16</v>
      </c>
      <c r="P182" s="16">
        <f t="shared" si="2"/>
        <v>-0.03928170595</v>
      </c>
      <c r="Q182" s="16">
        <f>IFERROR(__xludf.DUMMYFUNCTION("IF(OR(ISBLANK($G182), IFERROR(INDEX(GOOGLEFINANCE($C182, ""price"", WORKDAY(INT($B182), 1)), 2, 2), """")=""""), """", IF($D182=""LONG"", (IFERROR(INDEX(GOOGLEFINANCE($C182, ""price"", WORKDAY(INT($B182), 1)), 2, 2), """")-$G182)/$G182, ($G182-IFERROR(IND"&amp;"EX(GOOGLEFINANCE($C182, ""price"", WORKDAY(INT($B182), 1)), 2, 2), """"))/$G182))"),-0.004489337822671278)</f>
        <v>-0.004489337823</v>
      </c>
      <c r="R182" s="16">
        <f>IFERROR(__xludf.DUMMYFUNCTION("IF(OR(ISBLANK($G182), IFERROR(INDEX(GOOGLEFINANCE($C182, ""price"", WORKDAY(INT($B182), 5)), 2, 2), """")=""""), """", IF($D182=""LONG"", (IFERROR(INDEX(GOOGLEFINANCE($C182, ""price"", WORKDAY(INT($B182), 5)), 2, 2), """")-$G182)/$G182, ($G182-IFERROR(IND"&amp;"EX(GOOGLEFINANCE($C182, ""price"", WORKDAY(INT($B182), 5)), 2, 2), """"))/$G182))"),-0.036220793796551486)</f>
        <v>-0.0362207938</v>
      </c>
      <c r="S182" s="16" t="str">
        <f>IFERROR(__xludf.DUMMYFUNCTION("IF(OR(ISBLANK($G182), IFERROR(INDEX(GOOGLEFINANCE($C182, ""price"", WORKDAY(INT($B182), 20)), 2, 2), """")=""""), """", IF($D182=""LONG"", (IFERROR(INDEX(GOOGLEFINANCE($C182, ""price"", WORKDAY(INT($B182), 20)), 2, 2), """")-$G182)/$G182, ($G182-IFERROR(I"&amp;"NDEX(GOOGLEFINANCE($C182, ""price"", WORKDAY(INT($B182), 20)), 2, 2), """"))/$G182))"),"")</f>
        <v/>
      </c>
      <c r="T182" s="10" t="s">
        <v>1875</v>
      </c>
      <c r="U182" s="10" t="s">
        <v>850</v>
      </c>
      <c r="V182" s="10" t="s">
        <v>1876</v>
      </c>
      <c r="W182" s="10" t="s">
        <v>51</v>
      </c>
      <c r="X182" s="10" t="s">
        <v>850</v>
      </c>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55.63"/>
    <col customWidth="1" min="14" max="14" width="37.25"/>
  </cols>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10" t="s">
        <v>17</v>
      </c>
      <c r="V1" s="10" t="s">
        <v>19</v>
      </c>
      <c r="W1" s="10" t="s">
        <v>21</v>
      </c>
      <c r="X1" s="10" t="s">
        <v>474</v>
      </c>
    </row>
    <row r="2">
      <c r="A2" s="9">
        <f t="shared" ref="A2:A171" si="1">ROW()-1</f>
        <v>1</v>
      </c>
      <c r="B2" s="11">
        <v>46218.66743055556</v>
      </c>
      <c r="C2" s="10" t="s">
        <v>1198</v>
      </c>
      <c r="D2" s="10" t="s">
        <v>36</v>
      </c>
      <c r="E2" s="10" t="s">
        <v>37</v>
      </c>
      <c r="F2" s="13">
        <v>2.0</v>
      </c>
      <c r="G2" s="14">
        <v>337.46</v>
      </c>
      <c r="H2" s="10" t="s">
        <v>1874</v>
      </c>
      <c r="I2" s="10">
        <v>95.1</v>
      </c>
      <c r="O2" s="15">
        <f>IFERROR(__xludf.DUMMYFUNCTION("IF(ISBLANK($C2), """", GOOGLEFINANCE($C2, ""price""))"),354.03)</f>
        <v>354.03</v>
      </c>
      <c r="P2" s="16">
        <f t="shared" ref="P2:P171" si="2">IF(OR(ISBLANK($G2), ISBLANK($O2)), "", IF($D2="LONG", ($O2-$G2)/$G2, ($G2-$O2)/$G2))</f>
        <v>0.04910211581</v>
      </c>
      <c r="Q2" s="16">
        <f>IFERROR(__xludf.DUMMYFUNCTION("IF(OR(ISBLANK($G2), IFERROR(INDEX(GOOGLEFINANCE($C2, ""price"", WORKDAY(INT($B2), 1)), 2, 2), """")=""""), """", IF($D2=""LONG"", (IFERROR(INDEX(GOOGLEFINANCE($C2, ""price"", WORKDAY(INT($B2), 1)), 2, 2), """")-$G2)/$G2, ($G2-IFERROR(INDEX(GOOGLEFINANCE($"&amp;"C2, ""price"", WORKDAY(INT($B2), 1)), 2, 2), """"))/$G2))"),0.018491080424346617)</f>
        <v>0.01849108042</v>
      </c>
      <c r="R2" s="16">
        <f>IFERROR(__xludf.DUMMYFUNCTION("IF(OR(ISBLANK($G2), IFERROR(INDEX(GOOGLEFINANCE($C2, ""price"", WORKDAY(INT($B2), 5)), 2, 2), """")=""""), """", IF($D2=""LONG"", (IFERROR(INDEX(GOOGLEFINANCE($C2, ""price"", WORKDAY(INT($B2), 5)), 2, 2), """")-$G2)/$G2, ($G2-IFERROR(INDEX(GOOGLEFINANCE($"&amp;"C2, ""price"", WORKDAY(INT($B2), 5)), 2, 2), """"))/$G2))"),0.017098322764179573)</f>
        <v>0.01709832276</v>
      </c>
      <c r="S2" s="16" t="str">
        <f>IFERROR(__xludf.DUMMYFUNCTION("IF(OR(ISBLANK($G2), IFERROR(INDEX(GOOGLEFINANCE($C2, ""price"", WORKDAY(INT($B2), 20)), 2, 2), """")=""""), """", IF($D2=""LONG"", (IFERROR(INDEX(GOOGLEFINANCE($C2, ""price"", WORKDAY(INT($B2), 20)), 2, 2), """")-$G2)/$G2, ($G2-IFERROR(INDEX(GOOGLEFINANCE"&amp;"($C2, ""price"", WORKDAY(INT($B2), 20)), 2, 2), """"))/$G2))"),"")</f>
        <v/>
      </c>
      <c r="T2" s="10" t="s">
        <v>1878</v>
      </c>
      <c r="U2" s="10" t="s">
        <v>984</v>
      </c>
      <c r="V2" s="10" t="s">
        <v>1880</v>
      </c>
      <c r="W2" s="10" t="s">
        <v>51</v>
      </c>
      <c r="X2" s="10" t="s">
        <v>984</v>
      </c>
    </row>
    <row r="3">
      <c r="A3" s="9">
        <f t="shared" si="1"/>
        <v>2</v>
      </c>
      <c r="B3" s="11">
        <v>46218.66738425926</v>
      </c>
      <c r="C3" s="10" t="s">
        <v>1810</v>
      </c>
      <c r="D3" s="10" t="s">
        <v>36</v>
      </c>
      <c r="E3" s="10" t="s">
        <v>87</v>
      </c>
      <c r="F3" s="13">
        <v>2.0</v>
      </c>
      <c r="G3" s="14">
        <v>97.42</v>
      </c>
      <c r="H3" s="10" t="s">
        <v>1881</v>
      </c>
      <c r="I3" s="10">
        <v>63.2</v>
      </c>
      <c r="O3" s="15">
        <f>IFERROR(__xludf.DUMMYFUNCTION("IF(ISBLANK($C3), """", GOOGLEFINANCE($C3, ""price""))"),86.02)</f>
        <v>86.02</v>
      </c>
      <c r="P3" s="16">
        <f t="shared" si="2"/>
        <v>-0.1170190926</v>
      </c>
      <c r="Q3" s="16">
        <f>IFERROR(__xludf.DUMMYFUNCTION("IF(OR(ISBLANK($G3), IFERROR(INDEX(GOOGLEFINANCE($C3, ""price"", WORKDAY(INT($B3), 1)), 2, 2), """")=""""), """", IF($D3=""LONG"", (IFERROR(INDEX(GOOGLEFINANCE($C3, ""price"", WORKDAY(INT($B3), 1)), 2, 2), """")-$G3)/$G3, ($G3-IFERROR(INDEX(GOOGLEFINANCE($"&amp;"C3, ""price"", WORKDAY(INT($B3), 1)), 2, 2), """"))/$G3))"),-0.05347977827961412)</f>
        <v>-0.05347977828</v>
      </c>
      <c r="R3" s="16">
        <f>IFERROR(__xludf.DUMMYFUNCTION("IF(OR(ISBLANK($G3), IFERROR(INDEX(GOOGLEFINANCE($C3, ""price"", WORKDAY(INT($B3), 5)), 2, 2), """")=""""), """", IF($D3=""LONG"", (IFERROR(INDEX(GOOGLEFINANCE($C3, ""price"", WORKDAY(INT($B3), 5)), 2, 2), """")-$G3)/$G3, ($G3-IFERROR(INDEX(GOOGLEFINANCE($"&amp;"C3, ""price"", WORKDAY(INT($B3), 5)), 2, 2), """"))/$G3))"),-0.04023814411825089)</f>
        <v>-0.04023814412</v>
      </c>
      <c r="S3" s="16" t="str">
        <f>IFERROR(__xludf.DUMMYFUNCTION("IF(OR(ISBLANK($G3), IFERROR(INDEX(GOOGLEFINANCE($C3, ""price"", WORKDAY(INT($B3), 20)), 2, 2), """")=""""), """", IF($D3=""LONG"", (IFERROR(INDEX(GOOGLEFINANCE($C3, ""price"", WORKDAY(INT($B3), 20)), 2, 2), """")-$G3)/$G3, ($G3-IFERROR(INDEX(GOOGLEFINANCE"&amp;"($C3, ""price"", WORKDAY(INT($B3), 20)), 2, 2), """"))/$G3))"),"")</f>
        <v/>
      </c>
      <c r="T3" s="10" t="s">
        <v>1883</v>
      </c>
      <c r="U3" s="10" t="s">
        <v>704</v>
      </c>
      <c r="V3" s="10" t="s">
        <v>1884</v>
      </c>
      <c r="W3" s="10" t="s">
        <v>51</v>
      </c>
      <c r="X3" s="10" t="s">
        <v>1885</v>
      </c>
    </row>
    <row r="4">
      <c r="A4" s="9">
        <f t="shared" si="1"/>
        <v>3</v>
      </c>
      <c r="B4" s="11">
        <v>46218.66736111111</v>
      </c>
      <c r="C4" s="10" t="s">
        <v>69</v>
      </c>
      <c r="D4" s="10" t="s">
        <v>36</v>
      </c>
      <c r="E4" s="10" t="s">
        <v>37</v>
      </c>
      <c r="F4" s="13">
        <v>2.0</v>
      </c>
      <c r="G4" s="14">
        <v>247.0</v>
      </c>
      <c r="H4" s="10" t="s">
        <v>1886</v>
      </c>
      <c r="I4" s="10">
        <v>95.0</v>
      </c>
      <c r="O4" s="15">
        <f>IFERROR(__xludf.DUMMYFUNCTION("IF(ISBLANK($C4), """", GOOGLEFINANCE($C4, ""price""))"),256.98)</f>
        <v>256.98</v>
      </c>
      <c r="P4" s="16">
        <f t="shared" si="2"/>
        <v>0.0404048583</v>
      </c>
      <c r="Q4" s="16">
        <f>IFERROR(__xludf.DUMMYFUNCTION("IF(OR(ISBLANK($G4), IFERROR(INDEX(GOOGLEFINANCE($C4, ""price"", WORKDAY(INT($B4), 1)), 2, 2), """")=""""), """", IF($D4=""LONG"", (IFERROR(INDEX(GOOGLEFINANCE($C4, ""price"", WORKDAY(INT($B4), 1)), 2, 2), """")-$G4)/$G4, ($G4-IFERROR(INDEX(GOOGLEFINANCE($"&amp;"C4, ""price"", WORKDAY(INT($B4), 1)), 2, 2), """"))/$G4))"),0.012024291497975704)</f>
        <v>0.0120242915</v>
      </c>
      <c r="R4" s="16">
        <f>IFERROR(__xludf.DUMMYFUNCTION("IF(OR(ISBLANK($G4), IFERROR(INDEX(GOOGLEFINANCE($C4, ""price"", WORKDAY(INT($B4), 5)), 2, 2), """")=""""), """", IF($D4=""LONG"", (IFERROR(INDEX(GOOGLEFINANCE($C4, ""price"", WORKDAY(INT($B4), 5)), 2, 2), """")-$G4)/$G4, ($G4-IFERROR(INDEX(GOOGLEFINANCE($"&amp;"C4, ""price"", WORKDAY(INT($B4), 5)), 2, 2), """"))/$G4))"),0.03493927125506071)</f>
        <v>0.03493927126</v>
      </c>
      <c r="S4" s="16" t="str">
        <f>IFERROR(__xludf.DUMMYFUNCTION("IF(OR(ISBLANK($G4), IFERROR(INDEX(GOOGLEFINANCE($C4, ""price"", WORKDAY(INT($B4), 20)), 2, 2), """")=""""), """", IF($D4=""LONG"", (IFERROR(INDEX(GOOGLEFINANCE($C4, ""price"", WORKDAY(INT($B4), 20)), 2, 2), """")-$G4)/$G4, ($G4-IFERROR(INDEX(GOOGLEFINANCE"&amp;"($C4, ""price"", WORKDAY(INT($B4), 20)), 2, 2), """"))/$G4))"),"")</f>
        <v/>
      </c>
      <c r="T4" s="10" t="s">
        <v>1887</v>
      </c>
      <c r="U4" s="10" t="s">
        <v>984</v>
      </c>
      <c r="V4" s="10" t="s">
        <v>1880</v>
      </c>
      <c r="W4" s="10" t="s">
        <v>51</v>
      </c>
      <c r="X4" s="10" t="s">
        <v>984</v>
      </c>
    </row>
    <row r="5">
      <c r="A5" s="9">
        <f t="shared" si="1"/>
        <v>4</v>
      </c>
      <c r="B5" s="11">
        <v>46218.66737268519</v>
      </c>
      <c r="C5" s="10" t="s">
        <v>728</v>
      </c>
      <c r="D5" s="10" t="s">
        <v>36</v>
      </c>
      <c r="E5" s="10" t="s">
        <v>37</v>
      </c>
      <c r="F5" s="13">
        <v>2.0</v>
      </c>
      <c r="G5" s="14">
        <v>89.27</v>
      </c>
      <c r="H5" s="10" t="s">
        <v>1889</v>
      </c>
      <c r="I5" s="10">
        <v>99.2</v>
      </c>
      <c r="O5" s="15">
        <f>IFERROR(__xludf.DUMMYFUNCTION("IF(ISBLANK($C5), """", GOOGLEFINANCE($C5, ""price""))"),107.96)</f>
        <v>107.96</v>
      </c>
      <c r="P5" s="16">
        <f t="shared" si="2"/>
        <v>0.2093648482</v>
      </c>
      <c r="Q5" s="16">
        <f>IFERROR(__xludf.DUMMYFUNCTION("IF(OR(ISBLANK($G5), IFERROR(INDEX(GOOGLEFINANCE($C5, ""price"", WORKDAY(INT($B5), 1)), 2, 2), """")=""""), """", IF($D5=""LONG"", (IFERROR(INDEX(GOOGLEFINANCE($C5, ""price"", WORKDAY(INT($B5), 1)), 2, 2), """")-$G5)/$G5, ($G5-IFERROR(INDEX(GOOGLEFINANCE($"&amp;"C5, ""price"", WORKDAY(INT($B5), 1)), 2, 2), """"))/$G5))"),0.10709084798924613)</f>
        <v>0.107090848</v>
      </c>
      <c r="R5" s="16">
        <f>IFERROR(__xludf.DUMMYFUNCTION("IF(OR(ISBLANK($G5), IFERROR(INDEX(GOOGLEFINANCE($C5, ""price"", WORKDAY(INT($B5), 5)), 2, 2), """")=""""), """", IF($D5=""LONG"", (IFERROR(INDEX(GOOGLEFINANCE($C5, ""price"", WORKDAY(INT($B5), 5)), 2, 2), """")-$G5)/$G5, ($G5-IFERROR(INDEX(GOOGLEFINANCE($"&amp;"C5, ""price"", WORKDAY(INT($B5), 5)), 2, 2), """"))/$G5))"),0.12658227848101264)</f>
        <v>0.1265822785</v>
      </c>
      <c r="S5" s="16" t="str">
        <f>IFERROR(__xludf.DUMMYFUNCTION("IF(OR(ISBLANK($G5), IFERROR(INDEX(GOOGLEFINANCE($C5, ""price"", WORKDAY(INT($B5), 20)), 2, 2), """")=""""), """", IF($D5=""LONG"", (IFERROR(INDEX(GOOGLEFINANCE($C5, ""price"", WORKDAY(INT($B5), 20)), 2, 2), """")-$G5)/$G5, ($G5-IFERROR(INDEX(GOOGLEFINANCE"&amp;"($C5, ""price"", WORKDAY(INT($B5), 20)), 2, 2), """"))/$G5))"),"")</f>
        <v/>
      </c>
      <c r="T5" s="10" t="s">
        <v>1891</v>
      </c>
      <c r="U5" s="10" t="s">
        <v>984</v>
      </c>
      <c r="V5" s="10" t="s">
        <v>985</v>
      </c>
      <c r="W5" s="10" t="s">
        <v>51</v>
      </c>
      <c r="X5" s="10" t="s">
        <v>984</v>
      </c>
    </row>
    <row r="6">
      <c r="A6" s="9">
        <f t="shared" si="1"/>
        <v>5</v>
      </c>
      <c r="B6" s="11">
        <v>46218.66736111111</v>
      </c>
      <c r="C6" s="10" t="s">
        <v>408</v>
      </c>
      <c r="D6" s="10" t="s">
        <v>36</v>
      </c>
      <c r="E6" s="10" t="s">
        <v>1892</v>
      </c>
      <c r="F6" s="13">
        <v>2.0</v>
      </c>
      <c r="G6" s="14">
        <v>248.62</v>
      </c>
      <c r="H6" s="10" t="s">
        <v>1893</v>
      </c>
      <c r="I6" s="10">
        <v>86.2</v>
      </c>
      <c r="O6" s="15">
        <f>IFERROR(__xludf.DUMMYFUNCTION("IF(ISBLANK($C6), """", GOOGLEFINANCE($C6, ""price""))"),250.14)</f>
        <v>250.14</v>
      </c>
      <c r="P6" s="16">
        <f t="shared" si="2"/>
        <v>0.006113747888</v>
      </c>
      <c r="Q6" s="16">
        <f>IFERROR(__xludf.DUMMYFUNCTION("IF(OR(ISBLANK($G6), IFERROR(INDEX(GOOGLEFINANCE($C6, ""price"", WORKDAY(INT($B6), 1)), 2, 2), """")=""""), """", IF($D6=""LONG"", (IFERROR(INDEX(GOOGLEFINANCE($C6, ""price"", WORKDAY(INT($B6), 1)), 2, 2), """")-$G6)/$G6, ($G6-IFERROR(INDEX(GOOGLEFINANCE($"&amp;"C6, ""price"", WORKDAY(INT($B6), 1)), 2, 2), """"))/$G6))"),0.02180033786501483)</f>
        <v>0.02180033787</v>
      </c>
      <c r="R6" s="16">
        <f>IFERROR(__xludf.DUMMYFUNCTION("IF(OR(ISBLANK($G6), IFERROR(INDEX(GOOGLEFINANCE($C6, ""price"", WORKDAY(INT($B6), 5)), 2, 2), """")=""""), """", IF($D6=""LONG"", (IFERROR(INDEX(GOOGLEFINANCE($C6, ""price"", WORKDAY(INT($B6), 5)), 2, 2), """")-$G6)/$G6, ($G6-IFERROR(INDEX(GOOGLEFINANCE($"&amp;"C6, ""price"", WORKDAY(INT($B6), 5)), 2, 2), """"))/$G6))"),0.008486847397634886)</f>
        <v>0.008486847398</v>
      </c>
      <c r="S6" s="16" t="str">
        <f>IFERROR(__xludf.DUMMYFUNCTION("IF(OR(ISBLANK($G6), IFERROR(INDEX(GOOGLEFINANCE($C6, ""price"", WORKDAY(INT($B6), 20)), 2, 2), """")=""""), """", IF($D6=""LONG"", (IFERROR(INDEX(GOOGLEFINANCE($C6, ""price"", WORKDAY(INT($B6), 20)), 2, 2), """")-$G6)/$G6, ($G6-IFERROR(INDEX(GOOGLEFINANCE"&amp;"($C6, ""price"", WORKDAY(INT($B6), 20)), 2, 2), """"))/$G6))"),"")</f>
        <v/>
      </c>
      <c r="T6" s="10" t="s">
        <v>1894</v>
      </c>
      <c r="U6" s="10" t="s">
        <v>984</v>
      </c>
      <c r="V6" s="10" t="s">
        <v>1880</v>
      </c>
      <c r="W6" s="10" t="s">
        <v>51</v>
      </c>
      <c r="X6" s="10" t="s">
        <v>984</v>
      </c>
    </row>
    <row r="7">
      <c r="A7" s="9">
        <f t="shared" si="1"/>
        <v>6</v>
      </c>
      <c r="B7" s="11">
        <v>46218.667395833334</v>
      </c>
      <c r="C7" s="10" t="s">
        <v>834</v>
      </c>
      <c r="D7" s="10" t="s">
        <v>119</v>
      </c>
      <c r="E7" s="10" t="s">
        <v>120</v>
      </c>
      <c r="F7" s="13">
        <v>4.0</v>
      </c>
      <c r="G7" s="14">
        <v>121.86</v>
      </c>
      <c r="H7" s="10" t="s">
        <v>1896</v>
      </c>
      <c r="I7" s="10">
        <v>13.4</v>
      </c>
      <c r="O7" s="15">
        <f>IFERROR(__xludf.DUMMYFUNCTION("IF(ISBLANK($C7), """", GOOGLEFINANCE($C7, ""price""))"),127.99)</f>
        <v>127.99</v>
      </c>
      <c r="P7" s="16">
        <f t="shared" si="2"/>
        <v>-0.05030362711</v>
      </c>
      <c r="Q7" s="16">
        <f>IFERROR(__xludf.DUMMYFUNCTION("IF(OR(ISBLANK($G7), IFERROR(INDEX(GOOGLEFINANCE($C7, ""price"", WORKDAY(INT($B7), 1)), 2, 2), """")=""""), """", IF($D7=""LONG"", (IFERROR(INDEX(GOOGLEFINANCE($C7, ""price"", WORKDAY(INT($B7), 1)), 2, 2), """")-$G7)/$G7, ($G7-IFERROR(INDEX(GOOGLEFINANCE($"&amp;"C7, ""price"", WORKDAY(INT($B7), 1)), 2, 2), """"))/$G7))"),-0.012145084523223404)</f>
        <v>-0.01214508452</v>
      </c>
      <c r="R7" s="16">
        <f>IFERROR(__xludf.DUMMYFUNCTION("IF(OR(ISBLANK($G7), IFERROR(INDEX(GOOGLEFINANCE($C7, ""price"", WORKDAY(INT($B7), 5)), 2, 2), """")=""""), """", IF($D7=""LONG"", (IFERROR(INDEX(GOOGLEFINANCE($C7, ""price"", WORKDAY(INT($B7), 5)), 2, 2), """")-$G7)/$G7, ($G7-IFERROR(INDEX(GOOGLEFINANCE($"&amp;"C7, ""price"", WORKDAY(INT($B7), 5)), 2, 2), """"))/$G7))"),0.023141309699655287)</f>
        <v>0.0231413097</v>
      </c>
      <c r="S7" s="16" t="str">
        <f>IFERROR(__xludf.DUMMYFUNCTION("IF(OR(ISBLANK($G7), IFERROR(INDEX(GOOGLEFINANCE($C7, ""price"", WORKDAY(INT($B7), 20)), 2, 2), """")=""""), """", IF($D7=""LONG"", (IFERROR(INDEX(GOOGLEFINANCE($C7, ""price"", WORKDAY(INT($B7), 20)), 2, 2), """")-$G7)/$G7, ($G7-IFERROR(INDEX(GOOGLEFINANCE"&amp;"($C7, ""price"", WORKDAY(INT($B7), 20)), 2, 2), """"))/$G7))"),"")</f>
        <v/>
      </c>
      <c r="T7" s="10" t="s">
        <v>1898</v>
      </c>
      <c r="U7" s="10" t="s">
        <v>984</v>
      </c>
      <c r="V7" s="10" t="s">
        <v>985</v>
      </c>
      <c r="W7" s="10" t="s">
        <v>51</v>
      </c>
      <c r="X7" s="10" t="s">
        <v>984</v>
      </c>
    </row>
    <row r="8">
      <c r="A8" s="9">
        <f t="shared" si="1"/>
        <v>7</v>
      </c>
      <c r="B8" s="11">
        <v>46218.667395833334</v>
      </c>
      <c r="C8" s="10" t="s">
        <v>95</v>
      </c>
      <c r="D8" s="10" t="s">
        <v>36</v>
      </c>
      <c r="E8" s="10" t="s">
        <v>37</v>
      </c>
      <c r="F8" s="13">
        <v>2.0</v>
      </c>
      <c r="G8" s="14">
        <v>178.47</v>
      </c>
      <c r="H8" s="10" t="s">
        <v>1899</v>
      </c>
      <c r="I8" s="10">
        <v>92.0</v>
      </c>
      <c r="O8" s="15">
        <f>IFERROR(__xludf.DUMMYFUNCTION("IF(ISBLANK($C8), """", GOOGLEFINANCE($C8, ""price""))"),181.77)</f>
        <v>181.77</v>
      </c>
      <c r="P8" s="16">
        <f t="shared" si="2"/>
        <v>0.01849050261</v>
      </c>
      <c r="Q8" s="16">
        <f>IFERROR(__xludf.DUMMYFUNCTION("IF(OR(ISBLANK($G8), IFERROR(INDEX(GOOGLEFINANCE($C8, ""price"", WORKDAY(INT($B8), 1)), 2, 2), """")=""""), """", IF($D8=""LONG"", (IFERROR(INDEX(GOOGLEFINANCE($C8, ""price"", WORKDAY(INT($B8), 1)), 2, 2), """")-$G8)/$G8, ($G8-IFERROR(INDEX(GOOGLEFINANCE($"&amp;"C8, ""price"", WORKDAY(INT($B8), 1)), 2, 2), """"))/$G8))"),0.0077323919986552105)</f>
        <v>0.007732391999</v>
      </c>
      <c r="R8" s="16">
        <f>IFERROR(__xludf.DUMMYFUNCTION("IF(OR(ISBLANK($G8), IFERROR(INDEX(GOOGLEFINANCE($C8, ""price"", WORKDAY(INT($B8), 5)), 2, 2), """")=""""), """", IF($D8=""LONG"", (IFERROR(INDEX(GOOGLEFINANCE($C8, ""price"", WORKDAY(INT($B8), 5)), 2, 2), """")-$G8)/$G8, ($G8-IFERROR(INDEX(GOOGLEFINANCE($"&amp;"C8, ""price"", WORKDAY(INT($B8), 5)), 2, 2), """"))/$G8))"),-0.0030817504342467157)</f>
        <v>-0.003081750434</v>
      </c>
      <c r="S8" s="16" t="str">
        <f>IFERROR(__xludf.DUMMYFUNCTION("IF(OR(ISBLANK($G8), IFERROR(INDEX(GOOGLEFINANCE($C8, ""price"", WORKDAY(INT($B8), 20)), 2, 2), """")=""""), """", IF($D8=""LONG"", (IFERROR(INDEX(GOOGLEFINANCE($C8, ""price"", WORKDAY(INT($B8), 20)), 2, 2), """")-$G8)/$G8, ($G8-IFERROR(INDEX(GOOGLEFINANCE"&amp;"($C8, ""price"", WORKDAY(INT($B8), 20)), 2, 2), """"))/$G8))"),"")</f>
        <v/>
      </c>
      <c r="T8" s="10" t="s">
        <v>1902</v>
      </c>
      <c r="U8" s="10" t="s">
        <v>240</v>
      </c>
      <c r="V8" s="10" t="s">
        <v>1903</v>
      </c>
      <c r="W8" s="10" t="s">
        <v>1904</v>
      </c>
      <c r="X8" s="10" t="s">
        <v>1905</v>
      </c>
    </row>
    <row r="9">
      <c r="A9" s="9">
        <f t="shared" si="1"/>
        <v>8</v>
      </c>
      <c r="B9" s="11">
        <v>46218.667395833334</v>
      </c>
      <c r="C9" s="10" t="s">
        <v>499</v>
      </c>
      <c r="D9" s="10" t="s">
        <v>36</v>
      </c>
      <c r="E9" s="10" t="s">
        <v>37</v>
      </c>
      <c r="F9" s="13">
        <v>2.0</v>
      </c>
      <c r="G9" s="14">
        <v>112.5</v>
      </c>
      <c r="H9" s="10" t="s">
        <v>1906</v>
      </c>
      <c r="I9" s="10">
        <v>93.2</v>
      </c>
      <c r="O9" s="15">
        <f>IFERROR(__xludf.DUMMYFUNCTION("IF(ISBLANK($C9), """", GOOGLEFINANCE($C9, ""price""))"),115.98)</f>
        <v>115.98</v>
      </c>
      <c r="P9" s="16">
        <f t="shared" si="2"/>
        <v>0.03093333333</v>
      </c>
      <c r="Q9" s="16">
        <f>IFERROR(__xludf.DUMMYFUNCTION("IF(OR(ISBLANK($G9), IFERROR(INDEX(GOOGLEFINANCE($C9, ""price"", WORKDAY(INT($B9), 1)), 2, 2), """")=""""), """", IF($D9=""LONG"", (IFERROR(INDEX(GOOGLEFINANCE($C9, ""price"", WORKDAY(INT($B9), 1)), 2, 2), """")-$G9)/$G9, ($G9-IFERROR(INDEX(GOOGLEFINANCE($"&amp;"C9, ""price"", WORKDAY(INT($B9), 1)), 2, 2), """"))/$G9))"),0.01235555555555556)</f>
        <v>0.01235555556</v>
      </c>
      <c r="R9" s="16">
        <f>IFERROR(__xludf.DUMMYFUNCTION("IF(OR(ISBLANK($G9), IFERROR(INDEX(GOOGLEFINANCE($C9, ""price"", WORKDAY(INT($B9), 5)), 2, 2), """")=""""), """", IF($D9=""LONG"", (IFERROR(INDEX(GOOGLEFINANCE($C9, ""price"", WORKDAY(INT($B9), 5)), 2, 2), """")-$G9)/$G9, ($G9-IFERROR(INDEX(GOOGLEFINANCE($"&amp;"C9, ""price"", WORKDAY(INT($B9), 5)), 2, 2), """"))/$G9))"),0.01955555555555558)</f>
        <v>0.01955555556</v>
      </c>
      <c r="S9" s="16" t="str">
        <f>IFERROR(__xludf.DUMMYFUNCTION("IF(OR(ISBLANK($G9), IFERROR(INDEX(GOOGLEFINANCE($C9, ""price"", WORKDAY(INT($B9), 20)), 2, 2), """")=""""), """", IF($D9=""LONG"", (IFERROR(INDEX(GOOGLEFINANCE($C9, ""price"", WORKDAY(INT($B9), 20)), 2, 2), """")-$G9)/$G9, ($G9-IFERROR(INDEX(GOOGLEFINANCE"&amp;"($C9, ""price"", WORKDAY(INT($B9), 20)), 2, 2), """"))/$G9))"),"")</f>
        <v/>
      </c>
      <c r="T9" s="10" t="s">
        <v>1908</v>
      </c>
      <c r="U9" s="10" t="s">
        <v>984</v>
      </c>
      <c r="V9" s="10" t="s">
        <v>1880</v>
      </c>
      <c r="W9" s="10" t="s">
        <v>51</v>
      </c>
      <c r="X9" s="10" t="s">
        <v>984</v>
      </c>
    </row>
    <row r="10">
      <c r="A10" s="9">
        <f t="shared" si="1"/>
        <v>9</v>
      </c>
      <c r="B10" s="11">
        <v>46218.66736111111</v>
      </c>
      <c r="C10" s="10" t="s">
        <v>158</v>
      </c>
      <c r="D10" s="10" t="s">
        <v>36</v>
      </c>
      <c r="E10" s="10" t="s">
        <v>37</v>
      </c>
      <c r="F10" s="13">
        <v>2.0</v>
      </c>
      <c r="G10" s="14">
        <v>73.78</v>
      </c>
      <c r="H10" s="10" t="s">
        <v>1909</v>
      </c>
      <c r="I10" s="10">
        <v>95.7</v>
      </c>
      <c r="O10" s="15">
        <f>IFERROR(__xludf.DUMMYFUNCTION("IF(ISBLANK($C10), """", GOOGLEFINANCE($C10, ""price""))"),72.06)</f>
        <v>72.06</v>
      </c>
      <c r="P10" s="16">
        <f t="shared" si="2"/>
        <v>-0.02331255083</v>
      </c>
      <c r="Q10" s="16">
        <f>IFERROR(__xludf.DUMMYFUNCTION("IF(OR(ISBLANK($G10), IFERROR(INDEX(GOOGLEFINANCE($C10, ""price"", WORKDAY(INT($B10), 1)), 2, 2), """")=""""), """", IF($D10=""LONG"", (IFERROR(INDEX(GOOGLEFINANCE($C10, ""price"", WORKDAY(INT($B10), 1)), 2, 2), """")-$G10)/$G10, ($G10-IFERROR(INDEX(GOOGLE"&amp;"FINANCE($C10, ""price"", WORKDAY(INT($B10), 1)), 2, 2), """"))/$G10))"),0.017077798861480146)</f>
        <v>0.01707779886</v>
      </c>
      <c r="R10" s="16">
        <f>IFERROR(__xludf.DUMMYFUNCTION("IF(OR(ISBLANK($G10), IFERROR(INDEX(GOOGLEFINANCE($C10, ""price"", WORKDAY(INT($B10), 5)), 2, 2), """")=""""), """", IF($D10=""LONG"", (IFERROR(INDEX(GOOGLEFINANCE($C10, ""price"", WORKDAY(INT($B10), 5)), 2, 2), """")-$G10)/$G10, ($G10-IFERROR(INDEX(GOOGLE"&amp;"FINANCE($C10, ""price"", WORKDAY(INT($B10), 5)), 2, 2), """"))/$G10))"),0.009216589861751051)</f>
        <v>0.009216589862</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1912</v>
      </c>
      <c r="U10" s="10" t="s">
        <v>984</v>
      </c>
      <c r="V10" s="10" t="s">
        <v>1880</v>
      </c>
      <c r="W10" s="10" t="s">
        <v>51</v>
      </c>
      <c r="X10" s="10" t="s">
        <v>984</v>
      </c>
    </row>
    <row r="11">
      <c r="A11" s="9">
        <f t="shared" si="1"/>
        <v>10</v>
      </c>
      <c r="B11" s="11">
        <v>46218.66738425926</v>
      </c>
      <c r="C11" s="10" t="s">
        <v>422</v>
      </c>
      <c r="D11" s="10" t="s">
        <v>119</v>
      </c>
      <c r="E11" s="10" t="s">
        <v>120</v>
      </c>
      <c r="F11" s="13">
        <v>4.0</v>
      </c>
      <c r="G11" s="14">
        <v>254.94</v>
      </c>
      <c r="H11" s="10" t="s">
        <v>1913</v>
      </c>
      <c r="I11" s="10">
        <v>12.0</v>
      </c>
      <c r="O11" s="15">
        <f>IFERROR(__xludf.DUMMYFUNCTION("IF(ISBLANK($C11), """", GOOGLEFINANCE($C11, ""price""))"),272.26)</f>
        <v>272.26</v>
      </c>
      <c r="P11" s="16">
        <f t="shared" si="2"/>
        <v>-0.06793755393</v>
      </c>
      <c r="Q11" s="16">
        <f>IFERROR(__xludf.DUMMYFUNCTION("IF(OR(ISBLANK($G11), IFERROR(INDEX(GOOGLEFINANCE($C11, ""price"", WORKDAY(INT($B11), 1)), 2, 2), """")=""""), """", IF($D11=""LONG"", (IFERROR(INDEX(GOOGLEFINANCE($C11, ""price"", WORKDAY(INT($B11), 1)), 2, 2), """")-$G11)/$G11, ($G11-IFERROR(INDEX(GOOGLE"&amp;"FINANCE($C11, ""price"", WORKDAY(INT($B11), 1)), 2, 2), """"))/$G11))"),0.01980858241154786)</f>
        <v>0.01980858241</v>
      </c>
      <c r="R11" s="16">
        <f>IFERROR(__xludf.DUMMYFUNCTION("IF(OR(ISBLANK($G11), IFERROR(INDEX(GOOGLEFINANCE($C11, ""price"", WORKDAY(INT($B11), 5)), 2, 2), """")=""""), """", IF($D11=""LONG"", (IFERROR(INDEX(GOOGLEFINANCE($C11, ""price"", WORKDAY(INT($B11), 5)), 2, 2), """")-$G11)/$G11, ($G11-IFERROR(INDEX(GOOGLE"&amp;"FINANCE($C11, ""price"", WORKDAY(INT($B11), 5)), 2, 2), """"))/$G11))"),0.039577939907429215)</f>
        <v>0.03957793991</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1915</v>
      </c>
      <c r="U11" s="10" t="s">
        <v>984</v>
      </c>
      <c r="V11" s="10" t="s">
        <v>985</v>
      </c>
      <c r="W11" s="10" t="s">
        <v>51</v>
      </c>
      <c r="X11" s="10" t="s">
        <v>984</v>
      </c>
    </row>
    <row r="12">
      <c r="A12" s="9">
        <f t="shared" si="1"/>
        <v>11</v>
      </c>
      <c r="B12" s="11">
        <v>46218.66740740741</v>
      </c>
      <c r="C12" s="10" t="s">
        <v>76</v>
      </c>
      <c r="D12" s="10" t="s">
        <v>36</v>
      </c>
      <c r="E12" s="10" t="s">
        <v>37</v>
      </c>
      <c r="F12" s="13">
        <v>2.0</v>
      </c>
      <c r="G12" s="14">
        <v>271.39</v>
      </c>
      <c r="H12" s="10" t="s">
        <v>1916</v>
      </c>
      <c r="I12" s="10">
        <v>94.6</v>
      </c>
      <c r="O12" s="15">
        <f>IFERROR(__xludf.DUMMYFUNCTION("IF(ISBLANK($C12), """", GOOGLEFINANCE($C12, ""price""))"),294.7)</f>
        <v>294.7</v>
      </c>
      <c r="P12" s="16">
        <f t="shared" si="2"/>
        <v>0.08589115295</v>
      </c>
      <c r="Q12" s="16">
        <f>IFERROR(__xludf.DUMMYFUNCTION("IF(OR(ISBLANK($G12), IFERROR(INDEX(GOOGLEFINANCE($C12, ""price"", WORKDAY(INT($B12), 1)), 2, 2), """")=""""), """", IF($D12=""LONG"", (IFERROR(INDEX(GOOGLEFINANCE($C12, ""price"", WORKDAY(INT($B12), 1)), 2, 2), """")-$G12)/$G12, ($G12-IFERROR(INDEX(GOOGLE"&amp;"FINANCE($C12, ""price"", WORKDAY(INT($B12), 1)), 2, 2), """"))/$G12))"),0.042669221415675015)</f>
        <v>0.04266922142</v>
      </c>
      <c r="R12" s="16">
        <f>IFERROR(__xludf.DUMMYFUNCTION("IF(OR(ISBLANK($G12), IFERROR(INDEX(GOOGLEFINANCE($C12, ""price"", WORKDAY(INT($B12), 5)), 2, 2), """")=""""), """", IF($D12=""LONG"", (IFERROR(INDEX(GOOGLEFINANCE($C12, ""price"", WORKDAY(INT($B12), 5)), 2, 2), """")-$G12)/$G12, ($G12-IFERROR(INDEX(GOOGLE"&amp;"FINANCE($C12, ""price"", WORKDAY(INT($B12), 5)), 2, 2), """"))/$G12))"),0.009359224731935666)</f>
        <v>0.009359224732</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1919</v>
      </c>
      <c r="U12" s="10" t="s">
        <v>984</v>
      </c>
      <c r="V12" s="10" t="s">
        <v>1880</v>
      </c>
      <c r="W12" s="10" t="s">
        <v>51</v>
      </c>
      <c r="X12" s="10" t="s">
        <v>984</v>
      </c>
    </row>
    <row r="13">
      <c r="A13" s="9">
        <f t="shared" si="1"/>
        <v>12</v>
      </c>
      <c r="B13" s="11">
        <v>46218.66743055556</v>
      </c>
      <c r="C13" s="10" t="s">
        <v>1920</v>
      </c>
      <c r="D13" s="10" t="s">
        <v>36</v>
      </c>
      <c r="E13" s="10" t="s">
        <v>1892</v>
      </c>
      <c r="F13" s="13">
        <v>2.0</v>
      </c>
      <c r="G13" s="14">
        <v>192.28</v>
      </c>
      <c r="H13" s="10" t="s">
        <v>1921</v>
      </c>
      <c r="I13" s="10">
        <v>58.1</v>
      </c>
      <c r="O13" s="15">
        <f>IFERROR(__xludf.DUMMYFUNCTION("IF(ISBLANK($C13), """", GOOGLEFINANCE($C13, ""price""))"),202.15)</f>
        <v>202.15</v>
      </c>
      <c r="P13" s="16">
        <f t="shared" si="2"/>
        <v>0.05133139172</v>
      </c>
      <c r="Q13" s="16">
        <f>IFERROR(__xludf.DUMMYFUNCTION("IF(OR(ISBLANK($G13), IFERROR(INDEX(GOOGLEFINANCE($C13, ""price"", WORKDAY(INT($B13), 1)), 2, 2), """")=""""), """", IF($D13=""LONG"", (IFERROR(INDEX(GOOGLEFINANCE($C13, ""price"", WORKDAY(INT($B13), 1)), 2, 2), """")-$G13)/$G13, ($G13-IFERROR(INDEX(GOOGLE"&amp;"FINANCE($C13, ""price"", WORKDAY(INT($B13), 1)), 2, 2), """"))/$G13))"),0.07265446224256292)</f>
        <v>0.07265446224</v>
      </c>
      <c r="R13" s="16">
        <f>IFERROR(__xludf.DUMMYFUNCTION("IF(OR(ISBLANK($G13), IFERROR(INDEX(GOOGLEFINANCE($C13, ""price"", WORKDAY(INT($B13), 5)), 2, 2), """")=""""), """", IF($D13=""LONG"", (IFERROR(INDEX(GOOGLEFINANCE($C13, ""price"", WORKDAY(INT($B13), 5)), 2, 2), """")-$G13)/$G13, ($G13-IFERROR(INDEX(GOOGLE"&amp;"FINANCE($C13, ""price"", WORKDAY(INT($B13), 5)), 2, 2), """"))/$G13))"),0.04722280008321205)</f>
        <v>0.04722280008</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1924</v>
      </c>
      <c r="U13" s="10" t="s">
        <v>492</v>
      </c>
      <c r="V13" s="10" t="s">
        <v>493</v>
      </c>
      <c r="W13" s="10" t="s">
        <v>51</v>
      </c>
      <c r="X13" s="10" t="s">
        <v>492</v>
      </c>
    </row>
    <row r="14">
      <c r="A14" s="9">
        <f t="shared" si="1"/>
        <v>13</v>
      </c>
      <c r="B14" s="11">
        <v>46218.66740740741</v>
      </c>
      <c r="C14" s="10" t="s">
        <v>154</v>
      </c>
      <c r="D14" s="10" t="s">
        <v>36</v>
      </c>
      <c r="E14" s="10" t="s">
        <v>37</v>
      </c>
      <c r="F14" s="13">
        <v>2.0</v>
      </c>
      <c r="G14" s="14">
        <v>164.52</v>
      </c>
      <c r="H14" s="10" t="s">
        <v>1925</v>
      </c>
      <c r="I14" s="10">
        <v>92.2</v>
      </c>
      <c r="O14" s="15">
        <f>IFERROR(__xludf.DUMMYFUNCTION("IF(ISBLANK($C14), """", GOOGLEFINANCE($C14, ""price""))"),160.11)</f>
        <v>160.11</v>
      </c>
      <c r="P14" s="16">
        <f t="shared" si="2"/>
        <v>-0.02680525164</v>
      </c>
      <c r="Q14" s="16">
        <f>IFERROR(__xludf.DUMMYFUNCTION("IF(OR(ISBLANK($G14), IFERROR(INDEX(GOOGLEFINANCE($C14, ""price"", WORKDAY(INT($B14), 1)), 2, 2), """")=""""), """", IF($D14=""LONG"", (IFERROR(INDEX(GOOGLEFINANCE($C14, ""price"", WORKDAY(INT($B14), 1)), 2, 2), """")-$G14)/$G14, ($G14-IFERROR(INDEX(GOOGLE"&amp;"FINANCE($C14, ""price"", WORKDAY(INT($B14), 1)), 2, 2), """"))/$G14))"),-0.022732798443958237)</f>
        <v>-0.02273279844</v>
      </c>
      <c r="R14" s="16">
        <f>IFERROR(__xludf.DUMMYFUNCTION("IF(OR(ISBLANK($G14), IFERROR(INDEX(GOOGLEFINANCE($C14, ""price"", WORKDAY(INT($B14), 5)), 2, 2), """")=""""), """", IF($D14=""LONG"", (IFERROR(INDEX(GOOGLEFINANCE($C14, ""price"", WORKDAY(INT($B14), 5)), 2, 2), """")-$G14)/$G14, ($G14-IFERROR(INDEX(GOOGLE"&amp;"FINANCE($C14, ""price"", WORKDAY(INT($B14), 5)), 2, 2), """"))/$G14))"),-0.057561390712375385)</f>
        <v>-0.05756139071</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1926</v>
      </c>
      <c r="U14" s="10" t="s">
        <v>984</v>
      </c>
      <c r="V14" s="10" t="s">
        <v>1880</v>
      </c>
      <c r="W14" s="10" t="s">
        <v>51</v>
      </c>
      <c r="X14" s="10" t="s">
        <v>984</v>
      </c>
    </row>
    <row r="15">
      <c r="A15" s="9">
        <f t="shared" si="1"/>
        <v>14</v>
      </c>
      <c r="B15" s="11">
        <v>46218.66744212963</v>
      </c>
      <c r="C15" s="10" t="s">
        <v>173</v>
      </c>
      <c r="D15" s="10" t="s">
        <v>36</v>
      </c>
      <c r="E15" s="10" t="s">
        <v>37</v>
      </c>
      <c r="F15" s="13">
        <v>2.0</v>
      </c>
      <c r="G15" s="14">
        <v>87.52</v>
      </c>
      <c r="H15" s="10" t="s">
        <v>1928</v>
      </c>
      <c r="I15" s="10">
        <v>92.1</v>
      </c>
      <c r="O15" s="15">
        <f>IFERROR(__xludf.DUMMYFUNCTION("IF(ISBLANK($C15), """", GOOGLEFINANCE($C15, ""price""))"),87.59)</f>
        <v>87.59</v>
      </c>
      <c r="P15" s="16">
        <f t="shared" si="2"/>
        <v>0.0007998171846</v>
      </c>
      <c r="Q15" s="16">
        <f>IFERROR(__xludf.DUMMYFUNCTION("IF(OR(ISBLANK($G15), IFERROR(INDEX(GOOGLEFINANCE($C15, ""price"", WORKDAY(INT($B15), 1)), 2, 2), """")=""""), """", IF($D15=""LONG"", (IFERROR(INDEX(GOOGLEFINANCE($C15, ""price"", WORKDAY(INT($B15), 1)), 2, 2), """")-$G15)/$G15, ($G15-IFERROR(INDEX(GOOGLE"&amp;"FINANCE($C15, ""price"", WORKDAY(INT($B15), 1)), 2, 2), """"))/$G15))"),0.006284277879341832)</f>
        <v>0.006284277879</v>
      </c>
      <c r="R15" s="16">
        <f>IFERROR(__xludf.DUMMYFUNCTION("IF(OR(ISBLANK($G15), IFERROR(INDEX(GOOGLEFINANCE($C15, ""price"", WORKDAY(INT($B15), 5)), 2, 2), """")=""""), """", IF($D15=""LONG"", (IFERROR(INDEX(GOOGLEFINANCE($C15, ""price"", WORKDAY(INT($B15), 5)), 2, 2), """")-$G15)/$G15, ($G15-IFERROR(INDEX(GOOGLE"&amp;"FINANCE($C15, ""price"", WORKDAY(INT($B15), 5)), 2, 2), """"))/$G15))"),-0.012568555758683665)</f>
        <v>-0.01256855576</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1932</v>
      </c>
      <c r="U15" s="10" t="s">
        <v>492</v>
      </c>
      <c r="V15" s="10" t="s">
        <v>493</v>
      </c>
      <c r="W15" s="10" t="s">
        <v>51</v>
      </c>
      <c r="X15" s="10" t="s">
        <v>492</v>
      </c>
    </row>
    <row r="16">
      <c r="A16" s="9">
        <f t="shared" si="1"/>
        <v>15</v>
      </c>
      <c r="B16" s="11">
        <v>46218.66744212963</v>
      </c>
      <c r="C16" s="10" t="s">
        <v>110</v>
      </c>
      <c r="D16" s="10" t="s">
        <v>36</v>
      </c>
      <c r="E16" s="10" t="s">
        <v>37</v>
      </c>
      <c r="F16" s="13">
        <v>2.0</v>
      </c>
      <c r="G16" s="14">
        <v>208.89</v>
      </c>
      <c r="H16" s="10" t="s">
        <v>1933</v>
      </c>
      <c r="I16" s="10">
        <v>97.1</v>
      </c>
      <c r="O16" s="15">
        <f>IFERROR(__xludf.DUMMYFUNCTION("IF(ISBLANK($C16), """", GOOGLEFINANCE($C16, ""price""))"),220.0)</f>
        <v>220</v>
      </c>
      <c r="P16" s="16">
        <f t="shared" si="2"/>
        <v>0.05318588731</v>
      </c>
      <c r="Q16" s="16">
        <f>IFERROR(__xludf.DUMMYFUNCTION("IF(OR(ISBLANK($G16), IFERROR(INDEX(GOOGLEFINANCE($C16, ""price"", WORKDAY(INT($B16), 1)), 2, 2), """")=""""), """", IF($D16=""LONG"", (IFERROR(INDEX(GOOGLEFINANCE($C16, ""price"", WORKDAY(INT($B16), 1)), 2, 2), """")-$G16)/$G16, ($G16-IFERROR(INDEX(GOOGLE"&amp;"FINANCE($C16, ""price"", WORKDAY(INT($B16), 1)), 2, 2), """"))/$G16))"),0.014553114079180529)</f>
        <v>0.01455311408</v>
      </c>
      <c r="R16" s="16">
        <f>IFERROR(__xludf.DUMMYFUNCTION("IF(OR(ISBLANK($G16), IFERROR(INDEX(GOOGLEFINANCE($C16, ""price"", WORKDAY(INT($B16), 5)), 2, 2), """")=""""), """", IF($D16=""LONG"", (IFERROR(INDEX(GOOGLEFINANCE($C16, ""price"", WORKDAY(INT($B16), 5)), 2, 2), """")-$G16)/$G16, ($G16-IFERROR(INDEX(GOOGLE"&amp;"FINANCE($C16, ""price"", WORKDAY(INT($B16), 5)), 2, 2), """"))/$G16))"),-0.0360476805974435)</f>
        <v>-0.0360476806</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1934</v>
      </c>
      <c r="U16" s="10" t="s">
        <v>984</v>
      </c>
      <c r="V16" s="10" t="s">
        <v>985</v>
      </c>
      <c r="W16" s="10" t="s">
        <v>51</v>
      </c>
      <c r="X16" s="10" t="s">
        <v>984</v>
      </c>
    </row>
    <row r="17">
      <c r="A17" s="9">
        <f t="shared" si="1"/>
        <v>16</v>
      </c>
      <c r="B17" s="11">
        <v>46218.667395833334</v>
      </c>
      <c r="C17" s="10" t="s">
        <v>810</v>
      </c>
      <c r="D17" s="10" t="s">
        <v>36</v>
      </c>
      <c r="E17" s="10" t="s">
        <v>37</v>
      </c>
      <c r="F17" s="13">
        <v>2.0</v>
      </c>
      <c r="G17" s="14">
        <v>141.43</v>
      </c>
      <c r="H17" s="10" t="s">
        <v>1936</v>
      </c>
      <c r="I17" s="10">
        <v>94.7</v>
      </c>
      <c r="O17" s="15">
        <f>IFERROR(__xludf.DUMMYFUNCTION("IF(ISBLANK($C17), """", GOOGLEFINANCE($C17, ""price""))"),147.45)</f>
        <v>147.45</v>
      </c>
      <c r="P17" s="16">
        <f t="shared" si="2"/>
        <v>0.04256522661</v>
      </c>
      <c r="Q17" s="16">
        <f>IFERROR(__xludf.DUMMYFUNCTION("IF(OR(ISBLANK($G17), IFERROR(INDEX(GOOGLEFINANCE($C17, ""price"", WORKDAY(INT($B17), 1)), 2, 2), """")=""""), """", IF($D17=""LONG"", (IFERROR(INDEX(GOOGLEFINANCE($C17, ""price"", WORKDAY(INT($B17), 1)), 2, 2), """")-$G17)/$G17, ($G17-IFERROR(INDEX(GOOGLE"&amp;"FINANCE($C17, ""price"", WORKDAY(INT($B17), 1)), 2, 2), """"))/$G17))"),0.015979636569327518)</f>
        <v>0.01597963657</v>
      </c>
      <c r="R17" s="16">
        <f>IFERROR(__xludf.DUMMYFUNCTION("IF(OR(ISBLANK($G17), IFERROR(INDEX(GOOGLEFINANCE($C17, ""price"", WORKDAY(INT($B17), 5)), 2, 2), """")=""""), """", IF($D17=""LONG"", (IFERROR(INDEX(GOOGLEFINANCE($C17, ""price"", WORKDAY(INT($B17), 5)), 2, 2), """")-$G17)/$G17, ($G17-IFERROR(INDEX(GOOGLE"&amp;"FINANCE($C17, ""price"", WORKDAY(INT($B17), 5)), 2, 2), """"))/$G17))"),-0.030686558721629096)</f>
        <v>-0.03068655872</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1937</v>
      </c>
      <c r="U17" s="10" t="s">
        <v>984</v>
      </c>
      <c r="V17" s="10" t="s">
        <v>985</v>
      </c>
      <c r="W17" s="10" t="s">
        <v>51</v>
      </c>
      <c r="X17" s="10" t="s">
        <v>984</v>
      </c>
    </row>
    <row r="18">
      <c r="A18" s="9">
        <f t="shared" si="1"/>
        <v>17</v>
      </c>
      <c r="B18" s="11">
        <v>46218.6674537037</v>
      </c>
      <c r="C18" s="10" t="s">
        <v>488</v>
      </c>
      <c r="D18" s="10" t="s">
        <v>36</v>
      </c>
      <c r="E18" s="10" t="s">
        <v>37</v>
      </c>
      <c r="F18" s="13">
        <v>2.0</v>
      </c>
      <c r="G18" s="14">
        <v>68.28</v>
      </c>
      <c r="H18" s="10" t="s">
        <v>1939</v>
      </c>
      <c r="I18" s="10">
        <v>96.5</v>
      </c>
      <c r="O18" s="15">
        <f>IFERROR(__xludf.DUMMYFUNCTION("IF(ISBLANK($C18), """", GOOGLEFINANCE($C18, ""price""))"),53.86)</f>
        <v>53.86</v>
      </c>
      <c r="P18" s="16">
        <f t="shared" si="2"/>
        <v>-0.2111892209</v>
      </c>
      <c r="Q18" s="16">
        <f>IFERROR(__xludf.DUMMYFUNCTION("IF(OR(ISBLANK($G18), IFERROR(INDEX(GOOGLEFINANCE($C18, ""price"", WORKDAY(INT($B18), 1)), 2, 2), """")=""""), """", IF($D18=""LONG"", (IFERROR(INDEX(GOOGLEFINANCE($C18, ""price"", WORKDAY(INT($B18), 1)), 2, 2), """")-$G18)/$G18, ($G18-IFERROR(INDEX(GOOGLE"&amp;"FINANCE($C18, ""price"", WORKDAY(INT($B18), 1)), 2, 2), """"))/$G18))"),-0.07513181019332166)</f>
        <v>-0.07513181019</v>
      </c>
      <c r="R18" s="16">
        <f>IFERROR(__xludf.DUMMYFUNCTION("IF(OR(ISBLANK($G18), IFERROR(INDEX(GOOGLEFINANCE($C18, ""price"", WORKDAY(INT($B18), 5)), 2, 2), """")=""""), """", IF($D18=""LONG"", (IFERROR(INDEX(GOOGLEFINANCE($C18, ""price"", WORKDAY(INT($B18), 5)), 2, 2), """")-$G18)/$G18, ($G18-IFERROR(INDEX(GOOGLE"&amp;"FINANCE($C18, ""price"", WORKDAY(INT($B18), 5)), 2, 2), """"))/$G18))"),-0.14953134153485648)</f>
        <v>-0.1495313415</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1940</v>
      </c>
      <c r="U18" s="10" t="s">
        <v>492</v>
      </c>
      <c r="V18" s="10" t="s">
        <v>493</v>
      </c>
      <c r="W18" s="10" t="s">
        <v>51</v>
      </c>
      <c r="X18" s="10" t="s">
        <v>492</v>
      </c>
    </row>
    <row r="19">
      <c r="A19" s="9">
        <f t="shared" si="1"/>
        <v>18</v>
      </c>
      <c r="B19" s="11">
        <v>46218.66744212963</v>
      </c>
      <c r="C19" s="10" t="s">
        <v>129</v>
      </c>
      <c r="D19" s="10" t="s">
        <v>119</v>
      </c>
      <c r="E19" s="10" t="s">
        <v>120</v>
      </c>
      <c r="F19" s="13">
        <v>4.0</v>
      </c>
      <c r="G19" s="14">
        <v>57.25</v>
      </c>
      <c r="H19" s="10" t="s">
        <v>1941</v>
      </c>
      <c r="I19" s="10">
        <v>4.1</v>
      </c>
      <c r="O19" s="15">
        <f>IFERROR(__xludf.DUMMYFUNCTION("IF(ISBLANK($C19), """", GOOGLEFINANCE($C19, ""price""))"),62.75)</f>
        <v>62.75</v>
      </c>
      <c r="P19" s="16">
        <f t="shared" si="2"/>
        <v>-0.096069869</v>
      </c>
      <c r="Q19" s="16">
        <f>IFERROR(__xludf.DUMMYFUNCTION("IF(OR(ISBLANK($G19), IFERROR(INDEX(GOOGLEFINANCE($C19, ""price"", WORKDAY(INT($B19), 1)), 2, 2), """")=""""), """", IF($D19=""LONG"", (IFERROR(INDEX(GOOGLEFINANCE($C19, ""price"", WORKDAY(INT($B19), 1)), 2, 2), """")-$G19)/$G19, ($G19-IFERROR(INDEX(GOOGLE"&amp;"FINANCE($C19, ""price"", WORKDAY(INT($B19), 1)), 2, 2), """"))/$G19))"),0.012401746724890845)</f>
        <v>0.01240174672</v>
      </c>
      <c r="R19" s="16">
        <f>IFERROR(__xludf.DUMMYFUNCTION("IF(OR(ISBLANK($G19), IFERROR(INDEX(GOOGLEFINANCE($C19, ""price"", WORKDAY(INT($B19), 5)), 2, 2), """")=""""), """", IF($D19=""LONG"", (IFERROR(INDEX(GOOGLEFINANCE($C19, ""price"", WORKDAY(INT($B19), 5)), 2, 2), """")-$G19)/$G19, ($G19-IFERROR(INDEX(GOOGLE"&amp;"FINANCE($C19, ""price"", WORKDAY(INT($B19), 5)), 2, 2), """"))/$G19))"),0.011353711790392988)</f>
        <v>0.01135371179</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1943</v>
      </c>
      <c r="U19" s="10" t="s">
        <v>984</v>
      </c>
      <c r="V19" s="10" t="s">
        <v>985</v>
      </c>
      <c r="W19" s="10" t="s">
        <v>51</v>
      </c>
      <c r="X19" s="10" t="s">
        <v>984</v>
      </c>
    </row>
    <row r="20">
      <c r="A20" s="9">
        <f t="shared" si="1"/>
        <v>19</v>
      </c>
      <c r="B20" s="11">
        <v>46218.66744212963</v>
      </c>
      <c r="C20" s="10" t="s">
        <v>440</v>
      </c>
      <c r="D20" s="10" t="s">
        <v>36</v>
      </c>
      <c r="E20" s="10" t="s">
        <v>133</v>
      </c>
      <c r="F20" s="13">
        <v>2.0</v>
      </c>
      <c r="G20" s="14">
        <v>92.22</v>
      </c>
      <c r="H20" s="10" t="s">
        <v>1945</v>
      </c>
      <c r="I20" s="10">
        <v>90.1</v>
      </c>
      <c r="O20" s="15">
        <f>IFERROR(__xludf.DUMMYFUNCTION("IF(ISBLANK($C20), """", GOOGLEFINANCE($C20, ""price""))"),99.95)</f>
        <v>99.95</v>
      </c>
      <c r="P20" s="16">
        <f t="shared" si="2"/>
        <v>0.0838212969</v>
      </c>
      <c r="Q20" s="16">
        <f>IFERROR(__xludf.DUMMYFUNCTION("IF(OR(ISBLANK($G20), IFERROR(INDEX(GOOGLEFINANCE($C20, ""price"", WORKDAY(INT($B20), 1)), 2, 2), """")=""""), """", IF($D20=""LONG"", (IFERROR(INDEX(GOOGLEFINANCE($C20, ""price"", WORKDAY(INT($B20), 1)), 2, 2), """")-$G20)/$G20, ($G20-IFERROR(INDEX(GOOGLE"&amp;"FINANCE($C20, ""price"", WORKDAY(INT($B20), 1)), 2, 2), """"))/$G20))"),0.01604857948384303)</f>
        <v>0.01604857948</v>
      </c>
      <c r="R20" s="16">
        <f>IFERROR(__xludf.DUMMYFUNCTION("IF(OR(ISBLANK($G20), IFERROR(INDEX(GOOGLEFINANCE($C20, ""price"", WORKDAY(INT($B20), 5)), 2, 2), """")=""""), """", IF($D20=""LONG"", (IFERROR(INDEX(GOOGLEFINANCE($C20, ""price"", WORKDAY(INT($B20), 5)), 2, 2), """")-$G20)/$G20, ($G20-IFERROR(INDEX(GOOGLE"&amp;"FINANCE($C20, ""price"", WORKDAY(INT($B20), 5)), 2, 2), """"))/$G20))"),0.011385816525699383)</f>
        <v>0.01138581653</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1947</v>
      </c>
      <c r="U20" s="10" t="s">
        <v>492</v>
      </c>
      <c r="V20" s="10" t="s">
        <v>493</v>
      </c>
      <c r="W20" s="10" t="s">
        <v>51</v>
      </c>
      <c r="X20" s="10" t="s">
        <v>492</v>
      </c>
    </row>
    <row r="21">
      <c r="A21" s="9">
        <f t="shared" si="1"/>
        <v>20</v>
      </c>
      <c r="B21" s="11">
        <v>46218.66740740741</v>
      </c>
      <c r="C21" s="10" t="s">
        <v>431</v>
      </c>
      <c r="D21" s="10" t="s">
        <v>119</v>
      </c>
      <c r="E21" s="10" t="s">
        <v>120</v>
      </c>
      <c r="F21" s="13">
        <v>4.0</v>
      </c>
      <c r="G21" s="14">
        <v>144.5</v>
      </c>
      <c r="H21" s="10" t="s">
        <v>1949</v>
      </c>
      <c r="I21" s="10">
        <v>5.7</v>
      </c>
      <c r="O21" s="15">
        <f>IFERROR(__xludf.DUMMYFUNCTION("IF(ISBLANK($C21), """", GOOGLEFINANCE($C21, ""price""))"),154.84)</f>
        <v>154.84</v>
      </c>
      <c r="P21" s="16">
        <f t="shared" si="2"/>
        <v>-0.07155709343</v>
      </c>
      <c r="Q21" s="16">
        <f>IFERROR(__xludf.DUMMYFUNCTION("IF(OR(ISBLANK($G21), IFERROR(INDEX(GOOGLEFINANCE($C21, ""price"", WORKDAY(INT($B21), 1)), 2, 2), """")=""""), """", IF($D21=""LONG"", (IFERROR(INDEX(GOOGLEFINANCE($C21, ""price"", WORKDAY(INT($B21), 1)), 2, 2), """")-$G21)/$G21, ($G21-IFERROR(INDEX(GOOGLE"&amp;"FINANCE($C21, ""price"", WORKDAY(INT($B21), 1)), 2, 2), """"))/$G21))"),-0.010034602076124489)</f>
        <v>-0.01003460208</v>
      </c>
      <c r="R21" s="16">
        <f>IFERROR(__xludf.DUMMYFUNCTION("IF(OR(ISBLANK($G21), IFERROR(INDEX(GOOGLEFINANCE($C21, ""price"", WORKDAY(INT($B21), 5)), 2, 2), """")=""""), """", IF($D21=""LONG"", (IFERROR(INDEX(GOOGLEFINANCE($C21, ""price"", WORKDAY(INT($B21), 5)), 2, 2), """")-$G21)/$G21, ($G21-IFERROR(INDEX(GOOGLE"&amp;"FINANCE($C21, ""price"", WORKDAY(INT($B21), 5)), 2, 2), """"))/$G21))"),-0.06885813148788919)</f>
        <v>-0.06885813149</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1951</v>
      </c>
      <c r="U21" s="10" t="s">
        <v>984</v>
      </c>
      <c r="V21" s="10" t="s">
        <v>985</v>
      </c>
      <c r="W21" s="10" t="s">
        <v>51</v>
      </c>
      <c r="X21" s="10" t="s">
        <v>984</v>
      </c>
    </row>
    <row r="22">
      <c r="A22" s="9">
        <f t="shared" si="1"/>
        <v>21</v>
      </c>
      <c r="B22" s="11">
        <v>46218.66744212963</v>
      </c>
      <c r="C22" s="10" t="s">
        <v>464</v>
      </c>
      <c r="D22" s="10" t="s">
        <v>119</v>
      </c>
      <c r="E22" s="10" t="s">
        <v>120</v>
      </c>
      <c r="F22" s="13">
        <v>4.0</v>
      </c>
      <c r="G22" s="14">
        <v>270.57</v>
      </c>
      <c r="H22" s="10" t="s">
        <v>1952</v>
      </c>
      <c r="I22" s="10">
        <v>10.5</v>
      </c>
      <c r="O22" s="15">
        <f>IFERROR(__xludf.DUMMYFUNCTION("IF(ISBLANK($C22), """", GOOGLEFINANCE($C22, ""price""))"),292.53)</f>
        <v>292.53</v>
      </c>
      <c r="P22" s="16">
        <f t="shared" si="2"/>
        <v>-0.08116199135</v>
      </c>
      <c r="Q22" s="16">
        <f>IFERROR(__xludf.DUMMYFUNCTION("IF(OR(ISBLANK($G22), IFERROR(INDEX(GOOGLEFINANCE($C22, ""price"", WORKDAY(INT($B22), 1)), 2, 2), """")=""""), """", IF($D22=""LONG"", (IFERROR(INDEX(GOOGLEFINANCE($C22, ""price"", WORKDAY(INT($B22), 1)), 2, 2), """")-$G22)/$G22, ($G22-IFERROR(INDEX(GOOGLE"&amp;"FINANCE($C22, ""price"", WORKDAY(INT($B22), 1)), 2, 2), """"))/$G22))"),-0.017185940791662174)</f>
        <v>-0.01718594079</v>
      </c>
      <c r="R22" s="16">
        <f>IFERROR(__xludf.DUMMYFUNCTION("IF(OR(ISBLANK($G22), IFERROR(INDEX(GOOGLEFINANCE($C22, ""price"", WORKDAY(INT($B22), 5)), 2, 2), """")=""""), """", IF($D22=""LONG"", (IFERROR(INDEX(GOOGLEFINANCE($C22, ""price"", WORKDAY(INT($B22), 5)), 2, 2), """")-$G22)/$G22, ($G22-IFERROR(INDEX(GOOGLE"&amp;"FINANCE($C22, ""price"", WORKDAY(INT($B22), 5)), 2, 2), """"))/$G22))"),0.02949329193923945)</f>
        <v>0.02949329194</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1953</v>
      </c>
      <c r="U22" s="10" t="s">
        <v>984</v>
      </c>
      <c r="V22" s="10" t="s">
        <v>985</v>
      </c>
      <c r="W22" s="10" t="s">
        <v>51</v>
      </c>
      <c r="X22" s="10" t="s">
        <v>984</v>
      </c>
    </row>
    <row r="23">
      <c r="A23" s="9">
        <f t="shared" si="1"/>
        <v>22</v>
      </c>
      <c r="B23" s="11">
        <v>46218.667395833334</v>
      </c>
      <c r="C23" s="10" t="s">
        <v>568</v>
      </c>
      <c r="D23" s="10" t="s">
        <v>119</v>
      </c>
      <c r="E23" s="10" t="s">
        <v>120</v>
      </c>
      <c r="F23" s="13">
        <v>4.0</v>
      </c>
      <c r="G23" s="14">
        <v>60.99</v>
      </c>
      <c r="H23" s="10" t="s">
        <v>1954</v>
      </c>
      <c r="I23" s="10">
        <v>8.7</v>
      </c>
      <c r="O23" s="15">
        <f>IFERROR(__xludf.DUMMYFUNCTION("IF(ISBLANK($C23), """", GOOGLEFINANCE($C23, ""price""))"),68.18)</f>
        <v>68.18</v>
      </c>
      <c r="P23" s="16">
        <f t="shared" si="2"/>
        <v>-0.1178881784</v>
      </c>
      <c r="Q23" s="16">
        <f>IFERROR(__xludf.DUMMYFUNCTION("IF(OR(ISBLANK($G23), IFERROR(INDEX(GOOGLEFINANCE($C23, ""price"", WORKDAY(INT($B23), 1)), 2, 2), """")=""""), """", IF($D23=""LONG"", (IFERROR(INDEX(GOOGLEFINANCE($C23, ""price"", WORKDAY(INT($B23), 1)), 2, 2), """")-$G23)/$G23, ($G23-IFERROR(INDEX(GOOGLE"&amp;"FINANCE($C23, ""price"", WORKDAY(INT($B23), 1)), 2, 2), """"))/$G23))"),0.039842597147073285)</f>
        <v>0.03984259715</v>
      </c>
      <c r="R23" s="16">
        <f>IFERROR(__xludf.DUMMYFUNCTION("IF(OR(ISBLANK($G23), IFERROR(INDEX(GOOGLEFINANCE($C23, ""price"", WORKDAY(INT($B23), 5)), 2, 2), """")=""""), """", IF($D23=""LONG"", (IFERROR(INDEX(GOOGLEFINANCE($C23, ""price"", WORKDAY(INT($B23), 5)), 2, 2), """")-$G23)/$G23, ($G23-IFERROR(INDEX(GOOGLE"&amp;"FINANCE($C23, ""price"", WORKDAY(INT($B23), 5)), 2, 2), """"))/$G23))"),-0.06574848335792749)</f>
        <v>-0.06574848336</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1956</v>
      </c>
      <c r="U23" s="10" t="s">
        <v>492</v>
      </c>
      <c r="V23" s="10" t="s">
        <v>493</v>
      </c>
      <c r="W23" s="10" t="s">
        <v>51</v>
      </c>
      <c r="X23" s="10" t="s">
        <v>492</v>
      </c>
    </row>
    <row r="24">
      <c r="A24" s="9">
        <f t="shared" si="1"/>
        <v>23</v>
      </c>
      <c r="B24" s="11">
        <v>46218.66743055556</v>
      </c>
      <c r="C24" s="10" t="s">
        <v>471</v>
      </c>
      <c r="D24" s="10" t="s">
        <v>36</v>
      </c>
      <c r="E24" s="10" t="s">
        <v>37</v>
      </c>
      <c r="F24" s="13">
        <v>2.0</v>
      </c>
      <c r="G24" s="14">
        <v>365.64</v>
      </c>
      <c r="H24" s="10" t="s">
        <v>1958</v>
      </c>
      <c r="I24" s="10">
        <v>95.8</v>
      </c>
      <c r="O24" s="15">
        <f>IFERROR(__xludf.DUMMYFUNCTION("IF(ISBLANK($C24), """", GOOGLEFINANCE($C24, ""price""))"),386.92)</f>
        <v>386.92</v>
      </c>
      <c r="P24" s="16">
        <f t="shared" si="2"/>
        <v>0.05819932174</v>
      </c>
      <c r="Q24" s="16">
        <f>IFERROR(__xludf.DUMMYFUNCTION("IF(OR(ISBLANK($G24), IFERROR(INDEX(GOOGLEFINANCE($C24, ""price"", WORKDAY(INT($B24), 1)), 2, 2), """")=""""), """", IF($D24=""LONG"", (IFERROR(INDEX(GOOGLEFINANCE($C24, ""price"", WORKDAY(INT($B24), 1)), 2, 2), """")-$G24)/$G24, ($G24-IFERROR(INDEX(GOOGLE"&amp;"FINANCE($C24, ""price"", WORKDAY(INT($B24), 1)), 2, 2), """"))/$G24))"),0.008697079094191026)</f>
        <v>0.008697079094</v>
      </c>
      <c r="R24" s="16">
        <f>IFERROR(__xludf.DUMMYFUNCTION("IF(OR(ISBLANK($G24), IFERROR(INDEX(GOOGLEFINANCE($C24, ""price"", WORKDAY(INT($B24), 5)), 2, 2), """")=""""), """", IF($D24=""LONG"", (IFERROR(INDEX(GOOGLEFINANCE($C24, ""price"", WORKDAY(INT($B24), 5)), 2, 2), """")-$G24)/$G24, ($G24-IFERROR(INDEX(GOOGLE"&amp;"FINANCE($C24, ""price"", WORKDAY(INT($B24), 5)), 2, 2), """"))/$G24))"),0.020566677606388903)</f>
        <v>0.02056667761</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1959</v>
      </c>
      <c r="U24" s="10" t="s">
        <v>984</v>
      </c>
      <c r="V24" s="10" t="s">
        <v>1880</v>
      </c>
      <c r="W24" s="10" t="s">
        <v>51</v>
      </c>
      <c r="X24" s="10" t="s">
        <v>984</v>
      </c>
    </row>
    <row r="25">
      <c r="A25" s="9">
        <f t="shared" si="1"/>
        <v>24</v>
      </c>
      <c r="B25" s="11">
        <v>46218.66743055556</v>
      </c>
      <c r="C25" s="10" t="s">
        <v>1960</v>
      </c>
      <c r="D25" s="10" t="s">
        <v>36</v>
      </c>
      <c r="E25" s="10" t="s">
        <v>133</v>
      </c>
      <c r="F25" s="13">
        <v>2.0</v>
      </c>
      <c r="G25" s="14">
        <v>176.26</v>
      </c>
      <c r="H25" s="10" t="s">
        <v>1961</v>
      </c>
      <c r="I25" s="10">
        <v>99.1</v>
      </c>
      <c r="O25" s="15">
        <f>IFERROR(__xludf.DUMMYFUNCTION("IF(ISBLANK($C25), """", GOOGLEFINANCE($C25, ""price""))"),193.29)</f>
        <v>193.29</v>
      </c>
      <c r="P25" s="16">
        <f t="shared" si="2"/>
        <v>0.09661863157</v>
      </c>
      <c r="Q25" s="16">
        <f>IFERROR(__xludf.DUMMYFUNCTION("IF(OR(ISBLANK($G25), IFERROR(INDEX(GOOGLEFINANCE($C25, ""price"", WORKDAY(INT($B25), 1)), 2, 2), """")=""""), """", IF($D25=""LONG"", (IFERROR(INDEX(GOOGLEFINANCE($C25, ""price"", WORKDAY(INT($B25), 1)), 2, 2), """")-$G25)/$G25, ($G25-IFERROR(INDEX(GOOGLE"&amp;"FINANCE($C25, ""price"", WORKDAY(INT($B25), 1)), 2, 2), """"))/$G25))"),0.03341654374219911)</f>
        <v>0.03341654374</v>
      </c>
      <c r="R25" s="16">
        <f>IFERROR(__xludf.DUMMYFUNCTION("IF(OR(ISBLANK($G25), IFERROR(INDEX(GOOGLEFINANCE($C25, ""price"", WORKDAY(INT($B25), 5)), 2, 2), """")=""""), """", IF($D25=""LONG"", (IFERROR(INDEX(GOOGLEFINANCE($C25, ""price"", WORKDAY(INT($B25), 5)), 2, 2), """")-$G25)/$G25, ($G25-IFERROR(INDEX(GOOGLE"&amp;"FINANCE($C25, ""price"", WORKDAY(INT($B25), 5)), 2, 2), """"))/$G25))"),-0.0015318279813910237)</f>
        <v>-0.001531827981</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1963</v>
      </c>
      <c r="U25" s="10" t="s">
        <v>492</v>
      </c>
      <c r="V25" s="10" t="s">
        <v>493</v>
      </c>
      <c r="W25" s="10" t="s">
        <v>51</v>
      </c>
      <c r="X25" s="10" t="s">
        <v>492</v>
      </c>
    </row>
    <row r="26">
      <c r="A26" s="9">
        <f t="shared" si="1"/>
        <v>25</v>
      </c>
      <c r="B26" s="11">
        <v>46218.66784722222</v>
      </c>
      <c r="C26" s="10" t="s">
        <v>323</v>
      </c>
      <c r="D26" s="10" t="s">
        <v>36</v>
      </c>
      <c r="E26" s="10" t="s">
        <v>37</v>
      </c>
      <c r="F26" s="13">
        <v>2.0</v>
      </c>
      <c r="G26" s="14">
        <v>207.25</v>
      </c>
      <c r="H26" s="10" t="s">
        <v>1965</v>
      </c>
      <c r="I26" s="10">
        <v>80.6</v>
      </c>
      <c r="O26" s="15">
        <f>IFERROR(__xludf.DUMMYFUNCTION("IF(ISBLANK($C26), """", GOOGLEFINANCE($C26, ""price""))"),209.7)</f>
        <v>209.7</v>
      </c>
      <c r="P26" s="16">
        <f t="shared" si="2"/>
        <v>0.01182147165</v>
      </c>
      <c r="Q26" s="16">
        <f>IFERROR(__xludf.DUMMYFUNCTION("IF(OR(ISBLANK($G26), IFERROR(INDEX(GOOGLEFINANCE($C26, ""price"", WORKDAY(INT($B26), 1)), 2, 2), """")=""""), """", IF($D26=""LONG"", (IFERROR(INDEX(GOOGLEFINANCE($C26, ""price"", WORKDAY(INT($B26), 1)), 2, 2), """")-$G26)/$G26, ($G26-IFERROR(INDEX(GOOGLE"&amp;"FINANCE($C26, ""price"", WORKDAY(INT($B26), 1)), 2, 2), """"))/$G26))"),0.002846803377563346)</f>
        <v>0.002846803378</v>
      </c>
      <c r="R26" s="16">
        <f>IFERROR(__xludf.DUMMYFUNCTION("IF(OR(ISBLANK($G26), IFERROR(INDEX(GOOGLEFINANCE($C26, ""price"", WORKDAY(INT($B26), 5)), 2, 2), """")=""""), """", IF($D26=""LONG"", (IFERROR(INDEX(GOOGLEFINANCE($C26, ""price"", WORKDAY(INT($B26), 5)), 2, 2), """")-$G26)/$G26, ($G26-IFERROR(INDEX(GOOGLE"&amp;"FINANCE($C26, ""price"", WORKDAY(INT($B26), 5)), 2, 2), """"))/$G26))"),0.00820265379975869)</f>
        <v>0.0082026538</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1966</v>
      </c>
      <c r="U26" s="10" t="s">
        <v>984</v>
      </c>
      <c r="V26" s="10" t="s">
        <v>985</v>
      </c>
      <c r="W26" s="10" t="s">
        <v>51</v>
      </c>
      <c r="X26" s="10" t="s">
        <v>984</v>
      </c>
    </row>
    <row r="27">
      <c r="A27" s="9">
        <f t="shared" si="1"/>
        <v>26</v>
      </c>
      <c r="B27" s="11">
        <v>46218.66744212963</v>
      </c>
      <c r="C27" s="10" t="s">
        <v>372</v>
      </c>
      <c r="D27" s="10" t="s">
        <v>119</v>
      </c>
      <c r="E27" s="10" t="s">
        <v>120</v>
      </c>
      <c r="F27" s="13">
        <v>4.0</v>
      </c>
      <c r="G27" s="14">
        <v>140.23</v>
      </c>
      <c r="H27" s="10" t="s">
        <v>1967</v>
      </c>
      <c r="I27" s="10">
        <v>50.0</v>
      </c>
      <c r="O27" s="15">
        <f>IFERROR(__xludf.DUMMYFUNCTION("IF(ISBLANK($C27), """", GOOGLEFINANCE($C27, ""price""))"),133.37)</f>
        <v>133.37</v>
      </c>
      <c r="P27" s="16">
        <f t="shared" si="2"/>
        <v>0.04891963203</v>
      </c>
      <c r="Q27" s="16">
        <f>IFERROR(__xludf.DUMMYFUNCTION("IF(OR(ISBLANK($G27), IFERROR(INDEX(GOOGLEFINANCE($C27, ""price"", WORKDAY(INT($B27), 1)), 2, 2), """")=""""), """", IF($D27=""LONG"", (IFERROR(INDEX(GOOGLEFINANCE($C27, ""price"", WORKDAY(INT($B27), 1)), 2, 2), """")-$G27)/$G27, ($G27-IFERROR(INDEX(GOOGLE"&amp;"FINANCE($C27, ""price"", WORKDAY(INT($B27), 1)), 2, 2), """"))/$G27))"),0.033944234471938894)</f>
        <v>0.03394423447</v>
      </c>
      <c r="R27" s="16">
        <f>IFERROR(__xludf.DUMMYFUNCTION("IF(OR(ISBLANK($G27), IFERROR(INDEX(GOOGLEFINANCE($C27, ""price"", WORKDAY(INT($B27), 5)), 2, 2), """")=""""), """", IF($D27=""LONG"", (IFERROR(INDEX(GOOGLEFINANCE($C27, ""price"", WORKDAY(INT($B27), 5)), 2, 2), """")-$G27)/$G27, ($G27-IFERROR(INDEX(GOOGLE"&amp;"FINANCE($C27, ""price"", WORKDAY(INT($B27), 5)), 2, 2), """"))/$G27))"),0.01062540112672025)</f>
        <v>0.01062540113</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1969</v>
      </c>
      <c r="U27" s="10" t="s">
        <v>492</v>
      </c>
      <c r="V27" s="10" t="s">
        <v>493</v>
      </c>
      <c r="W27" s="10" t="s">
        <v>51</v>
      </c>
      <c r="X27" s="10" t="s">
        <v>492</v>
      </c>
    </row>
    <row r="28">
      <c r="A28" s="9">
        <f t="shared" si="1"/>
        <v>27</v>
      </c>
      <c r="B28" s="11">
        <v>46218.667858796296</v>
      </c>
      <c r="C28" s="10" t="s">
        <v>707</v>
      </c>
      <c r="D28" s="10" t="s">
        <v>36</v>
      </c>
      <c r="E28" s="10" t="s">
        <v>37</v>
      </c>
      <c r="F28" s="13">
        <v>2.0</v>
      </c>
      <c r="G28" s="14">
        <v>110.28</v>
      </c>
      <c r="H28" s="10" t="s">
        <v>1970</v>
      </c>
      <c r="I28" s="10">
        <v>95.7</v>
      </c>
      <c r="O28" s="15">
        <f>IFERROR(__xludf.DUMMYFUNCTION("IF(ISBLANK($C28), """", GOOGLEFINANCE($C28, ""price""))"),108.95)</f>
        <v>108.95</v>
      </c>
      <c r="P28" s="16">
        <f t="shared" si="2"/>
        <v>-0.01206021037</v>
      </c>
      <c r="Q28" s="16">
        <f>IFERROR(__xludf.DUMMYFUNCTION("IF(OR(ISBLANK($G28), IFERROR(INDEX(GOOGLEFINANCE($C28, ""price"", WORKDAY(INT($B28), 1)), 2, 2), """")=""""), """", IF($D28=""LONG"", (IFERROR(INDEX(GOOGLEFINANCE($C28, ""price"", WORKDAY(INT($B28), 1)), 2, 2), """")-$G28)/$G28, ($G28-IFERROR(INDEX(GOOGLE"&amp;"FINANCE($C28, ""price"", WORKDAY(INT($B28), 1)), 2, 2), """"))/$G28))"),0.01913311570547696)</f>
        <v>0.01913311571</v>
      </c>
      <c r="R28" s="16">
        <f>IFERROR(__xludf.DUMMYFUNCTION("IF(OR(ISBLANK($G28), IFERROR(INDEX(GOOGLEFINANCE($C28, ""price"", WORKDAY(INT($B28), 5)), 2, 2), """")=""""), """", IF($D28=""LONG"", (IFERROR(INDEX(GOOGLEFINANCE($C28, ""price"", WORKDAY(INT($B28), 5)), 2, 2), """")-$G28)/$G28, ($G28-IFERROR(INDEX(GOOGLE"&amp;"FINANCE($C28, ""price"", WORKDAY(INT($B28), 5)), 2, 2), """"))/$G28))"),0.016412767500906804)</f>
        <v>0.0164127675</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1972</v>
      </c>
      <c r="U28" s="10" t="s">
        <v>492</v>
      </c>
      <c r="V28" s="10" t="s">
        <v>493</v>
      </c>
      <c r="W28" s="10" t="s">
        <v>51</v>
      </c>
      <c r="X28" s="10" t="s">
        <v>492</v>
      </c>
    </row>
    <row r="29">
      <c r="A29" s="9">
        <f t="shared" si="1"/>
        <v>28</v>
      </c>
      <c r="B29" s="11">
        <v>46218.66746527778</v>
      </c>
      <c r="C29" s="10" t="s">
        <v>918</v>
      </c>
      <c r="D29" s="10" t="s">
        <v>36</v>
      </c>
      <c r="E29" s="10" t="s">
        <v>37</v>
      </c>
      <c r="F29" s="13">
        <v>2.0</v>
      </c>
      <c r="G29" s="14">
        <v>329.23</v>
      </c>
      <c r="H29" s="10" t="s">
        <v>1973</v>
      </c>
      <c r="I29" s="10">
        <v>95.3</v>
      </c>
      <c r="O29" s="15">
        <f>IFERROR(__xludf.DUMMYFUNCTION("IF(ISBLANK($C29), """", GOOGLEFINANCE($C29, ""price""))"),386.0)</f>
        <v>386</v>
      </c>
      <c r="P29" s="16">
        <f t="shared" si="2"/>
        <v>0.1724326459</v>
      </c>
      <c r="Q29" s="16">
        <f>IFERROR(__xludf.DUMMYFUNCTION("IF(OR(ISBLANK($G29), IFERROR(INDEX(GOOGLEFINANCE($C29, ""price"", WORKDAY(INT($B29), 1)), 2, 2), """")=""""), """", IF($D29=""LONG"", (IFERROR(INDEX(GOOGLEFINANCE($C29, ""price"", WORKDAY(INT($B29), 1)), 2, 2), """")-$G29)/$G29, ($G29-IFERROR(INDEX(GOOGLE"&amp;"FINANCE($C29, ""price"", WORKDAY(INT($B29), 1)), 2, 2), """"))/$G29))"),0.026091182456033698)</f>
        <v>0.02609118246</v>
      </c>
      <c r="R29" s="16">
        <f>IFERROR(__xludf.DUMMYFUNCTION("IF(OR(ISBLANK($G29), IFERROR(INDEX(GOOGLEFINANCE($C29, ""price"", WORKDAY(INT($B29), 5)), 2, 2), """")=""""), """", IF($D29=""LONG"", (IFERROR(INDEX(GOOGLEFINANCE($C29, ""price"", WORKDAY(INT($B29), 5)), 2, 2), """")-$G29)/$G29, ($G29-IFERROR(INDEX(GOOGLE"&amp;"FINANCE($C29, ""price"", WORKDAY(INT($B29), 5)), 2, 2), """"))/$G29))"),0.13015217325274114)</f>
        <v>0.1301521733</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1975</v>
      </c>
      <c r="U29" s="10" t="s">
        <v>932</v>
      </c>
      <c r="V29" s="10" t="s">
        <v>933</v>
      </c>
      <c r="W29" s="10" t="s">
        <v>51</v>
      </c>
      <c r="X29" s="10" t="s">
        <v>932</v>
      </c>
    </row>
    <row r="30">
      <c r="A30" s="9">
        <f t="shared" si="1"/>
        <v>29</v>
      </c>
      <c r="B30" s="11">
        <v>46218.66746527778</v>
      </c>
      <c r="C30" s="10" t="s">
        <v>47</v>
      </c>
      <c r="D30" s="10" t="s">
        <v>36</v>
      </c>
      <c r="E30" s="10" t="s">
        <v>37</v>
      </c>
      <c r="F30" s="13">
        <v>2.0</v>
      </c>
      <c r="G30" s="14">
        <v>292.78</v>
      </c>
      <c r="H30" s="10" t="s">
        <v>1976</v>
      </c>
      <c r="I30" s="10">
        <v>95.8</v>
      </c>
      <c r="O30" s="15">
        <f>IFERROR(__xludf.DUMMYFUNCTION("IF(ISBLANK($C30), """", GOOGLEFINANCE($C30, ""price""))"),285.12)</f>
        <v>285.12</v>
      </c>
      <c r="P30" s="16">
        <f t="shared" si="2"/>
        <v>-0.02616298928</v>
      </c>
      <c r="Q30" s="16">
        <f>IFERROR(__xludf.DUMMYFUNCTION("IF(OR(ISBLANK($G30), IFERROR(INDEX(GOOGLEFINANCE($C30, ""price"", WORKDAY(INT($B30), 1)), 2, 2), """")=""""), """", IF($D30=""LONG"", (IFERROR(INDEX(GOOGLEFINANCE($C30, ""price"", WORKDAY(INT($B30), 1)), 2, 2), """")-$G30)/$G30, ($G30-IFERROR(INDEX(GOOGLE"&amp;"FINANCE($C30, ""price"", WORKDAY(INT($B30), 1)), 2, 2), """"))/$G30))"),0.015848077054443757)</f>
        <v>0.01584807705</v>
      </c>
      <c r="R30" s="16">
        <f>IFERROR(__xludf.DUMMYFUNCTION("IF(OR(ISBLANK($G30), IFERROR(INDEX(GOOGLEFINANCE($C30, ""price"", WORKDAY(INT($B30), 5)), 2, 2), """")=""""), """", IF($D30=""LONG"", (IFERROR(INDEX(GOOGLEFINANCE($C30, ""price"", WORKDAY(INT($B30), 5)), 2, 2), """")-$G30)/$G30, ($G30-IFERROR(INDEX(GOOGLE"&amp;"FINANCE($C30, ""price"", WORKDAY(INT($B30), 5)), 2, 2), """"))/$G30))"),9.905048159027955E-4)</f>
        <v>0.0009905048159</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1979</v>
      </c>
      <c r="U30" s="10" t="s">
        <v>492</v>
      </c>
      <c r="V30" s="10" t="s">
        <v>493</v>
      </c>
      <c r="W30" s="10" t="s">
        <v>51</v>
      </c>
      <c r="X30" s="10" t="s">
        <v>492</v>
      </c>
    </row>
    <row r="31">
      <c r="A31" s="9">
        <f t="shared" si="1"/>
        <v>30</v>
      </c>
      <c r="B31" s="11">
        <v>46218.667395833334</v>
      </c>
      <c r="C31" s="10" t="s">
        <v>1154</v>
      </c>
      <c r="D31" s="10" t="s">
        <v>36</v>
      </c>
      <c r="E31" s="10" t="s">
        <v>37</v>
      </c>
      <c r="F31" s="13">
        <v>2.0</v>
      </c>
      <c r="G31" s="14">
        <v>1315.93</v>
      </c>
      <c r="H31" s="10" t="s">
        <v>1980</v>
      </c>
      <c r="I31" s="10">
        <v>94.4</v>
      </c>
      <c r="O31" s="15">
        <f>IFERROR(__xludf.DUMMYFUNCTION("IF(ISBLANK($C31), """", GOOGLEFINANCE($C31, ""price""))"),1421.24)</f>
        <v>1421.24</v>
      </c>
      <c r="P31" s="16">
        <f t="shared" si="2"/>
        <v>0.08002705311</v>
      </c>
      <c r="Q31" s="16">
        <f>IFERROR(__xludf.DUMMYFUNCTION("IF(OR(ISBLANK($G31), IFERROR(INDEX(GOOGLEFINANCE($C31, ""price"", WORKDAY(INT($B31), 1)), 2, 2), """")=""""), """", IF($D31=""LONG"", (IFERROR(INDEX(GOOGLEFINANCE($C31, ""price"", WORKDAY(INT($B31), 1)), 2, 2), """")-$G31)/$G31, ($G31-IFERROR(INDEX(GOOGLE"&amp;"FINANCE($C31, ""price"", WORKDAY(INT($B31), 1)), 2, 2), """"))/$G31))"),0.014560044987195256)</f>
        <v>0.01456004499</v>
      </c>
      <c r="R31" s="16">
        <f>IFERROR(__xludf.DUMMYFUNCTION("IF(OR(ISBLANK($G31), IFERROR(INDEX(GOOGLEFINANCE($C31, ""price"", WORKDAY(INT($B31), 5)), 2, 2), """")=""""), """", IF($D31=""LONG"", (IFERROR(INDEX(GOOGLEFINANCE($C31, ""price"", WORKDAY(INT($B31), 5)), 2, 2), """")-$G31)/$G31, ($G31-IFERROR(INDEX(GOOGLE"&amp;"FINANCE($C31, ""price"", WORKDAY(INT($B31), 5)), 2, 2), """"))/$G31))"),-0.022820362785254514)</f>
        <v>-0.02282036279</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1982</v>
      </c>
      <c r="U31" s="10" t="s">
        <v>984</v>
      </c>
      <c r="V31" s="10" t="s">
        <v>1059</v>
      </c>
      <c r="W31" s="10" t="s">
        <v>51</v>
      </c>
      <c r="X31" s="10" t="s">
        <v>984</v>
      </c>
    </row>
    <row r="32">
      <c r="A32" s="9">
        <f t="shared" si="1"/>
        <v>31</v>
      </c>
      <c r="B32" s="11">
        <v>46218.66752314815</v>
      </c>
      <c r="C32" s="10" t="s">
        <v>594</v>
      </c>
      <c r="D32" s="10" t="s">
        <v>36</v>
      </c>
      <c r="E32" s="10" t="s">
        <v>37</v>
      </c>
      <c r="F32" s="13">
        <v>2.0</v>
      </c>
      <c r="G32" s="14">
        <v>76.78</v>
      </c>
      <c r="H32" s="10" t="s">
        <v>1983</v>
      </c>
      <c r="I32" s="10">
        <v>97.9</v>
      </c>
      <c r="O32" s="15">
        <f>IFERROR(__xludf.DUMMYFUNCTION("IF(ISBLANK($C32), """", GOOGLEFINANCE($C32, ""price""))"),79.97)</f>
        <v>79.97</v>
      </c>
      <c r="P32" s="16">
        <f t="shared" si="2"/>
        <v>0.04154727794</v>
      </c>
      <c r="Q32" s="16">
        <f>IFERROR(__xludf.DUMMYFUNCTION("IF(OR(ISBLANK($G32), IFERROR(INDEX(GOOGLEFINANCE($C32, ""price"", WORKDAY(INT($B32), 1)), 2, 2), """")=""""), """", IF($D32=""LONG"", (IFERROR(INDEX(GOOGLEFINANCE($C32, ""price"", WORKDAY(INT($B32), 1)), 2, 2), """")-$G32)/$G32, ($G32-IFERROR(INDEX(GOOGLE"&amp;"FINANCE($C32, ""price"", WORKDAY(INT($B32), 1)), 2, 2), """"))/$G32))"),0.016280281323261266)</f>
        <v>0.01628028132</v>
      </c>
      <c r="R32" s="16">
        <f>IFERROR(__xludf.DUMMYFUNCTION("IF(OR(ISBLANK($G32), IFERROR(INDEX(GOOGLEFINANCE($C32, ""price"", WORKDAY(INT($B32), 5)), 2, 2), """")=""""), """", IF($D32=""LONG"", (IFERROR(INDEX(GOOGLEFINANCE($C32, ""price"", WORKDAY(INT($B32), 5)), 2, 2), """")-$G32)/$G32, ($G32-IFERROR(INDEX(GOOGLE"&amp;"FINANCE($C32, ""price"", WORKDAY(INT($B32), 5)), 2, 2), """"))/$G32))"),0.019145610836155232)</f>
        <v>0.01914561084</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1985</v>
      </c>
      <c r="U32" s="10" t="s">
        <v>984</v>
      </c>
      <c r="V32" s="10" t="s">
        <v>985</v>
      </c>
      <c r="W32" s="10" t="s">
        <v>51</v>
      </c>
      <c r="X32" s="10" t="s">
        <v>984</v>
      </c>
    </row>
    <row r="33">
      <c r="A33" s="9">
        <f t="shared" si="1"/>
        <v>32</v>
      </c>
      <c r="B33" s="11">
        <v>46218.6675</v>
      </c>
      <c r="C33" s="10" t="s">
        <v>770</v>
      </c>
      <c r="D33" s="10" t="s">
        <v>36</v>
      </c>
      <c r="E33" s="10" t="s">
        <v>37</v>
      </c>
      <c r="F33" s="13">
        <v>2.0</v>
      </c>
      <c r="G33" s="14">
        <v>76.08</v>
      </c>
      <c r="H33" s="10" t="s">
        <v>1986</v>
      </c>
      <c r="I33" s="10">
        <v>93.0</v>
      </c>
      <c r="O33" s="15">
        <f>IFERROR(__xludf.DUMMYFUNCTION("IF(ISBLANK($C33), """", GOOGLEFINANCE($C33, ""price""))"),72.51)</f>
        <v>72.51</v>
      </c>
      <c r="P33" s="16">
        <f t="shared" si="2"/>
        <v>-0.04692429022</v>
      </c>
      <c r="Q33" s="16">
        <f>IFERROR(__xludf.DUMMYFUNCTION("IF(OR(ISBLANK($G33), IFERROR(INDEX(GOOGLEFINANCE($C33, ""price"", WORKDAY(INT($B33), 1)), 2, 2), """")=""""), """", IF($D33=""LONG"", (IFERROR(INDEX(GOOGLEFINANCE($C33, ""price"", WORKDAY(INT($B33), 1)), 2, 2), """")-$G33)/$G33, ($G33-IFERROR(INDEX(GOOGLE"&amp;"FINANCE($C33, ""price"", WORKDAY(INT($B33), 1)), 2, 2), """"))/$G33))"),0.02786540483701373)</f>
        <v>0.02786540484</v>
      </c>
      <c r="R33" s="16">
        <f>IFERROR(__xludf.DUMMYFUNCTION("IF(OR(ISBLANK($G33), IFERROR(INDEX(GOOGLEFINANCE($C33, ""price"", WORKDAY(INT($B33), 5)), 2, 2), """")=""""), """", IF($D33=""LONG"", (IFERROR(INDEX(GOOGLEFINANCE($C33, ""price"", WORKDAY(INT($B33), 5)), 2, 2), """")-$G33)/$G33, ($G33-IFERROR(INDEX(GOOGLE"&amp;"FINANCE($C33, ""price"", WORKDAY(INT($B33), 5)), 2, 2), """"))/$G33))"),-0.06637749737118818)</f>
        <v>-0.06637749737</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1988</v>
      </c>
      <c r="U33" s="10" t="s">
        <v>492</v>
      </c>
      <c r="V33" s="10" t="s">
        <v>493</v>
      </c>
      <c r="W33" s="10" t="s">
        <v>51</v>
      </c>
      <c r="X33" s="10" t="s">
        <v>492</v>
      </c>
    </row>
    <row r="34">
      <c r="A34" s="9">
        <f t="shared" si="1"/>
        <v>33</v>
      </c>
      <c r="B34" s="11">
        <v>46218.6674537037</v>
      </c>
      <c r="C34" s="10" t="s">
        <v>1989</v>
      </c>
      <c r="D34" s="10" t="s">
        <v>119</v>
      </c>
      <c r="E34" s="10" t="s">
        <v>120</v>
      </c>
      <c r="F34" s="13">
        <v>4.0</v>
      </c>
      <c r="G34" s="14">
        <v>80.5</v>
      </c>
      <c r="H34" s="10" t="s">
        <v>1990</v>
      </c>
      <c r="I34" s="10">
        <v>12.1</v>
      </c>
      <c r="O34" s="15">
        <f>IFERROR(__xludf.DUMMYFUNCTION("IF(ISBLANK($C34), """", GOOGLEFINANCE($C34, ""price""))"),91.69)</f>
        <v>91.69</v>
      </c>
      <c r="P34" s="16">
        <f t="shared" si="2"/>
        <v>-0.1390062112</v>
      </c>
      <c r="Q34" s="16">
        <f>IFERROR(__xludf.DUMMYFUNCTION("IF(OR(ISBLANK($G34), IFERROR(INDEX(GOOGLEFINANCE($C34, ""price"", WORKDAY(INT($B34), 1)), 2, 2), """")=""""), """", IF($D34=""LONG"", (IFERROR(INDEX(GOOGLEFINANCE($C34, ""price"", WORKDAY(INT($B34), 1)), 2, 2), """")-$G34)/$G34, ($G34-IFERROR(INDEX(GOOGLE"&amp;"FINANCE($C34, ""price"", WORKDAY(INT($B34), 1)), 2, 2), """"))/$G34))"),-0.0197515527950311)</f>
        <v>-0.0197515528</v>
      </c>
      <c r="R34" s="16">
        <f>IFERROR(__xludf.DUMMYFUNCTION("IF(OR(ISBLANK($G34), IFERROR(INDEX(GOOGLEFINANCE($C34, ""price"", WORKDAY(INT($B34), 5)), 2, 2), """")=""""), """", IF($D34=""LONG"", (IFERROR(INDEX(GOOGLEFINANCE($C34, ""price"", WORKDAY(INT($B34), 5)), 2, 2), """")-$G34)/$G34, ($G34-IFERROR(INDEX(GOOGLE"&amp;"FINANCE($C34, ""price"", WORKDAY(INT($B34), 5)), 2, 2), """"))/$G34))"),-0.1060869565217392)</f>
        <v>-0.1060869565</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1993</v>
      </c>
      <c r="U34" s="10" t="s">
        <v>984</v>
      </c>
      <c r="V34" s="10" t="s">
        <v>985</v>
      </c>
      <c r="W34" s="10" t="s">
        <v>51</v>
      </c>
      <c r="X34" s="10" t="s">
        <v>984</v>
      </c>
    </row>
    <row r="35">
      <c r="A35" s="9">
        <f t="shared" si="1"/>
        <v>34</v>
      </c>
      <c r="B35" s="11">
        <v>46218.6675</v>
      </c>
      <c r="C35" s="10" t="s">
        <v>86</v>
      </c>
      <c r="D35" s="10" t="s">
        <v>36</v>
      </c>
      <c r="E35" s="10" t="s">
        <v>37</v>
      </c>
      <c r="F35" s="13">
        <v>2.0</v>
      </c>
      <c r="G35" s="14">
        <v>79.14</v>
      </c>
      <c r="H35" s="10" t="s">
        <v>1994</v>
      </c>
      <c r="I35" s="10">
        <v>94.0</v>
      </c>
      <c r="O35" s="15">
        <f>IFERROR(__xludf.DUMMYFUNCTION("IF(ISBLANK($C35), """", GOOGLEFINANCE($C35, ""price""))"),88.24)</f>
        <v>88.24</v>
      </c>
      <c r="P35" s="16">
        <f t="shared" si="2"/>
        <v>0.1149861006</v>
      </c>
      <c r="Q35" s="16">
        <f>IFERROR(__xludf.DUMMYFUNCTION("IF(OR(ISBLANK($G35), IFERROR(INDEX(GOOGLEFINANCE($C35, ""price"", WORKDAY(INT($B35), 1)), 2, 2), """")=""""), """", IF($D35=""LONG"", (IFERROR(INDEX(GOOGLEFINANCE($C35, ""price"", WORKDAY(INT($B35), 1)), 2, 2), """")-$G35)/$G35, ($G35-IFERROR(INDEX(GOOGLE"&amp;"FINANCE($C35, ""price"", WORKDAY(INT($B35), 1)), 2, 2), """"))/$G35))"),0.0712661106899166)</f>
        <v>0.07126611069</v>
      </c>
      <c r="R35" s="16">
        <f>IFERROR(__xludf.DUMMYFUNCTION("IF(OR(ISBLANK($G35), IFERROR(INDEX(GOOGLEFINANCE($C35, ""price"", WORKDAY(INT($B35), 5)), 2, 2), """")=""""), """", IF($D35=""LONG"", (IFERROR(INDEX(GOOGLEFINANCE($C35, ""price"", WORKDAY(INT($B35), 5)), 2, 2), """")-$G35)/$G35, ($G35-IFERROR(INDEX(GOOGLE"&amp;"FINANCE($C35, ""price"", WORKDAY(INT($B35), 5)), 2, 2), """"))/$G35))"),0.05559767500631799)</f>
        <v>0.05559767501</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1997</v>
      </c>
      <c r="U35" s="10" t="s">
        <v>492</v>
      </c>
      <c r="V35" s="10" t="s">
        <v>493</v>
      </c>
      <c r="W35" s="10" t="s">
        <v>51</v>
      </c>
      <c r="X35" s="10" t="s">
        <v>492</v>
      </c>
    </row>
    <row r="36">
      <c r="A36" s="9">
        <f t="shared" si="1"/>
        <v>35</v>
      </c>
      <c r="B36" s="11">
        <v>46218.66751157407</v>
      </c>
      <c r="C36" s="10" t="s">
        <v>191</v>
      </c>
      <c r="D36" s="10" t="s">
        <v>36</v>
      </c>
      <c r="E36" s="10" t="s">
        <v>37</v>
      </c>
      <c r="F36" s="13">
        <v>2.0</v>
      </c>
      <c r="G36" s="14">
        <v>22.15</v>
      </c>
      <c r="H36" s="10" t="s">
        <v>1139</v>
      </c>
      <c r="I36" s="10">
        <v>96.7</v>
      </c>
      <c r="O36" s="15">
        <f>IFERROR(__xludf.DUMMYFUNCTION("IF(ISBLANK($C36), """", GOOGLEFINANCE($C36, ""price""))"),27.01)</f>
        <v>27.01</v>
      </c>
      <c r="P36" s="16">
        <f t="shared" si="2"/>
        <v>0.2194130926</v>
      </c>
      <c r="Q36" s="16">
        <f>IFERROR(__xludf.DUMMYFUNCTION("IF(OR(ISBLANK($G36), IFERROR(INDEX(GOOGLEFINANCE($C36, ""price"", WORKDAY(INT($B36), 1)), 2, 2), """")=""""), """", IF($D36=""LONG"", (IFERROR(INDEX(GOOGLEFINANCE($C36, ""price"", WORKDAY(INT($B36), 1)), 2, 2), """")-$G36)/$G36, ($G36-IFERROR(INDEX(GOOGLE"&amp;"FINANCE($C36, ""price"", WORKDAY(INT($B36), 1)), 2, 2), """"))/$G36))"),0.05417607223476311)</f>
        <v>0.05417607223</v>
      </c>
      <c r="R36" s="16">
        <f>IFERROR(__xludf.DUMMYFUNCTION("IF(OR(ISBLANK($G36), IFERROR(INDEX(GOOGLEFINANCE($C36, ""price"", WORKDAY(INT($B36), 5)), 2, 2), """")=""""), """", IF($D36=""LONG"", (IFERROR(INDEX(GOOGLEFINANCE($C36, ""price"", WORKDAY(INT($B36), 5)), 2, 2), """")-$G36)/$G36, ($G36-IFERROR(INDEX(GOOGLE"&amp;"FINANCE($C36, ""price"", WORKDAY(INT($B36), 5)), 2, 2), """"))/$G36))"),-0.018510158013544026)</f>
        <v>-0.01851015801</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1999</v>
      </c>
      <c r="U36" s="10" t="s">
        <v>984</v>
      </c>
      <c r="V36" s="10" t="s">
        <v>985</v>
      </c>
      <c r="W36" s="10" t="s">
        <v>51</v>
      </c>
      <c r="X36" s="10" t="s">
        <v>984</v>
      </c>
    </row>
    <row r="37">
      <c r="A37" s="9">
        <f t="shared" si="1"/>
        <v>36</v>
      </c>
      <c r="B37" s="11">
        <v>46218.66787037037</v>
      </c>
      <c r="C37" s="10" t="s">
        <v>170</v>
      </c>
      <c r="D37" s="10" t="s">
        <v>36</v>
      </c>
      <c r="E37" s="10" t="s">
        <v>37</v>
      </c>
      <c r="F37" s="13">
        <v>2.0</v>
      </c>
      <c r="G37" s="14">
        <v>70.95</v>
      </c>
      <c r="H37" s="10" t="s">
        <v>2000</v>
      </c>
      <c r="I37" s="10">
        <v>90.2</v>
      </c>
      <c r="O37" s="15">
        <f>IFERROR(__xludf.DUMMYFUNCTION("IF(ISBLANK($C37), """", GOOGLEFINANCE($C37, ""price""))"),66.8)</f>
        <v>66.8</v>
      </c>
      <c r="P37" s="16">
        <f t="shared" si="2"/>
        <v>-0.0584918957</v>
      </c>
      <c r="Q37" s="16">
        <f>IFERROR(__xludf.DUMMYFUNCTION("IF(OR(ISBLANK($G37), IFERROR(INDEX(GOOGLEFINANCE($C37, ""price"", WORKDAY(INT($B37), 1)), 2, 2), """")=""""), """", IF($D37=""LONG"", (IFERROR(INDEX(GOOGLEFINANCE($C37, ""price"", WORKDAY(INT($B37), 1)), 2, 2), """")-$G37)/$G37, ($G37-IFERROR(INDEX(GOOGLE"&amp;"FINANCE($C37, ""price"", WORKDAY(INT($B37), 1)), 2, 2), """"))/$G37))"),0.010429880197321986)</f>
        <v>0.0104298802</v>
      </c>
      <c r="R37" s="16">
        <f>IFERROR(__xludf.DUMMYFUNCTION("IF(OR(ISBLANK($G37), IFERROR(INDEX(GOOGLEFINANCE($C37, ""price"", WORKDAY(INT($B37), 5)), 2, 2), """")=""""), """", IF($D37=""LONG"", (IFERROR(INDEX(GOOGLEFINANCE($C37, ""price"", WORKDAY(INT($B37), 5)), 2, 2), """")-$G37)/$G37, ($G37-IFERROR(INDEX(GOOGLE"&amp;"FINANCE($C37, ""price"", WORKDAY(INT($B37), 5)), 2, 2), """"))/$G37))"),0.0019732205778717486)</f>
        <v>0.001973220578</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2002</v>
      </c>
      <c r="U37" s="10" t="s">
        <v>984</v>
      </c>
      <c r="V37" s="10" t="s">
        <v>1880</v>
      </c>
      <c r="W37" s="10" t="s">
        <v>51</v>
      </c>
      <c r="X37" s="10" t="s">
        <v>984</v>
      </c>
    </row>
    <row r="38">
      <c r="A38" s="9">
        <f t="shared" si="1"/>
        <v>37</v>
      </c>
      <c r="B38" s="11">
        <v>46218.66741898148</v>
      </c>
      <c r="C38" s="10" t="s">
        <v>149</v>
      </c>
      <c r="D38" s="10" t="s">
        <v>36</v>
      </c>
      <c r="E38" s="10" t="s">
        <v>37</v>
      </c>
      <c r="F38" s="13">
        <v>2.0</v>
      </c>
      <c r="G38" s="14">
        <v>121.03</v>
      </c>
      <c r="H38" s="10" t="s">
        <v>2003</v>
      </c>
      <c r="I38" s="10">
        <v>96.7</v>
      </c>
      <c r="O38" s="15">
        <f>IFERROR(__xludf.DUMMYFUNCTION("IF(ISBLANK($C38), """", GOOGLEFINANCE($C38, ""price""))"),132.79)</f>
        <v>132.79</v>
      </c>
      <c r="P38" s="16">
        <f t="shared" si="2"/>
        <v>0.0971659919</v>
      </c>
      <c r="Q38" s="16">
        <f>IFERROR(__xludf.DUMMYFUNCTION("IF(OR(ISBLANK($G38), IFERROR(INDEX(GOOGLEFINANCE($C38, ""price"", WORKDAY(INT($B38), 1)), 2, 2), """")=""""), """", IF($D38=""LONG"", (IFERROR(INDEX(GOOGLEFINANCE($C38, ""price"", WORKDAY(INT($B38), 1)), 2, 2), """")-$G38)/$G38, ($G38-IFERROR(INDEX(GOOGLE"&amp;"FINANCE($C38, ""price"", WORKDAY(INT($B38), 1)), 2, 2), """"))/$G38))"),0.03825497810460213)</f>
        <v>0.0382549781</v>
      </c>
      <c r="R38" s="16">
        <f>IFERROR(__xludf.DUMMYFUNCTION("IF(OR(ISBLANK($G38), IFERROR(INDEX(GOOGLEFINANCE($C38, ""price"", WORKDAY(INT($B38), 5)), 2, 2), """")=""""), """", IF($D38=""LONG"", (IFERROR(INDEX(GOOGLEFINANCE($C38, ""price"", WORKDAY(INT($B38), 5)), 2, 2), """")-$G38)/$G38, ($G38-IFERROR(INDEX(GOOGLE"&amp;"FINANCE($C38, ""price"", WORKDAY(INT($B38), 5)), 2, 2), """"))/$G38))"),-0.0054531934231182065)</f>
        <v>-0.005453193423</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2006</v>
      </c>
      <c r="U38" s="10" t="s">
        <v>492</v>
      </c>
      <c r="V38" s="10" t="s">
        <v>493</v>
      </c>
      <c r="W38" s="10" t="s">
        <v>51</v>
      </c>
      <c r="X38" s="10" t="s">
        <v>492</v>
      </c>
    </row>
    <row r="39">
      <c r="A39" s="9">
        <f t="shared" si="1"/>
        <v>38</v>
      </c>
      <c r="B39" s="11">
        <v>46218.66753472222</v>
      </c>
      <c r="C39" s="10" t="s">
        <v>197</v>
      </c>
      <c r="D39" s="10" t="s">
        <v>36</v>
      </c>
      <c r="E39" s="10" t="s">
        <v>37</v>
      </c>
      <c r="F39" s="13">
        <v>2.0</v>
      </c>
      <c r="G39" s="14">
        <v>201.89</v>
      </c>
      <c r="H39" s="10" t="s">
        <v>2007</v>
      </c>
      <c r="I39" s="10">
        <v>94.2</v>
      </c>
      <c r="O39" s="15">
        <f>IFERROR(__xludf.DUMMYFUNCTION("IF(ISBLANK($C39), """", GOOGLEFINANCE($C39, ""price""))"),238.5)</f>
        <v>238.5</v>
      </c>
      <c r="P39" s="16">
        <f t="shared" si="2"/>
        <v>0.1813363713</v>
      </c>
      <c r="Q39" s="16">
        <f>IFERROR(__xludf.DUMMYFUNCTION("IF(OR(ISBLANK($G39), IFERROR(INDEX(GOOGLEFINANCE($C39, ""price"", WORKDAY(INT($B39), 1)), 2, 2), """")=""""), """", IF($D39=""LONG"", (IFERROR(INDEX(GOOGLEFINANCE($C39, ""price"", WORKDAY(INT($B39), 1)), 2, 2), """")-$G39)/$G39, ($G39-IFERROR(INDEX(GOOGLE"&amp;"FINANCE($C39, ""price"", WORKDAY(INT($B39), 1)), 2, 2), """"))/$G39))"),0.03724800634008624)</f>
        <v>0.03724800634</v>
      </c>
      <c r="R39" s="16">
        <f>IFERROR(__xludf.DUMMYFUNCTION("IF(OR(ISBLANK($G39), IFERROR(INDEX(GOOGLEFINANCE($C39, ""price"", WORKDAY(INT($B39), 5)), 2, 2), """")=""""), """", IF($D39=""LONG"", (IFERROR(INDEX(GOOGLEFINANCE($C39, ""price"", WORKDAY(INT($B39), 5)), 2, 2), """")-$G39)/$G39, ($G39-IFERROR(INDEX(GOOGLE"&amp;"FINANCE($C39, ""price"", WORKDAY(INT($B39), 5)), 2, 2), """"))/$G39))"),0.03932834711971879)</f>
        <v>0.03932834712</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2009</v>
      </c>
      <c r="U39" s="10" t="s">
        <v>984</v>
      </c>
      <c r="V39" s="10" t="s">
        <v>985</v>
      </c>
      <c r="W39" s="10" t="s">
        <v>51</v>
      </c>
      <c r="X39" s="10" t="s">
        <v>984</v>
      </c>
    </row>
    <row r="40">
      <c r="A40" s="9">
        <f t="shared" si="1"/>
        <v>39</v>
      </c>
      <c r="B40" s="11">
        <v>46218.66756944444</v>
      </c>
      <c r="C40" s="10" t="s">
        <v>1022</v>
      </c>
      <c r="D40" s="10" t="s">
        <v>119</v>
      </c>
      <c r="E40" s="10" t="s">
        <v>120</v>
      </c>
      <c r="F40" s="13">
        <v>4.0</v>
      </c>
      <c r="G40" s="14">
        <v>35.24</v>
      </c>
      <c r="H40" s="10" t="s">
        <v>2011</v>
      </c>
      <c r="I40" s="10">
        <v>1.0</v>
      </c>
      <c r="O40" s="15">
        <f>IFERROR(__xludf.DUMMYFUNCTION("IF(ISBLANK($C40), """", GOOGLEFINANCE($C40, ""price""))"),32.51)</f>
        <v>32.51</v>
      </c>
      <c r="P40" s="16">
        <f t="shared" si="2"/>
        <v>0.07746878547</v>
      </c>
      <c r="Q40" s="16">
        <f>IFERROR(__xludf.DUMMYFUNCTION("IF(OR(ISBLANK($G40), IFERROR(INDEX(GOOGLEFINANCE($C40, ""price"", WORKDAY(INT($B40), 1)), 2, 2), """")=""""), """", IF($D40=""LONG"", (IFERROR(INDEX(GOOGLEFINANCE($C40, ""price"", WORKDAY(INT($B40), 1)), 2, 2), """")-$G40)/$G40, ($G40-IFERROR(INDEX(GOOGLE"&amp;"FINANCE($C40, ""price"", WORKDAY(INT($B40), 1)), 2, 2), """"))/$G40))"),0.005675368898978514)</f>
        <v>0.005675368899</v>
      </c>
      <c r="R40" s="16">
        <f>IFERROR(__xludf.DUMMYFUNCTION("IF(OR(ISBLANK($G40), IFERROR(INDEX(GOOGLEFINANCE($C40, ""price"", WORKDAY(INT($B40), 5)), 2, 2), """")=""""), """", IF($D40=""LONG"", (IFERROR(INDEX(GOOGLEFINANCE($C40, ""price"", WORKDAY(INT($B40), 5)), 2, 2), """")-$G40)/$G40, ($G40-IFERROR(INDEX(GOOGLE"&amp;"FINANCE($C40, ""price"", WORKDAY(INT($B40), 5)), 2, 2), """"))/$G40))"),0.06271282633371171)</f>
        <v>0.06271282633</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2013</v>
      </c>
      <c r="U40" s="10" t="s">
        <v>492</v>
      </c>
      <c r="V40" s="10" t="s">
        <v>493</v>
      </c>
      <c r="W40" s="10" t="s">
        <v>51</v>
      </c>
      <c r="X40" s="10" t="s">
        <v>492</v>
      </c>
    </row>
    <row r="41">
      <c r="A41" s="9">
        <f t="shared" si="1"/>
        <v>40</v>
      </c>
      <c r="B41" s="11">
        <v>46218.6675</v>
      </c>
      <c r="C41" s="10" t="s">
        <v>310</v>
      </c>
      <c r="D41" s="10" t="s">
        <v>36</v>
      </c>
      <c r="E41" s="10" t="s">
        <v>37</v>
      </c>
      <c r="F41" s="13">
        <v>2.0</v>
      </c>
      <c r="G41" s="14">
        <v>206.82</v>
      </c>
      <c r="H41" s="10" t="s">
        <v>2014</v>
      </c>
      <c r="I41" s="10">
        <v>92.5</v>
      </c>
      <c r="O41" s="15">
        <f>IFERROR(__xludf.DUMMYFUNCTION("IF(ISBLANK($C41), """", GOOGLEFINANCE($C41, ""price""))"),232.43)</f>
        <v>232.43</v>
      </c>
      <c r="P41" s="16">
        <f t="shared" si="2"/>
        <v>0.1238274828</v>
      </c>
      <c r="Q41" s="16">
        <f>IFERROR(__xludf.DUMMYFUNCTION("IF(OR(ISBLANK($G41), IFERROR(INDEX(GOOGLEFINANCE($C41, ""price"", WORKDAY(INT($B41), 1)), 2, 2), """")=""""), """", IF($D41=""LONG"", (IFERROR(INDEX(GOOGLEFINANCE($C41, ""price"", WORKDAY(INT($B41), 1)), 2, 2), """")-$G41)/$G41, ($G41-IFERROR(INDEX(GOOGLE"&amp;"FINANCE($C41, ""price"", WORKDAY(INT($B41), 1)), 2, 2), """"))/$G41))"),0.01774489894594341)</f>
        <v>0.01774489895</v>
      </c>
      <c r="R41" s="16">
        <f>IFERROR(__xludf.DUMMYFUNCTION("IF(OR(ISBLANK($G41), IFERROR(INDEX(GOOGLEFINANCE($C41, ""price"", WORKDAY(INT($B41), 5)), 2, 2), """")=""""), """", IF($D41=""LONG"", (IFERROR(INDEX(GOOGLEFINANCE($C41, ""price"", WORKDAY(INT($B41), 5)), 2, 2), """")-$G41)/$G41, ($G41-IFERROR(INDEX(GOOGLE"&amp;"FINANCE($C41, ""price"", WORKDAY(INT($B41), 5)), 2, 2), """"))/$G41))"),-0.0401315153273377)</f>
        <v>-0.04013151533</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2016</v>
      </c>
      <c r="U41" s="10" t="s">
        <v>984</v>
      </c>
      <c r="V41" s="10" t="s">
        <v>985</v>
      </c>
      <c r="W41" s="10" t="s">
        <v>51</v>
      </c>
      <c r="X41" s="10" t="s">
        <v>984</v>
      </c>
    </row>
    <row r="42">
      <c r="A42" s="9">
        <f t="shared" si="1"/>
        <v>41</v>
      </c>
      <c r="B42" s="11">
        <v>46218.66741898148</v>
      </c>
      <c r="C42" s="10" t="s">
        <v>207</v>
      </c>
      <c r="D42" s="10" t="s">
        <v>36</v>
      </c>
      <c r="E42" s="10" t="s">
        <v>37</v>
      </c>
      <c r="F42" s="13">
        <v>2.0</v>
      </c>
      <c r="G42" s="14">
        <v>332.45</v>
      </c>
      <c r="H42" s="10" t="s">
        <v>2017</v>
      </c>
      <c r="I42" s="10">
        <v>96.4</v>
      </c>
      <c r="O42" s="15">
        <f>IFERROR(__xludf.DUMMYFUNCTION("IF(ISBLANK($C42), """", GOOGLEFINANCE($C42, ""price""))"),363.42)</f>
        <v>363.42</v>
      </c>
      <c r="P42" s="16">
        <f t="shared" si="2"/>
        <v>0.09315686569</v>
      </c>
      <c r="Q42" s="16">
        <f>IFERROR(__xludf.DUMMYFUNCTION("IF(OR(ISBLANK($G42), IFERROR(INDEX(GOOGLEFINANCE($C42, ""price"", WORKDAY(INT($B42), 1)), 2, 2), """")=""""), """", IF($D42=""LONG"", (IFERROR(INDEX(GOOGLEFINANCE($C42, ""price"", WORKDAY(INT($B42), 1)), 2, 2), """")-$G42)/$G42, ($G42-IFERROR(INDEX(GOOGLE"&amp;"FINANCE($C42, ""price"", WORKDAY(INT($B42), 1)), 2, 2), """"))/$G42))"),0.017115355692585345)</f>
        <v>0.01711535569</v>
      </c>
      <c r="R42" s="16">
        <f>IFERROR(__xludf.DUMMYFUNCTION("IF(OR(ISBLANK($G42), IFERROR(INDEX(GOOGLEFINANCE($C42, ""price"", WORKDAY(INT($B42), 5)), 2, 2), """")=""""), """", IF($D42=""LONG"", (IFERROR(INDEX(GOOGLEFINANCE($C42, ""price"", WORKDAY(INT($B42), 5)), 2, 2), """")-$G42)/$G42, ($G42-IFERROR(INDEX(GOOGLE"&amp;"FINANCE($C42, ""price"", WORKDAY(INT($B42), 5)), 2, 2), """"))/$G42))"),-0.03771995788840416)</f>
        <v>-0.03771995789</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2019</v>
      </c>
      <c r="U42" s="10" t="s">
        <v>984</v>
      </c>
      <c r="V42" s="10" t="s">
        <v>985</v>
      </c>
      <c r="W42" s="10" t="s">
        <v>51</v>
      </c>
      <c r="X42" s="10" t="s">
        <v>984</v>
      </c>
    </row>
    <row r="43">
      <c r="A43" s="9">
        <f t="shared" si="1"/>
        <v>42</v>
      </c>
      <c r="B43" s="11">
        <v>46218.66741898148</v>
      </c>
      <c r="C43" s="10" t="s">
        <v>826</v>
      </c>
      <c r="D43" s="10" t="s">
        <v>36</v>
      </c>
      <c r="E43" s="10" t="s">
        <v>133</v>
      </c>
      <c r="F43" s="13">
        <v>2.0</v>
      </c>
      <c r="G43" s="14">
        <v>355.26</v>
      </c>
      <c r="H43" s="10" t="s">
        <v>2021</v>
      </c>
      <c r="I43" s="10">
        <v>95.7</v>
      </c>
      <c r="O43" s="15">
        <f>IFERROR(__xludf.DUMMYFUNCTION("IF(ISBLANK($C43), """", GOOGLEFINANCE($C43, ""price""))"),370.47)</f>
        <v>370.47</v>
      </c>
      <c r="P43" s="16">
        <f t="shared" si="2"/>
        <v>0.0428137139</v>
      </c>
      <c r="Q43" s="16">
        <f>IFERROR(__xludf.DUMMYFUNCTION("IF(OR(ISBLANK($G43), IFERROR(INDEX(GOOGLEFINANCE($C43, ""price"", WORKDAY(INT($B43), 1)), 2, 2), """")=""""), """", IF($D43=""LONG"", (IFERROR(INDEX(GOOGLEFINANCE($C43, ""price"", WORKDAY(INT($B43), 1)), 2, 2), """")-$G43)/$G43, ($G43-IFERROR(INDEX(GOOGLE"&amp;"FINANCE($C43, ""price"", WORKDAY(INT($B43), 1)), 2, 2), """"))/$G43))"),0.02781061757585992)</f>
        <v>0.02781061758</v>
      </c>
      <c r="R43" s="16">
        <f>IFERROR(__xludf.DUMMYFUNCTION("IF(OR(ISBLANK($G43), IFERROR(INDEX(GOOGLEFINANCE($C43, ""price"", WORKDAY(INT($B43), 5)), 2, 2), """")=""""), """", IF($D43=""LONG"", (IFERROR(INDEX(GOOGLEFINANCE($C43, ""price"", WORKDAY(INT($B43), 5)), 2, 2), """")-$G43)/$G43, ($G43-IFERROR(INDEX(GOOGLE"&amp;"FINANCE($C43, ""price"", WORKDAY(INT($B43), 5)), 2, 2), """"))/$G43))"),-0.0051793052975285005)</f>
        <v>-0.005179305298</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2024</v>
      </c>
      <c r="U43" s="10" t="s">
        <v>492</v>
      </c>
      <c r="V43" s="10" t="s">
        <v>493</v>
      </c>
      <c r="W43" s="10" t="s">
        <v>51</v>
      </c>
      <c r="X43" s="10" t="s">
        <v>492</v>
      </c>
    </row>
    <row r="44">
      <c r="A44" s="9">
        <f t="shared" si="1"/>
        <v>43</v>
      </c>
      <c r="B44" s="11">
        <v>46218.66741898148</v>
      </c>
      <c r="C44" s="10" t="s">
        <v>2025</v>
      </c>
      <c r="D44" s="10" t="s">
        <v>36</v>
      </c>
      <c r="E44" s="10" t="s">
        <v>37</v>
      </c>
      <c r="F44" s="13">
        <v>2.0</v>
      </c>
      <c r="G44" s="14">
        <v>66.85</v>
      </c>
      <c r="H44" s="10" t="s">
        <v>2026</v>
      </c>
      <c r="I44" s="10">
        <v>99.9</v>
      </c>
      <c r="O44" s="15">
        <f>IFERROR(__xludf.DUMMYFUNCTION("IF(ISBLANK($C44), """", GOOGLEFINANCE($C44, ""price""))"),71.18)</f>
        <v>71.18</v>
      </c>
      <c r="P44" s="16">
        <f t="shared" si="2"/>
        <v>0.06477187734</v>
      </c>
      <c r="Q44" s="16">
        <f>IFERROR(__xludf.DUMMYFUNCTION("IF(OR(ISBLANK($G44), IFERROR(INDEX(GOOGLEFINANCE($C44, ""price"", WORKDAY(INT($B44), 1)), 2, 2), """")=""""), """", IF($D44=""LONG"", (IFERROR(INDEX(GOOGLEFINANCE($C44, ""price"", WORKDAY(INT($B44), 1)), 2, 2), """")-$G44)/$G44, ($G44-IFERROR(INDEX(GOOGLE"&amp;"FINANCE($C44, ""price"", WORKDAY(INT($B44), 1)), 2, 2), """"))/$G44))"),0.038743455497382256)</f>
        <v>0.0387434555</v>
      </c>
      <c r="R44" s="16">
        <f>IFERROR(__xludf.DUMMYFUNCTION("IF(OR(ISBLANK($G44), IFERROR(INDEX(GOOGLEFINANCE($C44, ""price"", WORKDAY(INT($B44), 5)), 2, 2), """")=""""), """", IF($D44=""LONG"", (IFERROR(INDEX(GOOGLEFINANCE($C44, ""price"", WORKDAY(INT($B44), 5)), 2, 2), """")-$G44)/$G44, ($G44-IFERROR(INDEX(GOOGLE"&amp;"FINANCE($C44, ""price"", WORKDAY(INT($B44), 5)), 2, 2), """"))/$G44))"),-0.021839940164547402)</f>
        <v>-0.02183994016</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2028</v>
      </c>
      <c r="U44" s="10" t="s">
        <v>984</v>
      </c>
      <c r="V44" s="10" t="s">
        <v>985</v>
      </c>
      <c r="W44" s="10" t="s">
        <v>51</v>
      </c>
      <c r="X44" s="10" t="s">
        <v>984</v>
      </c>
    </row>
    <row r="45">
      <c r="A45" s="9">
        <f t="shared" si="1"/>
        <v>44</v>
      </c>
      <c r="B45" s="11">
        <v>46218.66741898148</v>
      </c>
      <c r="C45" s="10" t="s">
        <v>169</v>
      </c>
      <c r="D45" s="10" t="s">
        <v>119</v>
      </c>
      <c r="E45" s="10" t="s">
        <v>120</v>
      </c>
      <c r="F45" s="13">
        <v>4.0</v>
      </c>
      <c r="G45" s="14">
        <v>278.96</v>
      </c>
      <c r="H45" s="10" t="s">
        <v>2029</v>
      </c>
      <c r="I45" s="10">
        <v>11.5</v>
      </c>
      <c r="O45" s="15">
        <f>IFERROR(__xludf.DUMMYFUNCTION("IF(ISBLANK($C45), """", GOOGLEFINANCE($C45, ""price""))"),231.78)</f>
        <v>231.78</v>
      </c>
      <c r="P45" s="16">
        <f t="shared" si="2"/>
        <v>0.1691281904</v>
      </c>
      <c r="Q45" s="16">
        <f>IFERROR(__xludf.DUMMYFUNCTION("IF(OR(ISBLANK($G45), IFERROR(INDEX(GOOGLEFINANCE($C45, ""price"", WORKDAY(INT($B45), 1)), 2, 2), """")=""""), """", IF($D45=""LONG"", (IFERROR(INDEX(GOOGLEFINANCE($C45, ""price"", WORKDAY(INT($B45), 1)), 2, 2), """")-$G45)/$G45, ($G45-IFERROR(INDEX(GOOGLE"&amp;"FINANCE($C45, ""price"", WORKDAY(INT($B45), 1)), 2, 2), """"))/$G45))"),0.029753369658732275)</f>
        <v>0.02975336966</v>
      </c>
      <c r="R45" s="16">
        <f>IFERROR(__xludf.DUMMYFUNCTION("IF(OR(ISBLANK($G45), IFERROR(INDEX(GOOGLEFINANCE($C45, ""price"", WORKDAY(INT($B45), 5)), 2, 2), """")=""""), """", IF($D45=""LONG"", (IFERROR(INDEX(GOOGLEFINANCE($C45, ""price"", WORKDAY(INT($B45), 5)), 2, 2), """")-$G45)/$G45, ($G45-IFERROR(INDEX(GOOGLE"&amp;"FINANCE($C45, ""price"", WORKDAY(INT($B45), 5)), 2, 2), """"))/$G45))"),5.735589331802702E-4)</f>
        <v>0.0005735589332</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2031</v>
      </c>
      <c r="U45" s="10" t="s">
        <v>492</v>
      </c>
      <c r="V45" s="10" t="s">
        <v>493</v>
      </c>
      <c r="W45" s="10" t="s">
        <v>51</v>
      </c>
      <c r="X45" s="10" t="s">
        <v>492</v>
      </c>
    </row>
    <row r="46">
      <c r="A46" s="9">
        <f t="shared" si="1"/>
        <v>45</v>
      </c>
      <c r="B46" s="11">
        <v>46218.66762731481</v>
      </c>
      <c r="C46" s="10" t="s">
        <v>600</v>
      </c>
      <c r="D46" s="10" t="s">
        <v>36</v>
      </c>
      <c r="E46" s="10" t="s">
        <v>37</v>
      </c>
      <c r="F46" s="13">
        <v>2.0</v>
      </c>
      <c r="G46" s="14">
        <v>228.15</v>
      </c>
      <c r="H46" s="10" t="s">
        <v>2032</v>
      </c>
      <c r="I46" s="10">
        <v>95.5</v>
      </c>
      <c r="O46" s="15">
        <f>IFERROR(__xludf.DUMMYFUNCTION("IF(ISBLANK($C46), """", GOOGLEFINANCE($C46, ""price""))"),265.51)</f>
        <v>265.51</v>
      </c>
      <c r="P46" s="16">
        <f t="shared" si="2"/>
        <v>0.1637519176</v>
      </c>
      <c r="Q46" s="16">
        <f>IFERROR(__xludf.DUMMYFUNCTION("IF(OR(ISBLANK($G46), IFERROR(INDEX(GOOGLEFINANCE($C46, ""price"", WORKDAY(INT($B46), 1)), 2, 2), """")=""""), """", IF($D46=""LONG"", (IFERROR(INDEX(GOOGLEFINANCE($C46, ""price"", WORKDAY(INT($B46), 1)), 2, 2), """")-$G46)/$G46, ($G46-IFERROR(INDEX(GOOGLE"&amp;"FINANCE($C46, ""price"", WORKDAY(INT($B46), 1)), 2, 2), """"))/$G46))"),0.004426912119219772)</f>
        <v>0.004426912119</v>
      </c>
      <c r="R46" s="16">
        <f>IFERROR(__xludf.DUMMYFUNCTION("IF(OR(ISBLANK($G46), IFERROR(INDEX(GOOGLEFINANCE($C46, ""price"", WORKDAY(INT($B46), 5)), 2, 2), """")=""""), """", IF($D46=""LONG"", (IFERROR(INDEX(GOOGLEFINANCE($C46, ""price"", WORKDAY(INT($B46), 5)), 2, 2), """")-$G46)/$G46, ($G46-IFERROR(INDEX(GOOGLE"&amp;"FINANCE($C46, ""price"", WORKDAY(INT($B46), 5)), 2, 2), """"))/$G46))"),-0.04142011834319534)</f>
        <v>-0.04142011834</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2034</v>
      </c>
      <c r="U46" s="10" t="s">
        <v>984</v>
      </c>
      <c r="V46" s="10" t="s">
        <v>1880</v>
      </c>
      <c r="W46" s="10" t="s">
        <v>51</v>
      </c>
      <c r="X46" s="10" t="s">
        <v>984</v>
      </c>
    </row>
    <row r="47">
      <c r="A47" s="9">
        <f t="shared" si="1"/>
        <v>46</v>
      </c>
      <c r="B47" s="11">
        <v>46218.667546296296</v>
      </c>
      <c r="C47" s="10" t="s">
        <v>222</v>
      </c>
      <c r="D47" s="10" t="s">
        <v>36</v>
      </c>
      <c r="E47" s="10" t="s">
        <v>37</v>
      </c>
      <c r="F47" s="13">
        <v>2.0</v>
      </c>
      <c r="G47" s="14">
        <v>477.2</v>
      </c>
      <c r="H47" s="10" t="s">
        <v>2036</v>
      </c>
      <c r="I47" s="10">
        <v>93.6</v>
      </c>
      <c r="O47" s="15">
        <f>IFERROR(__xludf.DUMMYFUNCTION("IF(ISBLANK($C47), """", GOOGLEFINANCE($C47, ""price""))"),484.03)</f>
        <v>484.03</v>
      </c>
      <c r="P47" s="16">
        <f t="shared" si="2"/>
        <v>0.01431265717</v>
      </c>
      <c r="Q47" s="16">
        <f>IFERROR(__xludf.DUMMYFUNCTION("IF(OR(ISBLANK($G47), IFERROR(INDEX(GOOGLEFINANCE($C47, ""price"", WORKDAY(INT($B47), 1)), 2, 2), """")=""""), """", IF($D47=""LONG"", (IFERROR(INDEX(GOOGLEFINANCE($C47, ""price"", WORKDAY(INT($B47), 1)), 2, 2), """")-$G47)/$G47, ($G47-IFERROR(INDEX(GOOGLE"&amp;"FINANCE($C47, ""price"", WORKDAY(INT($B47), 1)), 2, 2), """"))/$G47))"),0.018503772003352858)</f>
        <v>0.018503772</v>
      </c>
      <c r="R47" s="16">
        <f>IFERROR(__xludf.DUMMYFUNCTION("IF(OR(ISBLANK($G47), IFERROR(INDEX(GOOGLEFINANCE($C47, ""price"", WORKDAY(INT($B47), 5)), 2, 2), """")=""""), """", IF($D47=""LONG"", (IFERROR(INDEX(GOOGLEFINANCE($C47, ""price"", WORKDAY(INT($B47), 5)), 2, 2), """")-$G47)/$G47, ($G47-IFERROR(INDEX(GOOGLE"&amp;"FINANCE($C47, ""price"", WORKDAY(INT($B47), 5)), 2, 2), """"))/$G47))"),-0.009702430846605188)</f>
        <v>-0.009702430847</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2037</v>
      </c>
      <c r="U47" s="10" t="s">
        <v>984</v>
      </c>
      <c r="V47" s="10" t="s">
        <v>1880</v>
      </c>
      <c r="W47" s="10" t="s">
        <v>51</v>
      </c>
      <c r="X47" s="10" t="s">
        <v>984</v>
      </c>
    </row>
    <row r="48">
      <c r="A48" s="9">
        <f t="shared" si="1"/>
        <v>47</v>
      </c>
      <c r="B48" s="11">
        <v>46218.66748842593</v>
      </c>
      <c r="C48" s="10" t="s">
        <v>322</v>
      </c>
      <c r="D48" s="10" t="s">
        <v>119</v>
      </c>
      <c r="E48" s="10" t="s">
        <v>120</v>
      </c>
      <c r="F48" s="13">
        <v>4.0</v>
      </c>
      <c r="G48" s="14">
        <v>132.54</v>
      </c>
      <c r="H48" s="10" t="s">
        <v>2038</v>
      </c>
      <c r="I48" s="10">
        <v>13.6</v>
      </c>
      <c r="O48" s="15">
        <f>IFERROR(__xludf.DUMMYFUNCTION("IF(ISBLANK($C48), """", GOOGLEFINANCE($C48, ""price""))"),143.47)</f>
        <v>143.47</v>
      </c>
      <c r="P48" s="16">
        <f t="shared" si="2"/>
        <v>-0.08246567074</v>
      </c>
      <c r="Q48" s="16">
        <f>IFERROR(__xludf.DUMMYFUNCTION("IF(OR(ISBLANK($G48), IFERROR(INDEX(GOOGLEFINANCE($C48, ""price"", WORKDAY(INT($B48), 1)), 2, 2), """")=""""), """", IF($D48=""LONG"", (IFERROR(INDEX(GOOGLEFINANCE($C48, ""price"", WORKDAY(INT($B48), 1)), 2, 2), """")-$G48)/$G48, ($G48-IFERROR(INDEX(GOOGLE"&amp;"FINANCE($C48, ""price"", WORKDAY(INT($B48), 1)), 2, 2), """"))/$G48))"),0.06284895125999697)</f>
        <v>0.06284895126</v>
      </c>
      <c r="R48" s="16">
        <f>IFERROR(__xludf.DUMMYFUNCTION("IF(OR(ISBLANK($G48), IFERROR(INDEX(GOOGLEFINANCE($C48, ""price"", WORKDAY(INT($B48), 5)), 2, 2), """")=""""), """", IF($D48=""LONG"", (IFERROR(INDEX(GOOGLEFINANCE($C48, ""price"", WORKDAY(INT($B48), 5)), 2, 2), """")-$G48)/$G48, ($G48-IFERROR(INDEX(GOOGLE"&amp;"FINANCE($C48, ""price"", WORKDAY(INT($B48), 5)), 2, 2), """"))/$G48))"),0.050550777123887045)</f>
        <v>0.05055077712</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2041</v>
      </c>
      <c r="U48" s="10" t="s">
        <v>984</v>
      </c>
      <c r="V48" s="10" t="s">
        <v>985</v>
      </c>
      <c r="W48" s="10" t="s">
        <v>51</v>
      </c>
      <c r="X48" s="10" t="s">
        <v>984</v>
      </c>
    </row>
    <row r="49">
      <c r="A49" s="9">
        <f t="shared" si="1"/>
        <v>48</v>
      </c>
      <c r="B49" s="11">
        <v>46218.66755787037</v>
      </c>
      <c r="C49" s="10" t="s">
        <v>232</v>
      </c>
      <c r="D49" s="10" t="s">
        <v>119</v>
      </c>
      <c r="E49" s="10" t="s">
        <v>120</v>
      </c>
      <c r="F49" s="13">
        <v>4.0</v>
      </c>
      <c r="G49" s="14">
        <v>79.45</v>
      </c>
      <c r="H49" s="10" t="s">
        <v>2042</v>
      </c>
      <c r="I49" s="10">
        <v>8.9</v>
      </c>
      <c r="O49" s="15">
        <f>IFERROR(__xludf.DUMMYFUNCTION("IF(ISBLANK($C49), """", GOOGLEFINANCE($C49, ""price""))"),74.92)</f>
        <v>74.92</v>
      </c>
      <c r="P49" s="16">
        <f t="shared" si="2"/>
        <v>0.05701699182</v>
      </c>
      <c r="Q49" s="16">
        <f>IFERROR(__xludf.DUMMYFUNCTION("IF(OR(ISBLANK($G49), IFERROR(INDEX(GOOGLEFINANCE($C49, ""price"", WORKDAY(INT($B49), 1)), 2, 2), """")=""""), """", IF($D49=""LONG"", (IFERROR(INDEX(GOOGLEFINANCE($C49, ""price"", WORKDAY(INT($B49), 1)), 2, 2), """")-$G49)/$G49, ($G49-IFERROR(INDEX(GOOGLE"&amp;"FINANCE($C49, ""price"", WORKDAY(INT($B49), 1)), 2, 2), """"))/$G49))"),0.009062303335431074)</f>
        <v>0.009062303335</v>
      </c>
      <c r="R49" s="16">
        <f>IFERROR(__xludf.DUMMYFUNCTION("IF(OR(ISBLANK($G49), IFERROR(INDEX(GOOGLEFINANCE($C49, ""price"", WORKDAY(INT($B49), 5)), 2, 2), """")=""""), """", IF($D49=""LONG"", (IFERROR(INDEX(GOOGLEFINANCE($C49, ""price"", WORKDAY(INT($B49), 5)), 2, 2), """")-$G49)/$G49, ($G49-IFERROR(INDEX(GOOGLE"&amp;"FINANCE($C49, ""price"", WORKDAY(INT($B49), 5)), 2, 2), """"))/$G49))"),0.0245437382001259)</f>
        <v>0.0245437382</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2043</v>
      </c>
      <c r="U49" s="10" t="s">
        <v>984</v>
      </c>
      <c r="V49" s="10" t="s">
        <v>985</v>
      </c>
      <c r="W49" s="10" t="s">
        <v>51</v>
      </c>
      <c r="X49" s="10" t="s">
        <v>984</v>
      </c>
    </row>
    <row r="50">
      <c r="A50" s="9">
        <f t="shared" si="1"/>
        <v>49</v>
      </c>
      <c r="B50" s="11">
        <v>46218.66753472222</v>
      </c>
      <c r="C50" s="10" t="s">
        <v>148</v>
      </c>
      <c r="D50" s="10" t="s">
        <v>36</v>
      </c>
      <c r="E50" s="10" t="s">
        <v>133</v>
      </c>
      <c r="F50" s="13">
        <v>2.0</v>
      </c>
      <c r="G50" s="14">
        <v>200.69</v>
      </c>
      <c r="H50" s="10" t="s">
        <v>2045</v>
      </c>
      <c r="I50" s="10">
        <v>88.7</v>
      </c>
      <c r="O50" s="15">
        <f>IFERROR(__xludf.DUMMYFUNCTION("IF(ISBLANK($C50), """", GOOGLEFINANCE($C50, ""price""))"),199.98)</f>
        <v>199.98</v>
      </c>
      <c r="P50" s="16">
        <f t="shared" si="2"/>
        <v>-0.003537794609</v>
      </c>
      <c r="Q50" s="16">
        <f>IFERROR(__xludf.DUMMYFUNCTION("IF(OR(ISBLANK($G50), IFERROR(INDEX(GOOGLEFINANCE($C50, ""price"", WORKDAY(INT($B50), 1)), 2, 2), """")=""""), """", IF($D50=""LONG"", (IFERROR(INDEX(GOOGLEFINANCE($C50, ""price"", WORKDAY(INT($B50), 1)), 2, 2), """")-$G50)/$G50, ($G50-IFERROR(INDEX(GOOGLE"&amp;"FINANCE($C50, ""price"", WORKDAY(INT($B50), 1)), 2, 2), """"))/$G50))"),0.021525736210075207)</f>
        <v>0.02152573621</v>
      </c>
      <c r="R50" s="16">
        <f>IFERROR(__xludf.DUMMYFUNCTION("IF(OR(ISBLANK($G50), IFERROR(INDEX(GOOGLEFINANCE($C50, ""price"", WORKDAY(INT($B50), 5)), 2, 2), """")=""""), """", IF($D50=""LONG"", (IFERROR(INDEX(GOOGLEFINANCE($C50, ""price"", WORKDAY(INT($B50), 5)), 2, 2), """")-$G50)/$G50, ($G50-IFERROR(INDEX(GOOGLE"&amp;"FINANCE($C50, ""price"", WORKDAY(INT($B50), 5)), 2, 2), """"))/$G50))"),-0.10737954058498186)</f>
        <v>-0.1073795406</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2047</v>
      </c>
      <c r="U50" s="10" t="s">
        <v>984</v>
      </c>
      <c r="V50" s="10" t="s">
        <v>985</v>
      </c>
      <c r="W50" s="10" t="s">
        <v>51</v>
      </c>
      <c r="X50" s="10" t="s">
        <v>984</v>
      </c>
    </row>
    <row r="51">
      <c r="A51" s="9">
        <f t="shared" si="1"/>
        <v>50</v>
      </c>
      <c r="B51" s="11">
        <v>46218.66755787037</v>
      </c>
      <c r="C51" s="10" t="s">
        <v>2048</v>
      </c>
      <c r="D51" s="10" t="s">
        <v>36</v>
      </c>
      <c r="E51" s="10" t="s">
        <v>133</v>
      </c>
      <c r="F51" s="13">
        <v>2.0</v>
      </c>
      <c r="G51" s="14">
        <v>288.35</v>
      </c>
      <c r="H51" s="10" t="s">
        <v>2049</v>
      </c>
      <c r="I51" s="10">
        <v>85.7</v>
      </c>
      <c r="O51" s="15">
        <f>IFERROR(__xludf.DUMMYFUNCTION("IF(ISBLANK($C51), """", GOOGLEFINANCE($C51, ""price""))"),295.38)</f>
        <v>295.38</v>
      </c>
      <c r="P51" s="16">
        <f t="shared" si="2"/>
        <v>0.02438009364</v>
      </c>
      <c r="Q51" s="16">
        <f>IFERROR(__xludf.DUMMYFUNCTION("IF(OR(ISBLANK($G51), IFERROR(INDEX(GOOGLEFINANCE($C51, ""price"", WORKDAY(INT($B51), 1)), 2, 2), """")=""""), """", IF($D51=""LONG"", (IFERROR(INDEX(GOOGLEFINANCE($C51, ""price"", WORKDAY(INT($B51), 1)), 2, 2), """")-$G51)/$G51, ($G51-IFERROR(INDEX(GOOGLE"&amp;"FINANCE($C51, ""price"", WORKDAY(INT($B51), 1)), 2, 2), """"))/$G51))"),0.038390844459857784)</f>
        <v>0.03839084446</v>
      </c>
      <c r="R51" s="16">
        <f>IFERROR(__xludf.DUMMYFUNCTION("IF(OR(ISBLANK($G51), IFERROR(INDEX(GOOGLEFINANCE($C51, ""price"", WORKDAY(INT($B51), 5)), 2, 2), """")=""""), """", IF($D51=""LONG"", (IFERROR(INDEX(GOOGLEFINANCE($C51, ""price"", WORKDAY(INT($B51), 5)), 2, 2), """")-$G51)/$G51, ($G51-IFERROR(INDEX(GOOGLE"&amp;"FINANCE($C51, ""price"", WORKDAY(INT($B51), 5)), 2, 2), """"))/$G51))"),0.014600312120686593)</f>
        <v>0.01460031212</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2050</v>
      </c>
      <c r="U51" s="10" t="s">
        <v>984</v>
      </c>
      <c r="V51" s="10" t="s">
        <v>998</v>
      </c>
      <c r="W51" s="10" t="s">
        <v>51</v>
      </c>
      <c r="X51" s="10" t="s">
        <v>984</v>
      </c>
    </row>
    <row r="52">
      <c r="A52" s="9">
        <f t="shared" si="1"/>
        <v>51</v>
      </c>
      <c r="B52" s="11">
        <v>46218.66756944444</v>
      </c>
      <c r="C52" s="10" t="s">
        <v>91</v>
      </c>
      <c r="D52" s="10" t="s">
        <v>36</v>
      </c>
      <c r="E52" s="10" t="s">
        <v>37</v>
      </c>
      <c r="F52" s="13">
        <v>2.0</v>
      </c>
      <c r="G52" s="14">
        <v>36.75</v>
      </c>
      <c r="H52" s="10" t="s">
        <v>2052</v>
      </c>
      <c r="I52" s="10">
        <v>96.6</v>
      </c>
      <c r="O52" s="15">
        <f>IFERROR(__xludf.DUMMYFUNCTION("IF(ISBLANK($C52), """", GOOGLEFINANCE($C52, ""price""))"),40.53)</f>
        <v>40.53</v>
      </c>
      <c r="P52" s="16">
        <f t="shared" si="2"/>
        <v>0.1028571429</v>
      </c>
      <c r="Q52" s="16">
        <f>IFERROR(__xludf.DUMMYFUNCTION("IF(OR(ISBLANK($G52), IFERROR(INDEX(GOOGLEFINANCE($C52, ""price"", WORKDAY(INT($B52), 1)), 2, 2), """")=""""), """", IF($D52=""LONG"", (IFERROR(INDEX(GOOGLEFINANCE($C52, ""price"", WORKDAY(INT($B52), 1)), 2, 2), """")-$G52)/$G52, ($G52-IFERROR(INDEX(GOOGLE"&amp;"FINANCE($C52, ""price"", WORKDAY(INT($B52), 1)), 2, 2), """"))/$G52))"),0.030476190476190407)</f>
        <v>0.03047619048</v>
      </c>
      <c r="R52" s="16">
        <f>IFERROR(__xludf.DUMMYFUNCTION("IF(OR(ISBLANK($G52), IFERROR(INDEX(GOOGLEFINANCE($C52, ""price"", WORKDAY(INT($B52), 5)), 2, 2), """")=""""), """", IF($D52=""LONG"", (IFERROR(INDEX(GOOGLEFINANCE($C52, ""price"", WORKDAY(INT($B52), 5)), 2, 2), """")-$G52)/$G52, ($G52-IFERROR(INDEX(GOOGLE"&amp;"FINANCE($C52, ""price"", WORKDAY(INT($B52), 5)), 2, 2), """"))/$G52))"),0.0364625850340137)</f>
        <v>0.03646258503</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2054</v>
      </c>
      <c r="U52" s="10" t="s">
        <v>984</v>
      </c>
      <c r="V52" s="10" t="s">
        <v>985</v>
      </c>
      <c r="W52" s="10" t="s">
        <v>51</v>
      </c>
      <c r="X52" s="10" t="s">
        <v>984</v>
      </c>
    </row>
    <row r="53">
      <c r="A53" s="9">
        <f t="shared" si="1"/>
        <v>52</v>
      </c>
      <c r="B53" s="11">
        <v>46218.6675</v>
      </c>
      <c r="C53" s="10" t="s">
        <v>161</v>
      </c>
      <c r="D53" s="10" t="s">
        <v>36</v>
      </c>
      <c r="E53" s="10" t="s">
        <v>37</v>
      </c>
      <c r="F53" s="13">
        <v>2.0</v>
      </c>
      <c r="G53" s="14">
        <v>160.5</v>
      </c>
      <c r="H53" s="10" t="s">
        <v>2055</v>
      </c>
      <c r="I53" s="10">
        <v>84.1</v>
      </c>
      <c r="O53" s="15">
        <f>IFERROR(__xludf.DUMMYFUNCTION("IF(ISBLANK($C53), """", GOOGLEFINANCE($C53, ""price""))"),180.71)</f>
        <v>180.71</v>
      </c>
      <c r="P53" s="16">
        <f t="shared" si="2"/>
        <v>0.1259190031</v>
      </c>
      <c r="Q53" s="16">
        <f>IFERROR(__xludf.DUMMYFUNCTION("IF(OR(ISBLANK($G53), IFERROR(INDEX(GOOGLEFINANCE($C53, ""price"", WORKDAY(INT($B53), 1)), 2, 2), """")=""""), """", IF($D53=""LONG"", (IFERROR(INDEX(GOOGLEFINANCE($C53, ""price"", WORKDAY(INT($B53), 1)), 2, 2), """")-$G53)/$G53, ($G53-IFERROR(INDEX(GOOGLE"&amp;"FINANCE($C53, ""price"", WORKDAY(INT($B53), 1)), 2, 2), """"))/$G53))"),0.007912772585669846)</f>
        <v>0.007912772586</v>
      </c>
      <c r="R53" s="16">
        <f>IFERROR(__xludf.DUMMYFUNCTION("IF(OR(ISBLANK($G53), IFERROR(INDEX(GOOGLEFINANCE($C53, ""price"", WORKDAY(INT($B53), 5)), 2, 2), """")=""""), """", IF($D53=""LONG"", (IFERROR(INDEX(GOOGLEFINANCE($C53, ""price"", WORKDAY(INT($B53), 5)), 2, 2), """")-$G53)/$G53, ($G53-IFERROR(INDEX(GOOGLE"&amp;"FINANCE($C53, ""price"", WORKDAY(INT($B53), 5)), 2, 2), """"))/$G53))"),0.06392523364485976)</f>
        <v>0.06392523364</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2058</v>
      </c>
      <c r="U53" s="10" t="s">
        <v>984</v>
      </c>
      <c r="V53" s="10" t="s">
        <v>998</v>
      </c>
      <c r="W53" s="10" t="s">
        <v>51</v>
      </c>
      <c r="X53" s="10" t="s">
        <v>984</v>
      </c>
    </row>
    <row r="54">
      <c r="A54" s="9">
        <f t="shared" si="1"/>
        <v>53</v>
      </c>
      <c r="B54" s="11">
        <v>46218.66762731481</v>
      </c>
      <c r="C54" s="10" t="s">
        <v>243</v>
      </c>
      <c r="D54" s="10" t="s">
        <v>119</v>
      </c>
      <c r="E54" s="10" t="s">
        <v>120</v>
      </c>
      <c r="F54" s="13">
        <v>4.0</v>
      </c>
      <c r="G54" s="14">
        <v>119.98</v>
      </c>
      <c r="H54" s="10" t="s">
        <v>2059</v>
      </c>
      <c r="I54" s="10">
        <v>6.2</v>
      </c>
      <c r="O54" s="15">
        <f>IFERROR(__xludf.DUMMYFUNCTION("IF(ISBLANK($C54), """", GOOGLEFINANCE($C54, ""price""))"),118.55)</f>
        <v>118.55</v>
      </c>
      <c r="P54" s="16">
        <f t="shared" si="2"/>
        <v>0.01191865311</v>
      </c>
      <c r="Q54" s="16">
        <f>IFERROR(__xludf.DUMMYFUNCTION("IF(OR(ISBLANK($G54), IFERROR(INDEX(GOOGLEFINANCE($C54, ""price"", WORKDAY(INT($B54), 1)), 2, 2), """")=""""), """", IF($D54=""LONG"", (IFERROR(INDEX(GOOGLEFINANCE($C54, ""price"", WORKDAY(INT($B54), 1)), 2, 2), """")-$G54)/$G54, ($G54-IFERROR(INDEX(GOOGLE"&amp;"FINANCE($C54, ""price"", WORKDAY(INT($B54), 1)), 2, 2), """"))/$G54))"),0.009751625270878493)</f>
        <v>0.009751625271</v>
      </c>
      <c r="R54" s="16">
        <f>IFERROR(__xludf.DUMMYFUNCTION("IF(OR(ISBLANK($G54), IFERROR(INDEX(GOOGLEFINANCE($C54, ""price"", WORKDAY(INT($B54), 5)), 2, 2), """")=""""), """", IF($D54=""LONG"", (IFERROR(INDEX(GOOGLEFINANCE($C54, ""price"", WORKDAY(INT($B54), 5)), 2, 2), """")-$G54)/$G54, ($G54-IFERROR(INDEX(GOOGLE"&amp;"FINANCE($C54, ""price"", WORKDAY(INT($B54), 5)), 2, 2), """"))/$G54))"),-0.03600600100016663)</f>
        <v>-0.036006001</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2061</v>
      </c>
      <c r="U54" s="10" t="s">
        <v>984</v>
      </c>
      <c r="V54" s="10" t="s">
        <v>985</v>
      </c>
      <c r="W54" s="10" t="s">
        <v>51</v>
      </c>
      <c r="X54" s="10" t="s">
        <v>984</v>
      </c>
    </row>
    <row r="55">
      <c r="A55" s="9">
        <f t="shared" si="1"/>
        <v>54</v>
      </c>
      <c r="B55" s="11">
        <v>46218.66762731481</v>
      </c>
      <c r="C55" s="10" t="s">
        <v>1294</v>
      </c>
      <c r="D55" s="10" t="s">
        <v>119</v>
      </c>
      <c r="E55" s="10" t="s">
        <v>120</v>
      </c>
      <c r="F55" s="13">
        <v>4.0</v>
      </c>
      <c r="G55" s="14">
        <v>313.43</v>
      </c>
      <c r="H55" s="10" t="s">
        <v>2062</v>
      </c>
      <c r="I55" s="10">
        <v>2.2</v>
      </c>
      <c r="O55" s="15">
        <f>IFERROR(__xludf.DUMMYFUNCTION("IF(ISBLANK($C55), """", GOOGLEFINANCE($C55, ""price""))"),315.87)</f>
        <v>315.87</v>
      </c>
      <c r="P55" s="16">
        <f t="shared" si="2"/>
        <v>-0.007784832339</v>
      </c>
      <c r="Q55" s="16">
        <f>IFERROR(__xludf.DUMMYFUNCTION("IF(OR(ISBLANK($G55), IFERROR(INDEX(GOOGLEFINANCE($C55, ""price"", WORKDAY(INT($B55), 1)), 2, 2), """")=""""), """", IF($D55=""LONG"", (IFERROR(INDEX(GOOGLEFINANCE($C55, ""price"", WORKDAY(INT($B55), 1)), 2, 2), """")-$G55)/$G55, ($G55-IFERROR(INDEX(GOOGLE"&amp;"FINANCE($C55, ""price"", WORKDAY(INT($B55), 1)), 2, 2), """"))/$G55))"),-0.0152187091216539)</f>
        <v>-0.01521870912</v>
      </c>
      <c r="R55" s="16">
        <f>IFERROR(__xludf.DUMMYFUNCTION("IF(OR(ISBLANK($G55), IFERROR(INDEX(GOOGLEFINANCE($C55, ""price"", WORKDAY(INT($B55), 5)), 2, 2), """")=""""), """", IF($D55=""LONG"", (IFERROR(INDEX(GOOGLEFINANCE($C55, ""price"", WORKDAY(INT($B55), 5)), 2, 2), """")-$G55)/$G55, ($G55-IFERROR(INDEX(GOOGLE"&amp;"FINANCE($C55, ""price"", WORKDAY(INT($B55), 5)), 2, 2), """"))/$G55))"),-0.02421593338225433)</f>
        <v>-0.02421593338</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2064</v>
      </c>
      <c r="U55" s="10" t="s">
        <v>984</v>
      </c>
      <c r="V55" s="10" t="s">
        <v>985</v>
      </c>
      <c r="W55" s="10" t="s">
        <v>51</v>
      </c>
      <c r="X55" s="10" t="s">
        <v>984</v>
      </c>
    </row>
    <row r="56">
      <c r="A56" s="9">
        <f t="shared" si="1"/>
        <v>55</v>
      </c>
      <c r="B56" s="11">
        <v>46218.66758101852</v>
      </c>
      <c r="C56" s="10" t="s">
        <v>2066</v>
      </c>
      <c r="D56" s="10" t="s">
        <v>36</v>
      </c>
      <c r="E56" s="10" t="s">
        <v>37</v>
      </c>
      <c r="F56" s="13">
        <v>2.0</v>
      </c>
      <c r="G56" s="14">
        <v>90.99</v>
      </c>
      <c r="H56" s="10" t="s">
        <v>2067</v>
      </c>
      <c r="I56" s="10">
        <v>98.9</v>
      </c>
      <c r="O56" s="15">
        <f>IFERROR(__xludf.DUMMYFUNCTION("IF(ISBLANK($C56), """", GOOGLEFINANCE($C56, ""price""))"),98.02)</f>
        <v>98.02</v>
      </c>
      <c r="P56" s="16">
        <f t="shared" si="2"/>
        <v>0.0772612375</v>
      </c>
      <c r="Q56" s="16">
        <f>IFERROR(__xludf.DUMMYFUNCTION("IF(OR(ISBLANK($G56), IFERROR(INDEX(GOOGLEFINANCE($C56, ""price"", WORKDAY(INT($B56), 1)), 2, 2), """")=""""), """", IF($D56=""LONG"", (IFERROR(INDEX(GOOGLEFINANCE($C56, ""price"", WORKDAY(INT($B56), 1)), 2, 2), """")-$G56)/$G56, ($G56-IFERROR(INDEX(GOOGLE"&amp;"FINANCE($C56, ""price"", WORKDAY(INT($B56), 1)), 2, 2), """"))/$G56))"),0.03538850423123419)</f>
        <v>0.03538850423</v>
      </c>
      <c r="R56" s="16">
        <f>IFERROR(__xludf.DUMMYFUNCTION("IF(OR(ISBLANK($G56), IFERROR(INDEX(GOOGLEFINANCE($C56, ""price"", WORKDAY(INT($B56), 5)), 2, 2), """")=""""), """", IF($D56=""LONG"", (IFERROR(INDEX(GOOGLEFINANCE($C56, ""price"", WORKDAY(INT($B56), 5)), 2, 2), """")-$G56)/$G56, ($G56-IFERROR(INDEX(GOOGLE"&amp;"FINANCE($C56, ""price"", WORKDAY(INT($B56), 5)), 2, 2), """"))/$G56))"),0.0017584349928564766)</f>
        <v>0.001758434993</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2069</v>
      </c>
      <c r="U56" s="10" t="s">
        <v>984</v>
      </c>
      <c r="V56" s="10" t="s">
        <v>985</v>
      </c>
      <c r="W56" s="10" t="s">
        <v>51</v>
      </c>
      <c r="X56" s="10" t="s">
        <v>984</v>
      </c>
    </row>
    <row r="57">
      <c r="A57" s="9">
        <f t="shared" si="1"/>
        <v>56</v>
      </c>
      <c r="B57" s="11">
        <v>46218.667604166665</v>
      </c>
      <c r="C57" s="10" t="s">
        <v>347</v>
      </c>
      <c r="D57" s="10" t="s">
        <v>36</v>
      </c>
      <c r="E57" s="10" t="s">
        <v>37</v>
      </c>
      <c r="F57" s="13">
        <v>2.0</v>
      </c>
      <c r="G57" s="14">
        <v>272.03</v>
      </c>
      <c r="H57" s="10" t="s">
        <v>2070</v>
      </c>
      <c r="I57" s="10">
        <v>94.3</v>
      </c>
      <c r="O57" s="15">
        <f>IFERROR(__xludf.DUMMYFUNCTION("IF(ISBLANK($C57), """", GOOGLEFINANCE($C57, ""price""))"),316.53)</f>
        <v>316.53</v>
      </c>
      <c r="P57" s="16">
        <f t="shared" si="2"/>
        <v>0.1635848987</v>
      </c>
      <c r="Q57" s="16">
        <f>IFERROR(__xludf.DUMMYFUNCTION("IF(OR(ISBLANK($G57), IFERROR(INDEX(GOOGLEFINANCE($C57, ""price"", WORKDAY(INT($B57), 1)), 2, 2), """")=""""), """", IF($D57=""LONG"", (IFERROR(INDEX(GOOGLEFINANCE($C57, ""price"", WORKDAY(INT($B57), 1)), 2, 2), """")-$G57)/$G57, ($G57-IFERROR(INDEX(GOOGLE"&amp;"FINANCE($C57, ""price"", WORKDAY(INT($B57), 1)), 2, 2), """"))/$G57))"),0.03642980553615419)</f>
        <v>0.03642980554</v>
      </c>
      <c r="R57" s="16">
        <f>IFERROR(__xludf.DUMMYFUNCTION("IF(OR(ISBLANK($G57), IFERROR(INDEX(GOOGLEFINANCE($C57, ""price"", WORKDAY(INT($B57), 5)), 2, 2), """")=""""), """", IF($D57=""LONG"", (IFERROR(INDEX(GOOGLEFINANCE($C57, ""price"", WORKDAY(INT($B57), 5)), 2, 2), """")-$G57)/$G57, ($G57-IFERROR(INDEX(GOOGLE"&amp;"FINANCE($C57, ""price"", WORKDAY(INT($B57), 5)), 2, 2), """"))/$G57))"),0.03466529426901448)</f>
        <v>0.03466529427</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2072</v>
      </c>
      <c r="U57" s="10" t="s">
        <v>984</v>
      </c>
      <c r="V57" s="10" t="s">
        <v>985</v>
      </c>
      <c r="W57" s="10" t="s">
        <v>51</v>
      </c>
      <c r="X57" s="10" t="s">
        <v>984</v>
      </c>
    </row>
    <row r="58">
      <c r="A58" s="9">
        <f t="shared" si="1"/>
        <v>57</v>
      </c>
      <c r="B58" s="11">
        <v>46218.66746527778</v>
      </c>
      <c r="C58" s="10" t="s">
        <v>260</v>
      </c>
      <c r="D58" s="10" t="s">
        <v>36</v>
      </c>
      <c r="E58" s="10" t="s">
        <v>37</v>
      </c>
      <c r="F58" s="13">
        <v>2.0</v>
      </c>
      <c r="G58" s="14">
        <v>115.55</v>
      </c>
      <c r="H58" s="10" t="s">
        <v>2074</v>
      </c>
      <c r="I58" s="10">
        <v>92.7</v>
      </c>
      <c r="O58" s="15">
        <f>IFERROR(__xludf.DUMMYFUNCTION("IF(ISBLANK($C58), """", GOOGLEFINANCE($C58, ""price""))"),90.71)</f>
        <v>90.71</v>
      </c>
      <c r="P58" s="16">
        <f t="shared" si="2"/>
        <v>-0.2149718736</v>
      </c>
      <c r="Q58" s="16">
        <f>IFERROR(__xludf.DUMMYFUNCTION("IF(OR(ISBLANK($G58), IFERROR(INDEX(GOOGLEFINANCE($C58, ""price"", WORKDAY(INT($B58), 1)), 2, 2), """")=""""), """", IF($D58=""LONG"", (IFERROR(INDEX(GOOGLEFINANCE($C58, ""price"", WORKDAY(INT($B58), 1)), 2, 2), """")-$G58)/$G58, ($G58-IFERROR(INDEX(GOOGLE"&amp;"FINANCE($C58, ""price"", WORKDAY(INT($B58), 1)), 2, 2), """"))/$G58))"),-0.08247511899610559)</f>
        <v>-0.082475119</v>
      </c>
      <c r="R58" s="16">
        <f>IFERROR(__xludf.DUMMYFUNCTION("IF(OR(ISBLANK($G58), IFERROR(INDEX(GOOGLEFINANCE($C58, ""price"", WORKDAY(INT($B58), 5)), 2, 2), """")=""""), """", IF($D58=""LONG"", (IFERROR(INDEX(GOOGLEFINANCE($C58, ""price"", WORKDAY(INT($B58), 5)), 2, 2), """")-$G58)/$G58, ($G58-IFERROR(INDEX(GOOGLE"&amp;"FINANCE($C58, ""price"", WORKDAY(INT($B58), 5)), 2, 2), """"))/$G58))"),-0.09580268282128943)</f>
        <v>-0.09580268282</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2076</v>
      </c>
    </row>
    <row r="59">
      <c r="A59" s="9">
        <f t="shared" si="1"/>
        <v>58</v>
      </c>
      <c r="B59" s="11">
        <v>46218.667650462965</v>
      </c>
      <c r="C59" s="10" t="s">
        <v>43</v>
      </c>
      <c r="D59" s="10" t="s">
        <v>36</v>
      </c>
      <c r="E59" s="10" t="s">
        <v>37</v>
      </c>
      <c r="F59" s="13">
        <v>2.0</v>
      </c>
      <c r="G59" s="14">
        <v>264.33</v>
      </c>
      <c r="H59" s="10" t="s">
        <v>2077</v>
      </c>
      <c r="I59" s="10">
        <v>92.5</v>
      </c>
      <c r="O59" s="15">
        <f>IFERROR(__xludf.DUMMYFUNCTION("IF(ISBLANK($C59), """", GOOGLEFINANCE($C59, ""price""))"),229.29)</f>
        <v>229.29</v>
      </c>
      <c r="P59" s="16">
        <f t="shared" si="2"/>
        <v>-0.1325615708</v>
      </c>
      <c r="Q59" s="16">
        <f>IFERROR(__xludf.DUMMYFUNCTION("IF(OR(ISBLANK($G59), IFERROR(INDEX(GOOGLEFINANCE($C59, ""price"", WORKDAY(INT($B59), 1)), 2, 2), """")=""""), """", IF($D59=""LONG"", (IFERROR(INDEX(GOOGLEFINANCE($C59, ""price"", WORKDAY(INT($B59), 1)), 2, 2), """")-$G59)/$G59, ($G59-IFERROR(INDEX(GOOGLE"&amp;"FINANCE($C59, ""price"", WORKDAY(INT($B59), 1)), 2, 2), """"))/$G59))"),-0.007604131199636784)</f>
        <v>-0.0076041312</v>
      </c>
      <c r="R59" s="16">
        <f>IFERROR(__xludf.DUMMYFUNCTION("IF(OR(ISBLANK($G59), IFERROR(INDEX(GOOGLEFINANCE($C59, ""price"", WORKDAY(INT($B59), 5)), 2, 2), """")=""""), """", IF($D59=""LONG"", (IFERROR(INDEX(GOOGLEFINANCE($C59, ""price"", WORKDAY(INT($B59), 5)), 2, 2), """")-$G59)/$G59, ($G59-IFERROR(INDEX(GOOGLE"&amp;"FINANCE($C59, ""price"", WORKDAY(INT($B59), 5)), 2, 2), """"))/$G59))"),-0.07021526122649709)</f>
        <v>-0.07021526123</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2079</v>
      </c>
      <c r="U59" s="10" t="s">
        <v>492</v>
      </c>
      <c r="V59" s="10" t="s">
        <v>493</v>
      </c>
      <c r="W59" s="10" t="s">
        <v>51</v>
      </c>
      <c r="X59" s="10" t="s">
        <v>492</v>
      </c>
    </row>
    <row r="60">
      <c r="A60" s="9">
        <f t="shared" si="1"/>
        <v>59</v>
      </c>
      <c r="B60" s="11">
        <v>46218.66763888889</v>
      </c>
      <c r="C60" s="10" t="s">
        <v>123</v>
      </c>
      <c r="D60" s="10" t="s">
        <v>36</v>
      </c>
      <c r="E60" s="10" t="s">
        <v>37</v>
      </c>
      <c r="F60" s="13">
        <v>2.0</v>
      </c>
      <c r="G60" s="14">
        <v>18.13</v>
      </c>
      <c r="H60" s="10" t="s">
        <v>2080</v>
      </c>
      <c r="I60" s="10">
        <v>94.4</v>
      </c>
      <c r="O60" s="15">
        <f>IFERROR(__xludf.DUMMYFUNCTION("IF(ISBLANK($C60), """", GOOGLEFINANCE($C60, ""price""))"),17.36)</f>
        <v>17.36</v>
      </c>
      <c r="P60" s="16">
        <f t="shared" si="2"/>
        <v>-0.04247104247</v>
      </c>
      <c r="Q60" s="16">
        <f>IFERROR(__xludf.DUMMYFUNCTION("IF(OR(ISBLANK($G60), IFERROR(INDEX(GOOGLEFINANCE($C60, ""price"", WORKDAY(INT($B60), 1)), 2, 2), """")=""""), """", IF($D60=""LONG"", (IFERROR(INDEX(GOOGLEFINANCE($C60, ""price"", WORKDAY(INT($B60), 1)), 2, 2), """")-$G60)/$G60, ($G60-IFERROR(INDEX(GOOGLE"&amp;"FINANCE($C60, ""price"", WORKDAY(INT($B60), 1)), 2, 2), """"))/$G60))"),0.02371759514616656)</f>
        <v>0.02371759515</v>
      </c>
      <c r="R60" s="16">
        <f>IFERROR(__xludf.DUMMYFUNCTION("IF(OR(ISBLANK($G60), IFERROR(INDEX(GOOGLEFINANCE($C60, ""price"", WORKDAY(INT($B60), 5)), 2, 2), """")=""""), """", IF($D60=""LONG"", (IFERROR(INDEX(GOOGLEFINANCE($C60, ""price"", WORKDAY(INT($B60), 5)), 2, 2), """")-$G60)/$G60, ($G60-IFERROR(INDEX(GOOGLE"&amp;"FINANCE($C60, ""price"", WORKDAY(INT($B60), 5)), 2, 2), """"))/$G60))"),0.007722007722007753)</f>
        <v>0.007722007722</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2083</v>
      </c>
      <c r="U60" s="10" t="s">
        <v>492</v>
      </c>
      <c r="V60" s="10" t="s">
        <v>493</v>
      </c>
      <c r="W60" s="10" t="s">
        <v>51</v>
      </c>
      <c r="X60" s="10" t="s">
        <v>492</v>
      </c>
    </row>
    <row r="61">
      <c r="A61" s="9">
        <f t="shared" si="1"/>
        <v>60</v>
      </c>
      <c r="B61" s="11">
        <v>46218.667604166665</v>
      </c>
      <c r="C61" s="10" t="s">
        <v>2084</v>
      </c>
      <c r="D61" s="10" t="s">
        <v>36</v>
      </c>
      <c r="E61" s="10" t="s">
        <v>133</v>
      </c>
      <c r="F61" s="13">
        <v>2.0</v>
      </c>
      <c r="G61" s="14">
        <v>285.16</v>
      </c>
      <c r="H61" s="10" t="s">
        <v>2085</v>
      </c>
      <c r="I61" s="10">
        <v>95.1</v>
      </c>
      <c r="O61" s="15">
        <f>IFERROR(__xludf.DUMMYFUNCTION("IF(ISBLANK($C61), """", GOOGLEFINANCE($C61, ""price""))"),340.01)</f>
        <v>340.01</v>
      </c>
      <c r="P61" s="16">
        <f t="shared" si="2"/>
        <v>0.1923481554</v>
      </c>
      <c r="Q61" s="16">
        <f>IFERROR(__xludf.DUMMYFUNCTION("IF(OR(ISBLANK($G61), IFERROR(INDEX(GOOGLEFINANCE($C61, ""price"", WORKDAY(INT($B61), 1)), 2, 2), """")=""""), """", IF($D61=""LONG"", (IFERROR(INDEX(GOOGLEFINANCE($C61, ""price"", WORKDAY(INT($B61), 1)), 2, 2), """")-$G61)/$G61, ($G61-IFERROR(INDEX(GOOGLE"&amp;"FINANCE($C61, ""price"", WORKDAY(INT($B61), 1)), 2, 2), """"))/$G61))"),0.03215738532753527)</f>
        <v>0.03215738533</v>
      </c>
      <c r="R61" s="16">
        <f>IFERROR(__xludf.DUMMYFUNCTION("IF(OR(ISBLANK($G61), IFERROR(INDEX(GOOGLEFINANCE($C61, ""price"", WORKDAY(INT($B61), 5)), 2, 2), """")=""""), """", IF($D61=""LONG"", (IFERROR(INDEX(GOOGLEFINANCE($C61, ""price"", WORKDAY(INT($B61), 5)), 2, 2), """")-$G61)/$G61, ($G61-IFERROR(INDEX(GOOGLE"&amp;"FINANCE($C61, ""price"", WORKDAY(INT($B61), 5)), 2, 2), """"))/$G61))"),0.0047341843175759775)</f>
        <v>0.004734184318</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2087</v>
      </c>
      <c r="U61" s="10" t="s">
        <v>984</v>
      </c>
      <c r="V61" s="10" t="s">
        <v>985</v>
      </c>
      <c r="W61" s="10" t="s">
        <v>51</v>
      </c>
      <c r="X61" s="10" t="s">
        <v>984</v>
      </c>
    </row>
    <row r="62">
      <c r="A62" s="9">
        <f t="shared" si="1"/>
        <v>61</v>
      </c>
      <c r="B62" s="11">
        <v>46218.66748842593</v>
      </c>
      <c r="C62" s="10" t="s">
        <v>1555</v>
      </c>
      <c r="D62" s="10" t="s">
        <v>36</v>
      </c>
      <c r="E62" s="10" t="s">
        <v>37</v>
      </c>
      <c r="F62" s="13">
        <v>2.0</v>
      </c>
      <c r="G62" s="14">
        <v>364.06</v>
      </c>
      <c r="H62" s="10" t="s">
        <v>1754</v>
      </c>
      <c r="I62" s="10">
        <v>92.9</v>
      </c>
      <c r="O62" s="15">
        <f>IFERROR(__xludf.DUMMYFUNCTION("IF(ISBLANK($C62), """", GOOGLEFINANCE($C62, ""price""))"),370.35)</f>
        <v>370.35</v>
      </c>
      <c r="P62" s="16">
        <f t="shared" si="2"/>
        <v>0.01727737186</v>
      </c>
      <c r="Q62" s="16">
        <f>IFERROR(__xludf.DUMMYFUNCTION("IF(OR(ISBLANK($G62), IFERROR(INDEX(GOOGLEFINANCE($C62, ""price"", WORKDAY(INT($B62), 1)), 2, 2), """")=""""), """", IF($D62=""LONG"", (IFERROR(INDEX(GOOGLEFINANCE($C62, ""price"", WORKDAY(INT($B62), 1)), 2, 2), """")-$G62)/$G62, ($G62-IFERROR(INDEX(GOOGLE"&amp;"FINANCE($C62, ""price"", WORKDAY(INT($B62), 1)), 2, 2), """"))/$G62))"),0.025160687798714568)</f>
        <v>0.0251606878</v>
      </c>
      <c r="R62" s="16">
        <f>IFERROR(__xludf.DUMMYFUNCTION("IF(OR(ISBLANK($G62), IFERROR(INDEX(GOOGLEFINANCE($C62, ""price"", WORKDAY(INT($B62), 5)), 2, 2), """")=""""), """", IF($D62=""LONG"", (IFERROR(INDEX(GOOGLEFINANCE($C62, ""price"", WORKDAY(INT($B62), 5)), 2, 2), """")-$G62)/$G62, ($G62-IFERROR(INDEX(GOOGLE"&amp;"FINANCE($C62, ""price"", WORKDAY(INT($B62), 5)), 2, 2), """"))/$G62))"),0.024748667802010633)</f>
        <v>0.0247486678</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2090</v>
      </c>
      <c r="U62" s="10" t="s">
        <v>492</v>
      </c>
      <c r="V62" s="10" t="s">
        <v>493</v>
      </c>
      <c r="W62" s="10" t="s">
        <v>51</v>
      </c>
      <c r="X62" s="10" t="s">
        <v>492</v>
      </c>
    </row>
    <row r="63">
      <c r="A63" s="9">
        <f t="shared" si="1"/>
        <v>62</v>
      </c>
      <c r="B63" s="11">
        <v>46218.66773148148</v>
      </c>
      <c r="C63" s="10" t="s">
        <v>303</v>
      </c>
      <c r="D63" s="10" t="s">
        <v>36</v>
      </c>
      <c r="E63" s="10" t="s">
        <v>37</v>
      </c>
      <c r="F63" s="13">
        <v>2.0</v>
      </c>
      <c r="G63" s="14">
        <v>105.88</v>
      </c>
      <c r="H63" s="10" t="s">
        <v>2091</v>
      </c>
      <c r="I63" s="10">
        <v>89.9</v>
      </c>
      <c r="O63" s="15">
        <f>IFERROR(__xludf.DUMMYFUNCTION("IF(ISBLANK($C63), """", GOOGLEFINANCE($C63, ""price""))"),96.22)</f>
        <v>96.22</v>
      </c>
      <c r="P63" s="16">
        <f t="shared" si="2"/>
        <v>-0.09123536079</v>
      </c>
      <c r="Q63" s="16">
        <f>IFERROR(__xludf.DUMMYFUNCTION("IF(OR(ISBLANK($G63), IFERROR(INDEX(GOOGLEFINANCE($C63, ""price"", WORKDAY(INT($B63), 1)), 2, 2), """")=""""), """", IF($D63=""LONG"", (IFERROR(INDEX(GOOGLEFINANCE($C63, ""price"", WORKDAY(INT($B63), 1)), 2, 2), """")-$G63)/$G63, ($G63-IFERROR(INDEX(GOOGLE"&amp;"FINANCE($C63, ""price"", WORKDAY(INT($B63), 1)), 2, 2), """"))/$G63))"),0.0058556856819040855)</f>
        <v>0.005855685682</v>
      </c>
      <c r="R63" s="16">
        <f>IFERROR(__xludf.DUMMYFUNCTION("IF(OR(ISBLANK($G63), IFERROR(INDEX(GOOGLEFINANCE($C63, ""price"", WORKDAY(INT($B63), 5)), 2, 2), """")=""""), """", IF($D63=""LONG"", (IFERROR(INDEX(GOOGLEFINANCE($C63, ""price"", WORKDAY(INT($B63), 5)), 2, 2), """")-$G63)/$G63, ($G63-IFERROR(INDEX(GOOGLE"&amp;"FINANCE($C63, ""price"", WORKDAY(INT($B63), 5)), 2, 2), """"))/$G63))"),0.020778239516433726)</f>
        <v>0.02077823952</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2093</v>
      </c>
      <c r="U63" s="10" t="s">
        <v>492</v>
      </c>
      <c r="V63" s="10" t="s">
        <v>493</v>
      </c>
      <c r="W63" s="10" t="s">
        <v>51</v>
      </c>
      <c r="X63" s="10" t="s">
        <v>492</v>
      </c>
    </row>
    <row r="64">
      <c r="A64" s="9">
        <f t="shared" si="1"/>
        <v>63</v>
      </c>
      <c r="B64" s="11">
        <v>46218.667662037034</v>
      </c>
      <c r="C64" s="10" t="s">
        <v>351</v>
      </c>
      <c r="D64" s="10" t="s">
        <v>36</v>
      </c>
      <c r="E64" s="10" t="s">
        <v>37</v>
      </c>
      <c r="F64" s="13">
        <v>2.0</v>
      </c>
      <c r="G64" s="14">
        <v>221.95</v>
      </c>
      <c r="H64" s="10" t="s">
        <v>2095</v>
      </c>
      <c r="I64" s="10">
        <v>87.2</v>
      </c>
      <c r="L64" s="10" t="s">
        <v>2096</v>
      </c>
      <c r="M64" s="34" t="s">
        <v>921</v>
      </c>
      <c r="N64" s="10" t="s">
        <v>925</v>
      </c>
      <c r="O64" s="15">
        <f>IFERROR(__xludf.DUMMYFUNCTION("IF(ISBLANK($C64), """", GOOGLEFINANCE($C64, ""price""))"),221.83)</f>
        <v>221.83</v>
      </c>
      <c r="P64" s="16">
        <f t="shared" si="2"/>
        <v>-0.0005406623113</v>
      </c>
      <c r="Q64" s="16">
        <f>IFERROR(__xludf.DUMMYFUNCTION("IF(OR(ISBLANK($G64), IFERROR(INDEX(GOOGLEFINANCE($C64, ""price"", WORKDAY(INT($B64), 1)), 2, 2), """")=""""), """", IF($D64=""LONG"", (IFERROR(INDEX(GOOGLEFINANCE($C64, ""price"", WORKDAY(INT($B64), 1)), 2, 2), """")-$G64)/$G64, ($G64-IFERROR(INDEX(GOOGLE"&amp;"FINANCE($C64, ""price"", WORKDAY(INT($B64), 1)), 2, 2), """"))/$G64))"),0.029466095967560356)</f>
        <v>0.02946609597</v>
      </c>
      <c r="R64" s="16">
        <f>IFERROR(__xludf.DUMMYFUNCTION("IF(OR(ISBLANK($G64), IFERROR(INDEX(GOOGLEFINANCE($C64, ""price"", WORKDAY(INT($B64), 5)), 2, 2), """")=""""), """", IF($D64=""LONG"", (IFERROR(INDEX(GOOGLEFINANCE($C64, ""price"", WORKDAY(INT($B64), 5)), 2, 2), """")-$G64)/$G64, ($G64-IFERROR(INDEX(GOOGLE"&amp;"FINANCE($C64, ""price"", WORKDAY(INT($B64), 5)), 2, 2), """"))/$G64))"),0.019238567244875018)</f>
        <v>0.01923856724</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2098</v>
      </c>
      <c r="U64" s="10" t="s">
        <v>219</v>
      </c>
      <c r="V64" s="10" t="s">
        <v>2099</v>
      </c>
      <c r="W64" s="10" t="s">
        <v>2100</v>
      </c>
      <c r="X64" s="10" t="s">
        <v>974</v>
      </c>
    </row>
    <row r="65">
      <c r="A65" s="9">
        <f t="shared" si="1"/>
        <v>64</v>
      </c>
      <c r="B65" s="11">
        <v>46218.66752314815</v>
      </c>
      <c r="C65" s="10" t="s">
        <v>442</v>
      </c>
      <c r="D65" s="10" t="s">
        <v>36</v>
      </c>
      <c r="E65" s="10" t="s">
        <v>37</v>
      </c>
      <c r="F65" s="13">
        <v>2.0</v>
      </c>
      <c r="G65" s="14">
        <v>541.01</v>
      </c>
      <c r="H65" s="10" t="s">
        <v>2101</v>
      </c>
      <c r="I65" s="10">
        <v>98.6</v>
      </c>
      <c r="O65" s="15">
        <f>IFERROR(__xludf.DUMMYFUNCTION("IF(ISBLANK($C65), """", GOOGLEFINANCE($C65, ""price""))"),522.46)</f>
        <v>522.46</v>
      </c>
      <c r="P65" s="16">
        <f t="shared" si="2"/>
        <v>-0.03428772111</v>
      </c>
      <c r="Q65" s="16">
        <f>IFERROR(__xludf.DUMMYFUNCTION("IF(OR(ISBLANK($G65), IFERROR(INDEX(GOOGLEFINANCE($C65, ""price"", WORKDAY(INT($B65), 1)), 2, 2), """")=""""), """", IF($D65=""LONG"", (IFERROR(INDEX(GOOGLEFINANCE($C65, ""price"", WORKDAY(INT($B65), 1)), 2, 2), """")-$G65)/$G65, ($G65-IFERROR(INDEX(GOOGLE"&amp;"FINANCE($C65, ""price"", WORKDAY(INT($B65), 1)), 2, 2), """"))/$G65))"),0.0013678120552300496)</f>
        <v>0.001367812055</v>
      </c>
      <c r="R65" s="16">
        <f>IFERROR(__xludf.DUMMYFUNCTION("IF(OR(ISBLANK($G65), IFERROR(INDEX(GOOGLEFINANCE($C65, ""price"", WORKDAY(INT($B65), 5)), 2, 2), """")=""""), """", IF($D65=""LONG"", (IFERROR(INDEX(GOOGLEFINANCE($C65, ""price"", WORKDAY(INT($B65), 5)), 2, 2), """")-$G65)/$G65, ($G65-IFERROR(INDEX(GOOGLE"&amp;"FINANCE($C65, ""price"", WORKDAY(INT($B65), 5)), 2, 2), """"))/$G65))"),-0.09153250402025838)</f>
        <v>-0.09153250402</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2103</v>
      </c>
      <c r="U65" s="10" t="s">
        <v>984</v>
      </c>
      <c r="V65" s="10" t="s">
        <v>985</v>
      </c>
      <c r="W65" s="10" t="s">
        <v>51</v>
      </c>
      <c r="X65" s="10" t="s">
        <v>984</v>
      </c>
    </row>
    <row r="66">
      <c r="A66" s="9">
        <f t="shared" si="1"/>
        <v>65</v>
      </c>
      <c r="B66" s="11">
        <v>46218.667708333334</v>
      </c>
      <c r="C66" s="10" t="s">
        <v>731</v>
      </c>
      <c r="D66" s="10" t="s">
        <v>36</v>
      </c>
      <c r="E66" s="10" t="s">
        <v>37</v>
      </c>
      <c r="F66" s="13">
        <v>2.0</v>
      </c>
      <c r="G66" s="14">
        <v>68.25</v>
      </c>
      <c r="H66" s="10" t="s">
        <v>2104</v>
      </c>
      <c r="I66" s="10">
        <v>94.5</v>
      </c>
      <c r="L66" s="10" t="s">
        <v>2105</v>
      </c>
      <c r="M66" s="34" t="s">
        <v>2106</v>
      </c>
      <c r="N66" s="10" t="s">
        <v>2107</v>
      </c>
      <c r="O66" s="15">
        <f>IFERROR(__xludf.DUMMYFUNCTION("IF(ISBLANK($C66), """", GOOGLEFINANCE($C66, ""price""))"),66.7)</f>
        <v>66.7</v>
      </c>
      <c r="P66" s="16">
        <f t="shared" si="2"/>
        <v>-0.02271062271</v>
      </c>
      <c r="Q66" s="16">
        <f>IFERROR(__xludf.DUMMYFUNCTION("IF(OR(ISBLANK($G66), IFERROR(INDEX(GOOGLEFINANCE($C66, ""price"", WORKDAY(INT($B66), 1)), 2, 2), """")=""""), """", IF($D66=""LONG"", (IFERROR(INDEX(GOOGLEFINANCE($C66, ""price"", WORKDAY(INT($B66), 1)), 2, 2), """")-$G66)/$G66, ($G66-IFERROR(INDEX(GOOGLE"&amp;"FINANCE($C66, ""price"", WORKDAY(INT($B66), 1)), 2, 2), """"))/$G66))"),0.02564102564102564)</f>
        <v>0.02564102564</v>
      </c>
      <c r="R66" s="16">
        <f>IFERROR(__xludf.DUMMYFUNCTION("IF(OR(ISBLANK($G66), IFERROR(INDEX(GOOGLEFINANCE($C66, ""price"", WORKDAY(INT($B66), 5)), 2, 2), """")=""""), """", IF($D66=""LONG"", (IFERROR(INDEX(GOOGLEFINANCE($C66, ""price"", WORKDAY(INT($B66), 5)), 2, 2), """")-$G66)/$G66, ($G66-IFERROR(INDEX(GOOGLE"&amp;"FINANCE($C66, ""price"", WORKDAY(INT($B66), 5)), 2, 2), """"))/$G66))"),5.860805860806777E-4)</f>
        <v>0.0005860805861</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2109</v>
      </c>
      <c r="U66" s="10" t="s">
        <v>932</v>
      </c>
      <c r="V66" s="10" t="s">
        <v>933</v>
      </c>
      <c r="W66" s="10" t="s">
        <v>51</v>
      </c>
      <c r="X66" s="10" t="s">
        <v>932</v>
      </c>
    </row>
    <row r="67">
      <c r="A67" s="9">
        <f t="shared" si="1"/>
        <v>66</v>
      </c>
      <c r="B67" s="11">
        <v>46218.667546296296</v>
      </c>
      <c r="C67" s="10" t="s">
        <v>215</v>
      </c>
      <c r="D67" s="10" t="s">
        <v>36</v>
      </c>
      <c r="E67" s="10" t="s">
        <v>37</v>
      </c>
      <c r="F67" s="13">
        <v>2.0</v>
      </c>
      <c r="G67" s="14">
        <v>97.57</v>
      </c>
      <c r="H67" s="10" t="s">
        <v>2111</v>
      </c>
      <c r="I67" s="10">
        <v>87.3</v>
      </c>
      <c r="O67" s="15">
        <f>IFERROR(__xludf.DUMMYFUNCTION("IF(ISBLANK($C67), """", GOOGLEFINANCE($C67, ""price""))"),94.16)</f>
        <v>94.16</v>
      </c>
      <c r="P67" s="16">
        <f t="shared" si="2"/>
        <v>-0.03494926719</v>
      </c>
      <c r="Q67" s="16">
        <f>IFERROR(__xludf.DUMMYFUNCTION("IF(OR(ISBLANK($G67), IFERROR(INDEX(GOOGLEFINANCE($C67, ""price"", WORKDAY(INT($B67), 1)), 2, 2), """")=""""), """", IF($D67=""LONG"", (IFERROR(INDEX(GOOGLEFINANCE($C67, ""price"", WORKDAY(INT($B67), 1)), 2, 2), """")-$G67)/$G67, ($G67-IFERROR(INDEX(GOOGLE"&amp;"FINANCE($C67, ""price"", WORKDAY(INT($B67), 1)), 2, 2), """"))/$G67))"),0.024290253151583528)</f>
        <v>0.02429025315</v>
      </c>
      <c r="R67" s="16">
        <f>IFERROR(__xludf.DUMMYFUNCTION("IF(OR(ISBLANK($G67), IFERROR(INDEX(GOOGLEFINANCE($C67, ""price"", WORKDAY(INT($B67), 5)), 2, 2), """")=""""), """", IF($D67=""LONG"", (IFERROR(INDEX(GOOGLEFINANCE($C67, ""price"", WORKDAY(INT($B67), 5)), 2, 2), """")-$G67)/$G67, ($G67-IFERROR(INDEX(GOOGLE"&amp;"FINANCE($C67, ""price"", WORKDAY(INT($B67), 5)), 2, 2), """"))/$G67))"),-0.019473198729117472)</f>
        <v>-0.01947319873</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2112</v>
      </c>
      <c r="U67" s="10" t="s">
        <v>984</v>
      </c>
      <c r="V67" s="10" t="s">
        <v>1880</v>
      </c>
      <c r="W67" s="10" t="s">
        <v>51</v>
      </c>
      <c r="X67" s="10" t="s">
        <v>984</v>
      </c>
    </row>
    <row r="68">
      <c r="A68" s="9">
        <f t="shared" si="1"/>
        <v>67</v>
      </c>
      <c r="B68" s="11">
        <v>46218.667662037034</v>
      </c>
      <c r="C68" s="10" t="s">
        <v>505</v>
      </c>
      <c r="D68" s="10" t="s">
        <v>119</v>
      </c>
      <c r="E68" s="10" t="s">
        <v>120</v>
      </c>
      <c r="F68" s="13">
        <v>4.0</v>
      </c>
      <c r="G68" s="14">
        <v>24.8</v>
      </c>
      <c r="H68" s="10" t="s">
        <v>2114</v>
      </c>
      <c r="I68" s="10">
        <v>8.0</v>
      </c>
      <c r="O68" s="15">
        <f>IFERROR(__xludf.DUMMYFUNCTION("IF(ISBLANK($C68), """", GOOGLEFINANCE($C68, ""price""))"),26.2)</f>
        <v>26.2</v>
      </c>
      <c r="P68" s="16">
        <f t="shared" si="2"/>
        <v>-0.0564516129</v>
      </c>
      <c r="Q68" s="16">
        <f>IFERROR(__xludf.DUMMYFUNCTION("IF(OR(ISBLANK($G68), IFERROR(INDEX(GOOGLEFINANCE($C68, ""price"", WORKDAY(INT($B68), 1)), 2, 2), """")=""""), """", IF($D68=""LONG"", (IFERROR(INDEX(GOOGLEFINANCE($C68, ""price"", WORKDAY(INT($B68), 1)), 2, 2), """")-$G68)/$G68, ($G68-IFERROR(INDEX(GOOGLE"&amp;"FINANCE($C68, ""price"", WORKDAY(INT($B68), 1)), 2, 2), """"))/$G68))"),-0.013709677419354832)</f>
        <v>-0.01370967742</v>
      </c>
      <c r="R68" s="16">
        <f>IFERROR(__xludf.DUMMYFUNCTION("IF(OR(ISBLANK($G68), IFERROR(INDEX(GOOGLEFINANCE($C68, ""price"", WORKDAY(INT($B68), 5)), 2, 2), """")=""""), """", IF($D68=""LONG"", (IFERROR(INDEX(GOOGLEFINANCE($C68, ""price"", WORKDAY(INT($B68), 5)), 2, 2), """")-$G68)/$G68, ($G68-IFERROR(INDEX(GOOGLE"&amp;"FINANCE($C68, ""price"", WORKDAY(INT($B68), 5)), 2, 2), """"))/$G68))"),-8.064516129032086E-4)</f>
        <v>-0.0008064516129</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2116</v>
      </c>
      <c r="U68" s="10" t="s">
        <v>984</v>
      </c>
      <c r="V68" s="10" t="s">
        <v>985</v>
      </c>
      <c r="W68" s="10" t="s">
        <v>51</v>
      </c>
      <c r="X68" s="10" t="s">
        <v>984</v>
      </c>
    </row>
    <row r="69">
      <c r="A69" s="9">
        <f t="shared" si="1"/>
        <v>68</v>
      </c>
      <c r="B69" s="11">
        <v>46218.66751157407</v>
      </c>
      <c r="C69" s="10" t="s">
        <v>445</v>
      </c>
      <c r="D69" s="10" t="s">
        <v>36</v>
      </c>
      <c r="E69" s="10" t="s">
        <v>37</v>
      </c>
      <c r="F69" s="13">
        <v>2.0</v>
      </c>
      <c r="G69" s="14">
        <v>148.38</v>
      </c>
      <c r="H69" s="10" t="s">
        <v>2117</v>
      </c>
      <c r="I69" s="10">
        <v>96.2</v>
      </c>
      <c r="O69" s="15">
        <f>IFERROR(__xludf.DUMMYFUNCTION("IF(ISBLANK($C69), """", GOOGLEFINANCE($C69, ""price""))"),151.64)</f>
        <v>151.64</v>
      </c>
      <c r="P69" s="16">
        <f t="shared" si="2"/>
        <v>0.02197061599</v>
      </c>
      <c r="Q69" s="16">
        <f>IFERROR(__xludf.DUMMYFUNCTION("IF(OR(ISBLANK($G69), IFERROR(INDEX(GOOGLEFINANCE($C69, ""price"", WORKDAY(INT($B69), 1)), 2, 2), """")=""""), """", IF($D69=""LONG"", (IFERROR(INDEX(GOOGLEFINANCE($C69, ""price"", WORKDAY(INT($B69), 1)), 2, 2), """")-$G69)/$G69, ($G69-IFERROR(INDEX(GOOGLE"&amp;"FINANCE($C69, ""price"", WORKDAY(INT($B69), 1)), 2, 2), """"))/$G69))"),-0.003908882598732876)</f>
        <v>-0.003908882599</v>
      </c>
      <c r="R69" s="16">
        <f>IFERROR(__xludf.DUMMYFUNCTION("IF(OR(ISBLANK($G69), IFERROR(INDEX(GOOGLEFINANCE($C69, ""price"", WORKDAY(INT($B69), 5)), 2, 2), """")=""""), """", IF($D69=""LONG"", (IFERROR(INDEX(GOOGLEFINANCE($C69, ""price"", WORKDAY(INT($B69), 5)), 2, 2), """")-$G69)/$G69, ($G69-IFERROR(INDEX(GOOGLE"&amp;"FINANCE($C69, ""price"", WORKDAY(INT($B69), 5)), 2, 2), """"))/$G69))"),-0.05613964146111325)</f>
        <v>-0.05613964146</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2118</v>
      </c>
      <c r="U69" s="10" t="s">
        <v>240</v>
      </c>
      <c r="V69" s="10" t="s">
        <v>2120</v>
      </c>
      <c r="W69" s="10" t="s">
        <v>2121</v>
      </c>
      <c r="X69" s="10" t="s">
        <v>1905</v>
      </c>
    </row>
    <row r="70">
      <c r="A70" s="9">
        <f t="shared" si="1"/>
        <v>69</v>
      </c>
      <c r="B70" s="11">
        <v>46218.667604166665</v>
      </c>
      <c r="C70" s="10" t="s">
        <v>455</v>
      </c>
      <c r="D70" s="10" t="s">
        <v>36</v>
      </c>
      <c r="E70" s="10" t="s">
        <v>37</v>
      </c>
      <c r="F70" s="13">
        <v>2.0</v>
      </c>
      <c r="G70" s="14">
        <v>106.53</v>
      </c>
      <c r="H70" s="10" t="s">
        <v>2122</v>
      </c>
      <c r="I70" s="10">
        <v>98.6</v>
      </c>
      <c r="O70" s="15">
        <f>IFERROR(__xludf.DUMMYFUNCTION("IF(ISBLANK($C70), """", GOOGLEFINANCE($C70, ""price""))"),108.66)</f>
        <v>108.66</v>
      </c>
      <c r="P70" s="16">
        <f t="shared" si="2"/>
        <v>0.01999436778</v>
      </c>
      <c r="Q70" s="16">
        <f>IFERROR(__xludf.DUMMYFUNCTION("IF(OR(ISBLANK($G70), IFERROR(INDEX(GOOGLEFINANCE($C70, ""price"", WORKDAY(INT($B70), 1)), 2, 2), """")=""""), """", IF($D70=""LONG"", (IFERROR(INDEX(GOOGLEFINANCE($C70, ""price"", WORKDAY(INT($B70), 1)), 2, 2), """")-$G70)/$G70, ($G70-IFERROR(INDEX(GOOGLE"&amp;"FINANCE($C70, ""price"", WORKDAY(INT($B70), 1)), 2, 2), """"))/$G70))"),0.02309208673613061)</f>
        <v>0.02309208674</v>
      </c>
      <c r="R70" s="16">
        <f>IFERROR(__xludf.DUMMYFUNCTION("IF(OR(ISBLANK($G70), IFERROR(INDEX(GOOGLEFINANCE($C70, ""price"", WORKDAY(INT($B70), 5)), 2, 2), """")=""""), """", IF($D70=""LONG"", (IFERROR(INDEX(GOOGLEFINANCE($C70, ""price"", WORKDAY(INT($B70), 5)), 2, 2), """")-$G70)/$G70, ($G70-IFERROR(INDEX(GOOGLE"&amp;"FINANCE($C70, ""price"", WORKDAY(INT($B70), 5)), 2, 2), """"))/$G70))"),0.022059513751994688)</f>
        <v>0.02205951375</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2124</v>
      </c>
      <c r="U70" s="10" t="s">
        <v>984</v>
      </c>
      <c r="V70" s="10" t="s">
        <v>985</v>
      </c>
      <c r="W70" s="10" t="s">
        <v>51</v>
      </c>
      <c r="X70" s="10" t="s">
        <v>984</v>
      </c>
    </row>
    <row r="71">
      <c r="A71" s="9">
        <f t="shared" si="1"/>
        <v>70</v>
      </c>
      <c r="B71" s="11">
        <v>46218.667708333334</v>
      </c>
      <c r="C71" s="10" t="s">
        <v>539</v>
      </c>
      <c r="D71" s="10" t="s">
        <v>36</v>
      </c>
      <c r="E71" s="10" t="s">
        <v>37</v>
      </c>
      <c r="F71" s="13">
        <v>2.0</v>
      </c>
      <c r="G71" s="14">
        <v>26.43</v>
      </c>
      <c r="H71" s="10" t="s">
        <v>2125</v>
      </c>
      <c r="I71" s="10">
        <v>94.0</v>
      </c>
      <c r="O71" s="15">
        <f>IFERROR(__xludf.DUMMYFUNCTION("IF(ISBLANK($C71), """", GOOGLEFINANCE($C71, ""price""))"),28.1)</f>
        <v>28.1</v>
      </c>
      <c r="P71" s="16">
        <f t="shared" si="2"/>
        <v>0.06318577374</v>
      </c>
      <c r="Q71" s="16">
        <f>IFERROR(__xludf.DUMMYFUNCTION("IF(OR(ISBLANK($G71), IFERROR(INDEX(GOOGLEFINANCE($C71, ""price"", WORKDAY(INT($B71), 1)), 2, 2), """")=""""), """", IF($D71=""LONG"", (IFERROR(INDEX(GOOGLEFINANCE($C71, ""price"", WORKDAY(INT($B71), 1)), 2, 2), """")-$G71)/$G71, ($G71-IFERROR(INDEX(GOOGLE"&amp;"FINANCE($C71, ""price"", WORKDAY(INT($B71), 1)), 2, 2), """"))/$G71))"),0.02194475974271668)</f>
        <v>0.02194475974</v>
      </c>
      <c r="R71" s="16">
        <f>IFERROR(__xludf.DUMMYFUNCTION("IF(OR(ISBLANK($G71), IFERROR(INDEX(GOOGLEFINANCE($C71, ""price"", WORKDAY(INT($B71), 5)), 2, 2), """")=""""), """", IF($D71=""LONG"", (IFERROR(INDEX(GOOGLEFINANCE($C71, ""price"", WORKDAY(INT($B71), 5)), 2, 2), """")-$G71)/$G71, ($G71-IFERROR(INDEX(GOOGLE"&amp;"FINANCE($C71, ""price"", WORKDAY(INT($B71), 5)), 2, 2), """"))/$G71))"),-0.03216042376087785)</f>
        <v>-0.03216042376</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2127</v>
      </c>
      <c r="U71" s="10" t="s">
        <v>984</v>
      </c>
      <c r="V71" s="10" t="s">
        <v>1880</v>
      </c>
      <c r="W71" s="10" t="s">
        <v>51</v>
      </c>
      <c r="X71" s="10" t="s">
        <v>984</v>
      </c>
    </row>
    <row r="72">
      <c r="A72" s="9">
        <f t="shared" si="1"/>
        <v>71</v>
      </c>
      <c r="B72" s="11">
        <v>46218.66768518519</v>
      </c>
      <c r="C72" s="10" t="s">
        <v>312</v>
      </c>
      <c r="D72" s="10" t="s">
        <v>36</v>
      </c>
      <c r="E72" s="10" t="s">
        <v>37</v>
      </c>
      <c r="F72" s="13">
        <v>2.0</v>
      </c>
      <c r="G72" s="14">
        <v>14.82</v>
      </c>
      <c r="H72" s="10" t="s">
        <v>2128</v>
      </c>
      <c r="I72" s="10">
        <v>84.9</v>
      </c>
      <c r="O72" s="15">
        <f>IFERROR(__xludf.DUMMYFUNCTION("IF(ISBLANK($C72), """", GOOGLEFINANCE($C72, ""price""))"),14.7)</f>
        <v>14.7</v>
      </c>
      <c r="P72" s="16">
        <f t="shared" si="2"/>
        <v>-0.008097165992</v>
      </c>
      <c r="Q72" s="16">
        <f>IFERROR(__xludf.DUMMYFUNCTION("IF(OR(ISBLANK($G72), IFERROR(INDEX(GOOGLEFINANCE($C72, ""price"", WORKDAY(INT($B72), 1)), 2, 2), """")=""""), """", IF($D72=""LONG"", (IFERROR(INDEX(GOOGLEFINANCE($C72, ""price"", WORKDAY(INT($B72), 1)), 2, 2), """")-$G72)/$G72, ($G72-IFERROR(INDEX(GOOGLE"&amp;"FINANCE($C72, ""price"", WORKDAY(INT($B72), 1)), 2, 2), """"))/$G72))"),-0.00134952766531711)</f>
        <v>-0.001349527665</v>
      </c>
      <c r="R72" s="16">
        <f>IFERROR(__xludf.DUMMYFUNCTION("IF(OR(ISBLANK($G72), IFERROR(INDEX(GOOGLEFINANCE($C72, ""price"", WORKDAY(INT($B72), 5)), 2, 2), """")=""""), """", IF($D72=""LONG"", (IFERROR(INDEX(GOOGLEFINANCE($C72, ""price"", WORKDAY(INT($B72), 5)), 2, 2), """")-$G72)/$G72, ($G72-IFERROR(INDEX(GOOGLE"&amp;"FINANCE($C72, ""price"", WORKDAY(INT($B72), 5)), 2, 2), """"))/$G72))"),0.00269905533063422)</f>
        <v>0.002699055331</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2130</v>
      </c>
      <c r="U72" s="10" t="s">
        <v>984</v>
      </c>
      <c r="V72" s="10" t="s">
        <v>1880</v>
      </c>
      <c r="W72" s="10" t="s">
        <v>51</v>
      </c>
      <c r="X72" s="10" t="s">
        <v>984</v>
      </c>
    </row>
    <row r="73">
      <c r="A73" s="9">
        <f t="shared" si="1"/>
        <v>72</v>
      </c>
      <c r="B73" s="11">
        <v>46218.66767361111</v>
      </c>
      <c r="C73" s="10" t="s">
        <v>162</v>
      </c>
      <c r="D73" s="10" t="s">
        <v>36</v>
      </c>
      <c r="E73" s="10" t="s">
        <v>37</v>
      </c>
      <c r="F73" s="13">
        <v>2.0</v>
      </c>
      <c r="G73" s="14">
        <v>49.26</v>
      </c>
      <c r="H73" s="10" t="s">
        <v>2131</v>
      </c>
      <c r="I73" s="10">
        <v>91.7</v>
      </c>
      <c r="L73" s="10" t="s">
        <v>2132</v>
      </c>
      <c r="M73" s="34" t="s">
        <v>2106</v>
      </c>
      <c r="N73" s="10" t="s">
        <v>925</v>
      </c>
      <c r="O73" s="15">
        <f>IFERROR(__xludf.DUMMYFUNCTION("IF(ISBLANK($C73), """", GOOGLEFINANCE($C73, ""price""))"),46.94)</f>
        <v>46.94</v>
      </c>
      <c r="P73" s="16">
        <f t="shared" si="2"/>
        <v>-0.04709703613</v>
      </c>
      <c r="Q73" s="16">
        <f>IFERROR(__xludf.DUMMYFUNCTION("IF(OR(ISBLANK($G73), IFERROR(INDEX(GOOGLEFINANCE($C73, ""price"", WORKDAY(INT($B73), 1)), 2, 2), """")=""""), """", IF($D73=""LONG"", (IFERROR(INDEX(GOOGLEFINANCE($C73, ""price"", WORKDAY(INT($B73), 1)), 2, 2), """")-$G73)/$G73, ($G73-IFERROR(INDEX(GOOGLE"&amp;"FINANCE($C73, ""price"", WORKDAY(INT($B73), 1)), 2, 2), """"))/$G73))"),0.0034510759236703555)</f>
        <v>0.003451075924</v>
      </c>
      <c r="R73" s="16">
        <f>IFERROR(__xludf.DUMMYFUNCTION("IF(OR(ISBLANK($G73), IFERROR(INDEX(GOOGLEFINANCE($C73, ""price"", WORKDAY(INT($B73), 5)), 2, 2), """")=""""), """", IF($D73=""LONG"", (IFERROR(INDEX(GOOGLEFINANCE($C73, ""price"", WORKDAY(INT($B73), 5)), 2, 2), """")-$G73)/$G73, ($G73-IFERROR(INDEX(GOOGLE"&amp;"FINANCE($C73, ""price"", WORKDAY(INT($B73), 5)), 2, 2), """"))/$G73))"),-0.032480714575720694)</f>
        <v>-0.03248071458</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2135</v>
      </c>
      <c r="U73" s="10" t="s">
        <v>219</v>
      </c>
      <c r="V73" s="10" t="s">
        <v>2136</v>
      </c>
      <c r="W73" s="10" t="s">
        <v>2137</v>
      </c>
      <c r="X73" s="10" t="s">
        <v>974</v>
      </c>
    </row>
    <row r="74">
      <c r="A74" s="9">
        <f t="shared" si="1"/>
        <v>73</v>
      </c>
      <c r="B74" s="11">
        <v>46218.66767361111</v>
      </c>
      <c r="C74" s="10" t="s">
        <v>986</v>
      </c>
      <c r="D74" s="10" t="s">
        <v>119</v>
      </c>
      <c r="E74" s="10" t="s">
        <v>120</v>
      </c>
      <c r="F74" s="13">
        <v>4.0</v>
      </c>
      <c r="G74" s="14">
        <v>225.9</v>
      </c>
      <c r="H74" s="10" t="s">
        <v>2138</v>
      </c>
      <c r="I74" s="10">
        <v>1.4</v>
      </c>
      <c r="O74" s="15">
        <f>IFERROR(__xludf.DUMMYFUNCTION("IF(ISBLANK($C74), """", GOOGLEFINANCE($C74, ""price""))"),254.31)</f>
        <v>254.31</v>
      </c>
      <c r="P74" s="16">
        <f t="shared" si="2"/>
        <v>-0.1257636122</v>
      </c>
      <c r="Q74" s="16">
        <f>IFERROR(__xludf.DUMMYFUNCTION("IF(OR(ISBLANK($G74), IFERROR(INDEX(GOOGLEFINANCE($C74, ""price"", WORKDAY(INT($B74), 1)), 2, 2), """")=""""), """", IF($D74=""LONG"", (IFERROR(INDEX(GOOGLEFINANCE($C74, ""price"", WORKDAY(INT($B74), 1)), 2, 2), """")-$G74)/$G74, ($G74-IFERROR(INDEX(GOOGLE"&amp;"FINANCE($C74, ""price"", WORKDAY(INT($B74), 1)), 2, 2), """"))/$G74))"),-0.030190349712262032)</f>
        <v>-0.03019034971</v>
      </c>
      <c r="R74" s="16">
        <f>IFERROR(__xludf.DUMMYFUNCTION("IF(OR(ISBLANK($G74), IFERROR(INDEX(GOOGLEFINANCE($C74, ""price"", WORKDAY(INT($B74), 5)), 2, 2), """")=""""), """", IF($D74=""LONG"", (IFERROR(INDEX(GOOGLEFINANCE($C74, ""price"", WORKDAY(INT($B74), 5)), 2, 2), """")-$G74)/$G74, ($G74-IFERROR(INDEX(GOOGLE"&amp;"FINANCE($C74, ""price"", WORKDAY(INT($B74), 5)), 2, 2), """"))/$G74))"),-0.054493138556883584)</f>
        <v>-0.05449313856</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2140</v>
      </c>
      <c r="U74" s="10" t="s">
        <v>984</v>
      </c>
      <c r="V74" s="10" t="s">
        <v>1059</v>
      </c>
      <c r="W74" s="10" t="s">
        <v>51</v>
      </c>
      <c r="X74" s="10" t="s">
        <v>984</v>
      </c>
    </row>
    <row r="75">
      <c r="A75" s="9">
        <f t="shared" si="1"/>
        <v>74</v>
      </c>
      <c r="B75" s="11">
        <v>46218.66768518519</v>
      </c>
      <c r="C75" s="10" t="s">
        <v>358</v>
      </c>
      <c r="D75" s="10" t="s">
        <v>119</v>
      </c>
      <c r="E75" s="10" t="s">
        <v>120</v>
      </c>
      <c r="F75" s="13">
        <v>4.0</v>
      </c>
      <c r="G75" s="14">
        <v>47.56</v>
      </c>
      <c r="H75" s="10" t="s">
        <v>2141</v>
      </c>
      <c r="I75" s="10">
        <v>3.0</v>
      </c>
      <c r="O75" s="15">
        <f>IFERROR(__xludf.DUMMYFUNCTION("IF(ISBLANK($C75), """", GOOGLEFINANCE($C75, ""price""))"),51.54)</f>
        <v>51.54</v>
      </c>
      <c r="P75" s="16">
        <f t="shared" si="2"/>
        <v>-0.08368376787</v>
      </c>
      <c r="Q75" s="16">
        <f>IFERROR(__xludf.DUMMYFUNCTION("IF(OR(ISBLANK($G75), IFERROR(INDEX(GOOGLEFINANCE($C75, ""price"", WORKDAY(INT($B75), 1)), 2, 2), """")=""""), """", IF($D75=""LONG"", (IFERROR(INDEX(GOOGLEFINANCE($C75, ""price"", WORKDAY(INT($B75), 1)), 2, 2), """")-$G75)/$G75, ($G75-IFERROR(INDEX(GOOGLE"&amp;"FINANCE($C75, ""price"", WORKDAY(INT($B75), 1)), 2, 2), """"))/$G75))"),0.010092514718250714)</f>
        <v>0.01009251472</v>
      </c>
      <c r="R75" s="16">
        <f>IFERROR(__xludf.DUMMYFUNCTION("IF(OR(ISBLANK($G75), IFERROR(INDEX(GOOGLEFINANCE($C75, ""price"", WORKDAY(INT($B75), 5)), 2, 2), """")=""""), """", IF($D75=""LONG"", (IFERROR(INDEX(GOOGLEFINANCE($C75, ""price"", WORKDAY(INT($B75), 5)), 2, 2), """")-$G75)/$G75, ($G75-IFERROR(INDEX(GOOGLE"&amp;"FINANCE($C75, ""price"", WORKDAY(INT($B75), 5)), 2, 2), """"))/$G75))"),-0.0023128679562657577)</f>
        <v>-0.002312867956</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2143</v>
      </c>
      <c r="U75" s="10" t="s">
        <v>984</v>
      </c>
      <c r="V75" s="10" t="s">
        <v>985</v>
      </c>
      <c r="W75" s="10" t="s">
        <v>51</v>
      </c>
      <c r="X75" s="10" t="s">
        <v>984</v>
      </c>
    </row>
    <row r="76">
      <c r="A76" s="9">
        <f t="shared" si="1"/>
        <v>75</v>
      </c>
      <c r="B76" s="11">
        <v>46218.66762731481</v>
      </c>
      <c r="C76" s="10" t="s">
        <v>223</v>
      </c>
      <c r="D76" s="10" t="s">
        <v>36</v>
      </c>
      <c r="E76" s="10" t="s">
        <v>37</v>
      </c>
      <c r="F76" s="13">
        <v>2.0</v>
      </c>
      <c r="G76" s="14">
        <v>125.39</v>
      </c>
      <c r="H76" s="10" t="s">
        <v>2144</v>
      </c>
      <c r="I76" s="10">
        <v>93.9</v>
      </c>
      <c r="O76" s="15">
        <f>IFERROR(__xludf.DUMMYFUNCTION("IF(ISBLANK($C76), """", GOOGLEFINANCE($C76, ""price""))"),129.55)</f>
        <v>129.55</v>
      </c>
      <c r="P76" s="16">
        <f t="shared" si="2"/>
        <v>0.03317648935</v>
      </c>
      <c r="Q76" s="16">
        <f>IFERROR(__xludf.DUMMYFUNCTION("IF(OR(ISBLANK($G76), IFERROR(INDEX(GOOGLEFINANCE($C76, ""price"", WORKDAY(INT($B76), 1)), 2, 2), """")=""""), """", IF($D76=""LONG"", (IFERROR(INDEX(GOOGLEFINANCE($C76, ""price"", WORKDAY(INT($B76), 1)), 2, 2), """")-$G76)/$G76, ($G76-IFERROR(INDEX(GOOGLE"&amp;"FINANCE($C76, ""price"", WORKDAY(INT($B76), 1)), 2, 2), """"))/$G76))"),0.02894967700773594)</f>
        <v>0.02894967701</v>
      </c>
      <c r="R76" s="16">
        <f>IFERROR(__xludf.DUMMYFUNCTION("IF(OR(ISBLANK($G76), IFERROR(INDEX(GOOGLEFINANCE($C76, ""price"", WORKDAY(INT($B76), 5)), 2, 2), """")=""""), """", IF($D76=""LONG"", (IFERROR(INDEX(GOOGLEFINANCE($C76, ""price"", WORKDAY(INT($B76), 5)), 2, 2), """")-$G76)/$G76, ($G76-IFERROR(INDEX(GOOGLE"&amp;"FINANCE($C76, ""price"", WORKDAY(INT($B76), 5)), 2, 2), """"))/$G76))"),0.010846159980859714)</f>
        <v>0.01084615998</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2149</v>
      </c>
      <c r="U76" s="10" t="s">
        <v>704</v>
      </c>
      <c r="V76" s="10" t="s">
        <v>2150</v>
      </c>
      <c r="W76" s="10" t="s">
        <v>2151</v>
      </c>
      <c r="X76" s="10" t="s">
        <v>1885</v>
      </c>
    </row>
    <row r="77">
      <c r="A77" s="9">
        <f t="shared" si="1"/>
        <v>76</v>
      </c>
      <c r="B77" s="11">
        <v>46218.66756944444</v>
      </c>
      <c r="C77" s="10" t="s">
        <v>288</v>
      </c>
      <c r="D77" s="10" t="s">
        <v>36</v>
      </c>
      <c r="E77" s="10" t="s">
        <v>37</v>
      </c>
      <c r="F77" s="13">
        <v>2.0</v>
      </c>
      <c r="G77" s="14">
        <v>18.7</v>
      </c>
      <c r="H77" s="10" t="s">
        <v>2152</v>
      </c>
      <c r="I77" s="10">
        <v>94.2</v>
      </c>
      <c r="O77" s="15">
        <f>IFERROR(__xludf.DUMMYFUNCTION("IF(ISBLANK($C77), """", GOOGLEFINANCE($C77, ""price""))"),19.18)</f>
        <v>19.18</v>
      </c>
      <c r="P77" s="16">
        <f t="shared" si="2"/>
        <v>0.0256684492</v>
      </c>
      <c r="Q77" s="16">
        <f>IFERROR(__xludf.DUMMYFUNCTION("IF(OR(ISBLANK($G77), IFERROR(INDEX(GOOGLEFINANCE($C77, ""price"", WORKDAY(INT($B77), 1)), 2, 2), """")=""""), """", IF($D77=""LONG"", (IFERROR(INDEX(GOOGLEFINANCE($C77, ""price"", WORKDAY(INT($B77), 1)), 2, 2), """")-$G77)/$G77, ($G77-IFERROR(INDEX(GOOGLE"&amp;"FINANCE($C77, ""price"", WORKDAY(INT($B77), 1)), 2, 2), """"))/$G77))"),0.017112299465240656)</f>
        <v>0.01711229947</v>
      </c>
      <c r="R77" s="16">
        <f>IFERROR(__xludf.DUMMYFUNCTION("IF(OR(ISBLANK($G77), IFERROR(INDEX(GOOGLEFINANCE($C77, ""price"", WORKDAY(INT($B77), 5)), 2, 2), """")=""""), """", IF($D77=""LONG"", (IFERROR(INDEX(GOOGLEFINANCE($C77, ""price"", WORKDAY(INT($B77), 5)), 2, 2), """")-$G77)/$G77, ($G77-IFERROR(INDEX(GOOGLE"&amp;"FINANCE($C77, ""price"", WORKDAY(INT($B77), 5)), 2, 2), """"))/$G77))"),0.0229946524064171)</f>
        <v>0.02299465241</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2153</v>
      </c>
      <c r="U77" s="10" t="s">
        <v>932</v>
      </c>
      <c r="V77" s="10" t="s">
        <v>933</v>
      </c>
      <c r="W77" s="10" t="s">
        <v>51</v>
      </c>
      <c r="X77" s="10" t="s">
        <v>932</v>
      </c>
    </row>
    <row r="78">
      <c r="A78" s="9">
        <f t="shared" si="1"/>
        <v>77</v>
      </c>
      <c r="B78" s="11">
        <v>46218.667592592596</v>
      </c>
      <c r="C78" s="10" t="s">
        <v>126</v>
      </c>
      <c r="D78" s="10" t="s">
        <v>36</v>
      </c>
      <c r="E78" s="10" t="s">
        <v>37</v>
      </c>
      <c r="F78" s="13">
        <v>2.0</v>
      </c>
      <c r="G78" s="14">
        <v>130.83</v>
      </c>
      <c r="H78" s="10" t="s">
        <v>2154</v>
      </c>
      <c r="I78" s="10">
        <v>98.4</v>
      </c>
      <c r="O78" s="15">
        <f>IFERROR(__xludf.DUMMYFUNCTION("IF(ISBLANK($C78), """", GOOGLEFINANCE($C78, ""price""))"),141.97)</f>
        <v>141.97</v>
      </c>
      <c r="P78" s="16">
        <f t="shared" si="2"/>
        <v>0.08514866621</v>
      </c>
      <c r="Q78" s="16">
        <f>IFERROR(__xludf.DUMMYFUNCTION("IF(OR(ISBLANK($G78), IFERROR(INDEX(GOOGLEFINANCE($C78, ""price"", WORKDAY(INT($B78), 1)), 2, 2), """")=""""), """", IF($D78=""LONG"", (IFERROR(INDEX(GOOGLEFINANCE($C78, ""price"", WORKDAY(INT($B78), 1)), 2, 2), """")-$G78)/$G78, ($G78-IFERROR(INDEX(GOOGLE"&amp;"FINANCE($C78, ""price"", WORKDAY(INT($B78), 1)), 2, 2), """"))/$G78))"),0.026828709011694492)</f>
        <v>0.02682870901</v>
      </c>
      <c r="R78" s="16">
        <f>IFERROR(__xludf.DUMMYFUNCTION("IF(OR(ISBLANK($G78), IFERROR(INDEX(GOOGLEFINANCE($C78, ""price"", WORKDAY(INT($B78), 5)), 2, 2), """")=""""), """", IF($D78=""LONG"", (IFERROR(INDEX(GOOGLEFINANCE($C78, ""price"", WORKDAY(INT($B78), 5)), 2, 2), """")-$G78)/$G78, ($G78-IFERROR(INDEX(GOOGLE"&amp;"FINANCE($C78, ""price"", WORKDAY(INT($B78), 5)), 2, 2), """"))/$G78))"),-0.007643506840938622)</f>
        <v>-0.007643506841</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2160</v>
      </c>
      <c r="U78" s="10" t="s">
        <v>984</v>
      </c>
      <c r="V78" s="10" t="s">
        <v>985</v>
      </c>
      <c r="W78" s="10" t="s">
        <v>51</v>
      </c>
      <c r="X78" s="10" t="s">
        <v>984</v>
      </c>
    </row>
    <row r="79">
      <c r="A79" s="9">
        <f t="shared" si="1"/>
        <v>78</v>
      </c>
      <c r="B79" s="11">
        <v>46218.66773148148</v>
      </c>
      <c r="C79" s="10" t="s">
        <v>434</v>
      </c>
      <c r="D79" s="10" t="s">
        <v>36</v>
      </c>
      <c r="E79" s="10" t="s">
        <v>37</v>
      </c>
      <c r="F79" s="13">
        <v>2.0</v>
      </c>
      <c r="G79" s="14">
        <v>111.33</v>
      </c>
      <c r="H79" s="10" t="s">
        <v>2161</v>
      </c>
      <c r="I79" s="10">
        <v>93.5</v>
      </c>
      <c r="O79" s="15">
        <f>IFERROR(__xludf.DUMMYFUNCTION("IF(ISBLANK($C79), """", GOOGLEFINANCE($C79, ""price""))"),114.24)</f>
        <v>114.24</v>
      </c>
      <c r="P79" s="16">
        <f t="shared" si="2"/>
        <v>0.02613850714</v>
      </c>
      <c r="Q79" s="16">
        <f>IFERROR(__xludf.DUMMYFUNCTION("IF(OR(ISBLANK($G79), IFERROR(INDEX(GOOGLEFINANCE($C79, ""price"", WORKDAY(INT($B79), 1)), 2, 2), """")=""""), """", IF($D79=""LONG"", (IFERROR(INDEX(GOOGLEFINANCE($C79, ""price"", WORKDAY(INT($B79), 1)), 2, 2), """")-$G79)/$G79, ($G79-IFERROR(INDEX(GOOGLE"&amp;"FINANCE($C79, ""price"", WORKDAY(INT($B79), 1)), 2, 2), """"))/$G79))"),0.0033234527979880044)</f>
        <v>0.003323452798</v>
      </c>
      <c r="R79" s="16">
        <f>IFERROR(__xludf.DUMMYFUNCTION("IF(OR(ISBLANK($G79), IFERROR(INDEX(GOOGLEFINANCE($C79, ""price"", WORKDAY(INT($B79), 5)), 2, 2), """")=""""), """", IF($D79=""LONG"", (IFERROR(INDEX(GOOGLEFINANCE($C79, ""price"", WORKDAY(INT($B79), 5)), 2, 2), """")-$G79)/$G79, ($G79-IFERROR(INDEX(GOOGLE"&amp;"FINANCE($C79, ""price"", WORKDAY(INT($B79), 5)), 2, 2), """"))/$G79))"),-0.007096020838947202)</f>
        <v>-0.007096020839</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2163</v>
      </c>
      <c r="U79" s="10" t="s">
        <v>984</v>
      </c>
      <c r="V79" s="10" t="s">
        <v>1880</v>
      </c>
      <c r="W79" s="10" t="s">
        <v>51</v>
      </c>
      <c r="X79" s="10" t="s">
        <v>984</v>
      </c>
    </row>
    <row r="80">
      <c r="A80" s="9">
        <f t="shared" si="1"/>
        <v>79</v>
      </c>
      <c r="B80" s="11">
        <v>46218.667708333334</v>
      </c>
      <c r="C80" s="10" t="s">
        <v>234</v>
      </c>
      <c r="D80" s="10" t="s">
        <v>36</v>
      </c>
      <c r="E80" s="10" t="s">
        <v>37</v>
      </c>
      <c r="F80" s="13">
        <v>2.0</v>
      </c>
      <c r="G80" s="14">
        <v>63.04</v>
      </c>
      <c r="H80" s="10" t="s">
        <v>2165</v>
      </c>
      <c r="I80" s="10">
        <v>93.1</v>
      </c>
      <c r="O80" s="15">
        <f>IFERROR(__xludf.DUMMYFUNCTION("IF(ISBLANK($C80), """", GOOGLEFINANCE($C80, ""price""))"),63.81)</f>
        <v>63.81</v>
      </c>
      <c r="P80" s="16">
        <f t="shared" si="2"/>
        <v>0.01221446701</v>
      </c>
      <c r="Q80" s="16">
        <f>IFERROR(__xludf.DUMMYFUNCTION("IF(OR(ISBLANK($G80), IFERROR(INDEX(GOOGLEFINANCE($C80, ""price"", WORKDAY(INT($B80), 1)), 2, 2), """")=""""), """", IF($D80=""LONG"", (IFERROR(INDEX(GOOGLEFINANCE($C80, ""price"", WORKDAY(INT($B80), 1)), 2, 2), """")-$G80)/$G80, ($G80-IFERROR(INDEX(GOOGLE"&amp;"FINANCE($C80, ""price"", WORKDAY(INT($B80), 1)), 2, 2), """"))/$G80))"),0.015387055837563546)</f>
        <v>0.01538705584</v>
      </c>
      <c r="R80" s="16">
        <f>IFERROR(__xludf.DUMMYFUNCTION("IF(OR(ISBLANK($G80), IFERROR(INDEX(GOOGLEFINANCE($C80, ""price"", WORKDAY(INT($B80), 5)), 2, 2), """")=""""), """", IF($D80=""LONG"", (IFERROR(INDEX(GOOGLEFINANCE($C80, ""price"", WORKDAY(INT($B80), 5)), 2, 2), """")-$G80)/$G80, ($G80-IFERROR(INDEX(GOOGLE"&amp;"FINANCE($C80, ""price"", WORKDAY(INT($B80), 5)), 2, 2), """"))/$G80))"),0.02268401015228426)</f>
        <v>0.02268401015</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2166</v>
      </c>
      <c r="U80" s="10" t="s">
        <v>704</v>
      </c>
      <c r="V80" s="10" t="s">
        <v>2167</v>
      </c>
      <c r="W80" s="10" t="s">
        <v>51</v>
      </c>
      <c r="X80" s="10" t="s">
        <v>704</v>
      </c>
    </row>
    <row r="81">
      <c r="A81" s="9">
        <f t="shared" si="1"/>
        <v>80</v>
      </c>
      <c r="B81" s="11">
        <v>46218.66774305556</v>
      </c>
      <c r="C81" s="10" t="s">
        <v>1672</v>
      </c>
      <c r="D81" s="10" t="s">
        <v>36</v>
      </c>
      <c r="E81" s="10" t="s">
        <v>37</v>
      </c>
      <c r="F81" s="13">
        <v>2.0</v>
      </c>
      <c r="G81" s="14">
        <v>98.52</v>
      </c>
      <c r="H81" s="10" t="s">
        <v>2168</v>
      </c>
      <c r="I81" s="10">
        <v>95.7</v>
      </c>
      <c r="O81" s="15">
        <f>IFERROR(__xludf.DUMMYFUNCTION("IF(ISBLANK($C81), """", GOOGLEFINANCE($C81, ""price""))"),99.29)</f>
        <v>99.29</v>
      </c>
      <c r="P81" s="16">
        <f t="shared" si="2"/>
        <v>0.007815671945</v>
      </c>
      <c r="Q81" s="16">
        <f>IFERROR(__xludf.DUMMYFUNCTION("IF(OR(ISBLANK($G81), IFERROR(INDEX(GOOGLEFINANCE($C81, ""price"", WORKDAY(INT($B81), 1)), 2, 2), """")=""""), """", IF($D81=""LONG"", (IFERROR(INDEX(GOOGLEFINANCE($C81, ""price"", WORKDAY(INT($B81), 1)), 2, 2), """")-$G81)/$G81, ($G81-IFERROR(INDEX(GOOGLE"&amp;"FINANCE($C81, ""price"", WORKDAY(INT($B81), 1)), 2, 2), """"))/$G81))"),0.01542833942346742)</f>
        <v>0.01542833942</v>
      </c>
      <c r="R81" s="16">
        <f>IFERROR(__xludf.DUMMYFUNCTION("IF(OR(ISBLANK($G81), IFERROR(INDEX(GOOGLEFINANCE($C81, ""price"", WORKDAY(INT($B81), 5)), 2, 2), """")=""""), """", IF($D81=""LONG"", (IFERROR(INDEX(GOOGLEFINANCE($C81, ""price"", WORKDAY(INT($B81), 5)), 2, 2), """")-$G81)/$G81, ($G81-IFERROR(INDEX(GOOGLE"&amp;"FINANCE($C81, ""price"", WORKDAY(INT($B81), 5)), 2, 2), """"))/$G81))"),0.0011165245635403921)</f>
        <v>0.001116524564</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2171</v>
      </c>
      <c r="U81" s="10" t="s">
        <v>984</v>
      </c>
      <c r="V81" s="10" t="s">
        <v>1880</v>
      </c>
      <c r="W81" s="10" t="s">
        <v>51</v>
      </c>
      <c r="X81" s="10" t="s">
        <v>984</v>
      </c>
    </row>
    <row r="82">
      <c r="A82" s="9">
        <f t="shared" si="1"/>
        <v>81</v>
      </c>
      <c r="B82" s="11">
        <v>46218.667662037034</v>
      </c>
      <c r="C82" s="10" t="s">
        <v>386</v>
      </c>
      <c r="D82" s="10" t="s">
        <v>36</v>
      </c>
      <c r="E82" s="10" t="s">
        <v>37</v>
      </c>
      <c r="F82" s="13">
        <v>2.0</v>
      </c>
      <c r="G82" s="14">
        <v>407.73</v>
      </c>
      <c r="H82" s="10" t="s">
        <v>2172</v>
      </c>
      <c r="I82" s="10">
        <v>86.2</v>
      </c>
      <c r="L82" s="10" t="s">
        <v>2173</v>
      </c>
      <c r="M82" s="10" t="s">
        <v>2174</v>
      </c>
      <c r="N82" s="10" t="s">
        <v>925</v>
      </c>
      <c r="O82" s="15">
        <f>IFERROR(__xludf.DUMMYFUNCTION("IF(ISBLANK($C82), """", GOOGLEFINANCE($C82, ""price""))"),367.24)</f>
        <v>367.24</v>
      </c>
      <c r="P82" s="16">
        <f t="shared" si="2"/>
        <v>-0.09930591323</v>
      </c>
      <c r="Q82" s="16">
        <f>IFERROR(__xludf.DUMMYFUNCTION("IF(OR(ISBLANK($G82), IFERROR(INDEX(GOOGLEFINANCE($C82, ""price"", WORKDAY(INT($B82), 1)), 2, 2), """")=""""), """", IF($D82=""LONG"", (IFERROR(INDEX(GOOGLEFINANCE($C82, ""price"", WORKDAY(INT($B82), 1)), 2, 2), """")-$G82)/$G82, ($G82-IFERROR(INDEX(GOOGLE"&amp;"FINANCE($C82, ""price"", WORKDAY(INT($B82), 1)), 2, 2), """"))/$G82))"),-0.05211782306918794)</f>
        <v>-0.05211782307</v>
      </c>
      <c r="R82" s="16">
        <f>IFERROR(__xludf.DUMMYFUNCTION("IF(OR(ISBLANK($G82), IFERROR(INDEX(GOOGLEFINANCE($C82, ""price"", WORKDAY(INT($B82), 5)), 2, 2), """")=""""), """", IF($D82=""LONG"", (IFERROR(INDEX(GOOGLEFINANCE($C82, ""price"", WORKDAY(INT($B82), 5)), 2, 2), """")-$G82)/$G82, ($G82-IFERROR(INDEX(GOOGLE"&amp;"FINANCE($C82, ""price"", WORKDAY(INT($B82), 5)), 2, 2), """"))/$G82))"),-0.0248448728325117)</f>
        <v>-0.02484487283</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2176</v>
      </c>
      <c r="U82" s="10" t="s">
        <v>240</v>
      </c>
      <c r="V82" s="10" t="s">
        <v>2177</v>
      </c>
      <c r="W82" s="10" t="s">
        <v>2178</v>
      </c>
      <c r="X82" s="10" t="s">
        <v>1905</v>
      </c>
    </row>
    <row r="83">
      <c r="A83" s="9">
        <f t="shared" si="1"/>
        <v>82</v>
      </c>
      <c r="B83" s="11">
        <v>46218.667604166665</v>
      </c>
      <c r="C83" s="10" t="s">
        <v>117</v>
      </c>
      <c r="D83" s="10" t="s">
        <v>36</v>
      </c>
      <c r="E83" s="10" t="s">
        <v>37</v>
      </c>
      <c r="F83" s="13">
        <v>2.0</v>
      </c>
      <c r="G83" s="14">
        <v>23.53</v>
      </c>
      <c r="H83" s="10" t="s">
        <v>2179</v>
      </c>
      <c r="I83" s="10">
        <v>92.0</v>
      </c>
      <c r="O83" s="15">
        <f>IFERROR(__xludf.DUMMYFUNCTION("IF(ISBLANK($C83), """", GOOGLEFINANCE($C83, ""price""))"),22.66)</f>
        <v>22.66</v>
      </c>
      <c r="P83" s="16">
        <f t="shared" si="2"/>
        <v>-0.03697407565</v>
      </c>
      <c r="Q83" s="16">
        <f>IFERROR(__xludf.DUMMYFUNCTION("IF(OR(ISBLANK($G83), IFERROR(INDEX(GOOGLEFINANCE($C83, ""price"", WORKDAY(INT($B83), 1)), 2, 2), """")=""""), """", IF($D83=""LONG"", (IFERROR(INDEX(GOOGLEFINANCE($C83, ""price"", WORKDAY(INT($B83), 1)), 2, 2), """")-$G83)/$G83, ($G83-IFERROR(INDEX(GOOGLE"&amp;"FINANCE($C83, ""price"", WORKDAY(INT($B83), 1)), 2, 2), """"))/$G83))"),0.01954951126221833)</f>
        <v>0.01954951126</v>
      </c>
      <c r="R83" s="16">
        <f>IFERROR(__xludf.DUMMYFUNCTION("IF(OR(ISBLANK($G83), IFERROR(INDEX(GOOGLEFINANCE($C83, ""price"", WORKDAY(INT($B83), 5)), 2, 2), """")=""""), """", IF($D83=""LONG"", (IFERROR(INDEX(GOOGLEFINANCE($C83, ""price"", WORKDAY(INT($B83), 5)), 2, 2), """")-$G83)/$G83, ($G83-IFERROR(INDEX(GOOGLE"&amp;"FINANCE($C83, ""price"", WORKDAY(INT($B83), 5)), 2, 2), """"))/$G83))"),-0.01784955376115604)</f>
        <v>-0.01784955376</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2181</v>
      </c>
      <c r="U83" s="10" t="s">
        <v>492</v>
      </c>
      <c r="V83" s="10" t="s">
        <v>493</v>
      </c>
      <c r="W83" s="10" t="s">
        <v>51</v>
      </c>
      <c r="X83" s="10" t="s">
        <v>492</v>
      </c>
    </row>
    <row r="84">
      <c r="A84" s="9">
        <f t="shared" si="1"/>
        <v>83</v>
      </c>
      <c r="B84" s="11">
        <v>46218.66777777778</v>
      </c>
      <c r="C84" s="10" t="s">
        <v>381</v>
      </c>
      <c r="D84" s="10" t="s">
        <v>36</v>
      </c>
      <c r="E84" s="10" t="s">
        <v>1892</v>
      </c>
      <c r="F84" s="13">
        <v>2.0</v>
      </c>
      <c r="G84" s="14">
        <v>228.49</v>
      </c>
      <c r="H84" s="10" t="s">
        <v>2182</v>
      </c>
      <c r="I84" s="10">
        <v>60.3</v>
      </c>
      <c r="O84" s="15">
        <f>IFERROR(__xludf.DUMMYFUNCTION("IF(ISBLANK($C84), """", GOOGLEFINANCE($C84, ""price""))"),213.75)</f>
        <v>213.75</v>
      </c>
      <c r="P84" s="16">
        <f t="shared" si="2"/>
        <v>-0.06451048186</v>
      </c>
      <c r="Q84" s="16">
        <f>IFERROR(__xludf.DUMMYFUNCTION("IF(OR(ISBLANK($G84), IFERROR(INDEX(GOOGLEFINANCE($C84, ""price"", WORKDAY(INT($B84), 1)), 2, 2), """")=""""), """", IF($D84=""LONG"", (IFERROR(INDEX(GOOGLEFINANCE($C84, ""price"", WORKDAY(INT($B84), 1)), 2, 2), """")-$G84)/$G84, ($G84-IFERROR(INDEX(GOOGLE"&amp;"FINANCE($C84, ""price"", WORKDAY(INT($B84), 1)), 2, 2), """"))/$G84))"),-0.04429077858987266)</f>
        <v>-0.04429077859</v>
      </c>
      <c r="R84" s="16">
        <f>IFERROR(__xludf.DUMMYFUNCTION("IF(OR(ISBLANK($G84), IFERROR(INDEX(GOOGLEFINANCE($C84, ""price"", WORKDAY(INT($B84), 5)), 2, 2), """")=""""), """", IF($D84=""LONG"", (IFERROR(INDEX(GOOGLEFINANCE($C84, ""price"", WORKDAY(INT($B84), 5)), 2, 2), """")-$G84)/$G84, ($G84-IFERROR(INDEX(GOOGLE"&amp;"FINANCE($C84, ""price"", WORKDAY(INT($B84), 5)), 2, 2), """"))/$G84))"),-0.04372182590047708)</f>
        <v>-0.0437218259</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2184</v>
      </c>
      <c r="U84" s="10" t="s">
        <v>850</v>
      </c>
      <c r="V84" s="10" t="s">
        <v>2185</v>
      </c>
      <c r="W84" s="10" t="s">
        <v>51</v>
      </c>
      <c r="X84" s="10" t="s">
        <v>850</v>
      </c>
    </row>
    <row r="85">
      <c r="A85" s="9">
        <f t="shared" si="1"/>
        <v>84</v>
      </c>
      <c r="B85" s="11">
        <v>46218.66773148148</v>
      </c>
      <c r="C85" s="10" t="s">
        <v>452</v>
      </c>
      <c r="D85" s="10" t="s">
        <v>119</v>
      </c>
      <c r="E85" s="10" t="s">
        <v>120</v>
      </c>
      <c r="F85" s="13">
        <v>4.0</v>
      </c>
      <c r="G85" s="14">
        <v>58.01</v>
      </c>
      <c r="H85" s="10" t="s">
        <v>2186</v>
      </c>
      <c r="I85" s="10">
        <v>8.9</v>
      </c>
      <c r="O85" s="15">
        <f>IFERROR(__xludf.DUMMYFUNCTION("IF(ISBLANK($C85), """", GOOGLEFINANCE($C85, ""price""))"),61.44)</f>
        <v>61.44</v>
      </c>
      <c r="P85" s="16">
        <f t="shared" si="2"/>
        <v>-0.0591277366</v>
      </c>
      <c r="Q85" s="16">
        <f>IFERROR(__xludf.DUMMYFUNCTION("IF(OR(ISBLANK($G85), IFERROR(INDEX(GOOGLEFINANCE($C85, ""price"", WORKDAY(INT($B85), 1)), 2, 2), """")=""""), """", IF($D85=""LONG"", (IFERROR(INDEX(GOOGLEFINANCE($C85, ""price"", WORKDAY(INT($B85), 1)), 2, 2), """")-$G85)/$G85, ($G85-IFERROR(INDEX(GOOGLE"&amp;"FINANCE($C85, ""price"", WORKDAY(INT($B85), 1)), 2, 2), """"))/$G85))"),0.0036200655059472654)</f>
        <v>0.003620065506</v>
      </c>
      <c r="R85" s="16">
        <f>IFERROR(__xludf.DUMMYFUNCTION("IF(OR(ISBLANK($G85), IFERROR(INDEX(GOOGLEFINANCE($C85, ""price"", WORKDAY(INT($B85), 5)), 2, 2), """")=""""), """", IF($D85=""LONG"", (IFERROR(INDEX(GOOGLEFINANCE($C85, ""price"", WORKDAY(INT($B85), 5)), 2, 2), """")-$G85)/$G85, ($G85-IFERROR(INDEX(GOOGLE"&amp;"FINANCE($C85, ""price"", WORKDAY(INT($B85), 5)), 2, 2), """"))/$G85))"),-0.07429753490777456)</f>
        <v>-0.07429753491</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2188</v>
      </c>
      <c r="U85" s="10" t="s">
        <v>492</v>
      </c>
      <c r="V85" s="10" t="s">
        <v>493</v>
      </c>
      <c r="W85" s="10" t="s">
        <v>51</v>
      </c>
      <c r="X85" s="10" t="s">
        <v>492</v>
      </c>
    </row>
    <row r="86">
      <c r="A86" s="9">
        <f t="shared" si="1"/>
        <v>85</v>
      </c>
      <c r="B86" s="11">
        <v>46218.66778935185</v>
      </c>
      <c r="C86" s="10" t="s">
        <v>295</v>
      </c>
      <c r="D86" s="10" t="s">
        <v>119</v>
      </c>
      <c r="E86" s="10" t="s">
        <v>120</v>
      </c>
      <c r="F86" s="13">
        <v>4.0</v>
      </c>
      <c r="G86" s="14">
        <v>1352.64</v>
      </c>
      <c r="H86" s="10" t="s">
        <v>2141</v>
      </c>
      <c r="I86" s="10">
        <v>4.1</v>
      </c>
      <c r="O86" s="15">
        <f>IFERROR(__xludf.DUMMYFUNCTION("IF(ISBLANK($C86), """", GOOGLEFINANCE($C86, ""price""))"),1359.08)</f>
        <v>1359.08</v>
      </c>
      <c r="P86" s="16">
        <f t="shared" si="2"/>
        <v>-0.004761059853</v>
      </c>
      <c r="Q86" s="16">
        <f>IFERROR(__xludf.DUMMYFUNCTION("IF(OR(ISBLANK($G86), IFERROR(INDEX(GOOGLEFINANCE($C86, ""price"", WORKDAY(INT($B86), 1)), 2, 2), """")=""""), """", IF($D86=""LONG"", (IFERROR(INDEX(GOOGLEFINANCE($C86, ""price"", WORKDAY(INT($B86), 1)), 2, 2), """")-$G86)/$G86, ($G86-IFERROR(INDEX(GOOGLE"&amp;"FINANCE($C86, ""price"", WORKDAY(INT($B86), 1)), 2, 2), """"))/$G86))"),0.0347394724390821)</f>
        <v>0.03473947244</v>
      </c>
      <c r="R86" s="16">
        <f>IFERROR(__xludf.DUMMYFUNCTION("IF(OR(ISBLANK($G86), IFERROR(INDEX(GOOGLEFINANCE($C86, ""price"", WORKDAY(INT($B86), 5)), 2, 2), """")=""""), """", IF($D86=""LONG"", (IFERROR(INDEX(GOOGLEFINANCE($C86, ""price"", WORKDAY(INT($B86), 5)), 2, 2), """")-$G86)/$G86, ($G86-IFERROR(INDEX(GOOGLE"&amp;"FINANCE($C86, ""price"", WORKDAY(INT($B86), 5)), 2, 2), """"))/$G86))"),-0.033867104329311525)</f>
        <v>-0.03386710433</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2189</v>
      </c>
      <c r="U86" s="10" t="s">
        <v>984</v>
      </c>
      <c r="V86" s="10" t="s">
        <v>985</v>
      </c>
      <c r="W86" s="10" t="s">
        <v>51</v>
      </c>
      <c r="X86" s="10" t="s">
        <v>984</v>
      </c>
    </row>
    <row r="87">
      <c r="A87" s="9">
        <f t="shared" si="1"/>
        <v>86</v>
      </c>
      <c r="B87" s="11">
        <v>46218.667708333334</v>
      </c>
      <c r="C87" s="10" t="s">
        <v>142</v>
      </c>
      <c r="D87" s="10" t="s">
        <v>119</v>
      </c>
      <c r="E87" s="10" t="s">
        <v>120</v>
      </c>
      <c r="F87" s="13">
        <v>4.0</v>
      </c>
      <c r="G87" s="14">
        <v>86.23</v>
      </c>
      <c r="H87" s="10" t="s">
        <v>2191</v>
      </c>
      <c r="I87" s="10">
        <v>13.9</v>
      </c>
      <c r="O87" s="15">
        <f>IFERROR(__xludf.DUMMYFUNCTION("IF(ISBLANK($C87), """", GOOGLEFINANCE($C87, ""price""))"),74.36)</f>
        <v>74.36</v>
      </c>
      <c r="P87" s="16">
        <f t="shared" si="2"/>
        <v>0.1376551084</v>
      </c>
      <c r="Q87" s="16">
        <f>IFERROR(__xludf.DUMMYFUNCTION("IF(OR(ISBLANK($G87), IFERROR(INDEX(GOOGLEFINANCE($C87, ""price"", WORKDAY(INT($B87), 1)), 2, 2), """")=""""), """", IF($D87=""LONG"", (IFERROR(INDEX(GOOGLEFINANCE($C87, ""price"", WORKDAY(INT($B87), 1)), 2, 2), """")-$G87)/$G87, ($G87-IFERROR(INDEX(GOOGLE"&amp;"FINANCE($C87, ""price"", WORKDAY(INT($B87), 1)), 2, 2), """"))/$G87))"),0.052765858749855)</f>
        <v>0.05276585875</v>
      </c>
      <c r="R87" s="16">
        <f>IFERROR(__xludf.DUMMYFUNCTION("IF(OR(ISBLANK($G87), IFERROR(INDEX(GOOGLEFINANCE($C87, ""price"", WORKDAY(INT($B87), 5)), 2, 2), """")=""""), """", IF($D87=""LONG"", (IFERROR(INDEX(GOOGLEFINANCE($C87, ""price"", WORKDAY(INT($B87), 5)), 2, 2), """")-$G87)/$G87, ($G87-IFERROR(INDEX(GOOGLE"&amp;"FINANCE($C87, ""price"", WORKDAY(INT($B87), 5)), 2, 2), """"))/$G87))"),0.014032239359851652)</f>
        <v>0.01403223936</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2192</v>
      </c>
      <c r="U87" s="10" t="s">
        <v>492</v>
      </c>
      <c r="V87" s="10" t="s">
        <v>493</v>
      </c>
      <c r="W87" s="10" t="s">
        <v>51</v>
      </c>
      <c r="X87" s="10" t="s">
        <v>492</v>
      </c>
    </row>
    <row r="88">
      <c r="A88" s="9">
        <f t="shared" si="1"/>
        <v>87</v>
      </c>
      <c r="B88" s="11">
        <v>46218.667766203704</v>
      </c>
      <c r="C88" s="10" t="s">
        <v>348</v>
      </c>
      <c r="D88" s="10" t="s">
        <v>36</v>
      </c>
      <c r="E88" s="10" t="s">
        <v>37</v>
      </c>
      <c r="F88" s="13">
        <v>2.0</v>
      </c>
      <c r="G88" s="14">
        <v>255.38</v>
      </c>
      <c r="H88" s="10" t="s">
        <v>2194</v>
      </c>
      <c r="I88" s="10">
        <v>97.2</v>
      </c>
      <c r="O88" s="15">
        <f>IFERROR(__xludf.DUMMYFUNCTION("IF(ISBLANK($C88), """", GOOGLEFINANCE($C88, ""price""))"),364.24)</f>
        <v>364.24</v>
      </c>
      <c r="P88" s="16">
        <f t="shared" si="2"/>
        <v>0.4262667398</v>
      </c>
      <c r="Q88" s="16">
        <f>IFERROR(__xludf.DUMMYFUNCTION("IF(OR(ISBLANK($G88), IFERROR(INDEX(GOOGLEFINANCE($C88, ""price"", WORKDAY(INT($B88), 1)), 2, 2), """")=""""), """", IF($D88=""LONG"", (IFERROR(INDEX(GOOGLEFINANCE($C88, ""price"", WORKDAY(INT($B88), 1)), 2, 2), """")-$G88)/$G88, ($G88-IFERROR(INDEX(GOOGLE"&amp;"FINANCE($C88, ""price"", WORKDAY(INT($B88), 1)), 2, 2), """"))/$G88))"),0.03782598480695444)</f>
        <v>0.03782598481</v>
      </c>
      <c r="R88" s="16">
        <f>IFERROR(__xludf.DUMMYFUNCTION("IF(OR(ISBLANK($G88), IFERROR(INDEX(GOOGLEFINANCE($C88, ""price"", WORKDAY(INT($B88), 5)), 2, 2), """")=""""), """", IF($D88=""LONG"", (IFERROR(INDEX(GOOGLEFINANCE($C88, ""price"", WORKDAY(INT($B88), 5)), 2, 2), """")-$G88)/$G88, ($G88-IFERROR(INDEX(GOOGLE"&amp;"FINANCE($C88, ""price"", WORKDAY(INT($B88), 5)), 2, 2), """"))/$G88))"),0.0288589552823244)</f>
        <v>0.02885895528</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2195</v>
      </c>
      <c r="U88" s="10" t="s">
        <v>984</v>
      </c>
      <c r="V88" s="10" t="s">
        <v>985</v>
      </c>
      <c r="W88" s="10" t="s">
        <v>51</v>
      </c>
      <c r="X88" s="10" t="s">
        <v>984</v>
      </c>
    </row>
    <row r="89">
      <c r="A89" s="9">
        <f t="shared" si="1"/>
        <v>88</v>
      </c>
      <c r="B89" s="11">
        <v>46218.66768518519</v>
      </c>
      <c r="C89" s="10" t="s">
        <v>296</v>
      </c>
      <c r="D89" s="10" t="s">
        <v>36</v>
      </c>
      <c r="E89" s="10" t="s">
        <v>37</v>
      </c>
      <c r="F89" s="13">
        <v>2.0</v>
      </c>
      <c r="G89" s="14">
        <v>115.04</v>
      </c>
      <c r="H89" s="10" t="s">
        <v>2197</v>
      </c>
      <c r="I89" s="10">
        <v>93.2</v>
      </c>
      <c r="O89" s="15">
        <f>IFERROR(__xludf.DUMMYFUNCTION("IF(ISBLANK($C89), """", GOOGLEFINANCE($C89, ""price""))"),121.5)</f>
        <v>121.5</v>
      </c>
      <c r="P89" s="16">
        <f t="shared" si="2"/>
        <v>0.05615438108</v>
      </c>
      <c r="Q89" s="16">
        <f>IFERROR(__xludf.DUMMYFUNCTION("IF(OR(ISBLANK($G89), IFERROR(INDEX(GOOGLEFINANCE($C89, ""price"", WORKDAY(INT($B89), 1)), 2, 2), """")=""""), """", IF($D89=""LONG"", (IFERROR(INDEX(GOOGLEFINANCE($C89, ""price"", WORKDAY(INT($B89), 1)), 2, 2), """")-$G89)/$G89, ($G89-IFERROR(INDEX(GOOGLE"&amp;"FINANCE($C89, ""price"", WORKDAY(INT($B89), 1)), 2, 2), """"))/$G89))"),0.027903337969401892)</f>
        <v>0.02790333797</v>
      </c>
      <c r="R89" s="16">
        <f>IFERROR(__xludf.DUMMYFUNCTION("IF(OR(ISBLANK($G89), IFERROR(INDEX(GOOGLEFINANCE($C89, ""price"", WORKDAY(INT($B89), 5)), 2, 2), """")=""""), """", IF($D89=""LONG"", (IFERROR(INDEX(GOOGLEFINANCE($C89, ""price"", WORKDAY(INT($B89), 5)), 2, 2), """")-$G89)/$G89, ($G89-IFERROR(INDEX(GOOGLE"&amp;"FINANCE($C89, ""price"", WORKDAY(INT($B89), 5)), 2, 2), """"))/$G89))"),0.033118915159944265)</f>
        <v>0.03311891516</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2199</v>
      </c>
      <c r="U89" s="10" t="s">
        <v>984</v>
      </c>
      <c r="V89" s="10" t="s">
        <v>1880</v>
      </c>
      <c r="W89" s="10" t="s">
        <v>51</v>
      </c>
      <c r="X89" s="10" t="s">
        <v>984</v>
      </c>
    </row>
    <row r="90">
      <c r="A90" s="9">
        <f t="shared" si="1"/>
        <v>89</v>
      </c>
      <c r="B90" s="11">
        <v>46218.66780092593</v>
      </c>
      <c r="C90" s="10" t="s">
        <v>1321</v>
      </c>
      <c r="D90" s="10" t="s">
        <v>119</v>
      </c>
      <c r="E90" s="10" t="s">
        <v>120</v>
      </c>
      <c r="F90" s="13">
        <v>4.0</v>
      </c>
      <c r="G90" s="14">
        <v>21.43</v>
      </c>
      <c r="H90" s="10" t="s">
        <v>2200</v>
      </c>
      <c r="I90" s="10">
        <v>17.2</v>
      </c>
      <c r="O90" s="15">
        <f>IFERROR(__xludf.DUMMYFUNCTION("IF(ISBLANK($C90), """", GOOGLEFINANCE($C90, ""price""))"),23.71)</f>
        <v>23.71</v>
      </c>
      <c r="P90" s="16">
        <f t="shared" si="2"/>
        <v>-0.1063929071</v>
      </c>
      <c r="Q90" s="16">
        <f>IFERROR(__xludf.DUMMYFUNCTION("IF(OR(ISBLANK($G90), IFERROR(INDEX(GOOGLEFINANCE($C90, ""price"", WORKDAY(INT($B90), 1)), 2, 2), """")=""""), """", IF($D90=""LONG"", (IFERROR(INDEX(GOOGLEFINANCE($C90, ""price"", WORKDAY(INT($B90), 1)), 2, 2), """")-$G90)/$G90, ($G90-IFERROR(INDEX(GOOGLE"&amp;"FINANCE($C90, ""price"", WORKDAY(INT($B90), 1)), 2, 2), """"))/$G90))"),-0.02566495566962206)</f>
        <v>-0.02566495567</v>
      </c>
      <c r="R90" s="16">
        <f>IFERROR(__xludf.DUMMYFUNCTION("IF(OR(ISBLANK($G90), IFERROR(INDEX(GOOGLEFINANCE($C90, ""price"", WORKDAY(INT($B90), 5)), 2, 2), """")=""""), """", IF($D90=""LONG"", (IFERROR(INDEX(GOOGLEFINANCE($C90, ""price"", WORKDAY(INT($B90), 5)), 2, 2), """")-$G90)/$G90, ($G90-IFERROR(INDEX(GOOGLE"&amp;"FINANCE($C90, ""price"", WORKDAY(INT($B90), 5)), 2, 2), """"))/$G90))"),-0.07512832477834809)</f>
        <v>-0.07512832478</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2201</v>
      </c>
      <c r="U90" s="10" t="s">
        <v>984</v>
      </c>
      <c r="V90" s="10" t="s">
        <v>985</v>
      </c>
      <c r="W90" s="10" t="s">
        <v>51</v>
      </c>
      <c r="X90" s="10" t="s">
        <v>984</v>
      </c>
    </row>
    <row r="91">
      <c r="A91" s="9">
        <f t="shared" si="1"/>
        <v>90</v>
      </c>
      <c r="B91" s="11">
        <v>46218.66768518519</v>
      </c>
      <c r="C91" s="10" t="s">
        <v>1103</v>
      </c>
      <c r="D91" s="10" t="s">
        <v>36</v>
      </c>
      <c r="E91" s="10" t="s">
        <v>37</v>
      </c>
      <c r="F91" s="13">
        <v>2.0</v>
      </c>
      <c r="G91" s="14">
        <v>34.64</v>
      </c>
      <c r="H91" s="10" t="s">
        <v>2203</v>
      </c>
      <c r="I91" s="10">
        <v>97.8</v>
      </c>
      <c r="O91" s="15">
        <f>IFERROR(__xludf.DUMMYFUNCTION("IF(ISBLANK($C91), """", GOOGLEFINANCE($C91, ""price""))"),33.71)</f>
        <v>33.71</v>
      </c>
      <c r="P91" s="16">
        <f t="shared" si="2"/>
        <v>-0.02684757506</v>
      </c>
      <c r="Q91" s="16">
        <f>IFERROR(__xludf.DUMMYFUNCTION("IF(OR(ISBLANK($G91), IFERROR(INDEX(GOOGLEFINANCE($C91, ""price"", WORKDAY(INT($B91), 1)), 2, 2), """")=""""), """", IF($D91=""LONG"", (IFERROR(INDEX(GOOGLEFINANCE($C91, ""price"", WORKDAY(INT($B91), 1)), 2, 2), """")-$G91)/$G91, ($G91-IFERROR(INDEX(GOOGLE"&amp;"FINANCE($C91, ""price"", WORKDAY(INT($B91), 1)), 2, 2), """"))/$G91))"),-0.012702078521939887)</f>
        <v>-0.01270207852</v>
      </c>
      <c r="R91" s="16">
        <f>IFERROR(__xludf.DUMMYFUNCTION("IF(OR(ISBLANK($G91), IFERROR(INDEX(GOOGLEFINANCE($C91, ""price"", WORKDAY(INT($B91), 5)), 2, 2), """")=""""), """", IF($D91=""LONG"", (IFERROR(INDEX(GOOGLEFINANCE($C91, ""price"", WORKDAY(INT($B91), 5)), 2, 2), """")-$G91)/$G91, ($G91-IFERROR(INDEX(GOOGLE"&amp;"FINANCE($C91, ""price"", WORKDAY(INT($B91), 5)), 2, 2), """"))/$G91))"),-0.07043879907621241)</f>
        <v>-0.07043879908</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2205</v>
      </c>
      <c r="U91" s="10" t="s">
        <v>984</v>
      </c>
      <c r="V91" s="10" t="s">
        <v>985</v>
      </c>
      <c r="W91" s="10" t="s">
        <v>51</v>
      </c>
      <c r="X91" s="10" t="s">
        <v>984</v>
      </c>
    </row>
    <row r="92">
      <c r="A92" s="9">
        <f t="shared" si="1"/>
        <v>91</v>
      </c>
      <c r="B92" s="11">
        <v>46218.66775462963</v>
      </c>
      <c r="C92" s="10" t="s">
        <v>72</v>
      </c>
      <c r="D92" s="10" t="s">
        <v>36</v>
      </c>
      <c r="E92" s="10" t="s">
        <v>37</v>
      </c>
      <c r="F92" s="13">
        <v>2.0</v>
      </c>
      <c r="G92" s="14">
        <v>1371.5</v>
      </c>
      <c r="H92" s="10" t="s">
        <v>2206</v>
      </c>
      <c r="I92" s="10">
        <v>89.8</v>
      </c>
      <c r="O92" s="15">
        <f>IFERROR(__xludf.DUMMYFUNCTION("IF(ISBLANK($C92), """", GOOGLEFINANCE($C92, ""price""))"),1282.58)</f>
        <v>1282.58</v>
      </c>
      <c r="P92" s="16">
        <f t="shared" si="2"/>
        <v>-0.06483412322</v>
      </c>
      <c r="Q92" s="16">
        <f>IFERROR(__xludf.DUMMYFUNCTION("IF(OR(ISBLANK($G92), IFERROR(INDEX(GOOGLEFINANCE($C92, ""price"", WORKDAY(INT($B92), 1)), 2, 2), """")=""""), """", IF($D92=""LONG"", (IFERROR(INDEX(GOOGLEFINANCE($C92, ""price"", WORKDAY(INT($B92), 1)), 2, 2), """")-$G92)/$G92, ($G92-IFERROR(INDEX(GOOGLE"&amp;"FINANCE($C92, ""price"", WORKDAY(INT($B92), 1)), 2, 2), """"))/$G92))"),0.02226029894276338)</f>
        <v>0.02226029894</v>
      </c>
      <c r="R92" s="16">
        <f>IFERROR(__xludf.DUMMYFUNCTION("IF(OR(ISBLANK($G92), IFERROR(INDEX(GOOGLEFINANCE($C92, ""price"", WORKDAY(INT($B92), 5)), 2, 2), """")=""""), """", IF($D92=""LONG"", (IFERROR(INDEX(GOOGLEFINANCE($C92, ""price"", WORKDAY(INT($B92), 5)), 2, 2), """")-$G92)/$G92, ($G92-IFERROR(INDEX(GOOGLE"&amp;"FINANCE($C92, ""price"", WORKDAY(INT($B92), 5)), 2, 2), """"))/$G92))"),-0.012752460809332854)</f>
        <v>-0.01275246081</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2208</v>
      </c>
      <c r="U92" s="10" t="s">
        <v>984</v>
      </c>
      <c r="V92" s="10" t="s">
        <v>1880</v>
      </c>
      <c r="W92" s="10" t="s">
        <v>51</v>
      </c>
      <c r="X92" s="10" t="s">
        <v>984</v>
      </c>
    </row>
    <row r="93">
      <c r="A93" s="9">
        <f t="shared" si="1"/>
        <v>92</v>
      </c>
      <c r="B93" s="11">
        <v>46218.66778935185</v>
      </c>
      <c r="C93" s="10" t="s">
        <v>757</v>
      </c>
      <c r="D93" s="10" t="s">
        <v>119</v>
      </c>
      <c r="E93" s="10" t="s">
        <v>120</v>
      </c>
      <c r="F93" s="13">
        <v>4.0</v>
      </c>
      <c r="G93" s="14">
        <v>123.57</v>
      </c>
      <c r="H93" s="10" t="s">
        <v>2209</v>
      </c>
      <c r="I93" s="10">
        <v>14.5</v>
      </c>
      <c r="O93" s="15">
        <f>IFERROR(__xludf.DUMMYFUNCTION("IF(ISBLANK($C93), """", GOOGLEFINANCE($C93, ""price""))"),121.96)</f>
        <v>121.96</v>
      </c>
      <c r="P93" s="16">
        <f t="shared" si="2"/>
        <v>0.01302905236</v>
      </c>
      <c r="Q93" s="16">
        <f>IFERROR(__xludf.DUMMYFUNCTION("IF(OR(ISBLANK($G93), IFERROR(INDEX(GOOGLEFINANCE($C93, ""price"", WORKDAY(INT($B93), 1)), 2, 2), """")=""""), """", IF($D93=""LONG"", (IFERROR(INDEX(GOOGLEFINANCE($C93, ""price"", WORKDAY(INT($B93), 1)), 2, 2), """")-$G93)/$G93, ($G93-IFERROR(INDEX(GOOGLE"&amp;"FINANCE($C93, ""price"", WORKDAY(INT($B93), 1)), 2, 2), """"))/$G93))"),0.015456826090475008)</f>
        <v>0.01545682609</v>
      </c>
      <c r="R93" s="16">
        <f>IFERROR(__xludf.DUMMYFUNCTION("IF(OR(ISBLANK($G93), IFERROR(INDEX(GOOGLEFINANCE($C93, ""price"", WORKDAY(INT($B93), 5)), 2, 2), """")=""""), """", IF($D93=""LONG"", (IFERROR(INDEX(GOOGLEFINANCE($C93, ""price"", WORKDAY(INT($B93), 5)), 2, 2), """")-$G93)/$G93, ($G93-IFERROR(INDEX(GOOGLE"&amp;"FINANCE($C93, ""price"", WORKDAY(INT($B93), 5)), 2, 2), """"))/$G93))"),-0.007607024358663203)</f>
        <v>-0.007607024359</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2211</v>
      </c>
      <c r="U93" s="10" t="s">
        <v>984</v>
      </c>
      <c r="V93" s="10" t="s">
        <v>1059</v>
      </c>
      <c r="W93" s="10" t="s">
        <v>51</v>
      </c>
      <c r="X93" s="10" t="s">
        <v>984</v>
      </c>
    </row>
    <row r="94">
      <c r="A94" s="9">
        <f t="shared" si="1"/>
        <v>93</v>
      </c>
      <c r="B94" s="11">
        <v>46218.667719907404</v>
      </c>
      <c r="C94" s="10" t="s">
        <v>217</v>
      </c>
      <c r="D94" s="10" t="s">
        <v>36</v>
      </c>
      <c r="E94" s="10" t="s">
        <v>37</v>
      </c>
      <c r="F94" s="13">
        <v>2.0</v>
      </c>
      <c r="G94" s="14">
        <v>374.94</v>
      </c>
      <c r="H94" s="10" t="s">
        <v>2212</v>
      </c>
      <c r="I94" s="10">
        <v>86.6</v>
      </c>
      <c r="O94" s="15">
        <f>IFERROR(__xludf.DUMMYFUNCTION("IF(ISBLANK($C94), """", GOOGLEFINANCE($C94, ""price""))"),399.7)</f>
        <v>399.7</v>
      </c>
      <c r="P94" s="16">
        <f t="shared" si="2"/>
        <v>0.06603723262</v>
      </c>
      <c r="Q94" s="16">
        <f>IFERROR(__xludf.DUMMYFUNCTION("IF(OR(ISBLANK($G94), IFERROR(INDEX(GOOGLEFINANCE($C94, ""price"", WORKDAY(INT($B94), 1)), 2, 2), """")=""""), """", IF($D94=""LONG"", (IFERROR(INDEX(GOOGLEFINANCE($C94, ""price"", WORKDAY(INT($B94), 1)), 2, 2), """")-$G94)/$G94, ($G94-IFERROR(INDEX(GOOGLE"&amp;"FINANCE($C94, ""price"", WORKDAY(INT($B94), 1)), 2, 2), """"))/$G94))"),0.008668053555235504)</f>
        <v>0.008668053555</v>
      </c>
      <c r="R94" s="16">
        <f>IFERROR(__xludf.DUMMYFUNCTION("IF(OR(ISBLANK($G94), IFERROR(INDEX(GOOGLEFINANCE($C94, ""price"", WORKDAY(INT($B94), 5)), 2, 2), """")=""""), """", IF($D94=""LONG"", (IFERROR(INDEX(GOOGLEFINANCE($C94, ""price"", WORKDAY(INT($B94), 5)), 2, 2), """")-$G94)/$G94, ($G94-IFERROR(INDEX(GOOGLE"&amp;"FINANCE($C94, ""price"", WORKDAY(INT($B94), 5)), 2, 2), """"))/$G94))"),-0.010988424814637021)</f>
        <v>-0.01098842481</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2213</v>
      </c>
      <c r="U94" s="10" t="s">
        <v>704</v>
      </c>
      <c r="V94" s="10" t="s">
        <v>2215</v>
      </c>
      <c r="W94" s="10" t="s">
        <v>2216</v>
      </c>
      <c r="X94" s="10" t="s">
        <v>1885</v>
      </c>
    </row>
    <row r="95">
      <c r="A95" s="9">
        <f t="shared" si="1"/>
        <v>94</v>
      </c>
      <c r="B95" s="11">
        <v>46218.667766203704</v>
      </c>
      <c r="C95" s="10" t="s">
        <v>331</v>
      </c>
      <c r="D95" s="10" t="s">
        <v>36</v>
      </c>
      <c r="E95" s="10" t="s">
        <v>37</v>
      </c>
      <c r="F95" s="13">
        <v>2.0</v>
      </c>
      <c r="G95" s="14">
        <v>254.16</v>
      </c>
      <c r="H95" s="10" t="s">
        <v>2217</v>
      </c>
      <c r="I95" s="10">
        <v>94.0</v>
      </c>
      <c r="O95" s="15">
        <f>IFERROR(__xludf.DUMMYFUNCTION("IF(ISBLANK($C95), """", GOOGLEFINANCE($C95, ""price""))"),252.76)</f>
        <v>252.76</v>
      </c>
      <c r="P95" s="16">
        <f t="shared" si="2"/>
        <v>-0.005508341202</v>
      </c>
      <c r="Q95" s="16">
        <f>IFERROR(__xludf.DUMMYFUNCTION("IF(OR(ISBLANK($G95), IFERROR(INDEX(GOOGLEFINANCE($C95, ""price"", WORKDAY(INT($B95), 1)), 2, 2), """")=""""), """", IF($D95=""LONG"", (IFERROR(INDEX(GOOGLEFINANCE($C95, ""price"", WORKDAY(INT($B95), 1)), 2, 2), """")-$G95)/$G95, ($G95-IFERROR(INDEX(GOOGLE"&amp;"FINANCE($C95, ""price"", WORKDAY(INT($B95), 1)), 2, 2), """"))/$G95))"),0.004091910607491313)</f>
        <v>0.004091910607</v>
      </c>
      <c r="R95" s="16">
        <f>IFERROR(__xludf.DUMMYFUNCTION("IF(OR(ISBLANK($G95), IFERROR(INDEX(GOOGLEFINANCE($C95, ""price"", WORKDAY(INT($B95), 5)), 2, 2), """")=""""), """", IF($D95=""LONG"", (IFERROR(INDEX(GOOGLEFINANCE($C95, ""price"", WORKDAY(INT($B95), 5)), 2, 2), """")-$G95)/$G95, ($G95-IFERROR(INDEX(GOOGLE"&amp;"FINANCE($C95, ""price"", WORKDAY(INT($B95), 5)), 2, 2), """"))/$G95))"),-0.006491973559962251)</f>
        <v>-0.00649197356</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2219</v>
      </c>
      <c r="U95" s="10" t="s">
        <v>850</v>
      </c>
      <c r="V95" s="10" t="s">
        <v>2220</v>
      </c>
      <c r="W95" s="10" t="s">
        <v>51</v>
      </c>
      <c r="X95" s="10" t="s">
        <v>850</v>
      </c>
    </row>
    <row r="96">
      <c r="A96" s="9">
        <f t="shared" si="1"/>
        <v>95</v>
      </c>
      <c r="B96" s="11">
        <v>46218.667650462965</v>
      </c>
      <c r="C96" s="10" t="s">
        <v>721</v>
      </c>
      <c r="D96" s="10" t="s">
        <v>36</v>
      </c>
      <c r="E96" s="10" t="s">
        <v>37</v>
      </c>
      <c r="F96" s="13">
        <v>2.0</v>
      </c>
      <c r="G96" s="14">
        <v>421.48</v>
      </c>
      <c r="H96" s="10" t="s">
        <v>1711</v>
      </c>
      <c r="I96" s="10">
        <v>80.6</v>
      </c>
      <c r="O96" s="15">
        <f>IFERROR(__xludf.DUMMYFUNCTION("IF(ISBLANK($C96), """", GOOGLEFINANCE($C96, ""price""))"),413.07)</f>
        <v>413.07</v>
      </c>
      <c r="P96" s="16">
        <f t="shared" si="2"/>
        <v>-0.0199534972</v>
      </c>
      <c r="Q96" s="16">
        <f>IFERROR(__xludf.DUMMYFUNCTION("IF(OR(ISBLANK($G96), IFERROR(INDEX(GOOGLEFINANCE($C96, ""price"", WORKDAY(INT($B96), 1)), 2, 2), """")=""""), """", IF($D96=""LONG"", (IFERROR(INDEX(GOOGLEFINANCE($C96, ""price"", WORKDAY(INT($B96), 1)), 2, 2), """")-$G96)/$G96, ($G96-IFERROR(INDEX(GOOGLE"&amp;"FINANCE($C96, ""price"", WORKDAY(INT($B96), 1)), 2, 2), """"))/$G96))"),-0.04287273417481255)</f>
        <v>-0.04287273417</v>
      </c>
      <c r="R96" s="16">
        <f>IFERROR(__xludf.DUMMYFUNCTION("IF(OR(ISBLANK($G96), IFERROR(INDEX(GOOGLEFINANCE($C96, ""price"", WORKDAY(INT($B96), 5)), 2, 2), """")=""""), """", IF($D96=""LONG"", (IFERROR(INDEX(GOOGLEFINANCE($C96, ""price"", WORKDAY(INT($B96), 5)), 2, 2), """")-$G96)/$G96, ($G96-IFERROR(INDEX(GOOGLE"&amp;"FINANCE($C96, ""price"", WORKDAY(INT($B96), 5)), 2, 2), """"))/$G96))"),-0.049515991268862115)</f>
        <v>-0.04951599127</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2221</v>
      </c>
      <c r="U96" s="10" t="s">
        <v>984</v>
      </c>
      <c r="V96" s="10" t="s">
        <v>985</v>
      </c>
      <c r="W96" s="10" t="s">
        <v>51</v>
      </c>
      <c r="X96" s="10" t="s">
        <v>984</v>
      </c>
    </row>
    <row r="97">
      <c r="A97" s="9">
        <f t="shared" si="1"/>
        <v>96</v>
      </c>
      <c r="B97" s="11">
        <v>46218.66747685185</v>
      </c>
      <c r="C97" s="10" t="s">
        <v>367</v>
      </c>
      <c r="D97" s="10" t="s">
        <v>36</v>
      </c>
      <c r="E97" s="10" t="s">
        <v>37</v>
      </c>
      <c r="F97" s="13">
        <v>2.0</v>
      </c>
      <c r="G97" s="14">
        <v>107.14</v>
      </c>
      <c r="H97" s="10" t="s">
        <v>2223</v>
      </c>
      <c r="I97" s="10">
        <v>96.1</v>
      </c>
      <c r="O97" s="15">
        <f>IFERROR(__xludf.DUMMYFUNCTION("IF(ISBLANK($C97), """", GOOGLEFINANCE($C97, ""price""))"),100.82)</f>
        <v>100.82</v>
      </c>
      <c r="P97" s="16">
        <f t="shared" si="2"/>
        <v>-0.05898823969</v>
      </c>
      <c r="Q97" s="16">
        <f>IFERROR(__xludf.DUMMYFUNCTION("IF(OR(ISBLANK($G97), IFERROR(INDEX(GOOGLEFINANCE($C97, ""price"", WORKDAY(INT($B97), 1)), 2, 2), """")=""""), """", IF($D97=""LONG"", (IFERROR(INDEX(GOOGLEFINANCE($C97, ""price"", WORKDAY(INT($B97), 1)), 2, 2), """")-$G97)/$G97, ($G97-IFERROR(INDEX(GOOGLE"&amp;"FINANCE($C97, ""price"", WORKDAY(INT($B97), 1)), 2, 2), """"))/$G97))"),0.02006720179204784)</f>
        <v>0.02006720179</v>
      </c>
      <c r="R97" s="16">
        <f>IFERROR(__xludf.DUMMYFUNCTION("IF(OR(ISBLANK($G97), IFERROR(INDEX(GOOGLEFINANCE($C97, ""price"", WORKDAY(INT($B97), 5)), 2, 2), """")=""""), """", IF($D97=""LONG"", (IFERROR(INDEX(GOOGLEFINANCE($C97, ""price"", WORKDAY(INT($B97), 5)), 2, 2), """")-$G97)/$G97, ($G97-IFERROR(INDEX(GOOGLE"&amp;"FINANCE($C97, ""price"", WORKDAY(INT($B97), 5)), 2, 2), """"))/$G97))"),-0.007840209072241958)</f>
        <v>-0.007840209072</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2225</v>
      </c>
      <c r="U97" s="10" t="s">
        <v>507</v>
      </c>
      <c r="V97" s="10" t="s">
        <v>2226</v>
      </c>
      <c r="W97" s="10" t="s">
        <v>2227</v>
      </c>
      <c r="X97" s="10" t="s">
        <v>2228</v>
      </c>
    </row>
    <row r="98">
      <c r="A98" s="9">
        <f t="shared" si="1"/>
        <v>97</v>
      </c>
      <c r="B98" s="11">
        <v>46218.66746527778</v>
      </c>
      <c r="C98" s="10" t="s">
        <v>2229</v>
      </c>
      <c r="D98" s="10" t="s">
        <v>36</v>
      </c>
      <c r="E98" s="10" t="s">
        <v>133</v>
      </c>
      <c r="F98" s="13">
        <v>2.0</v>
      </c>
      <c r="G98" s="14">
        <v>121.43</v>
      </c>
      <c r="H98" s="10" t="s">
        <v>2230</v>
      </c>
      <c r="I98" s="10">
        <v>94.2</v>
      </c>
      <c r="O98" s="15">
        <f>IFERROR(__xludf.DUMMYFUNCTION("IF(ISBLANK($C98), """", GOOGLEFINANCE($C98, ""price""))"),120.76)</f>
        <v>120.76</v>
      </c>
      <c r="P98" s="16">
        <f t="shared" si="2"/>
        <v>-0.005517582146</v>
      </c>
      <c r="Q98" s="16">
        <f>IFERROR(__xludf.DUMMYFUNCTION("IF(OR(ISBLANK($G98), IFERROR(INDEX(GOOGLEFINANCE($C98, ""price"", WORKDAY(INT($B98), 1)), 2, 2), """")=""""), """", IF($D98=""LONG"", (IFERROR(INDEX(GOOGLEFINANCE($C98, ""price"", WORKDAY(INT($B98), 1)), 2, 2), """")-$G98)/$G98, ($G98-IFERROR(INDEX(GOOGLE"&amp;"FINANCE($C98, ""price"", WORKDAY(INT($B98), 1)), 2, 2), """"))/$G98))"),0.03187021329160825)</f>
        <v>0.03187021329</v>
      </c>
      <c r="R98" s="16">
        <f>IFERROR(__xludf.DUMMYFUNCTION("IF(OR(ISBLANK($G98), IFERROR(INDEX(GOOGLEFINANCE($C98, ""price"", WORKDAY(INT($B98), 5)), 2, 2), """")=""""), """", IF($D98=""LONG"", (IFERROR(INDEX(GOOGLEFINANCE($C98, ""price"", WORKDAY(INT($B98), 5)), 2, 2), """")-$G98)/$G98, ($G98-IFERROR(INDEX(GOOGLE"&amp;"FINANCE($C98, ""price"", WORKDAY(INT($B98), 5)), 2, 2), """"))/$G98))"),-0.04356419336243108)</f>
        <v>-0.04356419336</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2231</v>
      </c>
      <c r="U98" s="10" t="s">
        <v>984</v>
      </c>
      <c r="V98" s="10" t="s">
        <v>985</v>
      </c>
      <c r="W98" s="10" t="s">
        <v>51</v>
      </c>
      <c r="X98" s="10" t="s">
        <v>984</v>
      </c>
    </row>
    <row r="99">
      <c r="A99" s="9">
        <f t="shared" si="1"/>
        <v>98</v>
      </c>
      <c r="B99" s="11">
        <v>46218.66737268519</v>
      </c>
      <c r="C99" s="10" t="s">
        <v>55</v>
      </c>
      <c r="D99" s="10" t="s">
        <v>36</v>
      </c>
      <c r="E99" s="10" t="s">
        <v>37</v>
      </c>
      <c r="F99" s="13">
        <v>2.0</v>
      </c>
      <c r="G99" s="14">
        <v>1156.48</v>
      </c>
      <c r="H99" s="10" t="s">
        <v>2233</v>
      </c>
      <c r="I99" s="10">
        <v>92.4</v>
      </c>
      <c r="O99" s="15">
        <f>IFERROR(__xludf.DUMMYFUNCTION("IF(ISBLANK($C99), """", GOOGLEFINANCE($C99, ""price""))"),1191.94)</f>
        <v>1191.94</v>
      </c>
      <c r="P99" s="16">
        <f t="shared" si="2"/>
        <v>0.03066200885</v>
      </c>
      <c r="Q99" s="16">
        <f>IFERROR(__xludf.DUMMYFUNCTION("IF(OR(ISBLANK($G99), IFERROR(INDEX(GOOGLEFINANCE($C99, ""price"", WORKDAY(INT($B99), 1)), 2, 2), """")=""""), """", IF($D99=""LONG"", (IFERROR(INDEX(GOOGLEFINANCE($C99, ""price"", WORKDAY(INT($B99), 1)), 2, 2), """")-$G99)/$G99, ($G99-IFERROR(INDEX(GOOGLE"&amp;"FINANCE($C99, ""price"", WORKDAY(INT($B99), 1)), 2, 2), """"))/$G99))"),0.010972952407304972)</f>
        <v>0.01097295241</v>
      </c>
      <c r="R99" s="16">
        <f>IFERROR(__xludf.DUMMYFUNCTION("IF(OR(ISBLANK($G99), IFERROR(INDEX(GOOGLEFINANCE($C99, ""price"", WORKDAY(INT($B99), 5)), 2, 2), """")=""""), """", IF($D99=""LONG"", (IFERROR(INDEX(GOOGLEFINANCE($C99, ""price"", WORKDAY(INT($B99), 5)), 2, 2), """")-$G99)/$G99, ($G99-IFERROR(INDEX(GOOGLE"&amp;"FINANCE($C99, ""price"", WORKDAY(INT($B99), 5)), 2, 2), """"))/$G99))"),0.005646444382955151)</f>
        <v>0.005646444383</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2235</v>
      </c>
      <c r="U99" s="10" t="s">
        <v>984</v>
      </c>
      <c r="V99" s="10" t="s">
        <v>985</v>
      </c>
      <c r="W99" s="10" t="s">
        <v>51</v>
      </c>
      <c r="X99" s="10" t="s">
        <v>984</v>
      </c>
    </row>
    <row r="100">
      <c r="A100" s="9">
        <f t="shared" si="1"/>
        <v>99</v>
      </c>
      <c r="B100" s="11">
        <v>46218.66784722222</v>
      </c>
      <c r="C100" s="10" t="s">
        <v>1226</v>
      </c>
      <c r="D100" s="10" t="s">
        <v>36</v>
      </c>
      <c r="E100" s="10" t="s">
        <v>37</v>
      </c>
      <c r="F100" s="13">
        <v>2.0</v>
      </c>
      <c r="G100" s="14">
        <v>243.77</v>
      </c>
      <c r="H100" s="10" t="s">
        <v>2236</v>
      </c>
      <c r="I100" s="10">
        <v>95.2</v>
      </c>
      <c r="L100" s="10" t="s">
        <v>2237</v>
      </c>
      <c r="M100" s="34" t="s">
        <v>951</v>
      </c>
      <c r="N100" s="10" t="s">
        <v>2238</v>
      </c>
      <c r="O100" s="15">
        <f>IFERROR(__xludf.DUMMYFUNCTION("IF(ISBLANK($C100), """", GOOGLEFINANCE($C100, ""price""))"),232.47)</f>
        <v>232.47</v>
      </c>
      <c r="P100" s="16">
        <f t="shared" si="2"/>
        <v>-0.04635517086</v>
      </c>
      <c r="Q100" s="16">
        <f>IFERROR(__xludf.DUMMYFUNCTION("IF(OR(ISBLANK($G100), IFERROR(INDEX(GOOGLEFINANCE($C100, ""price"", WORKDAY(INT($B100), 1)), 2, 2), """")=""""), """", IF($D100=""LONG"", (IFERROR(INDEX(GOOGLEFINANCE($C100, ""price"", WORKDAY(INT($B100), 1)), 2, 2), """")-$G100)/$G100, ($G100-IFERROR(IND"&amp;"EX(GOOGLEFINANCE($C100, ""price"", WORKDAY(INT($B100), 1)), 2, 2), """"))/$G100))"),-0.01722935554005832)</f>
        <v>-0.01722935554</v>
      </c>
      <c r="R100" s="16">
        <f>IFERROR(__xludf.DUMMYFUNCTION("IF(OR(ISBLANK($G100), IFERROR(INDEX(GOOGLEFINANCE($C100, ""price"", WORKDAY(INT($B100), 5)), 2, 2), """")=""""), """", IF($D100=""LONG"", (IFERROR(INDEX(GOOGLEFINANCE($C100, ""price"", WORKDAY(INT($B100), 5)), 2, 2), """")-$G100)/$G100, ($G100-IFERROR(IND"&amp;"EX(GOOGLEFINANCE($C100, ""price"", WORKDAY(INT($B100), 5)), 2, 2), """"))/$G100))"),-0.04180169832218894)</f>
        <v>-0.04180169832</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2243</v>
      </c>
      <c r="U100" s="10" t="s">
        <v>219</v>
      </c>
      <c r="V100" s="10" t="s">
        <v>2244</v>
      </c>
      <c r="W100" s="10" t="s">
        <v>2245</v>
      </c>
      <c r="X100" s="10" t="s">
        <v>974</v>
      </c>
    </row>
    <row r="101">
      <c r="A101" s="9">
        <f t="shared" si="1"/>
        <v>100</v>
      </c>
      <c r="B101" s="11">
        <v>46218.66746527778</v>
      </c>
      <c r="C101" s="10" t="s">
        <v>426</v>
      </c>
      <c r="D101" s="10" t="s">
        <v>36</v>
      </c>
      <c r="E101" s="10" t="s">
        <v>37</v>
      </c>
      <c r="F101" s="13">
        <v>2.0</v>
      </c>
      <c r="G101" s="14">
        <v>535.26</v>
      </c>
      <c r="H101" s="10" t="s">
        <v>2246</v>
      </c>
      <c r="I101" s="10">
        <v>87.6</v>
      </c>
      <c r="O101" s="15">
        <f>IFERROR(__xludf.DUMMYFUNCTION("IF(ISBLANK($C101), """", GOOGLEFINANCE($C101, ""price""))"),580.02)</f>
        <v>580.02</v>
      </c>
      <c r="P101" s="16">
        <f t="shared" si="2"/>
        <v>0.08362291223</v>
      </c>
      <c r="Q101" s="16">
        <f>IFERROR(__xludf.DUMMYFUNCTION("IF(OR(ISBLANK($G101), IFERROR(INDEX(GOOGLEFINANCE($C101, ""price"", WORKDAY(INT($B101), 1)), 2, 2), """")=""""), """", IF($D101=""LONG"", (IFERROR(INDEX(GOOGLEFINANCE($C101, ""price"", WORKDAY(INT($B101), 1)), 2, 2), """")-$G101)/$G101, ($G101-IFERROR(IND"&amp;"EX(GOOGLEFINANCE($C101, ""price"", WORKDAY(INT($B101), 1)), 2, 2), """"))/$G101))"),0.01481522998169126)</f>
        <v>0.01481522998</v>
      </c>
      <c r="R101" s="16">
        <f>IFERROR(__xludf.DUMMYFUNCTION("IF(OR(ISBLANK($G101), IFERROR(INDEX(GOOGLEFINANCE($C101, ""price"", WORKDAY(INT($B101), 5)), 2, 2), """")=""""), """", IF($D101=""LONG"", (IFERROR(INDEX(GOOGLEFINANCE($C101, ""price"", WORKDAY(INT($B101), 5)), 2, 2), """")-$G101)/$G101, ($G101-IFERROR(IND"&amp;"EX(GOOGLEFINANCE($C101, ""price"", WORKDAY(INT($B101), 5)), 2, 2), """"))/$G101))"),-0.01644060830250711)</f>
        <v>-0.0164406083</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2249</v>
      </c>
      <c r="U101" s="10" t="s">
        <v>984</v>
      </c>
      <c r="V101" s="10" t="s">
        <v>985</v>
      </c>
      <c r="W101" s="10" t="s">
        <v>51</v>
      </c>
      <c r="X101" s="10" t="s">
        <v>984</v>
      </c>
    </row>
    <row r="102">
      <c r="A102" s="9">
        <f t="shared" si="1"/>
        <v>101</v>
      </c>
      <c r="B102" s="11">
        <v>46218.6675</v>
      </c>
      <c r="C102" s="10" t="s">
        <v>2250</v>
      </c>
      <c r="D102" s="10" t="s">
        <v>36</v>
      </c>
      <c r="E102" s="10" t="s">
        <v>133</v>
      </c>
      <c r="F102" s="13">
        <v>2.0</v>
      </c>
      <c r="G102" s="14">
        <v>247.79</v>
      </c>
      <c r="H102" s="10" t="s">
        <v>2251</v>
      </c>
      <c r="I102" s="10">
        <v>98.6</v>
      </c>
      <c r="O102" s="15">
        <f>IFERROR(__xludf.DUMMYFUNCTION("IF(ISBLANK($C102), """", GOOGLEFINANCE($C102, ""price""))"),251.74)</f>
        <v>251.74</v>
      </c>
      <c r="P102" s="16">
        <f t="shared" si="2"/>
        <v>0.01594091771</v>
      </c>
      <c r="Q102" s="16">
        <f>IFERROR(__xludf.DUMMYFUNCTION("IF(OR(ISBLANK($G102), IFERROR(INDEX(GOOGLEFINANCE($C102, ""price"", WORKDAY(INT($B102), 1)), 2, 2), """")=""""), """", IF($D102=""LONG"", (IFERROR(INDEX(GOOGLEFINANCE($C102, ""price"", WORKDAY(INT($B102), 1)), 2, 2), """")-$G102)/$G102, ($G102-IFERROR(IND"&amp;"EX(GOOGLEFINANCE($C102, ""price"", WORKDAY(INT($B102), 1)), 2, 2), """"))/$G102))"),0.032850397514024035)</f>
        <v>0.03285039751</v>
      </c>
      <c r="R102" s="16">
        <f>IFERROR(__xludf.DUMMYFUNCTION("IF(OR(ISBLANK($G102), IFERROR(INDEX(GOOGLEFINANCE($C102, ""price"", WORKDAY(INT($B102), 5)), 2, 2), """")=""""), """", IF($D102=""LONG"", (IFERROR(INDEX(GOOGLEFINANCE($C102, ""price"", WORKDAY(INT($B102), 5)), 2, 2), """")-$G102)/$G102, ($G102-IFERROR(IND"&amp;"EX(GOOGLEFINANCE($C102, ""price"", WORKDAY(INT($B102), 5)), 2, 2), """"))/$G102))"),-0.02134872270874528)</f>
        <v>-0.02134872271</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2254</v>
      </c>
      <c r="U102" s="10" t="s">
        <v>984</v>
      </c>
      <c r="V102" s="10" t="s">
        <v>985</v>
      </c>
      <c r="W102" s="10" t="s">
        <v>51</v>
      </c>
      <c r="X102" s="10" t="s">
        <v>984</v>
      </c>
    </row>
    <row r="103">
      <c r="A103" s="9">
        <f t="shared" si="1"/>
        <v>102</v>
      </c>
      <c r="B103" s="11">
        <v>46218.667916666665</v>
      </c>
      <c r="C103" s="10" t="s">
        <v>226</v>
      </c>
      <c r="D103" s="10" t="s">
        <v>36</v>
      </c>
      <c r="E103" s="10" t="s">
        <v>37</v>
      </c>
      <c r="F103" s="13">
        <v>2.0</v>
      </c>
      <c r="G103" s="14">
        <v>21.74</v>
      </c>
      <c r="H103" s="10" t="s">
        <v>2256</v>
      </c>
      <c r="I103" s="10">
        <v>93.8</v>
      </c>
      <c r="O103" s="15">
        <f>IFERROR(__xludf.DUMMYFUNCTION("IF(ISBLANK($C103), """", GOOGLEFINANCE($C103, ""price""))"),21.1)</f>
        <v>21.1</v>
      </c>
      <c r="P103" s="16">
        <f t="shared" si="2"/>
        <v>-0.02943882245</v>
      </c>
      <c r="Q103" s="16">
        <f>IFERROR(__xludf.DUMMYFUNCTION("IF(OR(ISBLANK($G103), IFERROR(INDEX(GOOGLEFINANCE($C103, ""price"", WORKDAY(INT($B103), 1)), 2, 2), """")=""""), """", IF($D103=""LONG"", (IFERROR(INDEX(GOOGLEFINANCE($C103, ""price"", WORKDAY(INT($B103), 1)), 2, 2), """")-$G103)/$G103, ($G103-IFERROR(IND"&amp;"EX(GOOGLEFINANCE($C103, ""price"", WORKDAY(INT($B103), 1)), 2, 2), """"))/$G103))"),0.027138914443422257)</f>
        <v>0.02713891444</v>
      </c>
      <c r="R103" s="16">
        <f>IFERROR(__xludf.DUMMYFUNCTION("IF(OR(ISBLANK($G103), IFERROR(INDEX(GOOGLEFINANCE($C103, ""price"", WORKDAY(INT($B103), 5)), 2, 2), """")=""""), """", IF($D103=""LONG"", (IFERROR(INDEX(GOOGLEFINANCE($C103, ""price"", WORKDAY(INT($B103), 5)), 2, 2), """")-$G103)/$G103, ($G103-IFERROR(IND"&amp;"EX(GOOGLEFINANCE($C103, ""price"", WORKDAY(INT($B103), 5)), 2, 2), """"))/$G103))"),0.020699172033118808)</f>
        <v>0.02069917203</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2259</v>
      </c>
      <c r="U103" s="10" t="s">
        <v>984</v>
      </c>
      <c r="V103" s="10" t="s">
        <v>1880</v>
      </c>
      <c r="W103" s="10" t="s">
        <v>51</v>
      </c>
      <c r="X103" s="10" t="s">
        <v>984</v>
      </c>
    </row>
    <row r="104">
      <c r="A104" s="9">
        <f t="shared" si="1"/>
        <v>103</v>
      </c>
      <c r="B104" s="11">
        <v>46218.66792824074</v>
      </c>
      <c r="C104" s="10" t="s">
        <v>58</v>
      </c>
      <c r="D104" s="10" t="s">
        <v>36</v>
      </c>
      <c r="E104" s="10" t="s">
        <v>37</v>
      </c>
      <c r="F104" s="13">
        <v>2.0</v>
      </c>
      <c r="G104" s="14">
        <v>360.38</v>
      </c>
      <c r="H104" s="10" t="s">
        <v>2260</v>
      </c>
      <c r="I104" s="10">
        <v>94.3</v>
      </c>
      <c r="O104" s="15">
        <f>IFERROR(__xludf.DUMMYFUNCTION("IF(ISBLANK($C104), """", GOOGLEFINANCE($C104, ""price""))"),374.55)</f>
        <v>374.55</v>
      </c>
      <c r="P104" s="16">
        <f t="shared" si="2"/>
        <v>0.03931960708</v>
      </c>
      <c r="Q104" s="16">
        <f>IFERROR(__xludf.DUMMYFUNCTION("IF(OR(ISBLANK($G104), IFERROR(INDEX(GOOGLEFINANCE($C104, ""price"", WORKDAY(INT($B104), 1)), 2, 2), """")=""""), """", IF($D104=""LONG"", (IFERROR(INDEX(GOOGLEFINANCE($C104, ""price"", WORKDAY(INT($B104), 1)), 2, 2), """")-$G104)/$G104, ($G104-IFERROR(IND"&amp;"EX(GOOGLEFINANCE($C104, ""price"", WORKDAY(INT($B104), 1)), 2, 2), """"))/$G104))"),-0.040651534491370156)</f>
        <v>-0.04065153449</v>
      </c>
      <c r="R104" s="16">
        <f>IFERROR(__xludf.DUMMYFUNCTION("IF(OR(ISBLANK($G104), IFERROR(INDEX(GOOGLEFINANCE($C104, ""price"", WORKDAY(INT($B104), 5)), 2, 2), """")=""""), """", IF($D104=""LONG"", (IFERROR(INDEX(GOOGLEFINANCE($C104, ""price"", WORKDAY(INT($B104), 5)), 2, 2), """")-$G104)/$G104, ($G104-IFERROR(IND"&amp;"EX(GOOGLEFINANCE($C104, ""price"", WORKDAY(INT($B104), 5)), 2, 2), """"))/$G104))"),-0.05324934791053887)</f>
        <v>-0.05324934791</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2265</v>
      </c>
      <c r="U104" s="10" t="s">
        <v>704</v>
      </c>
      <c r="V104" s="10" t="s">
        <v>2266</v>
      </c>
      <c r="W104" s="10" t="s">
        <v>51</v>
      </c>
      <c r="X104" s="10" t="s">
        <v>704</v>
      </c>
    </row>
    <row r="105">
      <c r="A105" s="9">
        <f t="shared" si="1"/>
        <v>104</v>
      </c>
      <c r="B105" s="11">
        <v>46218.66775462963</v>
      </c>
      <c r="C105" s="10" t="s">
        <v>108</v>
      </c>
      <c r="D105" s="10" t="s">
        <v>36</v>
      </c>
      <c r="E105" s="10" t="s">
        <v>37</v>
      </c>
      <c r="F105" s="13">
        <v>2.0</v>
      </c>
      <c r="G105" s="14">
        <v>127.02</v>
      </c>
      <c r="H105" s="10" t="s">
        <v>2267</v>
      </c>
      <c r="I105" s="10">
        <v>95.6</v>
      </c>
      <c r="L105" s="10" t="s">
        <v>2268</v>
      </c>
      <c r="M105" s="34" t="s">
        <v>1789</v>
      </c>
      <c r="N105" s="10" t="s">
        <v>925</v>
      </c>
      <c r="O105" s="15">
        <f>IFERROR(__xludf.DUMMYFUNCTION("IF(ISBLANK($C105), """", GOOGLEFINANCE($C105, ""price""))"),129.68)</f>
        <v>129.68</v>
      </c>
      <c r="P105" s="16">
        <f t="shared" si="2"/>
        <v>0.020941584</v>
      </c>
      <c r="Q105" s="16">
        <f>IFERROR(__xludf.DUMMYFUNCTION("IF(OR(ISBLANK($G105), IFERROR(INDEX(GOOGLEFINANCE($C105, ""price"", WORKDAY(INT($B105), 1)), 2, 2), """")=""""), """", IF($D105=""LONG"", (IFERROR(INDEX(GOOGLEFINANCE($C105, ""price"", WORKDAY(INT($B105), 1)), 2, 2), """")-$G105)/$G105, ($G105-IFERROR(IND"&amp;"EX(GOOGLEFINANCE($C105, ""price"", WORKDAY(INT($B105), 1)), 2, 2), """"))/$G105))"),0.01125806959533926)</f>
        <v>0.0112580696</v>
      </c>
      <c r="R105" s="16">
        <f>IFERROR(__xludf.DUMMYFUNCTION("IF(OR(ISBLANK($G105), IFERROR(INDEX(GOOGLEFINANCE($C105, ""price"", WORKDAY(INT($B105), 5)), 2, 2), """")=""""), """", IF($D105=""LONG"", (IFERROR(INDEX(GOOGLEFINANCE($C105, ""price"", WORKDAY(INT($B105), 5)), 2, 2), """")-$G105)/$G105, ($G105-IFERROR(IND"&amp;"EX(GOOGLEFINANCE($C105, ""price"", WORKDAY(INT($B105), 5)), 2, 2), """"))/$G105))"),-0.038340418831679976)</f>
        <v>-0.03834041883</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2272</v>
      </c>
      <c r="U105" s="10" t="s">
        <v>240</v>
      </c>
      <c r="V105" s="10" t="s">
        <v>2273</v>
      </c>
      <c r="W105" s="10" t="s">
        <v>2274</v>
      </c>
      <c r="X105" s="10" t="s">
        <v>1905</v>
      </c>
    </row>
    <row r="106">
      <c r="A106" s="9">
        <f t="shared" si="1"/>
        <v>105</v>
      </c>
      <c r="B106" s="11">
        <v>46218.66773148148</v>
      </c>
      <c r="C106" s="10" t="s">
        <v>392</v>
      </c>
      <c r="D106" s="10" t="s">
        <v>36</v>
      </c>
      <c r="E106" s="10" t="s">
        <v>37</v>
      </c>
      <c r="F106" s="13">
        <v>2.0</v>
      </c>
      <c r="G106" s="14">
        <v>231.63</v>
      </c>
      <c r="H106" s="10" t="s">
        <v>2276</v>
      </c>
      <c r="I106" s="10">
        <v>93.9</v>
      </c>
      <c r="O106" s="15">
        <f>IFERROR(__xludf.DUMMYFUNCTION("IF(ISBLANK($C106), """", GOOGLEFINANCE($C106, ""price""))"),180.67)</f>
        <v>180.67</v>
      </c>
      <c r="P106" s="16">
        <f t="shared" si="2"/>
        <v>-0.2200060441</v>
      </c>
      <c r="Q106" s="16">
        <f>IFERROR(__xludf.DUMMYFUNCTION("IF(OR(ISBLANK($G106), IFERROR(INDEX(GOOGLEFINANCE($C106, ""price"", WORKDAY(INT($B106), 1)), 2, 2), """")=""""), """", IF($D106=""LONG"", (IFERROR(INDEX(GOOGLEFINANCE($C106, ""price"", WORKDAY(INT($B106), 1)), 2, 2), """")-$G106)/$G106, ($G106-IFERROR(IND"&amp;"EX(GOOGLEFINANCE($C106, ""price"", WORKDAY(INT($B106), 1)), 2, 2), """"))/$G106))"),0.010275007555152595)</f>
        <v>0.01027500756</v>
      </c>
      <c r="R106" s="16">
        <f>IFERROR(__xludf.DUMMYFUNCTION("IF(OR(ISBLANK($G106), IFERROR(INDEX(GOOGLEFINANCE($C106, ""price"", WORKDAY(INT($B106), 5)), 2, 2), """")=""""), """", IF($D106=""LONG"", (IFERROR(INDEX(GOOGLEFINANCE($C106, ""price"", WORKDAY(INT($B106), 5)), 2, 2), """")-$G106)/$G106, ($G106-IFERROR(IND"&amp;"EX(GOOGLEFINANCE($C106, ""price"", WORKDAY(INT($B106), 5)), 2, 2), """"))/$G106))"),0.0019427535293356519)</f>
        <v>0.001942753529</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2279</v>
      </c>
      <c r="U106" s="10" t="s">
        <v>850</v>
      </c>
      <c r="V106" s="10" t="s">
        <v>2280</v>
      </c>
      <c r="W106" s="10" t="s">
        <v>2281</v>
      </c>
      <c r="X106" s="10" t="s">
        <v>2282</v>
      </c>
    </row>
    <row r="107">
      <c r="A107" s="9">
        <f t="shared" si="1"/>
        <v>106</v>
      </c>
      <c r="B107" s="11">
        <v>46218.6675</v>
      </c>
      <c r="C107" s="10" t="s">
        <v>114</v>
      </c>
      <c r="D107" s="10" t="s">
        <v>36</v>
      </c>
      <c r="E107" s="10" t="s">
        <v>37</v>
      </c>
      <c r="F107" s="13">
        <v>2.0</v>
      </c>
      <c r="G107" s="14">
        <v>224.94</v>
      </c>
      <c r="H107" s="10" t="s">
        <v>2283</v>
      </c>
      <c r="I107" s="10">
        <v>98.1</v>
      </c>
      <c r="O107" s="15">
        <f>IFERROR(__xludf.DUMMYFUNCTION("IF(ISBLANK($C107), """", GOOGLEFINANCE($C107, ""price""))"),237.66)</f>
        <v>237.66</v>
      </c>
      <c r="P107" s="16">
        <f t="shared" si="2"/>
        <v>0.05654841291</v>
      </c>
      <c r="Q107" s="16">
        <f>IFERROR(__xludf.DUMMYFUNCTION("IF(OR(ISBLANK($G107), IFERROR(INDEX(GOOGLEFINANCE($C107, ""price"", WORKDAY(INT($B107), 1)), 2, 2), """")=""""), """", IF($D107=""LONG"", (IFERROR(INDEX(GOOGLEFINANCE($C107, ""price"", WORKDAY(INT($B107), 1)), 2, 2), """")-$G107)/$G107, ($G107-IFERROR(IND"&amp;"EX(GOOGLEFINANCE($C107, ""price"", WORKDAY(INT($B107), 1)), 2, 2), """"))/$G107))"),0.016804481194985333)</f>
        <v>0.01680448119</v>
      </c>
      <c r="R107" s="16">
        <f>IFERROR(__xludf.DUMMYFUNCTION("IF(OR(ISBLANK($G107), IFERROR(INDEX(GOOGLEFINANCE($C107, ""price"", WORKDAY(INT($B107), 5)), 2, 2), """")=""""), """", IF($D107=""LONG"", (IFERROR(INDEX(GOOGLEFINANCE($C107, ""price"", WORKDAY(INT($B107), 5)), 2, 2), """")-$G107)/$G107, ($G107-IFERROR(IND"&amp;"EX(GOOGLEFINANCE($C107, ""price"", WORKDAY(INT($B107), 5)), 2, 2), """"))/$G107))"),-0.01956077176135861)</f>
        <v>-0.01956077176</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2286</v>
      </c>
      <c r="U107" s="10" t="s">
        <v>984</v>
      </c>
      <c r="V107" s="10" t="s">
        <v>1880</v>
      </c>
      <c r="W107" s="10" t="s">
        <v>51</v>
      </c>
      <c r="X107" s="10" t="s">
        <v>984</v>
      </c>
    </row>
    <row r="108">
      <c r="A108" s="9">
        <f t="shared" si="1"/>
        <v>107</v>
      </c>
      <c r="B108" s="11">
        <v>46218.667592592596</v>
      </c>
      <c r="C108" s="10" t="s">
        <v>104</v>
      </c>
      <c r="D108" s="10" t="s">
        <v>36</v>
      </c>
      <c r="E108" s="10" t="s">
        <v>37</v>
      </c>
      <c r="F108" s="13">
        <v>2.0</v>
      </c>
      <c r="G108" s="14">
        <v>121.3</v>
      </c>
      <c r="H108" s="10" t="s">
        <v>2288</v>
      </c>
      <c r="I108" s="10">
        <v>96.8</v>
      </c>
      <c r="O108" s="15">
        <f>IFERROR(__xludf.DUMMYFUNCTION("IF(ISBLANK($C108), """", GOOGLEFINANCE($C108, ""price""))"),127.45)</f>
        <v>127.45</v>
      </c>
      <c r="P108" s="16">
        <f t="shared" si="2"/>
        <v>0.05070074196</v>
      </c>
      <c r="Q108" s="16">
        <f>IFERROR(__xludf.DUMMYFUNCTION("IF(OR(ISBLANK($G108), IFERROR(INDEX(GOOGLEFINANCE($C108, ""price"", WORKDAY(INT($B108), 1)), 2, 2), """")=""""), """", IF($D108=""LONG"", (IFERROR(INDEX(GOOGLEFINANCE($C108, ""price"", WORKDAY(INT($B108), 1)), 2, 2), """")-$G108)/$G108, ($G108-IFERROR(IND"&amp;"EX(GOOGLEFINANCE($C108, ""price"", WORKDAY(INT($B108), 1)), 2, 2), """"))/$G108))"),0.048309975267930745)</f>
        <v>0.04830997527</v>
      </c>
      <c r="R108" s="16">
        <f>IFERROR(__xludf.DUMMYFUNCTION("IF(OR(ISBLANK($G108), IFERROR(INDEX(GOOGLEFINANCE($C108, ""price"", WORKDAY(INT($B108), 5)), 2, 2), """")=""""), """", IF($D108=""LONG"", (IFERROR(INDEX(GOOGLEFINANCE($C108, ""price"", WORKDAY(INT($B108), 5)), 2, 2), """")-$G108)/$G108, ($G108-IFERROR(IND"&amp;"EX(GOOGLEFINANCE($C108, ""price"", WORKDAY(INT($B108), 5)), 2, 2), """"))/$G108))"),-0.00873866446826053)</f>
        <v>-0.008738664468</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2291</v>
      </c>
      <c r="U108" s="10" t="s">
        <v>984</v>
      </c>
      <c r="V108" s="10" t="s">
        <v>985</v>
      </c>
      <c r="W108" s="10" t="s">
        <v>51</v>
      </c>
      <c r="X108" s="10" t="s">
        <v>984</v>
      </c>
    </row>
    <row r="109">
      <c r="A109" s="9">
        <f t="shared" si="1"/>
        <v>108</v>
      </c>
      <c r="B109" s="11">
        <v>46218.66744212963</v>
      </c>
      <c r="C109" s="10" t="s">
        <v>939</v>
      </c>
      <c r="D109" s="10" t="s">
        <v>36</v>
      </c>
      <c r="E109" s="10" t="s">
        <v>37</v>
      </c>
      <c r="F109" s="13">
        <v>2.0</v>
      </c>
      <c r="G109" s="14">
        <v>195.88</v>
      </c>
      <c r="H109" s="10" t="s">
        <v>2293</v>
      </c>
      <c r="I109" s="10">
        <v>93.0</v>
      </c>
      <c r="L109" s="10" t="s">
        <v>2294</v>
      </c>
      <c r="M109" s="34" t="s">
        <v>1789</v>
      </c>
      <c r="N109" s="10" t="s">
        <v>925</v>
      </c>
      <c r="O109" s="15">
        <f>IFERROR(__xludf.DUMMYFUNCTION("IF(ISBLANK($C109), """", GOOGLEFINANCE($C109, ""price""))"),223.25)</f>
        <v>223.25</v>
      </c>
      <c r="P109" s="16">
        <f t="shared" si="2"/>
        <v>0.1397284051</v>
      </c>
      <c r="Q109" s="16">
        <f>IFERROR(__xludf.DUMMYFUNCTION("IF(OR(ISBLANK($G109), IFERROR(INDEX(GOOGLEFINANCE($C109, ""price"", WORKDAY(INT($B109), 1)), 2, 2), """")=""""), """", IF($D109=""LONG"", (IFERROR(INDEX(GOOGLEFINANCE($C109, ""price"", WORKDAY(INT($B109), 1)), 2, 2), """")-$G109)/$G109, ($G109-IFERROR(IND"&amp;"EX(GOOGLEFINANCE($C109, ""price"", WORKDAY(INT($B109), 1)), 2, 2), """"))/$G109))"),-0.007759852971206769)</f>
        <v>-0.007759852971</v>
      </c>
      <c r="R109" s="16">
        <f>IFERROR(__xludf.DUMMYFUNCTION("IF(OR(ISBLANK($G109), IFERROR(INDEX(GOOGLEFINANCE($C109, ""price"", WORKDAY(INT($B109), 5)), 2, 2), """")=""""), """", IF($D109=""LONG"", (IFERROR(INDEX(GOOGLEFINANCE($C109, ""price"", WORKDAY(INT($B109), 5)), 2, 2), """")-$G109)/$G109, ($G109-IFERROR(IND"&amp;"EX(GOOGLEFINANCE($C109, ""price"", WORKDAY(INT($B109), 5)), 2, 2), """"))/$G109))"),-0.005105166428425567)</f>
        <v>-0.005105166428</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2298</v>
      </c>
      <c r="U109" s="10" t="s">
        <v>240</v>
      </c>
      <c r="V109" s="10" t="s">
        <v>2299</v>
      </c>
      <c r="W109" s="10" t="s">
        <v>2300</v>
      </c>
      <c r="X109" s="10" t="s">
        <v>1905</v>
      </c>
    </row>
    <row r="110">
      <c r="A110" s="9">
        <f t="shared" si="1"/>
        <v>109</v>
      </c>
      <c r="B110" s="11">
        <v>46218.66738425926</v>
      </c>
      <c r="C110" s="10" t="s">
        <v>332</v>
      </c>
      <c r="D110" s="10" t="s">
        <v>36</v>
      </c>
      <c r="E110" s="10" t="s">
        <v>37</v>
      </c>
      <c r="F110" s="13">
        <v>2.0</v>
      </c>
      <c r="G110" s="14">
        <v>87.18</v>
      </c>
      <c r="H110" s="10" t="s">
        <v>2302</v>
      </c>
      <c r="I110" s="10">
        <v>95.2</v>
      </c>
      <c r="O110" s="15">
        <f>IFERROR(__xludf.DUMMYFUNCTION("IF(ISBLANK($C110), """", GOOGLEFINANCE($C110, ""price""))"),88.23)</f>
        <v>88.23</v>
      </c>
      <c r="P110" s="16">
        <f t="shared" si="2"/>
        <v>0.0120440468</v>
      </c>
      <c r="Q110" s="16">
        <f>IFERROR(__xludf.DUMMYFUNCTION("IF(OR(ISBLANK($G110), IFERROR(INDEX(GOOGLEFINANCE($C110, ""price"", WORKDAY(INT($B110), 1)), 2, 2), """")=""""), """", IF($D110=""LONG"", (IFERROR(INDEX(GOOGLEFINANCE($C110, ""price"", WORKDAY(INT($B110), 1)), 2, 2), """")-$G110)/$G110, ($G110-IFERROR(IND"&amp;"EX(GOOGLEFINANCE($C110, ""price"", WORKDAY(INT($B110), 1)), 2, 2), """"))/$G110))"),0.012388162422573965)</f>
        <v>0.01238816242</v>
      </c>
      <c r="R110" s="16">
        <f>IFERROR(__xludf.DUMMYFUNCTION("IF(OR(ISBLANK($G110), IFERROR(INDEX(GOOGLEFINANCE($C110, ""price"", WORKDAY(INT($B110), 5)), 2, 2), """")=""""), """", IF($D110=""LONG"", (IFERROR(INDEX(GOOGLEFINANCE($C110, ""price"", WORKDAY(INT($B110), 5)), 2, 2), """")-$G110)/$G110, ($G110-IFERROR(IND"&amp;"EX(GOOGLEFINANCE($C110, ""price"", WORKDAY(INT($B110), 5)), 2, 2), """"))/$G110))"),-0.02718513420509296)</f>
        <v>-0.02718513421</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2306</v>
      </c>
      <c r="U110" s="10" t="s">
        <v>84</v>
      </c>
      <c r="V110" s="10" t="s">
        <v>2307</v>
      </c>
      <c r="W110" s="10" t="s">
        <v>2308</v>
      </c>
      <c r="X110" s="10" t="s">
        <v>2309</v>
      </c>
    </row>
    <row r="111">
      <c r="A111" s="9">
        <f t="shared" si="1"/>
        <v>110</v>
      </c>
      <c r="B111" s="11">
        <v>46218.66747685185</v>
      </c>
      <c r="C111" s="10" t="s">
        <v>2311</v>
      </c>
      <c r="D111" s="10" t="s">
        <v>36</v>
      </c>
      <c r="E111" s="10" t="s">
        <v>133</v>
      </c>
      <c r="F111" s="13">
        <v>2.0</v>
      </c>
      <c r="G111" s="14">
        <v>232.74</v>
      </c>
      <c r="H111" s="10" t="s">
        <v>2312</v>
      </c>
      <c r="I111" s="10">
        <v>94.0</v>
      </c>
      <c r="O111" s="15">
        <f>IFERROR(__xludf.DUMMYFUNCTION("IF(ISBLANK($C111), """", GOOGLEFINANCE($C111, ""price""))"),229.01)</f>
        <v>229.01</v>
      </c>
      <c r="P111" s="16">
        <f t="shared" si="2"/>
        <v>-0.0160264673</v>
      </c>
      <c r="Q111" s="16">
        <f>IFERROR(__xludf.DUMMYFUNCTION("IF(OR(ISBLANK($G111), IFERROR(INDEX(GOOGLEFINANCE($C111, ""price"", WORKDAY(INT($B111), 1)), 2, 2), """")=""""), """", IF($D111=""LONG"", (IFERROR(INDEX(GOOGLEFINANCE($C111, ""price"", WORKDAY(INT($B111), 1)), 2, 2), """")-$G111)/$G111, ($G111-IFERROR(IND"&amp;"EX(GOOGLEFINANCE($C111, ""price"", WORKDAY(INT($B111), 1)), 2, 2), """"))/$G111))"),0.04086104666151066)</f>
        <v>0.04086104666</v>
      </c>
      <c r="R111" s="16">
        <f>IFERROR(__xludf.DUMMYFUNCTION("IF(OR(ISBLANK($G111), IFERROR(INDEX(GOOGLEFINANCE($C111, ""price"", WORKDAY(INT($B111), 5)), 2, 2), """")=""""), """", IF($D111=""LONG"", (IFERROR(INDEX(GOOGLEFINANCE($C111, ""price"", WORKDAY(INT($B111), 5)), 2, 2), """")-$G111)/$G111, ($G111-IFERROR(IND"&amp;"EX(GOOGLEFINANCE($C111, ""price"", WORKDAY(INT($B111), 5)), 2, 2), """"))/$G111))"),0.015639769700094466)</f>
        <v>0.0156397697</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2316</v>
      </c>
      <c r="U111" s="10" t="s">
        <v>984</v>
      </c>
      <c r="V111" s="10" t="s">
        <v>1880</v>
      </c>
      <c r="W111" s="10" t="s">
        <v>51</v>
      </c>
      <c r="X111" s="10" t="s">
        <v>984</v>
      </c>
    </row>
    <row r="112">
      <c r="A112" s="9">
        <f t="shared" si="1"/>
        <v>111</v>
      </c>
      <c r="B112" s="11">
        <v>46218.6675</v>
      </c>
      <c r="C112" s="10" t="s">
        <v>201</v>
      </c>
      <c r="D112" s="10" t="s">
        <v>36</v>
      </c>
      <c r="E112" s="10" t="s">
        <v>37</v>
      </c>
      <c r="F112" s="13">
        <v>2.0</v>
      </c>
      <c r="G112" s="14">
        <v>129.21</v>
      </c>
      <c r="H112" s="10" t="s">
        <v>2317</v>
      </c>
      <c r="I112" s="10">
        <v>98.2</v>
      </c>
      <c r="O112" s="15">
        <f>IFERROR(__xludf.DUMMYFUNCTION("IF(ISBLANK($C112), """", GOOGLEFINANCE($C112, ""price""))"),134.82)</f>
        <v>134.82</v>
      </c>
      <c r="P112" s="16">
        <f t="shared" si="2"/>
        <v>0.04341769213</v>
      </c>
      <c r="Q112" s="16">
        <f>IFERROR(__xludf.DUMMYFUNCTION("IF(OR(ISBLANK($G112), IFERROR(INDEX(GOOGLEFINANCE($C112, ""price"", WORKDAY(INT($B112), 1)), 2, 2), """")=""""), """", IF($D112=""LONG"", (IFERROR(INDEX(GOOGLEFINANCE($C112, ""price"", WORKDAY(INT($B112), 1)), 2, 2), """")-$G112)/$G112, ($G112-IFERROR(IND"&amp;"EX(GOOGLEFINANCE($C112, ""price"", WORKDAY(INT($B112), 1)), 2, 2), """"))/$G112))"),0.039625415989474534)</f>
        <v>0.03962541599</v>
      </c>
      <c r="R112" s="16">
        <f>IFERROR(__xludf.DUMMYFUNCTION("IF(OR(ISBLANK($G112), IFERROR(INDEX(GOOGLEFINANCE($C112, ""price"", WORKDAY(INT($B112), 5)), 2, 2), """")=""""), """", IF($D112=""LONG"", (IFERROR(INDEX(GOOGLEFINANCE($C112, ""price"", WORKDAY(INT($B112), 5)), 2, 2), """")-$G112)/$G112, ($G112-IFERROR(IND"&amp;"EX(GOOGLEFINANCE($C112, ""price"", WORKDAY(INT($B112), 5)), 2, 2), """"))/$G112))"),0.03575574645925241)</f>
        <v>0.03575574646</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2322</v>
      </c>
      <c r="U112" s="10" t="s">
        <v>984</v>
      </c>
      <c r="V112" s="10" t="s">
        <v>985</v>
      </c>
      <c r="W112" s="10" t="s">
        <v>51</v>
      </c>
      <c r="X112" s="10" t="s">
        <v>984</v>
      </c>
    </row>
    <row r="113">
      <c r="A113" s="9">
        <f t="shared" si="1"/>
        <v>112</v>
      </c>
      <c r="B113" s="11">
        <v>46218.66746527778</v>
      </c>
      <c r="C113" s="10" t="s">
        <v>238</v>
      </c>
      <c r="D113" s="10" t="s">
        <v>36</v>
      </c>
      <c r="E113" s="10" t="s">
        <v>37</v>
      </c>
      <c r="F113" s="13">
        <v>2.0</v>
      </c>
      <c r="G113" s="14">
        <v>222.87</v>
      </c>
      <c r="H113" s="10" t="s">
        <v>2324</v>
      </c>
      <c r="I113" s="10">
        <v>86.7</v>
      </c>
      <c r="O113" s="15">
        <f>IFERROR(__xludf.DUMMYFUNCTION("IF(ISBLANK($C113), """", GOOGLEFINANCE($C113, ""price""))"),246.89)</f>
        <v>246.89</v>
      </c>
      <c r="P113" s="16">
        <f t="shared" si="2"/>
        <v>0.1077758334</v>
      </c>
      <c r="Q113" s="16">
        <f>IFERROR(__xludf.DUMMYFUNCTION("IF(OR(ISBLANK($G113), IFERROR(INDEX(GOOGLEFINANCE($C113, ""price"", WORKDAY(INT($B113), 1)), 2, 2), """")=""""), """", IF($D113=""LONG"", (IFERROR(INDEX(GOOGLEFINANCE($C113, ""price"", WORKDAY(INT($B113), 1)), 2, 2), """")-$G113)/$G113, ($G113-IFERROR(IND"&amp;"EX(GOOGLEFINANCE($C113, ""price"", WORKDAY(INT($B113), 1)), 2, 2), """"))/$G113))"),0.024722932651321358)</f>
        <v>0.02472293265</v>
      </c>
      <c r="R113" s="16">
        <f>IFERROR(__xludf.DUMMYFUNCTION("IF(OR(ISBLANK($G113), IFERROR(INDEX(GOOGLEFINANCE($C113, ""price"", WORKDAY(INT($B113), 5)), 2, 2), """")=""""), """", IF($D113=""LONG"", (IFERROR(INDEX(GOOGLEFINANCE($C113, ""price"", WORKDAY(INT($B113), 5)), 2, 2), """")-$G113)/$G113, ($G113-IFERROR(IND"&amp;"EX(GOOGLEFINANCE($C113, ""price"", WORKDAY(INT($B113), 5)), 2, 2), """"))/$G113))"),-0.002378067931978288)</f>
        <v>-0.002378067932</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2327</v>
      </c>
      <c r="U113" s="10" t="s">
        <v>984</v>
      </c>
      <c r="V113" s="10" t="s">
        <v>998</v>
      </c>
      <c r="W113" s="10" t="s">
        <v>51</v>
      </c>
      <c r="X113" s="10" t="s">
        <v>984</v>
      </c>
    </row>
    <row r="114">
      <c r="A114" s="9">
        <f t="shared" si="1"/>
        <v>113</v>
      </c>
      <c r="B114" s="11">
        <v>46218.66775462963</v>
      </c>
      <c r="C114" s="10" t="s">
        <v>424</v>
      </c>
      <c r="D114" s="10" t="s">
        <v>36</v>
      </c>
      <c r="E114" s="10" t="s">
        <v>37</v>
      </c>
      <c r="F114" s="13">
        <v>2.0</v>
      </c>
      <c r="G114" s="14">
        <v>80.73</v>
      </c>
      <c r="H114" s="10" t="s">
        <v>2330</v>
      </c>
      <c r="I114" s="10">
        <v>96.4</v>
      </c>
      <c r="O114" s="15">
        <f>IFERROR(__xludf.DUMMYFUNCTION("IF(ISBLANK($C114), """", GOOGLEFINANCE($C114, ""price""))"),84.35)</f>
        <v>84.35</v>
      </c>
      <c r="P114" s="16">
        <f t="shared" si="2"/>
        <v>0.04484082745</v>
      </c>
      <c r="Q114" s="16">
        <f>IFERROR(__xludf.DUMMYFUNCTION("IF(OR(ISBLANK($G114), IFERROR(INDEX(GOOGLEFINANCE($C114, ""price"", WORKDAY(INT($B114), 1)), 2, 2), """")=""""), """", IF($D114=""LONG"", (IFERROR(INDEX(GOOGLEFINANCE($C114, ""price"", WORKDAY(INT($B114), 1)), 2, 2), """")-$G114)/$G114, ($G114-IFERROR(IND"&amp;"EX(GOOGLEFINANCE($C114, ""price"", WORKDAY(INT($B114), 1)), 2, 2), """"))/$G114))"),0.01882819274123617)</f>
        <v>0.01882819274</v>
      </c>
      <c r="R114" s="16">
        <f>IFERROR(__xludf.DUMMYFUNCTION("IF(OR(ISBLANK($G114), IFERROR(INDEX(GOOGLEFINANCE($C114, ""price"", WORKDAY(INT($B114), 5)), 2, 2), """")=""""), """", IF($D114=""LONG"", (IFERROR(INDEX(GOOGLEFINANCE($C114, ""price"", WORKDAY(INT($B114), 5)), 2, 2), """")-$G114)/$G114, ($G114-IFERROR(IND"&amp;"EX(GOOGLEFINANCE($C114, ""price"", WORKDAY(INT($B114), 5)), 2, 2), """"))/$G114))"),0.01721788678310418)</f>
        <v>0.01721788678</v>
      </c>
      <c r="S114" s="16" t="str">
        <f>IFERROR(__xludf.DUMMYFUNCTION("IF(OR(ISBLANK($G114), IFERROR(INDEX(GOOGLEFINANCE($C114, ""price"", WORKDAY(INT($B114), 20)), 2, 2), """")=""""), """", IF($D114=""LONG"", (IFERROR(INDEX(GOOGLEFINANCE($C114, ""price"", WORKDAY(INT($B114), 20)), 2, 2), """")-$G114)/$G114, ($G114-IFERROR(I"&amp;"NDEX(GOOGLEFINANCE($C114, ""price"", WORKDAY(INT($B114), 20)), 2, 2), """"))/$G114))"),"")</f>
        <v/>
      </c>
      <c r="T114" s="10" t="s">
        <v>2334</v>
      </c>
      <c r="U114" s="10" t="s">
        <v>984</v>
      </c>
      <c r="V114" s="10" t="s">
        <v>1880</v>
      </c>
      <c r="W114" s="10" t="s">
        <v>51</v>
      </c>
      <c r="X114" s="10" t="s">
        <v>984</v>
      </c>
    </row>
    <row r="115">
      <c r="A115" s="9">
        <f t="shared" si="1"/>
        <v>114</v>
      </c>
      <c r="B115" s="11">
        <v>46218.66740740741</v>
      </c>
      <c r="C115" s="10" t="s">
        <v>1255</v>
      </c>
      <c r="D115" s="10" t="s">
        <v>36</v>
      </c>
      <c r="E115" s="10" t="s">
        <v>37</v>
      </c>
      <c r="F115" s="13">
        <v>2.0</v>
      </c>
      <c r="G115" s="14">
        <v>76.67</v>
      </c>
      <c r="H115" s="10" t="s">
        <v>2336</v>
      </c>
      <c r="I115" s="10">
        <v>89.3</v>
      </c>
      <c r="L115" s="10" t="s">
        <v>2337</v>
      </c>
      <c r="M115" s="10" t="s">
        <v>2174</v>
      </c>
      <c r="N115" s="10" t="s">
        <v>925</v>
      </c>
      <c r="O115" s="15">
        <f>IFERROR(__xludf.DUMMYFUNCTION("IF(ISBLANK($C115), """", GOOGLEFINANCE($C115, ""price""))"),67.23)</f>
        <v>67.23</v>
      </c>
      <c r="P115" s="16">
        <f t="shared" si="2"/>
        <v>-0.1231250815</v>
      </c>
      <c r="Q115" s="16">
        <f>IFERROR(__xludf.DUMMYFUNCTION("IF(OR(ISBLANK($G115), IFERROR(INDEX(GOOGLEFINANCE($C115, ""price"", WORKDAY(INT($B115), 1)), 2, 2), """")=""""), """", IF($D115=""LONG"", (IFERROR(INDEX(GOOGLEFINANCE($C115, ""price"", WORKDAY(INT($B115), 1)), 2, 2), """")-$G115)/$G115, ($G115-IFERROR(IND"&amp;"EX(GOOGLEFINANCE($C115, ""price"", WORKDAY(INT($B115), 1)), 2, 2), """"))/$G115))"),0.017999217425329273)</f>
        <v>0.01799921743</v>
      </c>
      <c r="R115" s="16">
        <f>IFERROR(__xludf.DUMMYFUNCTION("IF(OR(ISBLANK($G115), IFERROR(INDEX(GOOGLEFINANCE($C115, ""price"", WORKDAY(INT($B115), 5)), 2, 2), """")=""""), """", IF($D115=""LONG"", (IFERROR(INDEX(GOOGLEFINANCE($C115, ""price"", WORKDAY(INT($B115), 5)), 2, 2), """")-$G115)/$G115, ($G115-IFERROR(IND"&amp;"EX(GOOGLEFINANCE($C115, ""price"", WORKDAY(INT($B115), 5)), 2, 2), """"))/$G115))"),0.04838920046954472)</f>
        <v>0.04838920047</v>
      </c>
      <c r="S115" s="16" t="str">
        <f>IFERROR(__xludf.DUMMYFUNCTION("IF(OR(ISBLANK($G115), IFERROR(INDEX(GOOGLEFINANCE($C115, ""price"", WORKDAY(INT($B115), 20)), 2, 2), """")=""""), """", IF($D115=""LONG"", (IFERROR(INDEX(GOOGLEFINANCE($C115, ""price"", WORKDAY(INT($B115), 20)), 2, 2), """")-$G115)/$G115, ($G115-IFERROR(I"&amp;"NDEX(GOOGLEFINANCE($C115, ""price"", WORKDAY(INT($B115), 20)), 2, 2), """"))/$G115))"),"")</f>
        <v/>
      </c>
      <c r="T115" s="10" t="s">
        <v>2342</v>
      </c>
      <c r="U115" s="10" t="s">
        <v>240</v>
      </c>
      <c r="V115" s="10" t="s">
        <v>2343</v>
      </c>
      <c r="W115" s="10" t="s">
        <v>2344</v>
      </c>
      <c r="X115" s="10" t="s">
        <v>1905</v>
      </c>
    </row>
    <row r="116">
      <c r="A116" s="9">
        <f t="shared" si="1"/>
        <v>115</v>
      </c>
      <c r="B116" s="11">
        <v>46218.66753472222</v>
      </c>
      <c r="C116" s="10" t="s">
        <v>41</v>
      </c>
      <c r="D116" s="10" t="s">
        <v>36</v>
      </c>
      <c r="E116" s="10" t="s">
        <v>37</v>
      </c>
      <c r="F116" s="13">
        <v>2.0</v>
      </c>
      <c r="G116" s="14">
        <v>181.57</v>
      </c>
      <c r="H116" s="10" t="s">
        <v>2345</v>
      </c>
      <c r="I116" s="10">
        <v>83.4</v>
      </c>
      <c r="O116" s="15">
        <f>IFERROR(__xludf.DUMMYFUNCTION("IF(ISBLANK($C116), """", GOOGLEFINANCE($C116, ""price""))"),186.02)</f>
        <v>186.02</v>
      </c>
      <c r="P116" s="16">
        <f t="shared" si="2"/>
        <v>0.02450845404</v>
      </c>
      <c r="Q116" s="16">
        <f>IFERROR(__xludf.DUMMYFUNCTION("IF(OR(ISBLANK($G116), IFERROR(INDEX(GOOGLEFINANCE($C116, ""price"", WORKDAY(INT($B116), 1)), 2, 2), """")=""""), """", IF($D116=""LONG"", (IFERROR(INDEX(GOOGLEFINANCE($C116, ""price"", WORKDAY(INT($B116), 1)), 2, 2), """")-$G116)/$G116, ($G116-IFERROR(IND"&amp;"EX(GOOGLEFINANCE($C116, ""price"", WORKDAY(INT($B116), 1)), 2, 2), """"))/$G116))"),0.016467478107616947)</f>
        <v>0.01646747811</v>
      </c>
      <c r="R116" s="16">
        <f>IFERROR(__xludf.DUMMYFUNCTION("IF(OR(ISBLANK($G116), IFERROR(INDEX(GOOGLEFINANCE($C116, ""price"", WORKDAY(INT($B116), 5)), 2, 2), """")=""""), """", IF($D116=""LONG"", (IFERROR(INDEX(GOOGLEFINANCE($C116, ""price"", WORKDAY(INT($B116), 5)), 2, 2), """")-$G116)/$G116, ($G116-IFERROR(IND"&amp;"EX(GOOGLEFINANCE($C116, ""price"", WORKDAY(INT($B116), 5)), 2, 2), """"))/$G116))"),0.013383268161039857)</f>
        <v>0.01338326816</v>
      </c>
      <c r="S116" s="16" t="str">
        <f>IFERROR(__xludf.DUMMYFUNCTION("IF(OR(ISBLANK($G116), IFERROR(INDEX(GOOGLEFINANCE($C116, ""price"", WORKDAY(INT($B116), 20)), 2, 2), """")=""""), """", IF($D116=""LONG"", (IFERROR(INDEX(GOOGLEFINANCE($C116, ""price"", WORKDAY(INT($B116), 20)), 2, 2), """")-$G116)/$G116, ($G116-IFERROR(I"&amp;"NDEX(GOOGLEFINANCE($C116, ""price"", WORKDAY(INT($B116), 20)), 2, 2), """"))/$G116))"),"")</f>
        <v/>
      </c>
      <c r="T116" s="10" t="s">
        <v>2350</v>
      </c>
      <c r="U116" s="10" t="s">
        <v>850</v>
      </c>
      <c r="V116" s="10" t="s">
        <v>2351</v>
      </c>
      <c r="W116" s="10" t="s">
        <v>2352</v>
      </c>
      <c r="X116" s="10" t="s">
        <v>2282</v>
      </c>
    </row>
    <row r="117">
      <c r="A117" s="9">
        <f t="shared" si="1"/>
        <v>116</v>
      </c>
      <c r="B117" s="11">
        <v>46218.66747685185</v>
      </c>
      <c r="C117" s="10" t="s">
        <v>629</v>
      </c>
      <c r="D117" s="10" t="s">
        <v>36</v>
      </c>
      <c r="E117" s="10" t="s">
        <v>37</v>
      </c>
      <c r="F117" s="13">
        <v>2.0</v>
      </c>
      <c r="G117" s="14">
        <v>50.89</v>
      </c>
      <c r="H117" s="10" t="s">
        <v>2353</v>
      </c>
      <c r="I117" s="10">
        <v>99.0</v>
      </c>
      <c r="O117" s="15">
        <f>IFERROR(__xludf.DUMMYFUNCTION("IF(ISBLANK($C117), """", GOOGLEFINANCE($C117, ""price""))"),52.28)</f>
        <v>52.28</v>
      </c>
      <c r="P117" s="16">
        <f t="shared" si="2"/>
        <v>0.02731381411</v>
      </c>
      <c r="Q117" s="16">
        <f>IFERROR(__xludf.DUMMYFUNCTION("IF(OR(ISBLANK($G117), IFERROR(INDEX(GOOGLEFINANCE($C117, ""price"", WORKDAY(INT($B117), 1)), 2, 2), """")=""""), """", IF($D117=""LONG"", (IFERROR(INDEX(GOOGLEFINANCE($C117, ""price"", WORKDAY(INT($B117), 1)), 2, 2), """")-$G117)/$G117, ($G117-IFERROR(IND"&amp;"EX(GOOGLEFINANCE($C117, ""price"", WORKDAY(INT($B117), 1)), 2, 2), """"))/$G117))"),0.039496954214973436)</f>
        <v>0.03949695421</v>
      </c>
      <c r="R117" s="16">
        <f>IFERROR(__xludf.DUMMYFUNCTION("IF(OR(ISBLANK($G117), IFERROR(INDEX(GOOGLEFINANCE($C117, ""price"", WORKDAY(INT($B117), 5)), 2, 2), """")=""""), """", IF($D117=""LONG"", (IFERROR(INDEX(GOOGLEFINANCE($C117, ""price"", WORKDAY(INT($B117), 5)), 2, 2), """")-$G117)/$G117, ($G117-IFERROR(IND"&amp;"EX(GOOGLEFINANCE($C117, ""price"", WORKDAY(INT($B117), 5)), 2, 2), """"))/$G117))"),0.02220475535468663)</f>
        <v>0.02220475535</v>
      </c>
      <c r="S117" s="16" t="str">
        <f>IFERROR(__xludf.DUMMYFUNCTION("IF(OR(ISBLANK($G117), IFERROR(INDEX(GOOGLEFINANCE($C117, ""price"", WORKDAY(INT($B117), 20)), 2, 2), """")=""""), """", IF($D117=""LONG"", (IFERROR(INDEX(GOOGLEFINANCE($C117, ""price"", WORKDAY(INT($B117), 20)), 2, 2), """")-$G117)/$G117, ($G117-IFERROR(I"&amp;"NDEX(GOOGLEFINANCE($C117, ""price"", WORKDAY(INT($B117), 20)), 2, 2), """"))/$G117))"),"")</f>
        <v/>
      </c>
      <c r="T117" s="10" t="s">
        <v>2357</v>
      </c>
      <c r="U117" s="10" t="s">
        <v>984</v>
      </c>
      <c r="V117" s="10" t="s">
        <v>985</v>
      </c>
      <c r="W117" s="10" t="s">
        <v>51</v>
      </c>
      <c r="X117" s="10" t="s">
        <v>984</v>
      </c>
    </row>
    <row r="118">
      <c r="A118" s="9">
        <f t="shared" si="1"/>
        <v>117</v>
      </c>
      <c r="B118" s="11">
        <v>46218.66752314815</v>
      </c>
      <c r="C118" s="10" t="s">
        <v>228</v>
      </c>
      <c r="D118" s="10" t="s">
        <v>36</v>
      </c>
      <c r="E118" s="10" t="s">
        <v>37</v>
      </c>
      <c r="F118" s="13">
        <v>2.0</v>
      </c>
      <c r="G118" s="14">
        <v>69.86</v>
      </c>
      <c r="H118" s="10" t="s">
        <v>2358</v>
      </c>
      <c r="I118" s="10">
        <v>97.2</v>
      </c>
      <c r="O118" s="15">
        <f>IFERROR(__xludf.DUMMYFUNCTION("IF(ISBLANK($C118), """", GOOGLEFINANCE($C118, ""price""))"),72.13)</f>
        <v>72.13</v>
      </c>
      <c r="P118" s="16">
        <f t="shared" si="2"/>
        <v>0.03249355855</v>
      </c>
      <c r="Q118" s="16">
        <f>IFERROR(__xludf.DUMMYFUNCTION("IF(OR(ISBLANK($G118), IFERROR(INDEX(GOOGLEFINANCE($C118, ""price"", WORKDAY(INT($B118), 1)), 2, 2), """")=""""), """", IF($D118=""LONG"", (IFERROR(INDEX(GOOGLEFINANCE($C118, ""price"", WORKDAY(INT($B118), 1)), 2, 2), """")-$G118)/$G118, ($G118-IFERROR(IND"&amp;"EX(GOOGLEFINANCE($C118, ""price"", WORKDAY(INT($B118), 1)), 2, 2), """"))/$G118))"),5.725737188663935E-4)</f>
        <v>0.0005725737189</v>
      </c>
      <c r="R118" s="16">
        <f>IFERROR(__xludf.DUMMYFUNCTION("IF(OR(ISBLANK($G118), IFERROR(INDEX(GOOGLEFINANCE($C118, ""price"", WORKDAY(INT($B118), 5)), 2, 2), """")=""""), """", IF($D118=""LONG"", (IFERROR(INDEX(GOOGLEFINANCE($C118, ""price"", WORKDAY(INT($B118), 5)), 2, 2), """")-$G118)/$G118, ($G118-IFERROR(IND"&amp;"EX(GOOGLEFINANCE($C118, ""price"", WORKDAY(INT($B118), 5)), 2, 2), """"))/$G118))"),0.035785857429144)</f>
        <v>0.03578585743</v>
      </c>
      <c r="S118" s="16" t="str">
        <f>IFERROR(__xludf.DUMMYFUNCTION("IF(OR(ISBLANK($G118), IFERROR(INDEX(GOOGLEFINANCE($C118, ""price"", WORKDAY(INT($B118), 20)), 2, 2), """")=""""), """", IF($D118=""LONG"", (IFERROR(INDEX(GOOGLEFINANCE($C118, ""price"", WORKDAY(INT($B118), 20)), 2, 2), """")-$G118)/$G118, ($G118-IFERROR(I"&amp;"NDEX(GOOGLEFINANCE($C118, ""price"", WORKDAY(INT($B118), 20)), 2, 2), """"))/$G118))"),"")</f>
        <v/>
      </c>
      <c r="T118" s="10" t="s">
        <v>2363</v>
      </c>
      <c r="U118" s="10" t="s">
        <v>984</v>
      </c>
      <c r="V118" s="10" t="s">
        <v>1880</v>
      </c>
      <c r="W118" s="10" t="s">
        <v>51</v>
      </c>
      <c r="X118" s="10" t="s">
        <v>984</v>
      </c>
    </row>
    <row r="119">
      <c r="A119" s="9">
        <f t="shared" si="1"/>
        <v>118</v>
      </c>
      <c r="B119" s="11">
        <v>46218.66775462963</v>
      </c>
      <c r="C119" s="10" t="s">
        <v>548</v>
      </c>
      <c r="D119" s="10" t="s">
        <v>36</v>
      </c>
      <c r="E119" s="10" t="s">
        <v>37</v>
      </c>
      <c r="F119" s="13">
        <v>2.0</v>
      </c>
      <c r="G119" s="14">
        <v>92.3</v>
      </c>
      <c r="H119" s="10" t="s">
        <v>782</v>
      </c>
      <c r="I119" s="10">
        <v>90.9</v>
      </c>
      <c r="O119" s="15">
        <f>IFERROR(__xludf.DUMMYFUNCTION("IF(ISBLANK($C119), """", GOOGLEFINANCE($C119, ""price""))"),92.26)</f>
        <v>92.26</v>
      </c>
      <c r="P119" s="16">
        <f t="shared" si="2"/>
        <v>-0.0004333694475</v>
      </c>
      <c r="Q119" s="16">
        <f>IFERROR(__xludf.DUMMYFUNCTION("IF(OR(ISBLANK($G119), IFERROR(INDEX(GOOGLEFINANCE($C119, ""price"", WORKDAY(INT($B119), 1)), 2, 2), """")=""""), """", IF($D119=""LONG"", (IFERROR(INDEX(GOOGLEFINANCE($C119, ""price"", WORKDAY(INT($B119), 1)), 2, 2), """")-$G119)/$G119, ($G119-IFERROR(IND"&amp;"EX(GOOGLEFINANCE($C119, ""price"", WORKDAY(INT($B119), 1)), 2, 2), """"))/$G119))"),0.02968580715059598)</f>
        <v>0.02968580715</v>
      </c>
      <c r="R119" s="16">
        <f>IFERROR(__xludf.DUMMYFUNCTION("IF(OR(ISBLANK($G119), IFERROR(INDEX(GOOGLEFINANCE($C119, ""price"", WORKDAY(INT($B119), 5)), 2, 2), """")=""""), """", IF($D119=""LONG"", (IFERROR(INDEX(GOOGLEFINANCE($C119, ""price"", WORKDAY(INT($B119), 5)), 2, 2), """")-$G119)/$G119, ($G119-IFERROR(IND"&amp;"EX(GOOGLEFINANCE($C119, ""price"", WORKDAY(INT($B119), 5)), 2, 2), """"))/$G119))"),0.052871072589382555)</f>
        <v>0.05287107259</v>
      </c>
      <c r="S119" s="16" t="str">
        <f>IFERROR(__xludf.DUMMYFUNCTION("IF(OR(ISBLANK($G119), IFERROR(INDEX(GOOGLEFINANCE($C119, ""price"", WORKDAY(INT($B119), 20)), 2, 2), """")=""""), """", IF($D119=""LONG"", (IFERROR(INDEX(GOOGLEFINANCE($C119, ""price"", WORKDAY(INT($B119), 20)), 2, 2), """")-$G119)/$G119, ($G119-IFERROR(I"&amp;"NDEX(GOOGLEFINANCE($C119, ""price"", WORKDAY(INT($B119), 20)), 2, 2), """"))/$G119))"),"")</f>
        <v/>
      </c>
      <c r="T119" s="10" t="s">
        <v>2367</v>
      </c>
      <c r="U119" s="10" t="s">
        <v>984</v>
      </c>
      <c r="V119" s="10" t="s">
        <v>1880</v>
      </c>
      <c r="W119" s="10" t="s">
        <v>51</v>
      </c>
      <c r="X119" s="10" t="s">
        <v>984</v>
      </c>
    </row>
    <row r="120">
      <c r="A120" s="9">
        <f t="shared" si="1"/>
        <v>119</v>
      </c>
      <c r="B120" s="11">
        <v>46218.66751157407</v>
      </c>
      <c r="C120" s="10" t="s">
        <v>746</v>
      </c>
      <c r="D120" s="10" t="s">
        <v>119</v>
      </c>
      <c r="E120" s="10" t="s">
        <v>120</v>
      </c>
      <c r="F120" s="13">
        <v>4.0</v>
      </c>
      <c r="G120" s="14">
        <v>168.59</v>
      </c>
      <c r="H120" s="10" t="s">
        <v>2368</v>
      </c>
      <c r="I120" s="10">
        <v>8.7</v>
      </c>
      <c r="O120" s="15">
        <f>IFERROR(__xludf.DUMMYFUNCTION("IF(ISBLANK($C120), """", GOOGLEFINANCE($C120, ""price""))"),171.2)</f>
        <v>171.2</v>
      </c>
      <c r="P120" s="16">
        <f t="shared" si="2"/>
        <v>-0.01548134528</v>
      </c>
      <c r="Q120" s="16">
        <f>IFERROR(__xludf.DUMMYFUNCTION("IF(OR(ISBLANK($G120), IFERROR(INDEX(GOOGLEFINANCE($C120, ""price"", WORKDAY(INT($B120), 1)), 2, 2), """")=""""), """", IF($D120=""LONG"", (IFERROR(INDEX(GOOGLEFINANCE($C120, ""price"", WORKDAY(INT($B120), 1)), 2, 2), """")-$G120)/$G120, ($G120-IFERROR(IND"&amp;"EX(GOOGLEFINANCE($C120, ""price"", WORKDAY(INT($B120), 1)), 2, 2), """"))/$G120))"),-0.001957411471617439)</f>
        <v>-0.001957411472</v>
      </c>
      <c r="R120" s="16">
        <f>IFERROR(__xludf.DUMMYFUNCTION("IF(OR(ISBLANK($G120), IFERROR(INDEX(GOOGLEFINANCE($C120, ""price"", WORKDAY(INT($B120), 5)), 2, 2), """")=""""), """", IF($D120=""LONG"", (IFERROR(INDEX(GOOGLEFINANCE($C120, ""price"", WORKDAY(INT($B120), 5)), 2, 2), """")-$G120)/$G120, ($G120-IFERROR(IND"&amp;"EX(GOOGLEFINANCE($C120, ""price"", WORKDAY(INT($B120), 5)), 2, 2), """"))/$G120))"),0.015006821282401097)</f>
        <v>0.01500682128</v>
      </c>
      <c r="S120" s="16" t="str">
        <f>IFERROR(__xludf.DUMMYFUNCTION("IF(OR(ISBLANK($G120), IFERROR(INDEX(GOOGLEFINANCE($C120, ""price"", WORKDAY(INT($B120), 20)), 2, 2), """")=""""), """", IF($D120=""LONG"", (IFERROR(INDEX(GOOGLEFINANCE($C120, ""price"", WORKDAY(INT($B120), 20)), 2, 2), """")-$G120)/$G120, ($G120-IFERROR(I"&amp;"NDEX(GOOGLEFINANCE($C120, ""price"", WORKDAY(INT($B120), 20)), 2, 2), """"))/$G120))"),"")</f>
        <v/>
      </c>
      <c r="T120" s="10" t="s">
        <v>2371</v>
      </c>
      <c r="U120" s="10" t="s">
        <v>984</v>
      </c>
      <c r="V120" s="10" t="s">
        <v>1880</v>
      </c>
      <c r="W120" s="10" t="s">
        <v>51</v>
      </c>
      <c r="X120" s="10" t="s">
        <v>984</v>
      </c>
    </row>
    <row r="121">
      <c r="A121" s="9">
        <f t="shared" si="1"/>
        <v>120</v>
      </c>
      <c r="B121" s="11">
        <v>46218.6675</v>
      </c>
      <c r="C121" s="10" t="s">
        <v>166</v>
      </c>
      <c r="D121" s="10" t="s">
        <v>36</v>
      </c>
      <c r="E121" s="10" t="s">
        <v>37</v>
      </c>
      <c r="F121" s="13">
        <v>2.0</v>
      </c>
      <c r="G121" s="14">
        <v>123.15</v>
      </c>
      <c r="H121" s="10" t="s">
        <v>2373</v>
      </c>
      <c r="I121" s="10">
        <v>90.7</v>
      </c>
      <c r="O121" s="15">
        <f>IFERROR(__xludf.DUMMYFUNCTION("IF(ISBLANK($C121), """", GOOGLEFINANCE($C121, ""price""))"),132.06)</f>
        <v>132.06</v>
      </c>
      <c r="P121" s="16">
        <f t="shared" si="2"/>
        <v>0.07235079172</v>
      </c>
      <c r="Q121" s="16">
        <f>IFERROR(__xludf.DUMMYFUNCTION("IF(OR(ISBLANK($G121), IFERROR(INDEX(GOOGLEFINANCE($C121, ""price"", WORKDAY(INT($B121), 1)), 2, 2), """")=""""), """", IF($D121=""LONG"", (IFERROR(INDEX(GOOGLEFINANCE($C121, ""price"", WORKDAY(INT($B121), 1)), 2, 2), """")-$G121)/$G121, ($G121-IFERROR(IND"&amp;"EX(GOOGLEFINANCE($C121, ""price"", WORKDAY(INT($B121), 1)), 2, 2), """"))/$G121))"),0.028583028826634153)</f>
        <v>0.02858302883</v>
      </c>
      <c r="R121" s="16">
        <f>IFERROR(__xludf.DUMMYFUNCTION("IF(OR(ISBLANK($G121), IFERROR(INDEX(GOOGLEFINANCE($C121, ""price"", WORKDAY(INT($B121), 5)), 2, 2), """")=""""), """", IF($D121=""LONG"", (IFERROR(INDEX(GOOGLEFINANCE($C121, ""price"", WORKDAY(INT($B121), 5)), 2, 2), """")-$G121)/$G121, ($G121-IFERROR(IND"&amp;"EX(GOOGLEFINANCE($C121, ""price"", WORKDAY(INT($B121), 5)), 2, 2), """"))/$G121))"),0.06463662200568418)</f>
        <v>0.06463662201</v>
      </c>
      <c r="S121" s="16" t="str">
        <f>IFERROR(__xludf.DUMMYFUNCTION("IF(OR(ISBLANK($G121), IFERROR(INDEX(GOOGLEFINANCE($C121, ""price"", WORKDAY(INT($B121), 20)), 2, 2), """")=""""), """", IF($D121=""LONG"", (IFERROR(INDEX(GOOGLEFINANCE($C121, ""price"", WORKDAY(INT($B121), 20)), 2, 2), """")-$G121)/$G121, ($G121-IFERROR(I"&amp;"NDEX(GOOGLEFINANCE($C121, ""price"", WORKDAY(INT($B121), 20)), 2, 2), """"))/$G121))"),"")</f>
        <v/>
      </c>
      <c r="T121" s="10" t="s">
        <v>2377</v>
      </c>
      <c r="U121" s="10" t="s">
        <v>984</v>
      </c>
      <c r="V121" s="10" t="s">
        <v>1880</v>
      </c>
      <c r="W121" s="10" t="s">
        <v>51</v>
      </c>
      <c r="X121" s="10" t="s">
        <v>984</v>
      </c>
    </row>
    <row r="122">
      <c r="A122" s="9">
        <f t="shared" si="1"/>
        <v>121</v>
      </c>
      <c r="B122" s="11">
        <v>46218.66758101852</v>
      </c>
      <c r="C122" s="10" t="s">
        <v>60</v>
      </c>
      <c r="D122" s="10" t="s">
        <v>36</v>
      </c>
      <c r="E122" s="10" t="s">
        <v>37</v>
      </c>
      <c r="F122" s="13">
        <v>2.0</v>
      </c>
      <c r="G122" s="14">
        <v>43.4</v>
      </c>
      <c r="H122" s="10" t="s">
        <v>2017</v>
      </c>
      <c r="I122" s="10">
        <v>94.6</v>
      </c>
      <c r="O122" s="15">
        <f>IFERROR(__xludf.DUMMYFUNCTION("IF(ISBLANK($C122), """", GOOGLEFINANCE($C122, ""price""))"),47.06)</f>
        <v>47.06</v>
      </c>
      <c r="P122" s="16">
        <f t="shared" si="2"/>
        <v>0.08433179724</v>
      </c>
      <c r="Q122" s="16">
        <f>IFERROR(__xludf.DUMMYFUNCTION("IF(OR(ISBLANK($G122), IFERROR(INDEX(GOOGLEFINANCE($C122, ""price"", WORKDAY(INT($B122), 1)), 2, 2), """")=""""), """", IF($D122=""LONG"", (IFERROR(INDEX(GOOGLEFINANCE($C122, ""price"", WORKDAY(INT($B122), 1)), 2, 2), """")-$G122)/$G122, ($G122-IFERROR(IND"&amp;"EX(GOOGLEFINANCE($C122, ""price"", WORKDAY(INT($B122), 1)), 2, 2), """"))/$G122))"),0.03317972350230426)</f>
        <v>0.0331797235</v>
      </c>
      <c r="R122" s="16">
        <f>IFERROR(__xludf.DUMMYFUNCTION("IF(OR(ISBLANK($G122), IFERROR(INDEX(GOOGLEFINANCE($C122, ""price"", WORKDAY(INT($B122), 5)), 2, 2), """")=""""), """", IF($D122=""LONG"", (IFERROR(INDEX(GOOGLEFINANCE($C122, ""price"", WORKDAY(INT($B122), 5)), 2, 2), """")-$G122)/$G122, ($G122-IFERROR(IND"&amp;"EX(GOOGLEFINANCE($C122, ""price"", WORKDAY(INT($B122), 5)), 2, 2), """"))/$G122))"),-0.004377880184331745)</f>
        <v>-0.004377880184</v>
      </c>
      <c r="S122" s="16" t="str">
        <f>IFERROR(__xludf.DUMMYFUNCTION("IF(OR(ISBLANK($G122), IFERROR(INDEX(GOOGLEFINANCE($C122, ""price"", WORKDAY(INT($B122), 20)), 2, 2), """")=""""), """", IF($D122=""LONG"", (IFERROR(INDEX(GOOGLEFINANCE($C122, ""price"", WORKDAY(INT($B122), 20)), 2, 2), """")-$G122)/$G122, ($G122-IFERROR(I"&amp;"NDEX(GOOGLEFINANCE($C122, ""price"", WORKDAY(INT($B122), 20)), 2, 2), """"))/$G122))"),"")</f>
        <v/>
      </c>
      <c r="T122" s="10" t="s">
        <v>2381</v>
      </c>
      <c r="U122" s="10" t="s">
        <v>984</v>
      </c>
      <c r="V122" s="10" t="s">
        <v>985</v>
      </c>
      <c r="W122" s="10" t="s">
        <v>51</v>
      </c>
      <c r="X122" s="10" t="s">
        <v>984</v>
      </c>
    </row>
    <row r="123">
      <c r="A123" s="9">
        <f t="shared" si="1"/>
        <v>122</v>
      </c>
      <c r="B123" s="11">
        <v>46218.66747685185</v>
      </c>
      <c r="C123" s="10" t="s">
        <v>264</v>
      </c>
      <c r="D123" s="10" t="s">
        <v>36</v>
      </c>
      <c r="E123" s="10" t="s">
        <v>37</v>
      </c>
      <c r="F123" s="13">
        <v>2.0</v>
      </c>
      <c r="G123" s="14">
        <v>353.95</v>
      </c>
      <c r="H123" s="10" t="s">
        <v>2383</v>
      </c>
      <c r="I123" s="10">
        <v>93.6</v>
      </c>
      <c r="O123" s="15">
        <f>IFERROR(__xludf.DUMMYFUNCTION("IF(ISBLANK($C123), """", GOOGLEFINANCE($C123, ""price""))"),359.49)</f>
        <v>359.49</v>
      </c>
      <c r="P123" s="16">
        <f t="shared" si="2"/>
        <v>0.01565192824</v>
      </c>
      <c r="Q123" s="16">
        <f>IFERROR(__xludf.DUMMYFUNCTION("IF(OR(ISBLANK($G123), IFERROR(INDEX(GOOGLEFINANCE($C123, ""price"", WORKDAY(INT($B123), 1)), 2, 2), """")=""""), """", IF($D123=""LONG"", (IFERROR(INDEX(GOOGLEFINANCE($C123, ""price"", WORKDAY(INT($B123), 1)), 2, 2), """")-$G123)/$G123, ($G123-IFERROR(IND"&amp;"EX(GOOGLEFINANCE($C123, ""price"", WORKDAY(INT($B123), 1)), 2, 2), """"))/$G123))"),1.1301031219104525E-4)</f>
        <v>0.0001130103122</v>
      </c>
      <c r="R123" s="16">
        <f>IFERROR(__xludf.DUMMYFUNCTION("IF(OR(ISBLANK($G123), IFERROR(INDEX(GOOGLEFINANCE($C123, ""price"", WORKDAY(INT($B123), 5)), 2, 2), """")=""""), """", IF($D123=""LONG"", (IFERROR(INDEX(GOOGLEFINANCE($C123, ""price"", WORKDAY(INT($B123), 5)), 2, 2), """")-$G123)/$G123, ($G123-IFERROR(IND"&amp;"EX(GOOGLEFINANCE($C123, ""price"", WORKDAY(INT($B123), 5)), 2, 2), """"))/$G123))"),-0.05274756321514343)</f>
        <v>-0.05274756322</v>
      </c>
      <c r="S123" s="16" t="str">
        <f>IFERROR(__xludf.DUMMYFUNCTION("IF(OR(ISBLANK($G123), IFERROR(INDEX(GOOGLEFINANCE($C123, ""price"", WORKDAY(INT($B123), 20)), 2, 2), """")=""""), """", IF($D123=""LONG"", (IFERROR(INDEX(GOOGLEFINANCE($C123, ""price"", WORKDAY(INT($B123), 20)), 2, 2), """")-$G123)/$G123, ($G123-IFERROR(I"&amp;"NDEX(GOOGLEFINANCE($C123, ""price"", WORKDAY(INT($B123), 20)), 2, 2), """"))/$G123))"),"")</f>
        <v/>
      </c>
      <c r="T123" s="10" t="s">
        <v>2386</v>
      </c>
      <c r="U123" s="10" t="s">
        <v>984</v>
      </c>
      <c r="V123" s="10" t="s">
        <v>985</v>
      </c>
      <c r="W123" s="10" t="s">
        <v>51</v>
      </c>
      <c r="X123" s="10" t="s">
        <v>984</v>
      </c>
    </row>
    <row r="124">
      <c r="A124" s="9">
        <f t="shared" si="1"/>
        <v>123</v>
      </c>
      <c r="B124" s="11">
        <v>46218.667592592596</v>
      </c>
      <c r="C124" s="10" t="s">
        <v>2387</v>
      </c>
      <c r="D124" s="10" t="s">
        <v>36</v>
      </c>
      <c r="E124" s="10" t="s">
        <v>37</v>
      </c>
      <c r="F124" s="13">
        <v>2.0</v>
      </c>
      <c r="G124" s="14">
        <v>43.57</v>
      </c>
      <c r="H124" s="10" t="s">
        <v>2389</v>
      </c>
      <c r="I124" s="10">
        <v>91.4</v>
      </c>
      <c r="O124" s="15">
        <f>IFERROR(__xludf.DUMMYFUNCTION("IF(ISBLANK($C124), """", GOOGLEFINANCE($C124, ""price""))"),46.93)</f>
        <v>46.93</v>
      </c>
      <c r="P124" s="16">
        <f t="shared" si="2"/>
        <v>0.07711728253</v>
      </c>
      <c r="Q124" s="16">
        <f>IFERROR(__xludf.DUMMYFUNCTION("IF(OR(ISBLANK($G124), IFERROR(INDEX(GOOGLEFINANCE($C124, ""price"", WORKDAY(INT($B124), 1)), 2, 2), """")=""""), """", IF($D124=""LONG"", (IFERROR(INDEX(GOOGLEFINANCE($C124, ""price"", WORKDAY(INT($B124), 1)), 2, 2), """")-$G124)/$G124, ($G124-IFERROR(IND"&amp;"EX(GOOGLEFINANCE($C124, ""price"", WORKDAY(INT($B124), 1)), 2, 2), """"))/$G124))"),0.027541886619233482)</f>
        <v>0.02754188662</v>
      </c>
      <c r="R124" s="16">
        <f>IFERROR(__xludf.DUMMYFUNCTION("IF(OR(ISBLANK($G124), IFERROR(INDEX(GOOGLEFINANCE($C124, ""price"", WORKDAY(INT($B124), 5)), 2, 2), """")=""""), """", IF($D124=""LONG"", (IFERROR(INDEX(GOOGLEFINANCE($C124, ""price"", WORKDAY(INT($B124), 5)), 2, 2), """")-$G124)/$G124, ($G124-IFERROR(IND"&amp;"EX(GOOGLEFINANCE($C124, ""price"", WORKDAY(INT($B124), 5)), 2, 2), """"))/$G124))"),0.02157447785173279)</f>
        <v>0.02157447785</v>
      </c>
      <c r="S124" s="16" t="str">
        <f>IFERROR(__xludf.DUMMYFUNCTION("IF(OR(ISBLANK($G124), IFERROR(INDEX(GOOGLEFINANCE($C124, ""price"", WORKDAY(INT($B124), 20)), 2, 2), """")=""""), """", IF($D124=""LONG"", (IFERROR(INDEX(GOOGLEFINANCE($C124, ""price"", WORKDAY(INT($B124), 20)), 2, 2), """")-$G124)/$G124, ($G124-IFERROR(I"&amp;"NDEX(GOOGLEFINANCE($C124, ""price"", WORKDAY(INT($B124), 20)), 2, 2), """"))/$G124))"),"")</f>
        <v/>
      </c>
      <c r="T124" s="10" t="s">
        <v>2393</v>
      </c>
      <c r="U124" s="10" t="s">
        <v>984</v>
      </c>
      <c r="V124" s="10" t="s">
        <v>1880</v>
      </c>
      <c r="W124" s="10" t="s">
        <v>51</v>
      </c>
      <c r="X124" s="10" t="s">
        <v>984</v>
      </c>
    </row>
    <row r="125">
      <c r="A125" s="9">
        <f t="shared" si="1"/>
        <v>124</v>
      </c>
      <c r="B125" s="11">
        <v>46218.667650462965</v>
      </c>
      <c r="C125" s="10" t="s">
        <v>400</v>
      </c>
      <c r="D125" s="10" t="s">
        <v>36</v>
      </c>
      <c r="E125" s="10" t="s">
        <v>37</v>
      </c>
      <c r="F125" s="13">
        <v>2.0</v>
      </c>
      <c r="G125" s="14">
        <v>488.74</v>
      </c>
      <c r="H125" s="10" t="s">
        <v>2394</v>
      </c>
      <c r="I125" s="10">
        <v>92.1</v>
      </c>
      <c r="O125" s="15">
        <f>IFERROR(__xludf.DUMMYFUNCTION("IF(ISBLANK($C125), """", GOOGLEFINANCE($C125, ""price""))"),524.61)</f>
        <v>524.61</v>
      </c>
      <c r="P125" s="16">
        <f t="shared" si="2"/>
        <v>0.07339280599</v>
      </c>
      <c r="Q125" s="16">
        <f>IFERROR(__xludf.DUMMYFUNCTION("IF(OR(ISBLANK($G125), IFERROR(INDEX(GOOGLEFINANCE($C125, ""price"", WORKDAY(INT($B125), 1)), 2, 2), """")=""""), """", IF($D125=""LONG"", (IFERROR(INDEX(GOOGLEFINANCE($C125, ""price"", WORKDAY(INT($B125), 1)), 2, 2), """")-$G125)/$G125, ($G125-IFERROR(IND"&amp;"EX(GOOGLEFINANCE($C125, ""price"", WORKDAY(INT($B125), 1)), 2, 2), """"))/$G125))"),0.00896182019069443)</f>
        <v>0.008961820191</v>
      </c>
      <c r="R125" s="16">
        <f>IFERROR(__xludf.DUMMYFUNCTION("IF(OR(ISBLANK($G125), IFERROR(INDEX(GOOGLEFINANCE($C125, ""price"", WORKDAY(INT($B125), 5)), 2, 2), """")=""""), """", IF($D125=""LONG"", (IFERROR(INDEX(GOOGLEFINANCE($C125, ""price"", WORKDAY(INT($B125), 5)), 2, 2), """")-$G125)/$G125, ($G125-IFERROR(IND"&amp;"EX(GOOGLEFINANCE($C125, ""price"", WORKDAY(INT($B125), 5)), 2, 2), """"))/$G125))"),0.0013299504849203611)</f>
        <v>0.001329950485</v>
      </c>
      <c r="S125" s="16" t="str">
        <f>IFERROR(__xludf.DUMMYFUNCTION("IF(OR(ISBLANK($G125), IFERROR(INDEX(GOOGLEFINANCE($C125, ""price"", WORKDAY(INT($B125), 20)), 2, 2), """")=""""), """", IF($D125=""LONG"", (IFERROR(INDEX(GOOGLEFINANCE($C125, ""price"", WORKDAY(INT($B125), 20)), 2, 2), """")-$G125)/$G125, ($G125-IFERROR(I"&amp;"NDEX(GOOGLEFINANCE($C125, ""price"", WORKDAY(INT($B125), 20)), 2, 2), """"))/$G125))"),"")</f>
        <v/>
      </c>
      <c r="T125" s="10" t="s">
        <v>2399</v>
      </c>
      <c r="U125" s="10" t="s">
        <v>984</v>
      </c>
      <c r="V125" s="10" t="s">
        <v>1059</v>
      </c>
      <c r="W125" s="10" t="s">
        <v>51</v>
      </c>
      <c r="X125" s="10" t="s">
        <v>984</v>
      </c>
    </row>
    <row r="126">
      <c r="A126" s="9">
        <f t="shared" si="1"/>
        <v>125</v>
      </c>
      <c r="B126" s="11">
        <v>46218.66761574074</v>
      </c>
      <c r="C126" s="10" t="s">
        <v>1147</v>
      </c>
      <c r="D126" s="10" t="s">
        <v>119</v>
      </c>
      <c r="E126" s="10" t="s">
        <v>120</v>
      </c>
      <c r="F126" s="13">
        <v>4.0</v>
      </c>
      <c r="G126" s="14">
        <v>122.24</v>
      </c>
      <c r="H126" s="10" t="s">
        <v>2400</v>
      </c>
      <c r="I126" s="10">
        <v>7.7</v>
      </c>
      <c r="O126" s="15">
        <f>IFERROR(__xludf.DUMMYFUNCTION("IF(ISBLANK($C126), """", GOOGLEFINANCE($C126, ""price""))"),117.91)</f>
        <v>117.91</v>
      </c>
      <c r="P126" s="16">
        <f t="shared" si="2"/>
        <v>0.03542212042</v>
      </c>
      <c r="Q126" s="16">
        <f>IFERROR(__xludf.DUMMYFUNCTION("IF(OR(ISBLANK($G126), IFERROR(INDEX(GOOGLEFINANCE($C126, ""price"", WORKDAY(INT($B126), 1)), 2, 2), """")=""""), """", IF($D126=""LONG"", (IFERROR(INDEX(GOOGLEFINANCE($C126, ""price"", WORKDAY(INT($B126), 1)), 2, 2), """")-$G126)/$G126, ($G126-IFERROR(IND"&amp;"EX(GOOGLEFINANCE($C126, ""price"", WORKDAY(INT($B126), 1)), 2, 2), """"))/$G126))"),-0.02552356020942412)</f>
        <v>-0.02552356021</v>
      </c>
      <c r="R126" s="16">
        <f>IFERROR(__xludf.DUMMYFUNCTION("IF(OR(ISBLANK($G126), IFERROR(INDEX(GOOGLEFINANCE($C126, ""price"", WORKDAY(INT($B126), 5)), 2, 2), """")=""""), """", IF($D126=""LONG"", (IFERROR(INDEX(GOOGLEFINANCE($C126, ""price"", WORKDAY(INT($B126), 5)), 2, 2), """")-$G126)/$G126, ($G126-IFERROR(IND"&amp;"EX(GOOGLEFINANCE($C126, ""price"", WORKDAY(INT($B126), 5)), 2, 2), """"))/$G126))"),-0.022987565445026198)</f>
        <v>-0.02298756545</v>
      </c>
      <c r="S126" s="16" t="str">
        <f>IFERROR(__xludf.DUMMYFUNCTION("IF(OR(ISBLANK($G126), IFERROR(INDEX(GOOGLEFINANCE($C126, ""price"", WORKDAY(INT($B126), 20)), 2, 2), """")=""""), """", IF($D126=""LONG"", (IFERROR(INDEX(GOOGLEFINANCE($C126, ""price"", WORKDAY(INT($B126), 20)), 2, 2), """")-$G126)/$G126, ($G126-IFERROR(I"&amp;"NDEX(GOOGLEFINANCE($C126, ""price"", WORKDAY(INT($B126), 20)), 2, 2), """"))/$G126))"),"")</f>
        <v/>
      </c>
      <c r="T126" s="10" t="s">
        <v>2404</v>
      </c>
      <c r="U126" s="10" t="s">
        <v>984</v>
      </c>
      <c r="V126" s="10" t="s">
        <v>1059</v>
      </c>
      <c r="W126" s="10" t="s">
        <v>51</v>
      </c>
      <c r="X126" s="10" t="s">
        <v>984</v>
      </c>
    </row>
    <row r="127">
      <c r="A127" s="9">
        <f t="shared" si="1"/>
        <v>126</v>
      </c>
      <c r="B127" s="11">
        <v>46218.66743055556</v>
      </c>
      <c r="C127" s="10" t="s">
        <v>258</v>
      </c>
      <c r="D127" s="10" t="s">
        <v>36</v>
      </c>
      <c r="E127" s="10" t="s">
        <v>133</v>
      </c>
      <c r="F127" s="13">
        <v>2.0</v>
      </c>
      <c r="G127" s="14">
        <v>118.59</v>
      </c>
      <c r="H127" s="10" t="s">
        <v>2405</v>
      </c>
      <c r="I127" s="10">
        <v>92.3</v>
      </c>
      <c r="O127" s="15">
        <f>IFERROR(__xludf.DUMMYFUNCTION("IF(ISBLANK($C127), """", GOOGLEFINANCE($C127, ""price""))"),113.62)</f>
        <v>113.62</v>
      </c>
      <c r="P127" s="16">
        <f t="shared" si="2"/>
        <v>-0.04190909857</v>
      </c>
      <c r="Q127" s="16">
        <f>IFERROR(__xludf.DUMMYFUNCTION("IF(OR(ISBLANK($G127), IFERROR(INDEX(GOOGLEFINANCE($C127, ""price"", WORKDAY(INT($B127), 1)), 2, 2), """")=""""), """", IF($D127=""LONG"", (IFERROR(INDEX(GOOGLEFINANCE($C127, ""price"", WORKDAY(INT($B127), 1)), 2, 2), """")-$G127)/$G127, ($G127-IFERROR(IND"&amp;"EX(GOOGLEFINANCE($C127, ""price"", WORKDAY(INT($B127), 1)), 2, 2), """"))/$G127))"),0.002361075976051953)</f>
        <v>0.002361075976</v>
      </c>
      <c r="R127" s="16">
        <f>IFERROR(__xludf.DUMMYFUNCTION("IF(OR(ISBLANK($G127), IFERROR(INDEX(GOOGLEFINANCE($C127, ""price"", WORKDAY(INT($B127), 5)), 2, 2), """")=""""), """", IF($D127=""LONG"", (IFERROR(INDEX(GOOGLEFINANCE($C127, ""price"", WORKDAY(INT($B127), 5)), 2, 2), """")-$G127)/$G127, ($G127-IFERROR(IND"&amp;"EX(GOOGLEFINANCE($C127, ""price"", WORKDAY(INT($B127), 5)), 2, 2), """"))/$G127))"),-0.02175562863647861)</f>
        <v>-0.02175562864</v>
      </c>
      <c r="S127" s="16" t="str">
        <f>IFERROR(__xludf.DUMMYFUNCTION("IF(OR(ISBLANK($G127), IFERROR(INDEX(GOOGLEFINANCE($C127, ""price"", WORKDAY(INT($B127), 20)), 2, 2), """")=""""), """", IF($D127=""LONG"", (IFERROR(INDEX(GOOGLEFINANCE($C127, ""price"", WORKDAY(INT($B127), 20)), 2, 2), """")-$G127)/$G127, ($G127-IFERROR(I"&amp;"NDEX(GOOGLEFINANCE($C127, ""price"", WORKDAY(INT($B127), 20)), 2, 2), """"))/$G127))"),"")</f>
        <v/>
      </c>
      <c r="T127" s="10" t="s">
        <v>2409</v>
      </c>
      <c r="U127" s="10" t="s">
        <v>545</v>
      </c>
      <c r="V127" s="10" t="s">
        <v>2410</v>
      </c>
      <c r="W127" s="10" t="s">
        <v>51</v>
      </c>
      <c r="X127" s="10" t="s">
        <v>545</v>
      </c>
    </row>
    <row r="128">
      <c r="A128" s="9">
        <f t="shared" si="1"/>
        <v>127</v>
      </c>
      <c r="B128" s="11">
        <v>46218.66758101852</v>
      </c>
      <c r="C128" s="10" t="s">
        <v>94</v>
      </c>
      <c r="D128" s="10" t="s">
        <v>36</v>
      </c>
      <c r="E128" s="10" t="s">
        <v>37</v>
      </c>
      <c r="F128" s="13">
        <v>2.0</v>
      </c>
      <c r="G128" s="14">
        <v>57.95</v>
      </c>
      <c r="H128" s="10" t="s">
        <v>2411</v>
      </c>
      <c r="I128" s="10">
        <v>92.3</v>
      </c>
      <c r="O128" s="15">
        <f>IFERROR(__xludf.DUMMYFUNCTION("IF(ISBLANK($C128), """", GOOGLEFINANCE($C128, ""price""))"),56.96)</f>
        <v>56.96</v>
      </c>
      <c r="P128" s="16">
        <f t="shared" si="2"/>
        <v>-0.01708369284</v>
      </c>
      <c r="Q128" s="16">
        <f>IFERROR(__xludf.DUMMYFUNCTION("IF(OR(ISBLANK($G128), IFERROR(INDEX(GOOGLEFINANCE($C128, ""price"", WORKDAY(INT($B128), 1)), 2, 2), """")=""""), """", IF($D128=""LONG"", (IFERROR(INDEX(GOOGLEFINANCE($C128, ""price"", WORKDAY(INT($B128), 1)), 2, 2), """")-$G128)/$G128, ($G128-IFERROR(IND"&amp;"EX(GOOGLEFINANCE($C128, ""price"", WORKDAY(INT($B128), 1)), 2, 2), """"))/$G128))"),0.024503882657463238)</f>
        <v>0.02450388266</v>
      </c>
      <c r="R128" s="16">
        <f>IFERROR(__xludf.DUMMYFUNCTION("IF(OR(ISBLANK($G128), IFERROR(INDEX(GOOGLEFINANCE($C128, ""price"", WORKDAY(INT($B128), 5)), 2, 2), """")=""""), """", IF($D128=""LONG"", (IFERROR(INDEX(GOOGLEFINANCE($C128, ""price"", WORKDAY(INT($B128), 5)), 2, 2), """")-$G128)/$G128, ($G128-IFERROR(IND"&amp;"EX(GOOGLEFINANCE($C128, ""price"", WORKDAY(INT($B128), 5)), 2, 2), """"))/$G128))"),-0.004831751509922366)</f>
        <v>-0.00483175151</v>
      </c>
      <c r="S128" s="16" t="str">
        <f>IFERROR(__xludf.DUMMYFUNCTION("IF(OR(ISBLANK($G128), IFERROR(INDEX(GOOGLEFINANCE($C128, ""price"", WORKDAY(INT($B128), 20)), 2, 2), """")=""""), """", IF($D128=""LONG"", (IFERROR(INDEX(GOOGLEFINANCE($C128, ""price"", WORKDAY(INT($B128), 20)), 2, 2), """")-$G128)/$G128, ($G128-IFERROR(I"&amp;"NDEX(GOOGLEFINANCE($C128, ""price"", WORKDAY(INT($B128), 20)), 2, 2), """"))/$G128))"),"")</f>
        <v/>
      </c>
      <c r="T128" s="10" t="s">
        <v>2419</v>
      </c>
      <c r="U128" s="10" t="s">
        <v>704</v>
      </c>
      <c r="V128" s="10" t="s">
        <v>2420</v>
      </c>
      <c r="W128" s="10" t="s">
        <v>51</v>
      </c>
      <c r="X128" s="10" t="s">
        <v>704</v>
      </c>
    </row>
    <row r="129">
      <c r="A129" s="9">
        <f t="shared" si="1"/>
        <v>128</v>
      </c>
      <c r="B129" s="11">
        <v>46218.667592592596</v>
      </c>
      <c r="C129" s="10" t="s">
        <v>1603</v>
      </c>
      <c r="D129" s="10" t="s">
        <v>36</v>
      </c>
      <c r="E129" s="10" t="s">
        <v>37</v>
      </c>
      <c r="F129" s="13">
        <v>2.0</v>
      </c>
      <c r="G129" s="14">
        <v>134.47</v>
      </c>
      <c r="H129" s="10" t="s">
        <v>2421</v>
      </c>
      <c r="I129" s="10">
        <v>93.4</v>
      </c>
      <c r="O129" s="15">
        <f>IFERROR(__xludf.DUMMYFUNCTION("IF(ISBLANK($C129), """", GOOGLEFINANCE($C129, ""price""))"),144.51)</f>
        <v>144.51</v>
      </c>
      <c r="P129" s="16">
        <f t="shared" si="2"/>
        <v>0.07466349372</v>
      </c>
      <c r="Q129" s="16">
        <f>IFERROR(__xludf.DUMMYFUNCTION("IF(OR(ISBLANK($G129), IFERROR(INDEX(GOOGLEFINANCE($C129, ""price"", WORKDAY(INT($B129), 1)), 2, 2), """")=""""), """", IF($D129=""LONG"", (IFERROR(INDEX(GOOGLEFINANCE($C129, ""price"", WORKDAY(INT($B129), 1)), 2, 2), """")-$G129)/$G129, ($G129-IFERROR(IND"&amp;"EX(GOOGLEFINANCE($C129, ""price"", WORKDAY(INT($B129), 1)), 2, 2), """"))/$G129))"),0.016211794452294242)</f>
        <v>0.01621179445</v>
      </c>
      <c r="R129" s="16">
        <f>IFERROR(__xludf.DUMMYFUNCTION("IF(OR(ISBLANK($G129), IFERROR(INDEX(GOOGLEFINANCE($C129, ""price"", WORKDAY(INT($B129), 5)), 2, 2), """")=""""), """", IF($D129=""LONG"", (IFERROR(INDEX(GOOGLEFINANCE($C129, ""price"", WORKDAY(INT($B129), 5)), 2, 2), """")-$G129)/$G129, ($G129-IFERROR(IND"&amp;"EX(GOOGLEFINANCE($C129, ""price"", WORKDAY(INT($B129), 5)), 2, 2), """"))/$G129))"),0.047371160853722054)</f>
        <v>0.04737116085</v>
      </c>
      <c r="S129" s="16" t="str">
        <f>IFERROR(__xludf.DUMMYFUNCTION("IF(OR(ISBLANK($G129), IFERROR(INDEX(GOOGLEFINANCE($C129, ""price"", WORKDAY(INT($B129), 20)), 2, 2), """")=""""), """", IF($D129=""LONG"", (IFERROR(INDEX(GOOGLEFINANCE($C129, ""price"", WORKDAY(INT($B129), 20)), 2, 2), """")-$G129)/$G129, ($G129-IFERROR(I"&amp;"NDEX(GOOGLEFINANCE($C129, ""price"", WORKDAY(INT($B129), 20)), 2, 2), """"))/$G129))"),"")</f>
        <v/>
      </c>
      <c r="T129" s="10" t="s">
        <v>2425</v>
      </c>
      <c r="U129" s="10" t="s">
        <v>984</v>
      </c>
      <c r="V129" s="10" t="s">
        <v>1880</v>
      </c>
      <c r="W129" s="10" t="s">
        <v>51</v>
      </c>
      <c r="X129" s="10" t="s">
        <v>984</v>
      </c>
    </row>
    <row r="130">
      <c r="A130" s="9">
        <f t="shared" si="1"/>
        <v>129</v>
      </c>
      <c r="B130" s="11">
        <v>46218.66761574074</v>
      </c>
      <c r="C130" s="10" t="s">
        <v>342</v>
      </c>
      <c r="D130" s="10" t="s">
        <v>36</v>
      </c>
      <c r="E130" s="10" t="s">
        <v>133</v>
      </c>
      <c r="F130" s="13">
        <v>2.0</v>
      </c>
      <c r="G130" s="14">
        <v>61.62</v>
      </c>
      <c r="H130" s="10" t="s">
        <v>2428</v>
      </c>
      <c r="I130" s="10">
        <v>79.4</v>
      </c>
      <c r="O130" s="15">
        <f>IFERROR(__xludf.DUMMYFUNCTION("IF(ISBLANK($C130), """", GOOGLEFINANCE($C130, ""price""))"),63.0)</f>
        <v>63</v>
      </c>
      <c r="P130" s="16">
        <f t="shared" si="2"/>
        <v>0.02239532619</v>
      </c>
      <c r="Q130" s="16">
        <f>IFERROR(__xludf.DUMMYFUNCTION("IF(OR(ISBLANK($G130), IFERROR(INDEX(GOOGLEFINANCE($C130, ""price"", WORKDAY(INT($B130), 1)), 2, 2), """")=""""), """", IF($D130=""LONG"", (IFERROR(INDEX(GOOGLEFINANCE($C130, ""price"", WORKDAY(INT($B130), 1)), 2, 2), """")-$G130)/$G130, ($G130-IFERROR(IND"&amp;"EX(GOOGLEFINANCE($C130, ""price"", WORKDAY(INT($B130), 1)), 2, 2), """"))/$G130))"),-0.002109704641350137)</f>
        <v>-0.002109704641</v>
      </c>
      <c r="R130" s="16">
        <f>IFERROR(__xludf.DUMMYFUNCTION("IF(OR(ISBLANK($G130), IFERROR(INDEX(GOOGLEFINANCE($C130, ""price"", WORKDAY(INT($B130), 5)), 2, 2), """")=""""), """", IF($D130=""LONG"", (IFERROR(INDEX(GOOGLEFINANCE($C130, ""price"", WORKDAY(INT($B130), 5)), 2, 2), """")-$G130)/$G130, ($G130-IFERROR(IND"&amp;"EX(GOOGLEFINANCE($C130, ""price"", WORKDAY(INT($B130), 5)), 2, 2), """"))/$G130))"),0.0)</f>
        <v>0</v>
      </c>
      <c r="S130" s="16" t="str">
        <f>IFERROR(__xludf.DUMMYFUNCTION("IF(OR(ISBLANK($G130), IFERROR(INDEX(GOOGLEFINANCE($C130, ""price"", WORKDAY(INT($B130), 20)), 2, 2), """")=""""), """", IF($D130=""LONG"", (IFERROR(INDEX(GOOGLEFINANCE($C130, ""price"", WORKDAY(INT($B130), 20)), 2, 2), """")-$G130)/$G130, ($G130-IFERROR(I"&amp;"NDEX(GOOGLEFINANCE($C130, ""price"", WORKDAY(INT($B130), 20)), 2, 2), """"))/$G130))"),"")</f>
        <v/>
      </c>
      <c r="T130" s="10" t="s">
        <v>2432</v>
      </c>
      <c r="U130" s="10" t="s">
        <v>984</v>
      </c>
      <c r="V130" s="10" t="s">
        <v>985</v>
      </c>
      <c r="W130" s="10" t="s">
        <v>51</v>
      </c>
      <c r="X130" s="10" t="s">
        <v>984</v>
      </c>
    </row>
    <row r="131">
      <c r="A131" s="9">
        <f t="shared" si="1"/>
        <v>130</v>
      </c>
      <c r="B131" s="11">
        <v>46218.66758101852</v>
      </c>
      <c r="C131" s="10" t="s">
        <v>257</v>
      </c>
      <c r="D131" s="10" t="s">
        <v>36</v>
      </c>
      <c r="E131" s="10" t="s">
        <v>37</v>
      </c>
      <c r="F131" s="13">
        <v>2.0</v>
      </c>
      <c r="G131" s="14">
        <v>68.93</v>
      </c>
      <c r="H131" s="10" t="s">
        <v>2435</v>
      </c>
      <c r="I131" s="10">
        <v>94.1</v>
      </c>
      <c r="L131" s="10" t="s">
        <v>2436</v>
      </c>
      <c r="M131" s="34" t="s">
        <v>1789</v>
      </c>
      <c r="N131" s="10" t="s">
        <v>925</v>
      </c>
      <c r="O131" s="15">
        <f>IFERROR(__xludf.DUMMYFUNCTION("IF(ISBLANK($C131), """", GOOGLEFINANCE($C131, ""price""))"),68.81)</f>
        <v>68.81</v>
      </c>
      <c r="P131" s="16">
        <f t="shared" si="2"/>
        <v>-0.001740896562</v>
      </c>
      <c r="Q131" s="16">
        <f>IFERROR(__xludf.DUMMYFUNCTION("IF(OR(ISBLANK($G131), IFERROR(INDEX(GOOGLEFINANCE($C131, ""price"", WORKDAY(INT($B131), 1)), 2, 2), """")=""""), """", IF($D131=""LONG"", (IFERROR(INDEX(GOOGLEFINANCE($C131, ""price"", WORKDAY(INT($B131), 1)), 2, 2), """")-$G131)/$G131, ($G131-IFERROR(IND"&amp;"EX(GOOGLEFINANCE($C131, ""price"", WORKDAY(INT($B131), 1)), 2, 2), """"))/$G131))"),0.024952850718119812)</f>
        <v>0.02495285072</v>
      </c>
      <c r="R131" s="16">
        <f>IFERROR(__xludf.DUMMYFUNCTION("IF(OR(ISBLANK($G131), IFERROR(INDEX(GOOGLEFINANCE($C131, ""price"", WORKDAY(INT($B131), 5)), 2, 2), """")=""""), """", IF($D131=""LONG"", (IFERROR(INDEX(GOOGLEFINANCE($C131, ""price"", WORKDAY(INT($B131), 5)), 2, 2), """")-$G131)/$G131, ($G131-IFERROR(IND"&amp;"EX(GOOGLEFINANCE($C131, ""price"", WORKDAY(INT($B131), 5)), 2, 2), """"))/$G131))"),-0.02205135644857116)</f>
        <v>-0.02205135645</v>
      </c>
      <c r="S131" s="16" t="str">
        <f>IFERROR(__xludf.DUMMYFUNCTION("IF(OR(ISBLANK($G131), IFERROR(INDEX(GOOGLEFINANCE($C131, ""price"", WORKDAY(INT($B131), 20)), 2, 2), """")=""""), """", IF($D131=""LONG"", (IFERROR(INDEX(GOOGLEFINANCE($C131, ""price"", WORKDAY(INT($B131), 20)), 2, 2), """")-$G131)/$G131, ($G131-IFERROR(I"&amp;"NDEX(GOOGLEFINANCE($C131, ""price"", WORKDAY(INT($B131), 20)), 2, 2), """"))/$G131))"),"")</f>
        <v/>
      </c>
      <c r="T131" s="10" t="s">
        <v>2441</v>
      </c>
      <c r="U131" s="10" t="s">
        <v>240</v>
      </c>
      <c r="V131" s="10" t="s">
        <v>2442</v>
      </c>
      <c r="W131" s="10" t="s">
        <v>2443</v>
      </c>
      <c r="X131" s="10" t="s">
        <v>1905</v>
      </c>
    </row>
    <row r="132">
      <c r="A132" s="9">
        <f t="shared" si="1"/>
        <v>131</v>
      </c>
      <c r="B132" s="11">
        <v>46218.66763888889</v>
      </c>
      <c r="C132" s="10" t="s">
        <v>398</v>
      </c>
      <c r="D132" s="10" t="s">
        <v>36</v>
      </c>
      <c r="E132" s="10" t="s">
        <v>37</v>
      </c>
      <c r="F132" s="13">
        <v>2.0</v>
      </c>
      <c r="G132" s="14">
        <v>71.49</v>
      </c>
      <c r="H132" s="10" t="s">
        <v>2445</v>
      </c>
      <c r="I132" s="10">
        <v>94.5</v>
      </c>
      <c r="O132" s="15">
        <f>IFERROR(__xludf.DUMMYFUNCTION("IF(ISBLANK($C132), """", GOOGLEFINANCE($C132, ""price""))"),71.9)</f>
        <v>71.9</v>
      </c>
      <c r="P132" s="16">
        <f t="shared" si="2"/>
        <v>0.005735067842</v>
      </c>
      <c r="Q132" s="16">
        <f>IFERROR(__xludf.DUMMYFUNCTION("IF(OR(ISBLANK($G132), IFERROR(INDEX(GOOGLEFINANCE($C132, ""price"", WORKDAY(INT($B132), 1)), 2, 2), """")=""""), """", IF($D132=""LONG"", (IFERROR(INDEX(GOOGLEFINANCE($C132, ""price"", WORKDAY(INT($B132), 1)), 2, 2), """")-$G132)/$G132, ($G132-IFERROR(IND"&amp;"EX(GOOGLEFINANCE($C132, ""price"", WORKDAY(INT($B132), 1)), 2, 2), """"))/$G132))"),0.003916631696740819)</f>
        <v>0.003916631697</v>
      </c>
      <c r="R132" s="16">
        <f>IFERROR(__xludf.DUMMYFUNCTION("IF(OR(ISBLANK($G132), IFERROR(INDEX(GOOGLEFINANCE($C132, ""price"", WORKDAY(INT($B132), 5)), 2, 2), """")=""""), """", IF($D132=""LONG"", (IFERROR(INDEX(GOOGLEFINANCE($C132, ""price"", WORKDAY(INT($B132), 5)), 2, 2), """")-$G132)/$G132, ($G132-IFERROR(IND"&amp;"EX(GOOGLEFINANCE($C132, ""price"", WORKDAY(INT($B132), 5)), 2, 2), """"))/$G132))"),0.004056511400195919)</f>
        <v>0.0040565114</v>
      </c>
      <c r="S132" s="16" t="str">
        <f>IFERROR(__xludf.DUMMYFUNCTION("IF(OR(ISBLANK($G132), IFERROR(INDEX(GOOGLEFINANCE($C132, ""price"", WORKDAY(INT($B132), 20)), 2, 2), """")=""""), """", IF($D132=""LONG"", (IFERROR(INDEX(GOOGLEFINANCE($C132, ""price"", WORKDAY(INT($B132), 20)), 2, 2), """")-$G132)/$G132, ($G132-IFERROR(I"&amp;"NDEX(GOOGLEFINANCE($C132, ""price"", WORKDAY(INT($B132), 20)), 2, 2), """"))/$G132))"),"")</f>
        <v/>
      </c>
      <c r="T132" s="10" t="s">
        <v>2449</v>
      </c>
      <c r="U132" s="10" t="s">
        <v>704</v>
      </c>
      <c r="V132" s="10" t="s">
        <v>2450</v>
      </c>
      <c r="W132" s="10" t="s">
        <v>51</v>
      </c>
      <c r="X132" s="10" t="s">
        <v>1885</v>
      </c>
    </row>
    <row r="133">
      <c r="A133" s="9">
        <f t="shared" si="1"/>
        <v>132</v>
      </c>
      <c r="B133" s="11">
        <v>46218.667604166665</v>
      </c>
      <c r="C133" s="10" t="s">
        <v>383</v>
      </c>
      <c r="D133" s="10" t="s">
        <v>36</v>
      </c>
      <c r="E133" s="10" t="s">
        <v>37</v>
      </c>
      <c r="F133" s="13">
        <v>2.0</v>
      </c>
      <c r="G133" s="14">
        <v>952.62</v>
      </c>
      <c r="H133" s="10" t="s">
        <v>2451</v>
      </c>
      <c r="I133" s="10">
        <v>87.4</v>
      </c>
      <c r="O133" s="15">
        <f>IFERROR(__xludf.DUMMYFUNCTION("IF(ISBLANK($C133), """", GOOGLEFINANCE($C133, ""price""))"),1069.8)</f>
        <v>1069.8</v>
      </c>
      <c r="P133" s="16">
        <f t="shared" si="2"/>
        <v>0.123008125</v>
      </c>
      <c r="Q133" s="16">
        <f>IFERROR(__xludf.DUMMYFUNCTION("IF(OR(ISBLANK($G133), IFERROR(INDEX(GOOGLEFINANCE($C133, ""price"", WORKDAY(INT($B133), 1)), 2, 2), """")=""""), """", IF($D133=""LONG"", (IFERROR(INDEX(GOOGLEFINANCE($C133, ""price"", WORKDAY(INT($B133), 1)), 2, 2), """")-$G133)/$G133, ($G133-IFERROR(IND"&amp;"EX(GOOGLEFINANCE($C133, ""price"", WORKDAY(INT($B133), 1)), 2, 2), """"))/$G133))"),0.006004492872289084)</f>
        <v>0.006004492872</v>
      </c>
      <c r="R133" s="16">
        <f>IFERROR(__xludf.DUMMYFUNCTION("IF(OR(ISBLANK($G133), IFERROR(INDEX(GOOGLEFINANCE($C133, ""price"", WORKDAY(INT($B133), 5)), 2, 2), """")=""""), """", IF($D133=""LONG"", (IFERROR(INDEX(GOOGLEFINANCE($C133, ""price"", WORKDAY(INT($B133), 5)), 2, 2), """")-$G133)/$G133, ($G133-IFERROR(IND"&amp;"EX(GOOGLEFINANCE($C133, ""price"", WORKDAY(INT($B133), 5)), 2, 2), """"))/$G133))"),0.019052717767840247)</f>
        <v>0.01905271777</v>
      </c>
      <c r="S133" s="16" t="str">
        <f>IFERROR(__xludf.DUMMYFUNCTION("IF(OR(ISBLANK($G133), IFERROR(INDEX(GOOGLEFINANCE($C133, ""price"", WORKDAY(INT($B133), 20)), 2, 2), """")=""""), """", IF($D133=""LONG"", (IFERROR(INDEX(GOOGLEFINANCE($C133, ""price"", WORKDAY(INT($B133), 20)), 2, 2), """")-$G133)/$G133, ($G133-IFERROR(I"&amp;"NDEX(GOOGLEFINANCE($C133, ""price"", WORKDAY(INT($B133), 20)), 2, 2), """"))/$G133))"),"")</f>
        <v/>
      </c>
      <c r="T133" s="10" t="s">
        <v>2458</v>
      </c>
      <c r="U133" s="10" t="s">
        <v>984</v>
      </c>
      <c r="V133" s="10" t="s">
        <v>1880</v>
      </c>
      <c r="W133" s="10" t="s">
        <v>51</v>
      </c>
      <c r="X133" s="10" t="s">
        <v>984</v>
      </c>
    </row>
    <row r="134">
      <c r="A134" s="9">
        <f t="shared" si="1"/>
        <v>133</v>
      </c>
      <c r="B134" s="11">
        <v>46218.66761574074</v>
      </c>
      <c r="C134" s="10" t="s">
        <v>82</v>
      </c>
      <c r="D134" s="10" t="s">
        <v>36</v>
      </c>
      <c r="E134" s="10" t="s">
        <v>37</v>
      </c>
      <c r="F134" s="13">
        <v>2.0</v>
      </c>
      <c r="G134" s="14">
        <v>157.08</v>
      </c>
      <c r="H134" s="10" t="s">
        <v>2459</v>
      </c>
      <c r="I134" s="10">
        <v>89.3</v>
      </c>
      <c r="O134" s="15">
        <f>IFERROR(__xludf.DUMMYFUNCTION("IF(ISBLANK($C134), """", GOOGLEFINANCE($C134, ""price""))"),170.61)</f>
        <v>170.61</v>
      </c>
      <c r="P134" s="16">
        <f t="shared" si="2"/>
        <v>0.08613445378</v>
      </c>
      <c r="Q134" s="16">
        <f>IFERROR(__xludf.DUMMYFUNCTION("IF(OR(ISBLANK($G134), IFERROR(INDEX(GOOGLEFINANCE($C134, ""price"", WORKDAY(INT($B134), 1)), 2, 2), """")=""""), """", IF($D134=""LONG"", (IFERROR(INDEX(GOOGLEFINANCE($C134, ""price"", WORKDAY(INT($B134), 1)), 2, 2), """")-$G134)/$G134, ($G134-IFERROR(IND"&amp;"EX(GOOGLEFINANCE($C134, ""price"", WORKDAY(INT($B134), 1)), 2, 2), """"))/$G134))"),-0.025082760376878187)</f>
        <v>-0.02508276038</v>
      </c>
      <c r="R134" s="16">
        <f>IFERROR(__xludf.DUMMYFUNCTION("IF(OR(ISBLANK($G134), IFERROR(INDEX(GOOGLEFINANCE($C134, ""price"", WORKDAY(INT($B134), 5)), 2, 2), """")=""""), """", IF($D134=""LONG"", (IFERROR(INDEX(GOOGLEFINANCE($C134, ""price"", WORKDAY(INT($B134), 5)), 2, 2), """")-$G134)/$G134, ($G134-IFERROR(IND"&amp;"EX(GOOGLEFINANCE($C134, ""price"", WORKDAY(INT($B134), 5)), 2, 2), """"))/$G134))"),0.0027374586198114234)</f>
        <v>0.00273745862</v>
      </c>
      <c r="S134" s="16" t="str">
        <f>IFERROR(__xludf.DUMMYFUNCTION("IF(OR(ISBLANK($G134), IFERROR(INDEX(GOOGLEFINANCE($C134, ""price"", WORKDAY(INT($B134), 20)), 2, 2), """")=""""), """", IF($D134=""LONG"", (IFERROR(INDEX(GOOGLEFINANCE($C134, ""price"", WORKDAY(INT($B134), 20)), 2, 2), """")-$G134)/$G134, ($G134-IFERROR(I"&amp;"NDEX(GOOGLEFINANCE($C134, ""price"", WORKDAY(INT($B134), 20)), 2, 2), """"))/$G134))"),"")</f>
        <v/>
      </c>
      <c r="T134" s="10" t="s">
        <v>2463</v>
      </c>
      <c r="U134" s="10" t="s">
        <v>984</v>
      </c>
      <c r="V134" s="10" t="s">
        <v>1880</v>
      </c>
      <c r="W134" s="10" t="s">
        <v>51</v>
      </c>
      <c r="X134" s="10" t="s">
        <v>984</v>
      </c>
    </row>
    <row r="135">
      <c r="A135" s="9">
        <f t="shared" si="1"/>
        <v>134</v>
      </c>
      <c r="B135" s="11">
        <v>46218.66773148148</v>
      </c>
      <c r="C135" s="10" t="s">
        <v>540</v>
      </c>
      <c r="D135" s="10" t="s">
        <v>119</v>
      </c>
      <c r="E135" s="10" t="s">
        <v>120</v>
      </c>
      <c r="F135" s="13">
        <v>4.0</v>
      </c>
      <c r="G135" s="14">
        <v>111.47</v>
      </c>
      <c r="H135" s="10" t="s">
        <v>2464</v>
      </c>
      <c r="I135" s="10">
        <v>8.2</v>
      </c>
      <c r="O135" s="15">
        <f>IFERROR(__xludf.DUMMYFUNCTION("IF(ISBLANK($C135), """", GOOGLEFINANCE($C135, ""price""))"),116.76)</f>
        <v>116.76</v>
      </c>
      <c r="P135" s="16">
        <f t="shared" si="2"/>
        <v>-0.04745671481</v>
      </c>
      <c r="Q135" s="16">
        <f>IFERROR(__xludf.DUMMYFUNCTION("IF(OR(ISBLANK($G135), IFERROR(INDEX(GOOGLEFINANCE($C135, ""price"", WORKDAY(INT($B135), 1)), 2, 2), """")=""""), """", IF($D135=""LONG"", (IFERROR(INDEX(GOOGLEFINANCE($C135, ""price"", WORKDAY(INT($B135), 1)), 2, 2), """")-$G135)/$G135, ($G135-IFERROR(IND"&amp;"EX(GOOGLEFINANCE($C135, ""price"", WORKDAY(INT($B135), 1)), 2, 2), """"))/$G135))"),-0.012290302323495152)</f>
        <v>-0.01229030232</v>
      </c>
      <c r="R135" s="16">
        <f>IFERROR(__xludf.DUMMYFUNCTION("IF(OR(ISBLANK($G135), IFERROR(INDEX(GOOGLEFINANCE($C135, ""price"", WORKDAY(INT($B135), 5)), 2, 2), """")=""""), """", IF($D135=""LONG"", (IFERROR(INDEX(GOOGLEFINANCE($C135, ""price"", WORKDAY(INT($B135), 5)), 2, 2), """")-$G135)/$G135, ($G135-IFERROR(IND"&amp;"EX(GOOGLEFINANCE($C135, ""price"", WORKDAY(INT($B135), 5)), 2, 2), """"))/$G135))"),-0.06566789270655789)</f>
        <v>-0.06566789271</v>
      </c>
      <c r="S135" s="16" t="str">
        <f>IFERROR(__xludf.DUMMYFUNCTION("IF(OR(ISBLANK($G135), IFERROR(INDEX(GOOGLEFINANCE($C135, ""price"", WORKDAY(INT($B135), 20)), 2, 2), """")=""""), """", IF($D135=""LONG"", (IFERROR(INDEX(GOOGLEFINANCE($C135, ""price"", WORKDAY(INT($B135), 20)), 2, 2), """")-$G135)/$G135, ($G135-IFERROR(I"&amp;"NDEX(GOOGLEFINANCE($C135, ""price"", WORKDAY(INT($B135), 20)), 2, 2), """"))/$G135))"),"")</f>
        <v/>
      </c>
      <c r="T135" s="10" t="s">
        <v>2470</v>
      </c>
      <c r="U135" s="10" t="s">
        <v>984</v>
      </c>
      <c r="V135" s="10" t="s">
        <v>985</v>
      </c>
      <c r="W135" s="10" t="s">
        <v>51</v>
      </c>
      <c r="X135" s="10" t="s">
        <v>984</v>
      </c>
    </row>
    <row r="136">
      <c r="A136" s="9">
        <f t="shared" si="1"/>
        <v>135</v>
      </c>
      <c r="B136" s="11">
        <v>46218.667546296296</v>
      </c>
      <c r="C136" s="10" t="s">
        <v>1778</v>
      </c>
      <c r="D136" s="10" t="s">
        <v>36</v>
      </c>
      <c r="E136" s="10" t="s">
        <v>37</v>
      </c>
      <c r="F136" s="13">
        <v>2.0</v>
      </c>
      <c r="G136" s="14">
        <v>84.45</v>
      </c>
      <c r="H136" s="10" t="s">
        <v>2472</v>
      </c>
      <c r="I136" s="10">
        <v>95.1</v>
      </c>
      <c r="O136" s="15">
        <f>IFERROR(__xludf.DUMMYFUNCTION("IF(ISBLANK($C136), """", GOOGLEFINANCE($C136, ""price""))"),76.86)</f>
        <v>76.86</v>
      </c>
      <c r="P136" s="16">
        <f t="shared" si="2"/>
        <v>-0.08987566607</v>
      </c>
      <c r="Q136" s="16">
        <f>IFERROR(__xludf.DUMMYFUNCTION("IF(OR(ISBLANK($G136), IFERROR(INDEX(GOOGLEFINANCE($C136, ""price"", WORKDAY(INT($B136), 1)), 2, 2), """")=""""), """", IF($D136=""LONG"", (IFERROR(INDEX(GOOGLEFINANCE($C136, ""price"", WORKDAY(INT($B136), 1)), 2, 2), """")-$G136)/$G136, ($G136-IFERROR(IND"&amp;"EX(GOOGLEFINANCE($C136, ""price"", WORKDAY(INT($B136), 1)), 2, 2), """"))/$G136))"),0.026050917702782745)</f>
        <v>0.0260509177</v>
      </c>
      <c r="R136" s="16">
        <f>IFERROR(__xludf.DUMMYFUNCTION("IF(OR(ISBLANK($G136), IFERROR(INDEX(GOOGLEFINANCE($C136, ""price"", WORKDAY(INT($B136), 5)), 2, 2), """")=""""), """", IF($D136=""LONG"", (IFERROR(INDEX(GOOGLEFINANCE($C136, ""price"", WORKDAY(INT($B136), 5)), 2, 2), """")-$G136)/$G136, ($G136-IFERROR(IND"&amp;"EX(GOOGLEFINANCE($C136, ""price"", WORKDAY(INT($B136), 5)), 2, 2), """"))/$G136))"),0.04831261101243337)</f>
        <v>0.04831261101</v>
      </c>
      <c r="S136" s="16" t="str">
        <f>IFERROR(__xludf.DUMMYFUNCTION("IF(OR(ISBLANK($G136), IFERROR(INDEX(GOOGLEFINANCE($C136, ""price"", WORKDAY(INT($B136), 20)), 2, 2), """")=""""), """", IF($D136=""LONG"", (IFERROR(INDEX(GOOGLEFINANCE($C136, ""price"", WORKDAY(INT($B136), 20)), 2, 2), """")-$G136)/$G136, ($G136-IFERROR(I"&amp;"NDEX(GOOGLEFINANCE($C136, ""price"", WORKDAY(INT($B136), 20)), 2, 2), """"))/$G136))"),"")</f>
        <v/>
      </c>
      <c r="T136" s="10" t="s">
        <v>2482</v>
      </c>
      <c r="U136" s="10" t="s">
        <v>240</v>
      </c>
      <c r="V136" s="10" t="s">
        <v>2483</v>
      </c>
      <c r="W136" s="10" t="s">
        <v>2485</v>
      </c>
      <c r="X136" s="10" t="s">
        <v>1905</v>
      </c>
    </row>
    <row r="137">
      <c r="A137" s="9">
        <f t="shared" si="1"/>
        <v>136</v>
      </c>
      <c r="B137" s="11">
        <v>46218.6674537037</v>
      </c>
      <c r="C137" s="10" t="s">
        <v>337</v>
      </c>
      <c r="D137" s="10" t="s">
        <v>119</v>
      </c>
      <c r="E137" s="10" t="s">
        <v>120</v>
      </c>
      <c r="F137" s="13">
        <v>4.0</v>
      </c>
      <c r="G137" s="14">
        <v>42.83</v>
      </c>
      <c r="H137" s="10" t="s">
        <v>2486</v>
      </c>
      <c r="I137" s="10">
        <v>12.3</v>
      </c>
      <c r="O137" s="15">
        <f>IFERROR(__xludf.DUMMYFUNCTION("IF(ISBLANK($C137), """", GOOGLEFINANCE($C137, ""price""))"),46.99)</f>
        <v>46.99</v>
      </c>
      <c r="P137" s="16">
        <f t="shared" si="2"/>
        <v>-0.09712818118</v>
      </c>
      <c r="Q137" s="16">
        <f>IFERROR(__xludf.DUMMYFUNCTION("IF(OR(ISBLANK($G137), IFERROR(INDEX(GOOGLEFINANCE($C137, ""price"", WORKDAY(INT($B137), 1)), 2, 2), """")=""""), """", IF($D137=""LONG"", (IFERROR(INDEX(GOOGLEFINANCE($C137, ""price"", WORKDAY(INT($B137), 1)), 2, 2), """")-$G137)/$G137, ($G137-IFERROR(IND"&amp;"EX(GOOGLEFINANCE($C137, ""price"", WORKDAY(INT($B137), 1)), 2, 2), """"))/$G137))"),-0.02451552650011684)</f>
        <v>-0.0245155265</v>
      </c>
      <c r="R137" s="16">
        <f>IFERROR(__xludf.DUMMYFUNCTION("IF(OR(ISBLANK($G137), IFERROR(INDEX(GOOGLEFINANCE($C137, ""price"", WORKDAY(INT($B137), 5)), 2, 2), """")=""""), """", IF($D137=""LONG"", (IFERROR(INDEX(GOOGLEFINANCE($C137, ""price"", WORKDAY(INT($B137), 5)), 2, 2), """")-$G137)/$G137, ($G137-IFERROR(IND"&amp;"EX(GOOGLEFINANCE($C137, ""price"", WORKDAY(INT($B137), 5)), 2, 2), """"))/$G137))"),-0.03408825589540044)</f>
        <v>-0.0340882559</v>
      </c>
      <c r="S137" s="16" t="str">
        <f>IFERROR(__xludf.DUMMYFUNCTION("IF(OR(ISBLANK($G137), IFERROR(INDEX(GOOGLEFINANCE($C137, ""price"", WORKDAY(INT($B137), 20)), 2, 2), """")=""""), """", IF($D137=""LONG"", (IFERROR(INDEX(GOOGLEFINANCE($C137, ""price"", WORKDAY(INT($B137), 20)), 2, 2), """")-$G137)/$G137, ($G137-IFERROR(I"&amp;"NDEX(GOOGLEFINANCE($C137, ""price"", WORKDAY(INT($B137), 20)), 2, 2), """"))/$G137))"),"")</f>
        <v/>
      </c>
      <c r="T137" s="10" t="s">
        <v>2490</v>
      </c>
      <c r="U137" s="10" t="s">
        <v>984</v>
      </c>
      <c r="V137" s="10" t="s">
        <v>985</v>
      </c>
      <c r="W137" s="10" t="s">
        <v>51</v>
      </c>
      <c r="X137" s="10" t="s">
        <v>984</v>
      </c>
    </row>
    <row r="138">
      <c r="A138" s="9">
        <f t="shared" si="1"/>
        <v>137</v>
      </c>
      <c r="B138" s="11">
        <v>46218.66758101852</v>
      </c>
      <c r="C138" s="10" t="s">
        <v>267</v>
      </c>
      <c r="D138" s="10" t="s">
        <v>36</v>
      </c>
      <c r="E138" s="10" t="s">
        <v>37</v>
      </c>
      <c r="F138" s="13">
        <v>2.0</v>
      </c>
      <c r="G138" s="14">
        <v>190.2</v>
      </c>
      <c r="H138" s="10" t="s">
        <v>2491</v>
      </c>
      <c r="I138" s="10">
        <v>97.9</v>
      </c>
      <c r="O138" s="15">
        <f>IFERROR(__xludf.DUMMYFUNCTION("IF(ISBLANK($C138), """", GOOGLEFINANCE($C138, ""price""))"),213.26)</f>
        <v>213.26</v>
      </c>
      <c r="P138" s="16">
        <f t="shared" si="2"/>
        <v>0.1212407992</v>
      </c>
      <c r="Q138" s="16">
        <f>IFERROR(__xludf.DUMMYFUNCTION("IF(OR(ISBLANK($G138), IFERROR(INDEX(GOOGLEFINANCE($C138, ""price"", WORKDAY(INT($B138), 1)), 2, 2), """")=""""), """", IF($D138=""LONG"", (IFERROR(INDEX(GOOGLEFINANCE($C138, ""price"", WORKDAY(INT($B138), 1)), 2, 2), """")-$G138)/$G138, ($G138-IFERROR(IND"&amp;"EX(GOOGLEFINANCE($C138, ""price"", WORKDAY(INT($B138), 1)), 2, 2), """"))/$G138))"),-0.020189274447949396)</f>
        <v>-0.02018927445</v>
      </c>
      <c r="R138" s="16">
        <f>IFERROR(__xludf.DUMMYFUNCTION("IF(OR(ISBLANK($G138), IFERROR(INDEX(GOOGLEFINANCE($C138, ""price"", WORKDAY(INT($B138), 5)), 2, 2), """")=""""), """", IF($D138=""LONG"", (IFERROR(INDEX(GOOGLEFINANCE($C138, ""price"", WORKDAY(INT($B138), 5)), 2, 2), """")-$G138)/$G138, ($G138-IFERROR(IND"&amp;"EX(GOOGLEFINANCE($C138, ""price"", WORKDAY(INT($B138), 5)), 2, 2), """"))/$G138))"),-0.06556256572029442)</f>
        <v>-0.06556256572</v>
      </c>
      <c r="S138" s="16" t="str">
        <f>IFERROR(__xludf.DUMMYFUNCTION("IF(OR(ISBLANK($G138), IFERROR(INDEX(GOOGLEFINANCE($C138, ""price"", WORKDAY(INT($B138), 20)), 2, 2), """")=""""), """", IF($D138=""LONG"", (IFERROR(INDEX(GOOGLEFINANCE($C138, ""price"", WORKDAY(INT($B138), 20)), 2, 2), """")-$G138)/$G138, ($G138-IFERROR(I"&amp;"NDEX(GOOGLEFINANCE($C138, ""price"", WORKDAY(INT($B138), 20)), 2, 2), """"))/$G138))"),"")</f>
        <v/>
      </c>
      <c r="T138" s="10" t="s">
        <v>2497</v>
      </c>
      <c r="U138" s="10" t="s">
        <v>984</v>
      </c>
      <c r="V138" s="10" t="s">
        <v>985</v>
      </c>
      <c r="W138" s="10" t="s">
        <v>51</v>
      </c>
      <c r="X138" s="10" t="s">
        <v>984</v>
      </c>
    </row>
    <row r="139">
      <c r="A139" s="9">
        <f t="shared" si="1"/>
        <v>138</v>
      </c>
      <c r="B139" s="11">
        <v>46218.66751157407</v>
      </c>
      <c r="C139" s="10" t="s">
        <v>1216</v>
      </c>
      <c r="D139" s="10" t="s">
        <v>36</v>
      </c>
      <c r="E139" s="10" t="s">
        <v>1892</v>
      </c>
      <c r="F139" s="13">
        <v>2.0</v>
      </c>
      <c r="G139" s="14">
        <v>81.81</v>
      </c>
      <c r="H139" s="10" t="s">
        <v>2499</v>
      </c>
      <c r="I139" s="10">
        <v>86.6</v>
      </c>
      <c r="L139" s="10" t="s">
        <v>2500</v>
      </c>
      <c r="M139" s="34" t="s">
        <v>2106</v>
      </c>
      <c r="N139" s="10" t="s">
        <v>2501</v>
      </c>
      <c r="O139" s="15">
        <f>IFERROR(__xludf.DUMMYFUNCTION("IF(ISBLANK($C139), """", GOOGLEFINANCE($C139, ""price""))"),79.02)</f>
        <v>79.02</v>
      </c>
      <c r="P139" s="16">
        <f t="shared" si="2"/>
        <v>-0.03410341034</v>
      </c>
      <c r="Q139" s="16">
        <f>IFERROR(__xludf.DUMMYFUNCTION("IF(OR(ISBLANK($G139), IFERROR(INDEX(GOOGLEFINANCE($C139, ""price"", WORKDAY(INT($B139), 1)), 2, 2), """")=""""), """", IF($D139=""LONG"", (IFERROR(INDEX(GOOGLEFINANCE($C139, ""price"", WORKDAY(INT($B139), 1)), 2, 2), """")-$G139)/$G139, ($G139-IFERROR(IND"&amp;"EX(GOOGLEFINANCE($C139, ""price"", WORKDAY(INT($B139), 1)), 2, 2), """"))/$G139))"),-0.0035447989243369547)</f>
        <v>-0.003544798924</v>
      </c>
      <c r="R139" s="16">
        <f>IFERROR(__xludf.DUMMYFUNCTION("IF(OR(ISBLANK($G139), IFERROR(INDEX(GOOGLEFINANCE($C139, ""price"", WORKDAY(INT($B139), 5)), 2, 2), """")=""""), """", IF($D139=""LONG"", (IFERROR(INDEX(GOOGLEFINANCE($C139, ""price"", WORKDAY(INT($B139), 5)), 2, 2), """")-$G139)/$G139, ($G139-IFERROR(IND"&amp;"EX(GOOGLEFINANCE($C139, ""price"", WORKDAY(INT($B139), 5)), 2, 2), """"))/$G139))"),-0.05317198386505328)</f>
        <v>-0.05317198387</v>
      </c>
      <c r="S139" s="16" t="str">
        <f>IFERROR(__xludf.DUMMYFUNCTION("IF(OR(ISBLANK($G139), IFERROR(INDEX(GOOGLEFINANCE($C139, ""price"", WORKDAY(INT($B139), 20)), 2, 2), """")=""""), """", IF($D139=""LONG"", (IFERROR(INDEX(GOOGLEFINANCE($C139, ""price"", WORKDAY(INT($B139), 20)), 2, 2), """")-$G139)/$G139, ($G139-IFERROR(I"&amp;"NDEX(GOOGLEFINANCE($C139, ""price"", WORKDAY(INT($B139), 20)), 2, 2), """"))/$G139))"),"")</f>
        <v/>
      </c>
      <c r="T139" s="10" t="s">
        <v>2506</v>
      </c>
      <c r="U139" s="10" t="s">
        <v>240</v>
      </c>
      <c r="V139" s="10" t="s">
        <v>2507</v>
      </c>
      <c r="W139" s="10" t="s">
        <v>2508</v>
      </c>
      <c r="X139" s="10" t="s">
        <v>1905</v>
      </c>
    </row>
    <row r="140">
      <c r="A140" s="9">
        <f t="shared" si="1"/>
        <v>139</v>
      </c>
      <c r="B140" s="11">
        <v>46218.667662037034</v>
      </c>
      <c r="C140" s="10" t="s">
        <v>641</v>
      </c>
      <c r="D140" s="10" t="s">
        <v>36</v>
      </c>
      <c r="E140" s="10" t="s">
        <v>37</v>
      </c>
      <c r="F140" s="13">
        <v>2.0</v>
      </c>
      <c r="G140" s="14">
        <v>60.79</v>
      </c>
      <c r="H140" s="10" t="s">
        <v>1596</v>
      </c>
      <c r="I140" s="10">
        <v>97.1</v>
      </c>
      <c r="O140" s="15">
        <f>IFERROR(__xludf.DUMMYFUNCTION("IF(ISBLANK($C140), """", GOOGLEFINANCE($C140, ""price""))"),63.13)</f>
        <v>63.13</v>
      </c>
      <c r="P140" s="16">
        <f t="shared" si="2"/>
        <v>0.03849317322</v>
      </c>
      <c r="Q140" s="16">
        <f>IFERROR(__xludf.DUMMYFUNCTION("IF(OR(ISBLANK($G140), IFERROR(INDEX(GOOGLEFINANCE($C140, ""price"", WORKDAY(INT($B140), 1)), 2, 2), """")=""""), """", IF($D140=""LONG"", (IFERROR(INDEX(GOOGLEFINANCE($C140, ""price"", WORKDAY(INT($B140), 1)), 2, 2), """")-$G140)/$G140, ($G140-IFERROR(IND"&amp;"EX(GOOGLEFINANCE($C140, ""price"", WORKDAY(INT($B140), 1)), 2, 2), """"))/$G140))"),0.03882217469978614)</f>
        <v>0.0388221747</v>
      </c>
      <c r="R140" s="16">
        <f>IFERROR(__xludf.DUMMYFUNCTION("IF(OR(ISBLANK($G140), IFERROR(INDEX(GOOGLEFINANCE($C140, ""price"", WORKDAY(INT($B140), 5)), 2, 2), """")=""""), """", IF($D140=""LONG"", (IFERROR(INDEX(GOOGLEFINANCE($C140, ""price"", WORKDAY(INT($B140), 5)), 2, 2), """")-$G140)/$G140, ($G140-IFERROR(IND"&amp;"EX(GOOGLEFINANCE($C140, ""price"", WORKDAY(INT($B140), 5)), 2, 2), """"))/$G140))"),0.025662115479519694)</f>
        <v>0.02566211548</v>
      </c>
      <c r="S140" s="16" t="str">
        <f>IFERROR(__xludf.DUMMYFUNCTION("IF(OR(ISBLANK($G140), IFERROR(INDEX(GOOGLEFINANCE($C140, ""price"", WORKDAY(INT($B140), 20)), 2, 2), """")=""""), """", IF($D140=""LONG"", (IFERROR(INDEX(GOOGLEFINANCE($C140, ""price"", WORKDAY(INT($B140), 20)), 2, 2), """")-$G140)/$G140, ($G140-IFERROR(I"&amp;"NDEX(GOOGLEFINANCE($C140, ""price"", WORKDAY(INT($B140), 20)), 2, 2), """"))/$G140))"),"")</f>
        <v/>
      </c>
      <c r="T140" s="10" t="s">
        <v>2512</v>
      </c>
      <c r="U140" s="10" t="s">
        <v>850</v>
      </c>
      <c r="V140" s="10" t="s">
        <v>2514</v>
      </c>
      <c r="W140" s="10" t="s">
        <v>2515</v>
      </c>
      <c r="X140" s="10" t="s">
        <v>2282</v>
      </c>
    </row>
    <row r="141">
      <c r="A141" s="9">
        <f t="shared" si="1"/>
        <v>140</v>
      </c>
      <c r="B141" s="11">
        <v>46218.667662037034</v>
      </c>
      <c r="C141" s="10" t="s">
        <v>181</v>
      </c>
      <c r="D141" s="10" t="s">
        <v>119</v>
      </c>
      <c r="E141" s="10" t="s">
        <v>120</v>
      </c>
      <c r="F141" s="13">
        <v>4.0</v>
      </c>
      <c r="G141" s="14">
        <v>56.56</v>
      </c>
      <c r="H141" s="10" t="s">
        <v>2517</v>
      </c>
      <c r="I141" s="10">
        <v>24.5</v>
      </c>
      <c r="O141" s="15">
        <f>IFERROR(__xludf.DUMMYFUNCTION("IF(ISBLANK($C141), """", GOOGLEFINANCE($C141, ""price""))"),57.32)</f>
        <v>57.32</v>
      </c>
      <c r="P141" s="16">
        <f t="shared" si="2"/>
        <v>-0.01343705799</v>
      </c>
      <c r="Q141" s="16">
        <f>IFERROR(__xludf.DUMMYFUNCTION("IF(OR(ISBLANK($G141), IFERROR(INDEX(GOOGLEFINANCE($C141, ""price"", WORKDAY(INT($B141), 1)), 2, 2), """")=""""), """", IF($D141=""LONG"", (IFERROR(INDEX(GOOGLEFINANCE($C141, ""price"", WORKDAY(INT($B141), 1)), 2, 2), """")-$G141)/$G141, ($G141-IFERROR(IND"&amp;"EX(GOOGLEFINANCE($C141, ""price"", WORKDAY(INT($B141), 1)), 2, 2), """"))/$G141))"),-0.03624469589816119)</f>
        <v>-0.0362446959</v>
      </c>
      <c r="R141" s="16">
        <f>IFERROR(__xludf.DUMMYFUNCTION("IF(OR(ISBLANK($G141), IFERROR(INDEX(GOOGLEFINANCE($C141, ""price"", WORKDAY(INT($B141), 5)), 2, 2), """")=""""), """", IF($D141=""LONG"", (IFERROR(INDEX(GOOGLEFINANCE($C141, ""price"", WORKDAY(INT($B141), 5)), 2, 2), """")-$G141)/$G141, ($G141-IFERROR(IND"&amp;"EX(GOOGLEFINANCE($C141, ""price"", WORKDAY(INT($B141), 5)), 2, 2), """"))/$G141))"),-0.01732673267326727)</f>
        <v>-0.01732673267</v>
      </c>
      <c r="S141" s="16" t="str">
        <f>IFERROR(__xludf.DUMMYFUNCTION("IF(OR(ISBLANK($G141), IFERROR(INDEX(GOOGLEFINANCE($C141, ""price"", WORKDAY(INT($B141), 20)), 2, 2), """")=""""), """", IF($D141=""LONG"", (IFERROR(INDEX(GOOGLEFINANCE($C141, ""price"", WORKDAY(INT($B141), 20)), 2, 2), """")-$G141)/$G141, ($G141-IFERROR(I"&amp;"NDEX(GOOGLEFINANCE($C141, ""price"", WORKDAY(INT($B141), 20)), 2, 2), """"))/$G141))"),"")</f>
        <v/>
      </c>
      <c r="T141" s="10" t="s">
        <v>2522</v>
      </c>
      <c r="U141" s="10" t="s">
        <v>984</v>
      </c>
      <c r="V141" s="10" t="s">
        <v>1880</v>
      </c>
      <c r="W141" s="10" t="s">
        <v>51</v>
      </c>
      <c r="X141" s="10" t="s">
        <v>984</v>
      </c>
    </row>
    <row r="142">
      <c r="A142" s="9">
        <f t="shared" si="1"/>
        <v>141</v>
      </c>
      <c r="B142" s="11">
        <v>46218.66744212963</v>
      </c>
      <c r="C142" s="10" t="s">
        <v>66</v>
      </c>
      <c r="D142" s="10" t="s">
        <v>36</v>
      </c>
      <c r="E142" s="10" t="s">
        <v>37</v>
      </c>
      <c r="F142" s="13">
        <v>2.0</v>
      </c>
      <c r="G142" s="14">
        <v>274.06</v>
      </c>
      <c r="H142" s="10" t="s">
        <v>2523</v>
      </c>
      <c r="I142" s="10">
        <v>88.4</v>
      </c>
      <c r="O142" s="15">
        <f>IFERROR(__xludf.DUMMYFUNCTION("IF(ISBLANK($C142), """", GOOGLEFINANCE($C142, ""price""))"),296.4)</f>
        <v>296.4</v>
      </c>
      <c r="P142" s="16">
        <f t="shared" si="2"/>
        <v>0.08151499672</v>
      </c>
      <c r="Q142" s="16">
        <f>IFERROR(__xludf.DUMMYFUNCTION("IF(OR(ISBLANK($G142), IFERROR(INDEX(GOOGLEFINANCE($C142, ""price"", WORKDAY(INT($B142), 1)), 2, 2), """")=""""), """", IF($D142=""LONG"", (IFERROR(INDEX(GOOGLEFINANCE($C142, ""price"", WORKDAY(INT($B142), 1)), 2, 2), """")-$G142)/$G142, ($G142-IFERROR(IND"&amp;"EX(GOOGLEFINANCE($C142, ""price"", WORKDAY(INT($B142), 1)), 2, 2), """"))/$G142))"),0.005035393709406683)</f>
        <v>0.005035393709</v>
      </c>
      <c r="R142" s="16">
        <f>IFERROR(__xludf.DUMMYFUNCTION("IF(OR(ISBLANK($G142), IFERROR(INDEX(GOOGLEFINANCE($C142, ""price"", WORKDAY(INT($B142), 5)), 2, 2), """")=""""), """", IF($D142=""LONG"", (IFERROR(INDEX(GOOGLEFINANCE($C142, ""price"", WORKDAY(INT($B142), 5)), 2, 2), """")-$G142)/$G142, ($G142-IFERROR(IND"&amp;"EX(GOOGLEFINANCE($C142, ""price"", WORKDAY(INT($B142), 5)), 2, 2), """"))/$G142))"),-0.0033204407793914655)</f>
        <v>-0.003320440779</v>
      </c>
      <c r="S142" s="16" t="str">
        <f>IFERROR(__xludf.DUMMYFUNCTION("IF(OR(ISBLANK($G142), IFERROR(INDEX(GOOGLEFINANCE($C142, ""price"", WORKDAY(INT($B142), 20)), 2, 2), """")=""""), """", IF($D142=""LONG"", (IFERROR(INDEX(GOOGLEFINANCE($C142, ""price"", WORKDAY(INT($B142), 20)), 2, 2), """")-$G142)/$G142, ($G142-IFERROR(I"&amp;"NDEX(GOOGLEFINANCE($C142, ""price"", WORKDAY(INT($B142), 20)), 2, 2), """"))/$G142))"),"")</f>
        <v/>
      </c>
      <c r="T142" s="10" t="s">
        <v>2528</v>
      </c>
      <c r="U142" s="10" t="s">
        <v>984</v>
      </c>
      <c r="V142" s="10" t="s">
        <v>985</v>
      </c>
      <c r="W142" s="10" t="s">
        <v>51</v>
      </c>
      <c r="X142" s="10" t="s">
        <v>984</v>
      </c>
    </row>
    <row r="143">
      <c r="A143" s="9">
        <f t="shared" si="1"/>
        <v>142</v>
      </c>
      <c r="B143" s="11">
        <v>46218.66763888889</v>
      </c>
      <c r="C143" s="10" t="s">
        <v>454</v>
      </c>
      <c r="D143" s="10" t="s">
        <v>36</v>
      </c>
      <c r="E143" s="10" t="s">
        <v>37</v>
      </c>
      <c r="F143" s="13">
        <v>2.0</v>
      </c>
      <c r="G143" s="14">
        <v>120.95</v>
      </c>
      <c r="H143" s="10" t="s">
        <v>2530</v>
      </c>
      <c r="I143" s="10">
        <v>86.8</v>
      </c>
      <c r="O143" s="15">
        <f>IFERROR(__xludf.DUMMYFUNCTION("IF(ISBLANK($C143), """", GOOGLEFINANCE($C143, ""price""))"),129.12)</f>
        <v>129.12</v>
      </c>
      <c r="P143" s="16">
        <f t="shared" si="2"/>
        <v>0.06754857379</v>
      </c>
      <c r="Q143" s="16">
        <f>IFERROR(__xludf.DUMMYFUNCTION("IF(OR(ISBLANK($G143), IFERROR(INDEX(GOOGLEFINANCE($C143, ""price"", WORKDAY(INT($B143), 1)), 2, 2), """")=""""), """", IF($D143=""LONG"", (IFERROR(INDEX(GOOGLEFINANCE($C143, ""price"", WORKDAY(INT($B143), 1)), 2, 2), """")-$G143)/$G143, ($G143-IFERROR(IND"&amp;"EX(GOOGLEFINANCE($C143, ""price"", WORKDAY(INT($B143), 1)), 2, 2), """"))/$G143))"),-0.0176932616783795)</f>
        <v>-0.01769326168</v>
      </c>
      <c r="R143" s="16">
        <f>IFERROR(__xludf.DUMMYFUNCTION("IF(OR(ISBLANK($G143), IFERROR(INDEX(GOOGLEFINANCE($C143, ""price"", WORKDAY(INT($B143), 5)), 2, 2), """")=""""), """", IF($D143=""LONG"", (IFERROR(INDEX(GOOGLEFINANCE($C143, ""price"", WORKDAY(INT($B143), 5)), 2, 2), """")-$G143)/$G143, ($G143-IFERROR(IND"&amp;"EX(GOOGLEFINANCE($C143, ""price"", WORKDAY(INT($B143), 5)), 2, 2), """"))/$G143))"),-0.030508474576271167)</f>
        <v>-0.03050847458</v>
      </c>
      <c r="S143" s="16" t="str">
        <f>IFERROR(__xludf.DUMMYFUNCTION("IF(OR(ISBLANK($G143), IFERROR(INDEX(GOOGLEFINANCE($C143, ""price"", WORKDAY(INT($B143), 20)), 2, 2), """")=""""), """", IF($D143=""LONG"", (IFERROR(INDEX(GOOGLEFINANCE($C143, ""price"", WORKDAY(INT($B143), 20)), 2, 2), """")-$G143)/$G143, ($G143-IFERROR(I"&amp;"NDEX(GOOGLEFINANCE($C143, ""price"", WORKDAY(INT($B143), 20)), 2, 2), """"))/$G143))"),"")</f>
        <v/>
      </c>
      <c r="T143" s="10" t="s">
        <v>2533</v>
      </c>
      <c r="U143" s="10" t="s">
        <v>984</v>
      </c>
      <c r="V143" s="10" t="s">
        <v>1880</v>
      </c>
      <c r="W143" s="10" t="s">
        <v>51</v>
      </c>
      <c r="X143" s="10" t="s">
        <v>984</v>
      </c>
    </row>
    <row r="144">
      <c r="A144" s="9">
        <f t="shared" si="1"/>
        <v>143</v>
      </c>
      <c r="B144" s="11">
        <v>46218.66768518519</v>
      </c>
      <c r="C144" s="10" t="s">
        <v>248</v>
      </c>
      <c r="D144" s="10" t="s">
        <v>36</v>
      </c>
      <c r="E144" s="10" t="s">
        <v>37</v>
      </c>
      <c r="F144" s="13">
        <v>2.0</v>
      </c>
      <c r="G144" s="14">
        <v>71.13</v>
      </c>
      <c r="H144" s="10" t="s">
        <v>2536</v>
      </c>
      <c r="I144" s="10">
        <v>89.2</v>
      </c>
      <c r="O144" s="15">
        <f>IFERROR(__xludf.DUMMYFUNCTION("IF(ISBLANK($C144), """", GOOGLEFINANCE($C144, ""price""))"),72.43)</f>
        <v>72.43</v>
      </c>
      <c r="P144" s="16">
        <f t="shared" si="2"/>
        <v>0.01827639533</v>
      </c>
      <c r="Q144" s="16">
        <f>IFERROR(__xludf.DUMMYFUNCTION("IF(OR(ISBLANK($G144), IFERROR(INDEX(GOOGLEFINANCE($C144, ""price"", WORKDAY(INT($B144), 1)), 2, 2), """")=""""), """", IF($D144=""LONG"", (IFERROR(INDEX(GOOGLEFINANCE($C144, ""price"", WORKDAY(INT($B144), 1)), 2, 2), """")-$G144)/$G144, ($G144-IFERROR(IND"&amp;"EX(GOOGLEFINANCE($C144, ""price"", WORKDAY(INT($B144), 1)), 2, 2), """"))/$G144))"),0.0459721636440322)</f>
        <v>0.04597216364</v>
      </c>
      <c r="R144" s="16">
        <f>IFERROR(__xludf.DUMMYFUNCTION("IF(OR(ISBLANK($G144), IFERROR(INDEX(GOOGLEFINANCE($C144, ""price"", WORKDAY(INT($B144), 5)), 2, 2), """")=""""), """", IF($D144=""LONG"", (IFERROR(INDEX(GOOGLEFINANCE($C144, ""price"", WORKDAY(INT($B144), 5)), 2, 2), """")-$G144)/$G144, ($G144-IFERROR(IND"&amp;"EX(GOOGLEFINANCE($C144, ""price"", WORKDAY(INT($B144), 5)), 2, 2), """"))/$G144))"),0.018416982988893608)</f>
        <v>0.01841698299</v>
      </c>
      <c r="S144" s="16" t="str">
        <f>IFERROR(__xludf.DUMMYFUNCTION("IF(OR(ISBLANK($G144), IFERROR(INDEX(GOOGLEFINANCE($C144, ""price"", WORKDAY(INT($B144), 20)), 2, 2), """")=""""), """", IF($D144=""LONG"", (IFERROR(INDEX(GOOGLEFINANCE($C144, ""price"", WORKDAY(INT($B144), 20)), 2, 2), """")-$G144)/$G144, ($G144-IFERROR(I"&amp;"NDEX(GOOGLEFINANCE($C144, ""price"", WORKDAY(INT($B144), 20)), 2, 2), """"))/$G144))"),"")</f>
        <v/>
      </c>
      <c r="T144" s="10" t="s">
        <v>2539</v>
      </c>
      <c r="U144" s="10" t="s">
        <v>850</v>
      </c>
      <c r="V144" s="10" t="s">
        <v>2540</v>
      </c>
      <c r="W144" s="10" t="s">
        <v>51</v>
      </c>
      <c r="X144" s="10" t="s">
        <v>850</v>
      </c>
    </row>
    <row r="145">
      <c r="A145" s="9">
        <f t="shared" si="1"/>
        <v>144</v>
      </c>
      <c r="B145" s="11">
        <v>46218.66763888889</v>
      </c>
      <c r="C145" s="10" t="s">
        <v>379</v>
      </c>
      <c r="D145" s="10" t="s">
        <v>36</v>
      </c>
      <c r="E145" s="10" t="s">
        <v>37</v>
      </c>
      <c r="F145" s="13">
        <v>2.0</v>
      </c>
      <c r="G145" s="14">
        <v>49.43</v>
      </c>
      <c r="H145" s="10" t="s">
        <v>2542</v>
      </c>
      <c r="I145" s="10">
        <v>82.0</v>
      </c>
      <c r="O145" s="15">
        <f>IFERROR(__xludf.DUMMYFUNCTION("IF(ISBLANK($C145), """", GOOGLEFINANCE($C145, ""price""))"),50.7)</f>
        <v>50.7</v>
      </c>
      <c r="P145" s="16">
        <f t="shared" si="2"/>
        <v>0.02569289905</v>
      </c>
      <c r="Q145" s="16">
        <f>IFERROR(__xludf.DUMMYFUNCTION("IF(OR(ISBLANK($G145), IFERROR(INDEX(GOOGLEFINANCE($C145, ""price"", WORKDAY(INT($B145), 1)), 2, 2), """")=""""), """", IF($D145=""LONG"", (IFERROR(INDEX(GOOGLEFINANCE($C145, ""price"", WORKDAY(INT($B145), 1)), 2, 2), """")-$G145)/$G145, ($G145-IFERROR(IND"&amp;"EX(GOOGLEFINANCE($C145, ""price"", WORKDAY(INT($B145), 1)), 2, 2), """"))/$G145))"),0.029536718591948227)</f>
        <v>0.02953671859</v>
      </c>
      <c r="R145" s="16">
        <f>IFERROR(__xludf.DUMMYFUNCTION("IF(OR(ISBLANK($G145), IFERROR(INDEX(GOOGLEFINANCE($C145, ""price"", WORKDAY(INT($B145), 5)), 2, 2), """")=""""), """", IF($D145=""LONG"", (IFERROR(INDEX(GOOGLEFINANCE($C145, ""price"", WORKDAY(INT($B145), 5)), 2, 2), """")-$G145)/$G145, ($G145-IFERROR(IND"&amp;"EX(GOOGLEFINANCE($C145, ""price"", WORKDAY(INT($B145), 5)), 2, 2), """"))/$G145))"),0.010115314586283633)</f>
        <v>0.01011531459</v>
      </c>
      <c r="S145" s="16" t="str">
        <f>IFERROR(__xludf.DUMMYFUNCTION("IF(OR(ISBLANK($G145), IFERROR(INDEX(GOOGLEFINANCE($C145, ""price"", WORKDAY(INT($B145), 20)), 2, 2), """")=""""), """", IF($D145=""LONG"", (IFERROR(INDEX(GOOGLEFINANCE($C145, ""price"", WORKDAY(INT($B145), 20)), 2, 2), """")-$G145)/$G145, ($G145-IFERROR(I"&amp;"NDEX(GOOGLEFINANCE($C145, ""price"", WORKDAY(INT($B145), 20)), 2, 2), """"))/$G145))"),"")</f>
        <v/>
      </c>
      <c r="T145" s="10" t="s">
        <v>2545</v>
      </c>
      <c r="U145" s="10" t="s">
        <v>984</v>
      </c>
      <c r="V145" s="10" t="s">
        <v>985</v>
      </c>
      <c r="W145" s="10" t="s">
        <v>51</v>
      </c>
      <c r="X145" s="10" t="s">
        <v>984</v>
      </c>
    </row>
    <row r="146">
      <c r="A146" s="9">
        <f t="shared" si="1"/>
        <v>145</v>
      </c>
      <c r="B146" s="11">
        <v>46218.667719907404</v>
      </c>
      <c r="C146" s="10" t="s">
        <v>299</v>
      </c>
      <c r="D146" s="10" t="s">
        <v>36</v>
      </c>
      <c r="E146" s="10" t="s">
        <v>37</v>
      </c>
      <c r="F146" s="13">
        <v>2.0</v>
      </c>
      <c r="G146" s="14">
        <v>39.45</v>
      </c>
      <c r="H146" s="10" t="s">
        <v>2546</v>
      </c>
      <c r="I146" s="10">
        <v>94.1</v>
      </c>
      <c r="O146" s="15">
        <f>IFERROR(__xludf.DUMMYFUNCTION("IF(ISBLANK($C146), """", GOOGLEFINANCE($C146, ""price""))"),38.14)</f>
        <v>38.14</v>
      </c>
      <c r="P146" s="16">
        <f t="shared" si="2"/>
        <v>-0.03320659062</v>
      </c>
      <c r="Q146" s="16">
        <f>IFERROR(__xludf.DUMMYFUNCTION("IF(OR(ISBLANK($G146), IFERROR(INDEX(GOOGLEFINANCE($C146, ""price"", WORKDAY(INT($B146), 1)), 2, 2), """")=""""), """", IF($D146=""LONG"", (IFERROR(INDEX(GOOGLEFINANCE($C146, ""price"", WORKDAY(INT($B146), 1)), 2, 2), """")-$G146)/$G146, ($G146-IFERROR(IND"&amp;"EX(GOOGLEFINANCE($C146, ""price"", WORKDAY(INT($B146), 1)), 2, 2), """"))/$G146))"),0.028390367553865585)</f>
        <v>0.02839036755</v>
      </c>
      <c r="R146" s="16">
        <f>IFERROR(__xludf.DUMMYFUNCTION("IF(OR(ISBLANK($G146), IFERROR(INDEX(GOOGLEFINANCE($C146, ""price"", WORKDAY(INT($B146), 5)), 2, 2), """")=""""), """", IF($D146=""LONG"", (IFERROR(INDEX(GOOGLEFINANCE($C146, ""price"", WORKDAY(INT($B146), 5)), 2, 2), """")-$G146)/$G146, ($G146-IFERROR(IND"&amp;"EX(GOOGLEFINANCE($C146, ""price"", WORKDAY(INT($B146), 5)), 2, 2), """"))/$G146))"),0.0022813688212926816)</f>
        <v>0.002281368821</v>
      </c>
      <c r="S146" s="16" t="str">
        <f>IFERROR(__xludf.DUMMYFUNCTION("IF(OR(ISBLANK($G146), IFERROR(INDEX(GOOGLEFINANCE($C146, ""price"", WORKDAY(INT($B146), 20)), 2, 2), """")=""""), """", IF($D146=""LONG"", (IFERROR(INDEX(GOOGLEFINANCE($C146, ""price"", WORKDAY(INT($B146), 20)), 2, 2), """")-$G146)/$G146, ($G146-IFERROR(I"&amp;"NDEX(GOOGLEFINANCE($C146, ""price"", WORKDAY(INT($B146), 20)), 2, 2), """"))/$G146))"),"")</f>
        <v/>
      </c>
      <c r="T146" s="10" t="s">
        <v>2551</v>
      </c>
      <c r="U146" s="10" t="s">
        <v>984</v>
      </c>
      <c r="V146" s="10" t="s">
        <v>1880</v>
      </c>
      <c r="W146" s="10" t="s">
        <v>51</v>
      </c>
      <c r="X146" s="10" t="s">
        <v>984</v>
      </c>
    </row>
    <row r="147">
      <c r="A147" s="9">
        <f t="shared" si="1"/>
        <v>146</v>
      </c>
      <c r="B147" s="11">
        <v>46218.667708333334</v>
      </c>
      <c r="C147" s="10" t="s">
        <v>1739</v>
      </c>
      <c r="D147" s="10" t="s">
        <v>36</v>
      </c>
      <c r="E147" s="10" t="s">
        <v>37</v>
      </c>
      <c r="F147" s="13">
        <v>2.0</v>
      </c>
      <c r="G147" s="14">
        <v>239.5</v>
      </c>
      <c r="H147" s="10" t="s">
        <v>2552</v>
      </c>
      <c r="I147" s="10">
        <v>91.4</v>
      </c>
      <c r="O147" s="15">
        <f>IFERROR(__xludf.DUMMYFUNCTION("IF(ISBLANK($C147), """", GOOGLEFINANCE($C147, ""price""))"),275.11)</f>
        <v>275.11</v>
      </c>
      <c r="P147" s="16">
        <f t="shared" si="2"/>
        <v>0.1486847599</v>
      </c>
      <c r="Q147" s="16">
        <f>IFERROR(__xludf.DUMMYFUNCTION("IF(OR(ISBLANK($G147), IFERROR(INDEX(GOOGLEFINANCE($C147, ""price"", WORKDAY(INT($B147), 1)), 2, 2), """")=""""), """", IF($D147=""LONG"", (IFERROR(INDEX(GOOGLEFINANCE($C147, ""price"", WORKDAY(INT($B147), 1)), 2, 2), """")-$G147)/$G147, ($G147-IFERROR(IND"&amp;"EX(GOOGLEFINANCE($C147, ""price"", WORKDAY(INT($B147), 1)), 2, 2), """"))/$G147))"),0.00985386221294369)</f>
        <v>0.009853862213</v>
      </c>
      <c r="R147" s="16">
        <f>IFERROR(__xludf.DUMMYFUNCTION("IF(OR(ISBLANK($G147), IFERROR(INDEX(GOOGLEFINANCE($C147, ""price"", WORKDAY(INT($B147), 5)), 2, 2), """")=""""), """", IF($D147=""LONG"", (IFERROR(INDEX(GOOGLEFINANCE($C147, ""price"", WORKDAY(INT($B147), 5)), 2, 2), """")-$G147)/$G147, ($G147-IFERROR(IND"&amp;"EX(GOOGLEFINANCE($C147, ""price"", WORKDAY(INT($B147), 5)), 2, 2), """"))/$G147))"),0.05148225469728607)</f>
        <v>0.0514822547</v>
      </c>
      <c r="S147" s="16" t="str">
        <f>IFERROR(__xludf.DUMMYFUNCTION("IF(OR(ISBLANK($G147), IFERROR(INDEX(GOOGLEFINANCE($C147, ""price"", WORKDAY(INT($B147), 20)), 2, 2), """")=""""), """", IF($D147=""LONG"", (IFERROR(INDEX(GOOGLEFINANCE($C147, ""price"", WORKDAY(INT($B147), 20)), 2, 2), """")-$G147)/$G147, ($G147-IFERROR(I"&amp;"NDEX(GOOGLEFINANCE($C147, ""price"", WORKDAY(INT($B147), 20)), 2, 2), """"))/$G147))"),"")</f>
        <v/>
      </c>
      <c r="T147" s="10" t="s">
        <v>2556</v>
      </c>
      <c r="U147" s="10" t="s">
        <v>984</v>
      </c>
      <c r="V147" s="10" t="s">
        <v>1880</v>
      </c>
      <c r="W147" s="10" t="s">
        <v>51</v>
      </c>
      <c r="X147" s="10" t="s">
        <v>984</v>
      </c>
    </row>
    <row r="148">
      <c r="A148" s="9">
        <f t="shared" si="1"/>
        <v>147</v>
      </c>
      <c r="B148" s="11">
        <v>46218.667604166665</v>
      </c>
      <c r="C148" s="10" t="s">
        <v>800</v>
      </c>
      <c r="D148" s="10" t="s">
        <v>36</v>
      </c>
      <c r="E148" s="10" t="s">
        <v>133</v>
      </c>
      <c r="F148" s="13">
        <v>2.0</v>
      </c>
      <c r="G148" s="14">
        <v>296.58</v>
      </c>
      <c r="H148" s="10" t="s">
        <v>2557</v>
      </c>
      <c r="I148" s="10">
        <v>95.3</v>
      </c>
      <c r="O148" s="15">
        <f>IFERROR(__xludf.DUMMYFUNCTION("IF(ISBLANK($C148), """", GOOGLEFINANCE($C148, ""price""))"),325.01)</f>
        <v>325.01</v>
      </c>
      <c r="P148" s="16">
        <f t="shared" si="2"/>
        <v>0.09585946456</v>
      </c>
      <c r="Q148" s="16">
        <f>IFERROR(__xludf.DUMMYFUNCTION("IF(OR(ISBLANK($G148), IFERROR(INDEX(GOOGLEFINANCE($C148, ""price"", WORKDAY(INT($B148), 1)), 2, 2), """")=""""), """", IF($D148=""LONG"", (IFERROR(INDEX(GOOGLEFINANCE($C148, ""price"", WORKDAY(INT($B148), 1)), 2, 2), """")-$G148)/$G148, ($G148-IFERROR(IND"&amp;"EX(GOOGLEFINANCE($C148, ""price"", WORKDAY(INT($B148), 1)), 2, 2), """"))/$G148))"),0.038471913143165504)</f>
        <v>0.03847191314</v>
      </c>
      <c r="R148" s="16">
        <f>IFERROR(__xludf.DUMMYFUNCTION("IF(OR(ISBLANK($G148), IFERROR(INDEX(GOOGLEFINANCE($C148, ""price"", WORKDAY(INT($B148), 5)), 2, 2), """")=""""), """", IF($D148=""LONG"", (IFERROR(INDEX(GOOGLEFINANCE($C148, ""price"", WORKDAY(INT($B148), 5)), 2, 2), """")-$G148)/$G148, ($G148-IFERROR(IND"&amp;"EX(GOOGLEFINANCE($C148, ""price"", WORKDAY(INT($B148), 5)), 2, 2), """"))/$G148))"),0.013487086115044846)</f>
        <v>0.01348708612</v>
      </c>
      <c r="S148" s="16" t="str">
        <f>IFERROR(__xludf.DUMMYFUNCTION("IF(OR(ISBLANK($G148), IFERROR(INDEX(GOOGLEFINANCE($C148, ""price"", WORKDAY(INT($B148), 20)), 2, 2), """")=""""), """", IF($D148=""LONG"", (IFERROR(INDEX(GOOGLEFINANCE($C148, ""price"", WORKDAY(INT($B148), 20)), 2, 2), """")-$G148)/$G148, ($G148-IFERROR(I"&amp;"NDEX(GOOGLEFINANCE($C148, ""price"", WORKDAY(INT($B148), 20)), 2, 2), """"))/$G148))"),"")</f>
        <v/>
      </c>
      <c r="T148" s="10" t="s">
        <v>2562</v>
      </c>
      <c r="U148" s="10" t="s">
        <v>984</v>
      </c>
      <c r="V148" s="10" t="s">
        <v>985</v>
      </c>
      <c r="W148" s="10" t="s">
        <v>51</v>
      </c>
      <c r="X148" s="10" t="s">
        <v>984</v>
      </c>
    </row>
    <row r="149">
      <c r="A149" s="9">
        <f t="shared" si="1"/>
        <v>148</v>
      </c>
      <c r="B149" s="11">
        <v>46218.66775462963</v>
      </c>
      <c r="C149" s="10" t="s">
        <v>444</v>
      </c>
      <c r="D149" s="10" t="s">
        <v>36</v>
      </c>
      <c r="E149" s="10" t="s">
        <v>37</v>
      </c>
      <c r="F149" s="13">
        <v>2.0</v>
      </c>
      <c r="G149" s="14">
        <v>358.39</v>
      </c>
      <c r="H149" s="10" t="s">
        <v>2564</v>
      </c>
      <c r="I149" s="10">
        <v>95.5</v>
      </c>
      <c r="O149" s="15">
        <f>IFERROR(__xludf.DUMMYFUNCTION("IF(ISBLANK($C149), """", GOOGLEFINANCE($C149, ""price""))"),342.6)</f>
        <v>342.6</v>
      </c>
      <c r="P149" s="16">
        <f t="shared" si="2"/>
        <v>-0.04405814894</v>
      </c>
      <c r="Q149" s="16">
        <f>IFERROR(__xludf.DUMMYFUNCTION("IF(OR(ISBLANK($G149), IFERROR(INDEX(GOOGLEFINANCE($C149, ""price"", WORKDAY(INT($B149), 1)), 2, 2), """")=""""), """", IF($D149=""LONG"", (IFERROR(INDEX(GOOGLEFINANCE($C149, ""price"", WORKDAY(INT($B149), 1)), 2, 2), """")-$G149)/$G149, ($G149-IFERROR(IND"&amp;"EX(GOOGLEFINANCE($C149, ""price"", WORKDAY(INT($B149), 1)), 2, 2), """"))/$G149))"),0.008873015430118047)</f>
        <v>0.00887301543</v>
      </c>
      <c r="R149" s="16">
        <f>IFERROR(__xludf.DUMMYFUNCTION("IF(OR(ISBLANK($G149), IFERROR(INDEX(GOOGLEFINANCE($C149, ""price"", WORKDAY(INT($B149), 5)), 2, 2), """")=""""), """", IF($D149=""LONG"", (IFERROR(INDEX(GOOGLEFINANCE($C149, ""price"", WORKDAY(INT($B149), 5)), 2, 2), """")-$G149)/$G149, ($G149-IFERROR(IND"&amp;"EX(GOOGLEFINANCE($C149, ""price"", WORKDAY(INT($B149), 5)), 2, 2), """"))/$G149))"),-0.026925974497056217)</f>
        <v>-0.0269259745</v>
      </c>
      <c r="S149" s="16" t="str">
        <f>IFERROR(__xludf.DUMMYFUNCTION("IF(OR(ISBLANK($G149), IFERROR(INDEX(GOOGLEFINANCE($C149, ""price"", WORKDAY(INT($B149), 20)), 2, 2), """")=""""), """", IF($D149=""LONG"", (IFERROR(INDEX(GOOGLEFINANCE($C149, ""price"", WORKDAY(INT($B149), 20)), 2, 2), """")-$G149)/$G149, ($G149-IFERROR(I"&amp;"NDEX(GOOGLEFINANCE($C149, ""price"", WORKDAY(INT($B149), 20)), 2, 2), """"))/$G149))"),"")</f>
        <v/>
      </c>
      <c r="T149" s="10" t="s">
        <v>2567</v>
      </c>
      <c r="U149" s="10" t="s">
        <v>984</v>
      </c>
      <c r="V149" s="10" t="s">
        <v>1880</v>
      </c>
      <c r="W149" s="10" t="s">
        <v>51</v>
      </c>
      <c r="X149" s="10" t="s">
        <v>984</v>
      </c>
    </row>
    <row r="150">
      <c r="A150" s="9">
        <f t="shared" si="1"/>
        <v>149</v>
      </c>
      <c r="B150" s="11">
        <v>46218.667662037034</v>
      </c>
      <c r="C150" s="10" t="s">
        <v>765</v>
      </c>
      <c r="D150" s="10" t="s">
        <v>36</v>
      </c>
      <c r="E150" s="10" t="s">
        <v>37</v>
      </c>
      <c r="F150" s="13">
        <v>2.0</v>
      </c>
      <c r="G150" s="14">
        <v>120.99</v>
      </c>
      <c r="H150" s="10" t="s">
        <v>2568</v>
      </c>
      <c r="I150" s="10">
        <v>90.8</v>
      </c>
      <c r="O150" s="15">
        <f>IFERROR(__xludf.DUMMYFUNCTION("IF(ISBLANK($C150), """", GOOGLEFINANCE($C150, ""price""))"),126.66)</f>
        <v>126.66</v>
      </c>
      <c r="P150" s="16">
        <f t="shared" si="2"/>
        <v>0.04686337714</v>
      </c>
      <c r="Q150" s="16">
        <f>IFERROR(__xludf.DUMMYFUNCTION("IF(OR(ISBLANK($G150), IFERROR(INDEX(GOOGLEFINANCE($C150, ""price"", WORKDAY(INT($B150), 1)), 2, 2), """")=""""), """", IF($D150=""LONG"", (IFERROR(INDEX(GOOGLEFINANCE($C150, ""price"", WORKDAY(INT($B150), 1)), 2, 2), """")-$G150)/$G150, ($G150-IFERROR(IND"&amp;"EX(GOOGLEFINANCE($C150, ""price"", WORKDAY(INT($B150), 1)), 2, 2), """"))/$G150))"),0.01677824613604431)</f>
        <v>0.01677824614</v>
      </c>
      <c r="R150" s="16">
        <f>IFERROR(__xludf.DUMMYFUNCTION("IF(OR(ISBLANK($G150), IFERROR(INDEX(GOOGLEFINANCE($C150, ""price"", WORKDAY(INT($B150), 5)), 2, 2), """")=""""), """", IF($D150=""LONG"", (IFERROR(INDEX(GOOGLEFINANCE($C150, ""price"", WORKDAY(INT($B150), 5)), 2, 2), """")-$G150)/$G150, ($G150-IFERROR(IND"&amp;"EX(GOOGLEFINANCE($C150, ""price"", WORKDAY(INT($B150), 5)), 2, 2), """"))/$G150))"),0.021406727828746207)</f>
        <v>0.02140672783</v>
      </c>
      <c r="S150" s="16" t="str">
        <f>IFERROR(__xludf.DUMMYFUNCTION("IF(OR(ISBLANK($G150), IFERROR(INDEX(GOOGLEFINANCE($C150, ""price"", WORKDAY(INT($B150), 20)), 2, 2), """")=""""), """", IF($D150=""LONG"", (IFERROR(INDEX(GOOGLEFINANCE($C150, ""price"", WORKDAY(INT($B150), 20)), 2, 2), """")-$G150)/$G150, ($G150-IFERROR(I"&amp;"NDEX(GOOGLEFINANCE($C150, ""price"", WORKDAY(INT($B150), 20)), 2, 2), """"))/$G150))"),"")</f>
        <v/>
      </c>
      <c r="T150" s="10" t="s">
        <v>2572</v>
      </c>
      <c r="U150" s="10" t="s">
        <v>984</v>
      </c>
      <c r="V150" s="10" t="s">
        <v>1880</v>
      </c>
      <c r="W150" s="10" t="s">
        <v>51</v>
      </c>
      <c r="X150" s="10" t="s">
        <v>984</v>
      </c>
    </row>
    <row r="151">
      <c r="A151" s="9">
        <f t="shared" si="1"/>
        <v>150</v>
      </c>
      <c r="B151" s="11">
        <v>46218.667650462965</v>
      </c>
      <c r="C151" s="10" t="s">
        <v>118</v>
      </c>
      <c r="D151" s="10" t="s">
        <v>119</v>
      </c>
      <c r="E151" s="10" t="s">
        <v>120</v>
      </c>
      <c r="F151" s="13">
        <v>4.0</v>
      </c>
      <c r="G151" s="14">
        <v>137.04</v>
      </c>
      <c r="H151" s="10" t="s">
        <v>1333</v>
      </c>
      <c r="I151" s="10">
        <v>12.5</v>
      </c>
      <c r="O151" s="15">
        <f>IFERROR(__xludf.DUMMYFUNCTION("IF(ISBLANK($C151), """", GOOGLEFINANCE($C151, ""price""))"),171.11)</f>
        <v>171.11</v>
      </c>
      <c r="P151" s="16">
        <f t="shared" si="2"/>
        <v>-0.2486135435</v>
      </c>
      <c r="Q151" s="16">
        <f>IFERROR(__xludf.DUMMYFUNCTION("IF(OR(ISBLANK($G151), IFERROR(INDEX(GOOGLEFINANCE($C151, ""price"", WORKDAY(INT($B151), 1)), 2, 2), """")=""""), """", IF($D151=""LONG"", (IFERROR(INDEX(GOOGLEFINANCE($C151, ""price"", WORKDAY(INT($B151), 1)), 2, 2), """")-$G151)/$G151, ($G151-IFERROR(IND"&amp;"EX(GOOGLEFINANCE($C151, ""price"", WORKDAY(INT($B151), 1)), 2, 2), """"))/$G151))"),-0.05523934617629905)</f>
        <v>-0.05523934618</v>
      </c>
      <c r="R151" s="16">
        <f>IFERROR(__xludf.DUMMYFUNCTION("IF(OR(ISBLANK($G151), IFERROR(INDEX(GOOGLEFINANCE($C151, ""price"", WORKDAY(INT($B151), 5)), 2, 2), """")=""""), """", IF($D151=""LONG"", (IFERROR(INDEX(GOOGLEFINANCE($C151, ""price"", WORKDAY(INT($B151), 5)), 2, 2), """")-$G151)/$G151, ($G151-IFERROR(IND"&amp;"EX(GOOGLEFINANCE($C151, ""price"", WORKDAY(INT($B151), 5)), 2, 2), """"))/$G151))"),-0.022256275539988407)</f>
        <v>-0.02225627554</v>
      </c>
      <c r="S151" s="16" t="str">
        <f>IFERROR(__xludf.DUMMYFUNCTION("IF(OR(ISBLANK($G151), IFERROR(INDEX(GOOGLEFINANCE($C151, ""price"", WORKDAY(INT($B151), 20)), 2, 2), """")=""""), """", IF($D151=""LONG"", (IFERROR(INDEX(GOOGLEFINANCE($C151, ""price"", WORKDAY(INT($B151), 20)), 2, 2), """")-$G151)/$G151, ($G151-IFERROR(I"&amp;"NDEX(GOOGLEFINANCE($C151, ""price"", WORKDAY(INT($B151), 20)), 2, 2), """"))/$G151))"),"")</f>
        <v/>
      </c>
      <c r="T151" s="10" t="s">
        <v>2576</v>
      </c>
      <c r="U151" s="10" t="s">
        <v>932</v>
      </c>
      <c r="V151" s="10" t="s">
        <v>933</v>
      </c>
      <c r="W151" s="10" t="s">
        <v>51</v>
      </c>
      <c r="X151" s="10" t="s">
        <v>932</v>
      </c>
    </row>
    <row r="152">
      <c r="A152" s="9">
        <f t="shared" si="1"/>
        <v>151</v>
      </c>
      <c r="B152" s="11">
        <v>46218.66768518519</v>
      </c>
      <c r="C152" s="10" t="s">
        <v>863</v>
      </c>
      <c r="D152" s="10" t="s">
        <v>119</v>
      </c>
      <c r="E152" s="10" t="s">
        <v>120</v>
      </c>
      <c r="F152" s="13">
        <v>4.0</v>
      </c>
      <c r="G152" s="14">
        <v>187.12</v>
      </c>
      <c r="H152" s="10" t="s">
        <v>2577</v>
      </c>
      <c r="I152" s="10">
        <v>10.5</v>
      </c>
      <c r="O152" s="15">
        <f>IFERROR(__xludf.DUMMYFUNCTION("IF(ISBLANK($C152), """", GOOGLEFINANCE($C152, ""price""))"),182.6)</f>
        <v>182.6</v>
      </c>
      <c r="P152" s="16">
        <f t="shared" si="2"/>
        <v>0.02415562206</v>
      </c>
      <c r="Q152" s="16">
        <f>IFERROR(__xludf.DUMMYFUNCTION("IF(OR(ISBLANK($G152), IFERROR(INDEX(GOOGLEFINANCE($C152, ""price"", WORKDAY(INT($B152), 1)), 2, 2), """")=""""), """", IF($D152=""LONG"", (IFERROR(INDEX(GOOGLEFINANCE($C152, ""price"", WORKDAY(INT($B152), 1)), 2, 2), """")-$G152)/$G152, ($G152-IFERROR(IND"&amp;"EX(GOOGLEFINANCE($C152, ""price"", WORKDAY(INT($B152), 1)), 2, 2), """"))/$G152))"),0.011115861479264709)</f>
        <v>0.01111586148</v>
      </c>
      <c r="R152" s="16">
        <f>IFERROR(__xludf.DUMMYFUNCTION("IF(OR(ISBLANK($G152), IFERROR(INDEX(GOOGLEFINANCE($C152, ""price"", WORKDAY(INT($B152), 5)), 2, 2), """")=""""), """", IF($D152=""LONG"", (IFERROR(INDEX(GOOGLEFINANCE($C152, ""price"", WORKDAY(INT($B152), 5)), 2, 2), """")-$G152)/$G152, ($G152-IFERROR(IND"&amp;"EX(GOOGLEFINANCE($C152, ""price"", WORKDAY(INT($B152), 5)), 2, 2), """"))/$G152))"),0.04863189397178278)</f>
        <v>0.04863189397</v>
      </c>
      <c r="S152" s="16" t="str">
        <f>IFERROR(__xludf.DUMMYFUNCTION("IF(OR(ISBLANK($G152), IFERROR(INDEX(GOOGLEFINANCE($C152, ""price"", WORKDAY(INT($B152), 20)), 2, 2), """")=""""), """", IF($D152=""LONG"", (IFERROR(INDEX(GOOGLEFINANCE($C152, ""price"", WORKDAY(INT($B152), 20)), 2, 2), """")-$G152)/$G152, ($G152-IFERROR(I"&amp;"NDEX(GOOGLEFINANCE($C152, ""price"", WORKDAY(INT($B152), 20)), 2, 2), """"))/$G152))"),"")</f>
        <v/>
      </c>
      <c r="T152" s="10" t="s">
        <v>2581</v>
      </c>
      <c r="U152" s="10" t="s">
        <v>984</v>
      </c>
      <c r="V152" s="10" t="s">
        <v>1880</v>
      </c>
      <c r="W152" s="10" t="s">
        <v>51</v>
      </c>
      <c r="X152" s="10" t="s">
        <v>984</v>
      </c>
    </row>
    <row r="153">
      <c r="A153" s="9">
        <f t="shared" si="1"/>
        <v>152</v>
      </c>
      <c r="B153" s="11">
        <v>46218.667719907404</v>
      </c>
      <c r="C153" s="10" t="s">
        <v>212</v>
      </c>
      <c r="D153" s="10" t="s">
        <v>119</v>
      </c>
      <c r="E153" s="10" t="s">
        <v>120</v>
      </c>
      <c r="F153" s="13">
        <v>4.0</v>
      </c>
      <c r="G153" s="14">
        <v>112.52</v>
      </c>
      <c r="H153" s="10" t="s">
        <v>2582</v>
      </c>
      <c r="I153" s="10">
        <v>5.3</v>
      </c>
      <c r="O153" s="15">
        <f>IFERROR(__xludf.DUMMYFUNCTION("IF(ISBLANK($C153), """", GOOGLEFINANCE($C153, ""price""))"),112.07)</f>
        <v>112.07</v>
      </c>
      <c r="P153" s="16">
        <f t="shared" si="2"/>
        <v>0.003999289015</v>
      </c>
      <c r="Q153" s="16">
        <f>IFERROR(__xludf.DUMMYFUNCTION("IF(OR(ISBLANK($G153), IFERROR(INDEX(GOOGLEFINANCE($C153, ""price"", WORKDAY(INT($B153), 1)), 2, 2), """")=""""), """", IF($D153=""LONG"", (IFERROR(INDEX(GOOGLEFINANCE($C153, ""price"", WORKDAY(INT($B153), 1)), 2, 2), """")-$G153)/$G153, ($G153-IFERROR(IND"&amp;"EX(GOOGLEFINANCE($C153, ""price"", WORKDAY(INT($B153), 1)), 2, 2), """"))/$G153))"),-0.021596160682545388)</f>
        <v>-0.02159616068</v>
      </c>
      <c r="R153" s="16">
        <f>IFERROR(__xludf.DUMMYFUNCTION("IF(OR(ISBLANK($G153), IFERROR(INDEX(GOOGLEFINANCE($C153, ""price"", WORKDAY(INT($B153), 5)), 2, 2), """")=""""), """", IF($D153=""LONG"", (IFERROR(INDEX(GOOGLEFINANCE($C153, ""price"", WORKDAY(INT($B153), 5)), 2, 2), """")-$G153)/$G153, ($G153-IFERROR(IND"&amp;"EX(GOOGLEFINANCE($C153, ""price"", WORKDAY(INT($B153), 5)), 2, 2), """"))/$G153))"),0.028350515463917505)</f>
        <v>0.02835051546</v>
      </c>
      <c r="S153" s="16" t="str">
        <f>IFERROR(__xludf.DUMMYFUNCTION("IF(OR(ISBLANK($G153), IFERROR(INDEX(GOOGLEFINANCE($C153, ""price"", WORKDAY(INT($B153), 20)), 2, 2), """")=""""), """", IF($D153=""LONG"", (IFERROR(INDEX(GOOGLEFINANCE($C153, ""price"", WORKDAY(INT($B153), 20)), 2, 2), """")-$G153)/$G153, ($G153-IFERROR(I"&amp;"NDEX(GOOGLEFINANCE($C153, ""price"", WORKDAY(INT($B153), 20)), 2, 2), """"))/$G153))"),"")</f>
        <v/>
      </c>
      <c r="T153" s="10" t="s">
        <v>2585</v>
      </c>
      <c r="U153" s="10" t="s">
        <v>492</v>
      </c>
      <c r="V153" s="10" t="s">
        <v>493</v>
      </c>
      <c r="W153" s="10" t="s">
        <v>51</v>
      </c>
      <c r="X153" s="10" t="s">
        <v>492</v>
      </c>
    </row>
    <row r="154">
      <c r="A154" s="9">
        <f t="shared" si="1"/>
        <v>153</v>
      </c>
      <c r="B154" s="11">
        <v>46218.66758101852</v>
      </c>
      <c r="C154" s="10" t="s">
        <v>413</v>
      </c>
      <c r="D154" s="10" t="s">
        <v>36</v>
      </c>
      <c r="E154" s="10" t="s">
        <v>133</v>
      </c>
      <c r="F154" s="13">
        <v>2.0</v>
      </c>
      <c r="G154" s="14">
        <v>206.75</v>
      </c>
      <c r="H154" s="10" t="s">
        <v>2587</v>
      </c>
      <c r="I154" s="10">
        <v>91.6</v>
      </c>
      <c r="O154" s="15">
        <f>IFERROR(__xludf.DUMMYFUNCTION("IF(ISBLANK($C154), """", GOOGLEFINANCE($C154, ""price""))"),207.39)</f>
        <v>207.39</v>
      </c>
      <c r="P154" s="16">
        <f t="shared" si="2"/>
        <v>0.003095525998</v>
      </c>
      <c r="Q154" s="16">
        <f>IFERROR(__xludf.DUMMYFUNCTION("IF(OR(ISBLANK($G154), IFERROR(INDEX(GOOGLEFINANCE($C154, ""price"", WORKDAY(INT($B154), 1)), 2, 2), """")=""""), """", IF($D154=""LONG"", (IFERROR(INDEX(GOOGLEFINANCE($C154, ""price"", WORKDAY(INT($B154), 1)), 2, 2), """")-$G154)/$G154, ($G154-IFERROR(IND"&amp;"EX(GOOGLEFINANCE($C154, ""price"", WORKDAY(INT($B154), 1)), 2, 2), """"))/$G154))"),-0.014461910519951677)</f>
        <v>-0.01446191052</v>
      </c>
      <c r="R154" s="16">
        <f>IFERROR(__xludf.DUMMYFUNCTION("IF(OR(ISBLANK($G154), IFERROR(INDEX(GOOGLEFINANCE($C154, ""price"", WORKDAY(INT($B154), 5)), 2, 2), """")=""""), """", IF($D154=""LONG"", (IFERROR(INDEX(GOOGLEFINANCE($C154, ""price"", WORKDAY(INT($B154), 5)), 2, 2), """")-$G154)/$G154, ($G154-IFERROR(IND"&amp;"EX(GOOGLEFINANCE($C154, ""price"", WORKDAY(INT($B154), 5)), 2, 2), """"))/$G154))"),-0.08865779927448615)</f>
        <v>-0.08865779927</v>
      </c>
      <c r="S154" s="16" t="str">
        <f>IFERROR(__xludf.DUMMYFUNCTION("IF(OR(ISBLANK($G154), IFERROR(INDEX(GOOGLEFINANCE($C154, ""price"", WORKDAY(INT($B154), 20)), 2, 2), """")=""""), """", IF($D154=""LONG"", (IFERROR(INDEX(GOOGLEFINANCE($C154, ""price"", WORKDAY(INT($B154), 20)), 2, 2), """")-$G154)/$G154, ($G154-IFERROR(I"&amp;"NDEX(GOOGLEFINANCE($C154, ""price"", WORKDAY(INT($B154), 20)), 2, 2), """"))/$G154))"),"")</f>
        <v/>
      </c>
      <c r="T154" s="10" t="s">
        <v>2593</v>
      </c>
      <c r="U154" s="10" t="s">
        <v>984</v>
      </c>
      <c r="V154" s="10" t="s">
        <v>1880</v>
      </c>
      <c r="W154" s="10" t="s">
        <v>51</v>
      </c>
      <c r="X154" s="10" t="s">
        <v>984</v>
      </c>
    </row>
    <row r="155">
      <c r="A155" s="9">
        <f t="shared" si="1"/>
        <v>154</v>
      </c>
      <c r="B155" s="11">
        <v>46218.66751157407</v>
      </c>
      <c r="C155" s="10" t="s">
        <v>339</v>
      </c>
      <c r="D155" s="10" t="s">
        <v>119</v>
      </c>
      <c r="E155" s="10" t="s">
        <v>120</v>
      </c>
      <c r="F155" s="13">
        <v>4.0</v>
      </c>
      <c r="G155" s="14">
        <v>29.7</v>
      </c>
      <c r="H155" s="10" t="s">
        <v>2594</v>
      </c>
      <c r="I155" s="10">
        <v>5.6</v>
      </c>
      <c r="O155" s="15">
        <f>IFERROR(__xludf.DUMMYFUNCTION("IF(ISBLANK($C155), """", GOOGLEFINANCE($C155, ""price""))"),30.3)</f>
        <v>30.3</v>
      </c>
      <c r="P155" s="16">
        <f t="shared" si="2"/>
        <v>-0.0202020202</v>
      </c>
      <c r="Q155" s="16">
        <f>IFERROR(__xludf.DUMMYFUNCTION("IF(OR(ISBLANK($G155), IFERROR(INDEX(GOOGLEFINANCE($C155, ""price"", WORKDAY(INT($B155), 1)), 2, 2), """")=""""), """", IF($D155=""LONG"", (IFERROR(INDEX(GOOGLEFINANCE($C155, ""price"", WORKDAY(INT($B155), 1)), 2, 2), """")-$G155)/$G155, ($G155-IFERROR(IND"&amp;"EX(GOOGLEFINANCE($C155, ""price"", WORKDAY(INT($B155), 1)), 2, 2), """"))/$G155))"),0.01346801346801342)</f>
        <v>0.01346801347</v>
      </c>
      <c r="R155" s="16">
        <f>IFERROR(__xludf.DUMMYFUNCTION("IF(OR(ISBLANK($G155), IFERROR(INDEX(GOOGLEFINANCE($C155, ""price"", WORKDAY(INT($B155), 5)), 2, 2), """")=""""), """", IF($D155=""LONG"", (IFERROR(INDEX(GOOGLEFINANCE($C155, ""price"", WORKDAY(INT($B155), 5)), 2, 2), """")-$G155)/$G155, ($G155-IFERROR(IND"&amp;"EX(GOOGLEFINANCE($C155, ""price"", WORKDAY(INT($B155), 5)), 2, 2), """"))/$G155))"),-0.052188552188552215)</f>
        <v>-0.05218855219</v>
      </c>
      <c r="S155" s="16" t="str">
        <f>IFERROR(__xludf.DUMMYFUNCTION("IF(OR(ISBLANK($G155), IFERROR(INDEX(GOOGLEFINANCE($C155, ""price"", WORKDAY(INT($B155), 20)), 2, 2), """")=""""), """", IF($D155=""LONG"", (IFERROR(INDEX(GOOGLEFINANCE($C155, ""price"", WORKDAY(INT($B155), 20)), 2, 2), """")-$G155)/$G155, ($G155-IFERROR(I"&amp;"NDEX(GOOGLEFINANCE($C155, ""price"", WORKDAY(INT($B155), 20)), 2, 2), """"))/$G155))"),"")</f>
        <v/>
      </c>
      <c r="T155" s="10" t="s">
        <v>2600</v>
      </c>
      <c r="U155" s="10" t="s">
        <v>984</v>
      </c>
      <c r="V155" s="10" t="s">
        <v>985</v>
      </c>
      <c r="W155" s="10" t="s">
        <v>51</v>
      </c>
      <c r="X155" s="10" t="s">
        <v>984</v>
      </c>
    </row>
    <row r="156">
      <c r="A156" s="9">
        <f t="shared" si="1"/>
        <v>155</v>
      </c>
      <c r="B156" s="11">
        <v>46218.667650462965</v>
      </c>
      <c r="C156" s="10" t="s">
        <v>1171</v>
      </c>
      <c r="D156" s="10" t="s">
        <v>36</v>
      </c>
      <c r="E156" s="10" t="s">
        <v>37</v>
      </c>
      <c r="F156" s="13">
        <v>2.0</v>
      </c>
      <c r="G156" s="14">
        <v>233.37</v>
      </c>
      <c r="H156" s="10" t="s">
        <v>2601</v>
      </c>
      <c r="I156" s="10">
        <v>90.0</v>
      </c>
      <c r="O156" s="15">
        <f>IFERROR(__xludf.DUMMYFUNCTION("IF(ISBLANK($C156), """", GOOGLEFINANCE($C156, ""price""))"),236.0)</f>
        <v>236</v>
      </c>
      <c r="P156" s="16">
        <f t="shared" si="2"/>
        <v>0.01126965763</v>
      </c>
      <c r="Q156" s="16">
        <f>IFERROR(__xludf.DUMMYFUNCTION("IF(OR(ISBLANK($G156), IFERROR(INDEX(GOOGLEFINANCE($C156, ""price"", WORKDAY(INT($B156), 1)), 2, 2), """")=""""), """", IF($D156=""LONG"", (IFERROR(INDEX(GOOGLEFINANCE($C156, ""price"", WORKDAY(INT($B156), 1)), 2, 2), """")-$G156)/$G156, ($G156-IFERROR(IND"&amp;"EX(GOOGLEFINANCE($C156, ""price"", WORKDAY(INT($B156), 1)), 2, 2), """"))/$G156))"),0.03479453228778337)</f>
        <v>0.03479453229</v>
      </c>
      <c r="R156" s="16">
        <f>IFERROR(__xludf.DUMMYFUNCTION("IF(OR(ISBLANK($G156), IFERROR(INDEX(GOOGLEFINANCE($C156, ""price"", WORKDAY(INT($B156), 5)), 2, 2), """")=""""), """", IF($D156=""LONG"", (IFERROR(INDEX(GOOGLEFINANCE($C156, ""price"", WORKDAY(INT($B156), 5)), 2, 2), """")-$G156)/$G156, ($G156-IFERROR(IND"&amp;"EX(GOOGLEFINANCE($C156, ""price"", WORKDAY(INT($B156), 5)), 2, 2), """"))/$G156))"),0.050006427561383154)</f>
        <v>0.05000642756</v>
      </c>
      <c r="S156" s="16" t="str">
        <f>IFERROR(__xludf.DUMMYFUNCTION("IF(OR(ISBLANK($G156), IFERROR(INDEX(GOOGLEFINANCE($C156, ""price"", WORKDAY(INT($B156), 20)), 2, 2), """")=""""), """", IF($D156=""LONG"", (IFERROR(INDEX(GOOGLEFINANCE($C156, ""price"", WORKDAY(INT($B156), 20)), 2, 2), """")-$G156)/$G156, ($G156-IFERROR(I"&amp;"NDEX(GOOGLEFINANCE($C156, ""price"", WORKDAY(INT($B156), 20)), 2, 2), """"))/$G156))"),"")</f>
        <v/>
      </c>
      <c r="T156" s="10" t="s">
        <v>2608</v>
      </c>
      <c r="U156" s="10" t="s">
        <v>984</v>
      </c>
      <c r="V156" s="10" t="s">
        <v>1059</v>
      </c>
      <c r="W156" s="10" t="s">
        <v>51</v>
      </c>
      <c r="X156" s="10" t="s">
        <v>984</v>
      </c>
    </row>
    <row r="157">
      <c r="A157" s="9">
        <f t="shared" si="1"/>
        <v>156</v>
      </c>
      <c r="B157" s="11">
        <v>46218.66758101852</v>
      </c>
      <c r="C157" s="10" t="s">
        <v>272</v>
      </c>
      <c r="D157" s="10" t="s">
        <v>36</v>
      </c>
      <c r="E157" s="10" t="s">
        <v>70</v>
      </c>
      <c r="F157" s="13">
        <v>2.0</v>
      </c>
      <c r="G157" s="14">
        <v>346.94</v>
      </c>
      <c r="H157" s="10" t="s">
        <v>2611</v>
      </c>
      <c r="I157" s="10">
        <v>90.9</v>
      </c>
      <c r="O157" s="15">
        <f>IFERROR(__xludf.DUMMYFUNCTION("IF(ISBLANK($C157), """", GOOGLEFINANCE($C157, ""price""))"),356.3)</f>
        <v>356.3</v>
      </c>
      <c r="P157" s="16">
        <f t="shared" si="2"/>
        <v>0.02697872831</v>
      </c>
      <c r="Q157" s="16">
        <f>IFERROR(__xludf.DUMMYFUNCTION("IF(OR(ISBLANK($G157), IFERROR(INDEX(GOOGLEFINANCE($C157, ""price"", WORKDAY(INT($B157), 1)), 2, 2), """")=""""), """", IF($D157=""LONG"", (IFERROR(INDEX(GOOGLEFINANCE($C157, ""price"", WORKDAY(INT($B157), 1)), 2, 2), """")-$G157)/$G157, ($G157-IFERROR(IND"&amp;"EX(GOOGLEFINANCE($C157, ""price"", WORKDAY(INT($B157), 1)), 2, 2), """"))/$G157))"),-0.01092407909148562)</f>
        <v>-0.01092407909</v>
      </c>
      <c r="R157" s="16">
        <f>IFERROR(__xludf.DUMMYFUNCTION("IF(OR(ISBLANK($G157), IFERROR(INDEX(GOOGLEFINANCE($C157, ""price"", WORKDAY(INT($B157), 5)), 2, 2), """")=""""), """", IF($D157=""LONG"", (IFERROR(INDEX(GOOGLEFINANCE($C157, ""price"", WORKDAY(INT($B157), 5)), 2, 2), """")-$G157)/$G157, ($G157-IFERROR(IND"&amp;"EX(GOOGLEFINANCE($C157, ""price"", WORKDAY(INT($B157), 5)), 2, 2), """"))/$G157))"),0.0036605753156164805)</f>
        <v>0.003660575316</v>
      </c>
      <c r="S157" s="16" t="str">
        <f>IFERROR(__xludf.DUMMYFUNCTION("IF(OR(ISBLANK($G157), IFERROR(INDEX(GOOGLEFINANCE($C157, ""price"", WORKDAY(INT($B157), 20)), 2, 2), """")=""""), """", IF($D157=""LONG"", (IFERROR(INDEX(GOOGLEFINANCE($C157, ""price"", WORKDAY(INT($B157), 20)), 2, 2), """")-$G157)/$G157, ($G157-IFERROR(I"&amp;"NDEX(GOOGLEFINANCE($C157, ""price"", WORKDAY(INT($B157), 20)), 2, 2), """"))/$G157))"),"")</f>
        <v/>
      </c>
      <c r="T157" s="10" t="s">
        <v>2615</v>
      </c>
      <c r="U157" s="10" t="s">
        <v>507</v>
      </c>
      <c r="V157" s="10" t="s">
        <v>2617</v>
      </c>
      <c r="W157" s="10" t="s">
        <v>2619</v>
      </c>
      <c r="X157" s="10" t="s">
        <v>2228</v>
      </c>
    </row>
    <row r="158">
      <c r="A158" s="9">
        <f t="shared" si="1"/>
        <v>157</v>
      </c>
      <c r="B158" s="11">
        <v>46218.667592592596</v>
      </c>
      <c r="C158" s="10" t="s">
        <v>1762</v>
      </c>
      <c r="D158" s="10" t="s">
        <v>36</v>
      </c>
      <c r="E158" s="10" t="s">
        <v>37</v>
      </c>
      <c r="F158" s="13">
        <v>2.0</v>
      </c>
      <c r="G158" s="14">
        <v>197.66</v>
      </c>
      <c r="H158" s="10" t="s">
        <v>2621</v>
      </c>
      <c r="I158" s="10">
        <v>86.8</v>
      </c>
      <c r="O158" s="15">
        <f>IFERROR(__xludf.DUMMYFUNCTION("IF(ISBLANK($C158), """", GOOGLEFINANCE($C158, ""price""))"),146.66)</f>
        <v>146.66</v>
      </c>
      <c r="P158" s="16">
        <f t="shared" si="2"/>
        <v>-0.2580188202</v>
      </c>
      <c r="Q158" s="16">
        <f>IFERROR(__xludf.DUMMYFUNCTION("IF(OR(ISBLANK($G158), IFERROR(INDEX(GOOGLEFINANCE($C158, ""price"", WORKDAY(INT($B158), 1)), 2, 2), """")=""""), """", IF($D158=""LONG"", (IFERROR(INDEX(GOOGLEFINANCE($C158, ""price"", WORKDAY(INT($B158), 1)), 2, 2), """")-$G158)/$G158, ($G158-IFERROR(IND"&amp;"EX(GOOGLEFINANCE($C158, ""price"", WORKDAY(INT($B158), 1)), 2, 2), """"))/$G158))"),0.04092886775270669)</f>
        <v>0.04092886775</v>
      </c>
      <c r="R158" s="16">
        <f>IFERROR(__xludf.DUMMYFUNCTION("IF(OR(ISBLANK($G158), IFERROR(INDEX(GOOGLEFINANCE($C158, ""price"", WORKDAY(INT($B158), 5)), 2, 2), """")=""""), """", IF($D158=""LONG"", (IFERROR(INDEX(GOOGLEFINANCE($C158, ""price"", WORKDAY(INT($B158), 5)), 2, 2), """")-$G158)/$G158, ($G158-IFERROR(IND"&amp;"EX(GOOGLEFINANCE($C158, ""price"", WORKDAY(INT($B158), 5)), 2, 2), """"))/$G158))"),0.04902357583729636)</f>
        <v>0.04902357584</v>
      </c>
      <c r="S158" s="16" t="str">
        <f>IFERROR(__xludf.DUMMYFUNCTION("IF(OR(ISBLANK($G158), IFERROR(INDEX(GOOGLEFINANCE($C158, ""price"", WORKDAY(INT($B158), 20)), 2, 2), """")=""""), """", IF($D158=""LONG"", (IFERROR(INDEX(GOOGLEFINANCE($C158, ""price"", WORKDAY(INT($B158), 20)), 2, 2), """")-$G158)/$G158, ($G158-IFERROR(I"&amp;"NDEX(GOOGLEFINANCE($C158, ""price"", WORKDAY(INT($B158), 20)), 2, 2), """"))/$G158))"),"")</f>
        <v/>
      </c>
      <c r="T158" s="10" t="s">
        <v>2626</v>
      </c>
      <c r="U158" s="10" t="s">
        <v>984</v>
      </c>
      <c r="V158" s="10" t="s">
        <v>985</v>
      </c>
      <c r="W158" s="10" t="s">
        <v>51</v>
      </c>
      <c r="X158" s="10" t="s">
        <v>984</v>
      </c>
    </row>
    <row r="159">
      <c r="A159" s="9">
        <f t="shared" si="1"/>
        <v>158</v>
      </c>
      <c r="B159" s="11">
        <v>46218.66755787037</v>
      </c>
      <c r="C159" s="10" t="s">
        <v>98</v>
      </c>
      <c r="D159" s="10" t="s">
        <v>36</v>
      </c>
      <c r="E159" s="10" t="s">
        <v>37</v>
      </c>
      <c r="F159" s="13">
        <v>2.0</v>
      </c>
      <c r="G159" s="14">
        <v>31.47</v>
      </c>
      <c r="H159" s="10" t="s">
        <v>2627</v>
      </c>
      <c r="I159" s="10">
        <v>93.0</v>
      </c>
      <c r="O159" s="15">
        <f>IFERROR(__xludf.DUMMYFUNCTION("IF(ISBLANK($C159), """", GOOGLEFINANCE($C159, ""price""))"),31.39)</f>
        <v>31.39</v>
      </c>
      <c r="P159" s="16">
        <f t="shared" si="2"/>
        <v>-0.002542103591</v>
      </c>
      <c r="Q159" s="16">
        <f>IFERROR(__xludf.DUMMYFUNCTION("IF(OR(ISBLANK($G159), IFERROR(INDEX(GOOGLEFINANCE($C159, ""price"", WORKDAY(INT($B159), 1)), 2, 2), """")=""""), """", IF($D159=""LONG"", (IFERROR(INDEX(GOOGLEFINANCE($C159, ""price"", WORKDAY(INT($B159), 1)), 2, 2), """")-$G159)/$G159, ($G159-IFERROR(IND"&amp;"EX(GOOGLEFINANCE($C159, ""price"", WORKDAY(INT($B159), 1)), 2, 2), """"))/$G159))"),0.02955195424213536)</f>
        <v>0.02955195424</v>
      </c>
      <c r="R159" s="16">
        <f>IFERROR(__xludf.DUMMYFUNCTION("IF(OR(ISBLANK($G159), IFERROR(INDEX(GOOGLEFINANCE($C159, ""price"", WORKDAY(INT($B159), 5)), 2, 2), """")=""""), """", IF($D159=""LONG"", (IFERROR(INDEX(GOOGLEFINANCE($C159, ""price"", WORKDAY(INT($B159), 5)), 2, 2), """")-$G159)/$G159, ($G159-IFERROR(IND"&amp;"EX(GOOGLEFINANCE($C159, ""price"", WORKDAY(INT($B159), 5)), 2, 2), """"))/$G159))"),-0.019383539879250063)</f>
        <v>-0.01938353988</v>
      </c>
      <c r="S159" s="16" t="str">
        <f>IFERROR(__xludf.DUMMYFUNCTION("IF(OR(ISBLANK($G159), IFERROR(INDEX(GOOGLEFINANCE($C159, ""price"", WORKDAY(INT($B159), 20)), 2, 2), """")=""""), """", IF($D159=""LONG"", (IFERROR(INDEX(GOOGLEFINANCE($C159, ""price"", WORKDAY(INT($B159), 20)), 2, 2), """")-$G159)/$G159, ($G159-IFERROR(I"&amp;"NDEX(GOOGLEFINANCE($C159, ""price"", WORKDAY(INT($B159), 20)), 2, 2), """"))/$G159))"),"")</f>
        <v/>
      </c>
      <c r="T159" s="10" t="s">
        <v>2632</v>
      </c>
      <c r="U159" s="10" t="s">
        <v>704</v>
      </c>
      <c r="V159" s="10" t="s">
        <v>2633</v>
      </c>
      <c r="W159" s="10" t="s">
        <v>51</v>
      </c>
      <c r="X159" s="10" t="s">
        <v>704</v>
      </c>
    </row>
    <row r="160">
      <c r="A160" s="9">
        <f t="shared" si="1"/>
        <v>159</v>
      </c>
      <c r="B160" s="11">
        <v>46218.667719907404</v>
      </c>
      <c r="C160" s="10" t="s">
        <v>374</v>
      </c>
      <c r="D160" s="10" t="s">
        <v>36</v>
      </c>
      <c r="E160" s="10" t="s">
        <v>37</v>
      </c>
      <c r="F160" s="13">
        <v>2.0</v>
      </c>
      <c r="G160" s="14">
        <v>70.6</v>
      </c>
      <c r="H160" s="10" t="s">
        <v>1909</v>
      </c>
      <c r="I160" s="10">
        <v>96.5</v>
      </c>
      <c r="O160" s="15">
        <f>IFERROR(__xludf.DUMMYFUNCTION("IF(ISBLANK($C160), """", GOOGLEFINANCE($C160, ""price""))"),73.32)</f>
        <v>73.32</v>
      </c>
      <c r="P160" s="16">
        <f t="shared" si="2"/>
        <v>0.03852691218</v>
      </c>
      <c r="Q160" s="16">
        <f>IFERROR(__xludf.DUMMYFUNCTION("IF(OR(ISBLANK($G160), IFERROR(INDEX(GOOGLEFINANCE($C160, ""price"", WORKDAY(INT($B160), 1)), 2, 2), """")=""""), """", IF($D160=""LONG"", (IFERROR(INDEX(GOOGLEFINANCE($C160, ""price"", WORKDAY(INT($B160), 1)), 2, 2), """")-$G160)/$G160, ($G160-IFERROR(IND"&amp;"EX(GOOGLEFINANCE($C160, ""price"", WORKDAY(INT($B160), 1)), 2, 2), """"))/$G160))"),0.03541076487252125)</f>
        <v>0.03541076487</v>
      </c>
      <c r="R160" s="16">
        <f>IFERROR(__xludf.DUMMYFUNCTION("IF(OR(ISBLANK($G160), IFERROR(INDEX(GOOGLEFINANCE($C160, ""price"", WORKDAY(INT($B160), 5)), 2, 2), """")=""""), """", IF($D160=""LONG"", (IFERROR(INDEX(GOOGLEFINANCE($C160, ""price"", WORKDAY(INT($B160), 5)), 2, 2), """")-$G160)/$G160, ($G160-IFERROR(IND"&amp;"EX(GOOGLEFINANCE($C160, ""price"", WORKDAY(INT($B160), 5)), 2, 2), """"))/$G160))"),-0.0014164305949007695)</f>
        <v>-0.001416430595</v>
      </c>
      <c r="S160" s="16" t="str">
        <f>IFERROR(__xludf.DUMMYFUNCTION("IF(OR(ISBLANK($G160), IFERROR(INDEX(GOOGLEFINANCE($C160, ""price"", WORKDAY(INT($B160), 20)), 2, 2), """")=""""), """", IF($D160=""LONG"", (IFERROR(INDEX(GOOGLEFINANCE($C160, ""price"", WORKDAY(INT($B160), 20)), 2, 2), """")-$G160)/$G160, ($G160-IFERROR(I"&amp;"NDEX(GOOGLEFINANCE($C160, ""price"", WORKDAY(INT($B160), 20)), 2, 2), """"))/$G160))"),"")</f>
        <v/>
      </c>
      <c r="T160" s="10" t="s">
        <v>2644</v>
      </c>
      <c r="U160" s="10" t="s">
        <v>984</v>
      </c>
      <c r="V160" s="10" t="s">
        <v>985</v>
      </c>
      <c r="W160" s="10" t="s">
        <v>51</v>
      </c>
      <c r="X160" s="10" t="s">
        <v>984</v>
      </c>
    </row>
    <row r="161">
      <c r="A161" s="9">
        <f t="shared" si="1"/>
        <v>160</v>
      </c>
      <c r="B161" s="11">
        <v>46218.66761574074</v>
      </c>
      <c r="C161" s="10" t="s">
        <v>80</v>
      </c>
      <c r="D161" s="10" t="s">
        <v>36</v>
      </c>
      <c r="E161" s="10" t="s">
        <v>37</v>
      </c>
      <c r="F161" s="13">
        <v>2.0</v>
      </c>
      <c r="G161" s="14">
        <v>244.22</v>
      </c>
      <c r="H161" s="10" t="s">
        <v>2647</v>
      </c>
      <c r="I161" s="10">
        <v>92.7</v>
      </c>
      <c r="O161" s="15">
        <f>IFERROR(__xludf.DUMMYFUNCTION("IF(ISBLANK($C161), """", GOOGLEFINANCE($C161, ""price""))"),243.87)</f>
        <v>243.87</v>
      </c>
      <c r="P161" s="16">
        <f t="shared" si="2"/>
        <v>-0.001433134059</v>
      </c>
      <c r="Q161" s="16">
        <f>IFERROR(__xludf.DUMMYFUNCTION("IF(OR(ISBLANK($G161), IFERROR(INDEX(GOOGLEFINANCE($C161, ""price"", WORKDAY(INT($B161), 1)), 2, 2), """")=""""), """", IF($D161=""LONG"", (IFERROR(INDEX(GOOGLEFINANCE($C161, ""price"", WORKDAY(INT($B161), 1)), 2, 2), """")-$G161)/$G161, ($G161-IFERROR(IND"&amp;"EX(GOOGLEFINANCE($C161, ""price"", WORKDAY(INT($B161), 1)), 2, 2), """"))/$G161))"),0.04164278109900904)</f>
        <v>0.0416427811</v>
      </c>
      <c r="R161" s="16">
        <f>IFERROR(__xludf.DUMMYFUNCTION("IF(OR(ISBLANK($G161), IFERROR(INDEX(GOOGLEFINANCE($C161, ""price"", WORKDAY(INT($B161), 5)), 2, 2), """")=""""), """", IF($D161=""LONG"", (IFERROR(INDEX(GOOGLEFINANCE($C161, ""price"", WORKDAY(INT($B161), 5)), 2, 2), """")-$G161)/$G161, ($G161-IFERROR(IND"&amp;"EX(GOOGLEFINANCE($C161, ""price"", WORKDAY(INT($B161), 5)), 2, 2), """"))/$G161))"),0.03717959217099342)</f>
        <v>0.03717959217</v>
      </c>
      <c r="S161" s="16" t="str">
        <f>IFERROR(__xludf.DUMMYFUNCTION("IF(OR(ISBLANK($G161), IFERROR(INDEX(GOOGLEFINANCE($C161, ""price"", WORKDAY(INT($B161), 20)), 2, 2), """")=""""), """", IF($D161=""LONG"", (IFERROR(INDEX(GOOGLEFINANCE($C161, ""price"", WORKDAY(INT($B161), 20)), 2, 2), """")-$G161)/$G161, ($G161-IFERROR(I"&amp;"NDEX(GOOGLEFINANCE($C161, ""price"", WORKDAY(INT($B161), 20)), 2, 2), """"))/$G161))"),"")</f>
        <v/>
      </c>
      <c r="T161" s="10" t="s">
        <v>2653</v>
      </c>
      <c r="U161" s="10" t="s">
        <v>984</v>
      </c>
      <c r="V161" s="10" t="s">
        <v>985</v>
      </c>
      <c r="W161" s="10" t="s">
        <v>51</v>
      </c>
      <c r="X161" s="10" t="s">
        <v>984</v>
      </c>
    </row>
    <row r="162">
      <c r="A162" s="9">
        <f t="shared" si="1"/>
        <v>161</v>
      </c>
      <c r="B162" s="11">
        <v>46218.66753472222</v>
      </c>
      <c r="C162" s="10" t="s">
        <v>174</v>
      </c>
      <c r="D162" s="10" t="s">
        <v>36</v>
      </c>
      <c r="E162" s="10" t="s">
        <v>37</v>
      </c>
      <c r="F162" s="13">
        <v>2.0</v>
      </c>
      <c r="G162" s="14">
        <v>25.15</v>
      </c>
      <c r="H162" s="10" t="s">
        <v>2655</v>
      </c>
      <c r="I162" s="10">
        <v>94.7</v>
      </c>
      <c r="O162" s="15">
        <f>IFERROR(__xludf.DUMMYFUNCTION("IF(ISBLANK($C162), """", GOOGLEFINANCE($C162, ""price""))"),25.09)</f>
        <v>25.09</v>
      </c>
      <c r="P162" s="16">
        <f t="shared" si="2"/>
        <v>-0.002385685885</v>
      </c>
      <c r="Q162" s="16">
        <f>IFERROR(__xludf.DUMMYFUNCTION("IF(OR(ISBLANK($G162), IFERROR(INDEX(GOOGLEFINANCE($C162, ""price"", WORKDAY(INT($B162), 1)), 2, 2), """")=""""), """", IF($D162=""LONG"", (IFERROR(INDEX(GOOGLEFINANCE($C162, ""price"", WORKDAY(INT($B162), 1)), 2, 2), """")-$G162)/$G162, ($G162-IFERROR(IND"&amp;"EX(GOOGLEFINANCE($C162, ""price"", WORKDAY(INT($B162), 1)), 2, 2), """"))/$G162))"),0.022266401590457348)</f>
        <v>0.02226640159</v>
      </c>
      <c r="R162" s="16">
        <f>IFERROR(__xludf.DUMMYFUNCTION("IF(OR(ISBLANK($G162), IFERROR(INDEX(GOOGLEFINANCE($C162, ""price"", WORKDAY(INT($B162), 5)), 2, 2), """")=""""), """", IF($D162=""LONG"", (IFERROR(INDEX(GOOGLEFINANCE($C162, ""price"", WORKDAY(INT($B162), 5)), 2, 2), """")-$G162)/$G162, ($G162-IFERROR(IND"&amp;"EX(GOOGLEFINANCE($C162, ""price"", WORKDAY(INT($B162), 5)), 2, 2), """"))/$G162))"),0.0023856858846919393)</f>
        <v>0.002385685885</v>
      </c>
      <c r="S162" s="16" t="str">
        <f>IFERROR(__xludf.DUMMYFUNCTION("IF(OR(ISBLANK($G162), IFERROR(INDEX(GOOGLEFINANCE($C162, ""price"", WORKDAY(INT($B162), 20)), 2, 2), """")=""""), """", IF($D162=""LONG"", (IFERROR(INDEX(GOOGLEFINANCE($C162, ""price"", WORKDAY(INT($B162), 20)), 2, 2), """")-$G162)/$G162, ($G162-IFERROR(I"&amp;"NDEX(GOOGLEFINANCE($C162, ""price"", WORKDAY(INT($B162), 20)), 2, 2), """"))/$G162))"),"")</f>
        <v/>
      </c>
      <c r="T162" s="10" t="s">
        <v>2661</v>
      </c>
      <c r="U162" s="10" t="s">
        <v>984</v>
      </c>
      <c r="V162" s="10" t="s">
        <v>998</v>
      </c>
      <c r="W162" s="10" t="s">
        <v>51</v>
      </c>
      <c r="X162" s="10" t="s">
        <v>984</v>
      </c>
    </row>
    <row r="163">
      <c r="A163" s="9">
        <f t="shared" si="1"/>
        <v>162</v>
      </c>
      <c r="B163" s="11">
        <v>46218.66743055556</v>
      </c>
      <c r="C163" s="10" t="s">
        <v>185</v>
      </c>
      <c r="D163" s="10" t="s">
        <v>36</v>
      </c>
      <c r="E163" s="10" t="s">
        <v>37</v>
      </c>
      <c r="F163" s="13">
        <v>2.0</v>
      </c>
      <c r="G163" s="14">
        <v>78.04</v>
      </c>
      <c r="H163" s="10" t="s">
        <v>2663</v>
      </c>
      <c r="I163" s="10">
        <v>91.8</v>
      </c>
      <c r="O163" s="15">
        <f>IFERROR(__xludf.DUMMYFUNCTION("IF(ISBLANK($C163), """", GOOGLEFINANCE($C163, ""price""))"),75.47)</f>
        <v>75.47</v>
      </c>
      <c r="P163" s="16">
        <f t="shared" si="2"/>
        <v>-0.03293182983</v>
      </c>
      <c r="Q163" s="16">
        <f>IFERROR(__xludf.DUMMYFUNCTION("IF(OR(ISBLANK($G163), IFERROR(INDEX(GOOGLEFINANCE($C163, ""price"", WORKDAY(INT($B163), 1)), 2, 2), """")=""""), """", IF($D163=""LONG"", (IFERROR(INDEX(GOOGLEFINANCE($C163, ""price"", WORKDAY(INT($B163), 1)), 2, 2), """")-$G163)/$G163, ($G163-IFERROR(IND"&amp;"EX(GOOGLEFINANCE($C163, ""price"", WORKDAY(INT($B163), 1)), 2, 2), """"))/$G163))"),0.026909277293695466)</f>
        <v>0.02690927729</v>
      </c>
      <c r="R163" s="16">
        <f>IFERROR(__xludf.DUMMYFUNCTION("IF(OR(ISBLANK($G163), IFERROR(INDEX(GOOGLEFINANCE($C163, ""price"", WORKDAY(INT($B163), 5)), 2, 2), """")=""""), """", IF($D163=""LONG"", (IFERROR(INDEX(GOOGLEFINANCE($C163, ""price"", WORKDAY(INT($B163), 5)), 2, 2), """")-$G163)/$G163, ($G163-IFERROR(IND"&amp;"EX(GOOGLEFINANCE($C163, ""price"", WORKDAY(INT($B163), 5)), 2, 2), """"))/$G163))"),-3.84418247052808E-4)</f>
        <v>-0.0003844182471</v>
      </c>
      <c r="S163" s="16" t="str">
        <f>IFERROR(__xludf.DUMMYFUNCTION("IF(OR(ISBLANK($G163), IFERROR(INDEX(GOOGLEFINANCE($C163, ""price"", WORKDAY(INT($B163), 20)), 2, 2), """")=""""), """", IF($D163=""LONG"", (IFERROR(INDEX(GOOGLEFINANCE($C163, ""price"", WORKDAY(INT($B163), 20)), 2, 2), """")-$G163)/$G163, ($G163-IFERROR(I"&amp;"NDEX(GOOGLEFINANCE($C163, ""price"", WORKDAY(INT($B163), 20)), 2, 2), """"))/$G163))"),"")</f>
        <v/>
      </c>
      <c r="T163" s="10" t="s">
        <v>2668</v>
      </c>
      <c r="U163" s="10" t="s">
        <v>984</v>
      </c>
      <c r="V163" s="10" t="s">
        <v>998</v>
      </c>
      <c r="W163" s="10" t="s">
        <v>51</v>
      </c>
      <c r="X163" s="10" t="s">
        <v>984</v>
      </c>
    </row>
    <row r="164">
      <c r="A164" s="9">
        <f t="shared" si="1"/>
        <v>163</v>
      </c>
      <c r="B164" s="11">
        <v>46218.667650462965</v>
      </c>
      <c r="C164" s="10" t="s">
        <v>306</v>
      </c>
      <c r="D164" s="10" t="s">
        <v>119</v>
      </c>
      <c r="E164" s="10" t="s">
        <v>120</v>
      </c>
      <c r="F164" s="13">
        <v>4.0</v>
      </c>
      <c r="G164" s="14">
        <v>96.54</v>
      </c>
      <c r="H164" s="10" t="s">
        <v>2671</v>
      </c>
      <c r="I164" s="10">
        <v>9.0</v>
      </c>
      <c r="O164" s="15">
        <f>IFERROR(__xludf.DUMMYFUNCTION("IF(ISBLANK($C164), """", GOOGLEFINANCE($C164, ""price""))"),87.03)</f>
        <v>87.03</v>
      </c>
      <c r="P164" s="16">
        <f t="shared" si="2"/>
        <v>0.0985083903</v>
      </c>
      <c r="Q164" s="16">
        <f>IFERROR(__xludf.DUMMYFUNCTION("IF(OR(ISBLANK($G164), IFERROR(INDEX(GOOGLEFINANCE($C164, ""price"", WORKDAY(INT($B164), 1)), 2, 2), """")=""""), """", IF($D164=""LONG"", (IFERROR(INDEX(GOOGLEFINANCE($C164, ""price"", WORKDAY(INT($B164), 1)), 2, 2), """")-$G164)/$G164, ($G164-IFERROR(IND"&amp;"EX(GOOGLEFINANCE($C164, ""price"", WORKDAY(INT($B164), 1)), 2, 2), """"))/$G164))"),0.05179200331468821)</f>
        <v>0.05179200331</v>
      </c>
      <c r="R164" s="16">
        <f>IFERROR(__xludf.DUMMYFUNCTION("IF(OR(ISBLANK($G164), IFERROR(INDEX(GOOGLEFINANCE($C164, ""price"", WORKDAY(INT($B164), 5)), 2, 2), """")=""""), """", IF($D164=""LONG"", (IFERROR(INDEX(GOOGLEFINANCE($C164, ""price"", WORKDAY(INT($B164), 5)), 2, 2), """")-$G164)/$G164, ($G164-IFERROR(IND"&amp;"EX(GOOGLEFINANCE($C164, ""price"", WORKDAY(INT($B164), 5)), 2, 2), """"))/$G164))"),0.04412678682411441)</f>
        <v>0.04412678682</v>
      </c>
      <c r="S164" s="16" t="str">
        <f>IFERROR(__xludf.DUMMYFUNCTION("IF(OR(ISBLANK($G164), IFERROR(INDEX(GOOGLEFINANCE($C164, ""price"", WORKDAY(INT($B164), 20)), 2, 2), """")=""""), """", IF($D164=""LONG"", (IFERROR(INDEX(GOOGLEFINANCE($C164, ""price"", WORKDAY(INT($B164), 20)), 2, 2), """")-$G164)/$G164, ($G164-IFERROR(I"&amp;"NDEX(GOOGLEFINANCE($C164, ""price"", WORKDAY(INT($B164), 20)), 2, 2), """"))/$G164))"),"")</f>
        <v/>
      </c>
      <c r="T164" s="10" t="s">
        <v>2675</v>
      </c>
      <c r="U164" s="10" t="s">
        <v>984</v>
      </c>
      <c r="V164" s="10" t="s">
        <v>985</v>
      </c>
      <c r="W164" s="10" t="s">
        <v>51</v>
      </c>
      <c r="X164" s="10" t="s">
        <v>984</v>
      </c>
    </row>
    <row r="165">
      <c r="A165" s="9">
        <f t="shared" si="1"/>
        <v>164</v>
      </c>
      <c r="B165" s="11">
        <v>46218.66751157407</v>
      </c>
      <c r="C165" s="10" t="s">
        <v>556</v>
      </c>
      <c r="D165" s="10" t="s">
        <v>119</v>
      </c>
      <c r="E165" s="10" t="s">
        <v>120</v>
      </c>
      <c r="F165" s="13">
        <v>4.0</v>
      </c>
      <c r="G165" s="14">
        <v>50.4</v>
      </c>
      <c r="H165" s="10" t="s">
        <v>2678</v>
      </c>
      <c r="I165" s="10">
        <v>6.8</v>
      </c>
      <c r="O165" s="15">
        <f>IFERROR(__xludf.DUMMYFUNCTION("IF(ISBLANK($C165), """", GOOGLEFINANCE($C165, ""price""))"),55.37)</f>
        <v>55.37</v>
      </c>
      <c r="P165" s="16">
        <f t="shared" si="2"/>
        <v>-0.09861111111</v>
      </c>
      <c r="Q165" s="16">
        <f>IFERROR(__xludf.DUMMYFUNCTION("IF(OR(ISBLANK($G165), IFERROR(INDEX(GOOGLEFINANCE($C165, ""price"", WORKDAY(INT($B165), 1)), 2, 2), """")=""""), """", IF($D165=""LONG"", (IFERROR(INDEX(GOOGLEFINANCE($C165, ""price"", WORKDAY(INT($B165), 1)), 2, 2), """")-$G165)/$G165, ($G165-IFERROR(IND"&amp;"EX(GOOGLEFINANCE($C165, ""price"", WORKDAY(INT($B165), 1)), 2, 2), """"))/$G165))"),-0.013492063492063487)</f>
        <v>-0.01349206349</v>
      </c>
      <c r="R165" s="16">
        <f>IFERROR(__xludf.DUMMYFUNCTION("IF(OR(ISBLANK($G165), IFERROR(INDEX(GOOGLEFINANCE($C165, ""price"", WORKDAY(INT($B165), 5)), 2, 2), """")=""""), """", IF($D165=""LONG"", (IFERROR(INDEX(GOOGLEFINANCE($C165, ""price"", WORKDAY(INT($B165), 5)), 2, 2), """")-$G165)/$G165, ($G165-IFERROR(IND"&amp;"EX(GOOGLEFINANCE($C165, ""price"", WORKDAY(INT($B165), 5)), 2, 2), """"))/$G165))"),-0.004563492063492143)</f>
        <v>-0.004563492063</v>
      </c>
      <c r="S165" s="16" t="str">
        <f>IFERROR(__xludf.DUMMYFUNCTION("IF(OR(ISBLANK($G165), IFERROR(INDEX(GOOGLEFINANCE($C165, ""price"", WORKDAY(INT($B165), 20)), 2, 2), """")=""""), """", IF($D165=""LONG"", (IFERROR(INDEX(GOOGLEFINANCE($C165, ""price"", WORKDAY(INT($B165), 20)), 2, 2), """")-$G165)/$G165, ($G165-IFERROR(I"&amp;"NDEX(GOOGLEFINANCE($C165, ""price"", WORKDAY(INT($B165), 20)), 2, 2), """"))/$G165))"),"")</f>
        <v/>
      </c>
      <c r="T165" s="10" t="s">
        <v>2680</v>
      </c>
      <c r="U165" s="10" t="s">
        <v>984</v>
      </c>
      <c r="V165" s="10" t="s">
        <v>985</v>
      </c>
      <c r="W165" s="10" t="s">
        <v>51</v>
      </c>
      <c r="X165" s="10" t="s">
        <v>984</v>
      </c>
    </row>
    <row r="166">
      <c r="A166" s="9">
        <f t="shared" si="1"/>
        <v>165</v>
      </c>
      <c r="B166" s="11">
        <v>46218.667708333334</v>
      </c>
      <c r="C166" s="10" t="s">
        <v>397</v>
      </c>
      <c r="D166" s="10" t="s">
        <v>36</v>
      </c>
      <c r="E166" s="10" t="s">
        <v>37</v>
      </c>
      <c r="F166" s="13">
        <v>2.0</v>
      </c>
      <c r="G166" s="14">
        <v>267.4</v>
      </c>
      <c r="H166" s="10" t="s">
        <v>561</v>
      </c>
      <c r="I166" s="10">
        <v>91.3</v>
      </c>
      <c r="O166" s="15">
        <f>IFERROR(__xludf.DUMMYFUNCTION("IF(ISBLANK($C166), """", GOOGLEFINANCE($C166, ""price""))"),306.57)</f>
        <v>306.57</v>
      </c>
      <c r="P166" s="16">
        <f t="shared" si="2"/>
        <v>0.1464846672</v>
      </c>
      <c r="Q166" s="16">
        <f>IFERROR(__xludf.DUMMYFUNCTION("IF(OR(ISBLANK($G166), IFERROR(INDEX(GOOGLEFINANCE($C166, ""price"", WORKDAY(INT($B166), 1)), 2, 2), """")=""""), """", IF($D166=""LONG"", (IFERROR(INDEX(GOOGLEFINANCE($C166, ""price"", WORKDAY(INT($B166), 1)), 2, 2), """")-$G166)/$G166, ($G166-IFERROR(IND"&amp;"EX(GOOGLEFINANCE($C166, ""price"", WORKDAY(INT($B166), 1)), 2, 2), """"))/$G166))"),0.013275991024682169)</f>
        <v>0.01327599102</v>
      </c>
      <c r="R166" s="16">
        <f>IFERROR(__xludf.DUMMYFUNCTION("IF(OR(ISBLANK($G166), IFERROR(INDEX(GOOGLEFINANCE($C166, ""price"", WORKDAY(INT($B166), 5)), 2, 2), """")=""""), """", IF($D166=""LONG"", (IFERROR(INDEX(GOOGLEFINANCE($C166, ""price"", WORKDAY(INT($B166), 5)), 2, 2), """")-$G166)/$G166, ($G166-IFERROR(IND"&amp;"EX(GOOGLEFINANCE($C166, ""price"", WORKDAY(INT($B166), 5)), 2, 2), """"))/$G166))"),-0.02363500373971576)</f>
        <v>-0.02363500374</v>
      </c>
      <c r="S166" s="16" t="str">
        <f>IFERROR(__xludf.DUMMYFUNCTION("IF(OR(ISBLANK($G166), IFERROR(INDEX(GOOGLEFINANCE($C166, ""price"", WORKDAY(INT($B166), 20)), 2, 2), """")=""""), """", IF($D166=""LONG"", (IFERROR(INDEX(GOOGLEFINANCE($C166, ""price"", WORKDAY(INT($B166), 20)), 2, 2), """")-$G166)/$G166, ($G166-IFERROR(I"&amp;"NDEX(GOOGLEFINANCE($C166, ""price"", WORKDAY(INT($B166), 20)), 2, 2), """"))/$G166))"),"")</f>
        <v/>
      </c>
      <c r="T166" s="10" t="s">
        <v>2688</v>
      </c>
      <c r="U166" s="10" t="s">
        <v>886</v>
      </c>
      <c r="V166" s="10" t="s">
        <v>2689</v>
      </c>
      <c r="W166" s="10" t="s">
        <v>2690</v>
      </c>
      <c r="X166" s="10" t="s">
        <v>2691</v>
      </c>
    </row>
    <row r="167">
      <c r="A167" s="9">
        <f t="shared" si="1"/>
        <v>166</v>
      </c>
      <c r="B167" s="11">
        <v>46218.667662037034</v>
      </c>
      <c r="C167" s="10" t="s">
        <v>2692</v>
      </c>
      <c r="D167" s="10" t="s">
        <v>36</v>
      </c>
      <c r="E167" s="10" t="s">
        <v>37</v>
      </c>
      <c r="F167" s="13">
        <v>2.0</v>
      </c>
      <c r="G167" s="14">
        <v>63.25</v>
      </c>
      <c r="H167" s="10" t="s">
        <v>2696</v>
      </c>
      <c r="I167" s="10">
        <v>82.7</v>
      </c>
      <c r="O167" s="15">
        <f>IFERROR(__xludf.DUMMYFUNCTION("IF(ISBLANK($C167), """", GOOGLEFINANCE($C167, ""price""))"),62.36)</f>
        <v>62.36</v>
      </c>
      <c r="P167" s="16">
        <f t="shared" si="2"/>
        <v>-0.01407114625</v>
      </c>
      <c r="Q167" s="16">
        <f>IFERROR(__xludf.DUMMYFUNCTION("IF(OR(ISBLANK($G167), IFERROR(INDEX(GOOGLEFINANCE($C167, ""price"", WORKDAY(INT($B167), 1)), 2, 2), """")=""""), """", IF($D167=""LONG"", (IFERROR(INDEX(GOOGLEFINANCE($C167, ""price"", WORKDAY(INT($B167), 1)), 2, 2), """")-$G167)/$G167, ($G167-IFERROR(IND"&amp;"EX(GOOGLEFINANCE($C167, ""price"", WORKDAY(INT($B167), 1)), 2, 2), """"))/$G167))"),0.039525691699604744)</f>
        <v>0.0395256917</v>
      </c>
      <c r="R167" s="16">
        <f>IFERROR(__xludf.DUMMYFUNCTION("IF(OR(ISBLANK($G167), IFERROR(INDEX(GOOGLEFINANCE($C167, ""price"", WORKDAY(INT($B167), 5)), 2, 2), """")=""""), """", IF($D167=""LONG"", (IFERROR(INDEX(GOOGLEFINANCE($C167, ""price"", WORKDAY(INT($B167), 5)), 2, 2), """")-$G167)/$G167, ($G167-IFERROR(IND"&amp;"EX(GOOGLEFINANCE($C167, ""price"", WORKDAY(INT($B167), 5)), 2, 2), """"))/$G167))"),0.028142292490118594)</f>
        <v>0.02814229249</v>
      </c>
      <c r="S167" s="16" t="str">
        <f>IFERROR(__xludf.DUMMYFUNCTION("IF(OR(ISBLANK($G167), IFERROR(INDEX(GOOGLEFINANCE($C167, ""price"", WORKDAY(INT($B167), 20)), 2, 2), """")=""""), """", IF($D167=""LONG"", (IFERROR(INDEX(GOOGLEFINANCE($C167, ""price"", WORKDAY(INT($B167), 20)), 2, 2), """")-$G167)/$G167, ($G167-IFERROR(I"&amp;"NDEX(GOOGLEFINANCE($C167, ""price"", WORKDAY(INT($B167), 20)), 2, 2), """"))/$G167))"),"")</f>
        <v/>
      </c>
      <c r="T167" s="10" t="s">
        <v>2698</v>
      </c>
      <c r="U167" s="10" t="s">
        <v>984</v>
      </c>
      <c r="V167" s="10" t="s">
        <v>1880</v>
      </c>
      <c r="W167" s="10" t="s">
        <v>51</v>
      </c>
      <c r="X167" s="10" t="s">
        <v>984</v>
      </c>
    </row>
    <row r="168">
      <c r="A168" s="9">
        <f t="shared" si="1"/>
        <v>167</v>
      </c>
      <c r="B168" s="11">
        <v>46218.66769675926</v>
      </c>
      <c r="C168" s="10" t="s">
        <v>957</v>
      </c>
      <c r="D168" s="10" t="s">
        <v>119</v>
      </c>
      <c r="E168" s="10" t="s">
        <v>120</v>
      </c>
      <c r="F168" s="13">
        <v>4.0</v>
      </c>
      <c r="G168" s="14">
        <v>53.78</v>
      </c>
      <c r="H168" s="10" t="s">
        <v>2702</v>
      </c>
      <c r="I168" s="10">
        <v>10.6</v>
      </c>
      <c r="O168" s="15">
        <f>IFERROR(__xludf.DUMMYFUNCTION("IF(ISBLANK($C168), """", GOOGLEFINANCE($C168, ""price""))"),56.04)</f>
        <v>56.04</v>
      </c>
      <c r="P168" s="16">
        <f t="shared" si="2"/>
        <v>-0.0420230569</v>
      </c>
      <c r="Q168" s="16">
        <f>IFERROR(__xludf.DUMMYFUNCTION("IF(OR(ISBLANK($G168), IFERROR(INDEX(GOOGLEFINANCE($C168, ""price"", WORKDAY(INT($B168), 1)), 2, 2), """")=""""), """", IF($D168=""LONG"", (IFERROR(INDEX(GOOGLEFINANCE($C168, ""price"", WORKDAY(INT($B168), 1)), 2, 2), """")-$G168)/$G168, ($G168-IFERROR(IND"&amp;"EX(GOOGLEFINANCE($C168, ""price"", WORKDAY(INT($B168), 1)), 2, 2), """"))/$G168))"),0.0024172554853105718)</f>
        <v>0.002417255485</v>
      </c>
      <c r="R168" s="16">
        <f>IFERROR(__xludf.DUMMYFUNCTION("IF(OR(ISBLANK($G168), IFERROR(INDEX(GOOGLEFINANCE($C168, ""price"", WORKDAY(INT($B168), 5)), 2, 2), """")=""""), """", IF($D168=""LONG"", (IFERROR(INDEX(GOOGLEFINANCE($C168, ""price"", WORKDAY(INT($B168), 5)), 2, 2), """")-$G168)/$G168, ($G168-IFERROR(IND"&amp;"EX(GOOGLEFINANCE($C168, ""price"", WORKDAY(INT($B168), 5)), 2, 2), """"))/$G168))"),-0.06917069542580882)</f>
        <v>-0.06917069543</v>
      </c>
      <c r="S168" s="16" t="str">
        <f>IFERROR(__xludf.DUMMYFUNCTION("IF(OR(ISBLANK($G168), IFERROR(INDEX(GOOGLEFINANCE($C168, ""price"", WORKDAY(INT($B168), 20)), 2, 2), """")=""""), """", IF($D168=""LONG"", (IFERROR(INDEX(GOOGLEFINANCE($C168, ""price"", WORKDAY(INT($B168), 20)), 2, 2), """")-$G168)/$G168, ($G168-IFERROR(I"&amp;"NDEX(GOOGLEFINANCE($C168, ""price"", WORKDAY(INT($B168), 20)), 2, 2), """"))/$G168))"),"")</f>
        <v/>
      </c>
      <c r="T168" s="10" t="s">
        <v>2706</v>
      </c>
      <c r="U168" s="10" t="s">
        <v>984</v>
      </c>
      <c r="V168" s="10" t="s">
        <v>985</v>
      </c>
      <c r="W168" s="10" t="s">
        <v>51</v>
      </c>
      <c r="X168" s="10" t="s">
        <v>984</v>
      </c>
    </row>
    <row r="169">
      <c r="A169" s="9">
        <f t="shared" si="1"/>
        <v>168</v>
      </c>
      <c r="B169" s="11">
        <v>46218.667708333334</v>
      </c>
      <c r="C169" s="10" t="s">
        <v>204</v>
      </c>
      <c r="D169" s="10" t="s">
        <v>36</v>
      </c>
      <c r="E169" s="10" t="s">
        <v>37</v>
      </c>
      <c r="F169" s="13">
        <v>2.0</v>
      </c>
      <c r="G169" s="14">
        <v>359.25</v>
      </c>
      <c r="H169" s="10" t="s">
        <v>2709</v>
      </c>
      <c r="I169" s="10">
        <v>92.0</v>
      </c>
      <c r="O169" s="15">
        <f>IFERROR(__xludf.DUMMYFUNCTION("IF(ISBLANK($C169), """", GOOGLEFINANCE($C169, ""price""))"),348.6)</f>
        <v>348.6</v>
      </c>
      <c r="P169" s="16">
        <f t="shared" si="2"/>
        <v>-0.02964509395</v>
      </c>
      <c r="Q169" s="16">
        <f>IFERROR(__xludf.DUMMYFUNCTION("IF(OR(ISBLANK($G169), IFERROR(INDEX(GOOGLEFINANCE($C169, ""price"", WORKDAY(INT($B169), 1)), 2, 2), """")=""""), """", IF($D169=""LONG"", (IFERROR(INDEX(GOOGLEFINANCE($C169, ""price"", WORKDAY(INT($B169), 1)), 2, 2), """")-$G169)/$G169, ($G169-IFERROR(IND"&amp;"EX(GOOGLEFINANCE($C169, ""price"", WORKDAY(INT($B169), 1)), 2, 2), """"))/$G169))"),0.00887961029923451)</f>
        <v>0.008879610299</v>
      </c>
      <c r="R169" s="16">
        <f>IFERROR(__xludf.DUMMYFUNCTION("IF(OR(ISBLANK($G169), IFERROR(INDEX(GOOGLEFINANCE($C169, ""price"", WORKDAY(INT($B169), 5)), 2, 2), """")=""""), """", IF($D169=""LONG"", (IFERROR(INDEX(GOOGLEFINANCE($C169, ""price"", WORKDAY(INT($B169), 5)), 2, 2), """")-$G169)/$G169, ($G169-IFERROR(IND"&amp;"EX(GOOGLEFINANCE($C169, ""price"", WORKDAY(INT($B169), 5)), 2, 2), """"))/$G169))"),-0.0023382045929018092)</f>
        <v>-0.002338204593</v>
      </c>
      <c r="S169" s="16" t="str">
        <f>IFERROR(__xludf.DUMMYFUNCTION("IF(OR(ISBLANK($G169), IFERROR(INDEX(GOOGLEFINANCE($C169, ""price"", WORKDAY(INT($B169), 20)), 2, 2), """")=""""), """", IF($D169=""LONG"", (IFERROR(INDEX(GOOGLEFINANCE($C169, ""price"", WORKDAY(INT($B169), 20)), 2, 2), """")-$G169)/$G169, ($G169-IFERROR(I"&amp;"NDEX(GOOGLEFINANCE($C169, ""price"", WORKDAY(INT($B169), 20)), 2, 2), """"))/$G169))"),"")</f>
        <v/>
      </c>
      <c r="T169" s="10" t="s">
        <v>2715</v>
      </c>
      <c r="U169" s="10" t="s">
        <v>984</v>
      </c>
      <c r="V169" s="10" t="s">
        <v>1880</v>
      </c>
      <c r="W169" s="10" t="s">
        <v>51</v>
      </c>
      <c r="X169" s="10" t="s">
        <v>984</v>
      </c>
    </row>
    <row r="170">
      <c r="A170" s="9">
        <f t="shared" si="1"/>
        <v>169</v>
      </c>
      <c r="B170" s="11">
        <v>46218.66755787037</v>
      </c>
      <c r="C170" s="10" t="s">
        <v>52</v>
      </c>
      <c r="D170" s="10" t="s">
        <v>36</v>
      </c>
      <c r="E170" s="10" t="s">
        <v>37</v>
      </c>
      <c r="F170" s="13">
        <v>2.0</v>
      </c>
      <c r="G170" s="14">
        <v>115.08</v>
      </c>
      <c r="H170" s="10" t="s">
        <v>2717</v>
      </c>
      <c r="I170" s="10">
        <v>95.5</v>
      </c>
      <c r="O170" s="15">
        <f>IFERROR(__xludf.DUMMYFUNCTION("IF(ISBLANK($C170), """", GOOGLEFINANCE($C170, ""price""))"),118.38)</f>
        <v>118.38</v>
      </c>
      <c r="P170" s="16">
        <f t="shared" si="2"/>
        <v>0.02867570386</v>
      </c>
      <c r="Q170" s="16">
        <f>IFERROR(__xludf.DUMMYFUNCTION("IF(OR(ISBLANK($G170), IFERROR(INDEX(GOOGLEFINANCE($C170, ""price"", WORKDAY(INT($B170), 1)), 2, 2), """")=""""), """", IF($D170=""LONG"", (IFERROR(INDEX(GOOGLEFINANCE($C170, ""price"", WORKDAY(INT($B170), 1)), 2, 2), """")-$G170)/$G170, ($G170-IFERROR(IND"&amp;"EX(GOOGLEFINANCE($C170, ""price"", WORKDAY(INT($B170), 1)), 2, 2), """"))/$G170))"),0.013642683350712613)</f>
        <v>0.01364268335</v>
      </c>
      <c r="R170" s="16">
        <f>IFERROR(__xludf.DUMMYFUNCTION("IF(OR(ISBLANK($G170), IFERROR(INDEX(GOOGLEFINANCE($C170, ""price"", WORKDAY(INT($B170), 5)), 2, 2), """")=""""), """", IF($D170=""LONG"", (IFERROR(INDEX(GOOGLEFINANCE($C170, ""price"", WORKDAY(INT($B170), 5)), 2, 2), """")-$G170)/$G170, ($G170-IFERROR(IND"&amp;"EX(GOOGLEFINANCE($C170, ""price"", WORKDAY(INT($B170), 5)), 2, 2), """"))/$G170))"),0.006169621133124852)</f>
        <v>0.006169621133</v>
      </c>
      <c r="S170" s="16" t="str">
        <f>IFERROR(__xludf.DUMMYFUNCTION("IF(OR(ISBLANK($G170), IFERROR(INDEX(GOOGLEFINANCE($C170, ""price"", WORKDAY(INT($B170), 20)), 2, 2), """")=""""), """", IF($D170=""LONG"", (IFERROR(INDEX(GOOGLEFINANCE($C170, ""price"", WORKDAY(INT($B170), 20)), 2, 2), """")-$G170)/$G170, ($G170-IFERROR(I"&amp;"NDEX(GOOGLEFINANCE($C170, ""price"", WORKDAY(INT($B170), 20)), 2, 2), """"))/$G170))"),"")</f>
        <v/>
      </c>
      <c r="T170" s="10" t="s">
        <v>2722</v>
      </c>
      <c r="U170" s="10" t="s">
        <v>984</v>
      </c>
      <c r="V170" s="10" t="s">
        <v>998</v>
      </c>
      <c r="W170" s="10" t="s">
        <v>51</v>
      </c>
      <c r="X170" s="10" t="s">
        <v>984</v>
      </c>
    </row>
    <row r="171">
      <c r="A171" s="9">
        <f t="shared" si="1"/>
        <v>170</v>
      </c>
      <c r="B171" s="11">
        <v>46218.66768518519</v>
      </c>
      <c r="C171" s="10" t="s">
        <v>437</v>
      </c>
      <c r="D171" s="10" t="s">
        <v>36</v>
      </c>
      <c r="E171" s="10" t="s">
        <v>37</v>
      </c>
      <c r="F171" s="13">
        <v>2.0</v>
      </c>
      <c r="G171" s="14">
        <v>171.96</v>
      </c>
      <c r="H171" s="10" t="s">
        <v>2723</v>
      </c>
      <c r="I171" s="10">
        <v>92.3</v>
      </c>
      <c r="O171" s="15">
        <f>IFERROR(__xludf.DUMMYFUNCTION("IF(ISBLANK($C171), """", GOOGLEFINANCE($C171, ""price""))"),192.32)</f>
        <v>192.32</v>
      </c>
      <c r="P171" s="16">
        <f t="shared" si="2"/>
        <v>0.1183996278</v>
      </c>
      <c r="Q171" s="16">
        <f>IFERROR(__xludf.DUMMYFUNCTION("IF(OR(ISBLANK($G171), IFERROR(INDEX(GOOGLEFINANCE($C171, ""price"", WORKDAY(INT($B171), 1)), 2, 2), """")=""""), """", IF($D171=""LONG"", (IFERROR(INDEX(GOOGLEFINANCE($C171, ""price"", WORKDAY(INT($B171), 1)), 2, 2), """")-$G171)/$G171, ($G171-IFERROR(IND"&amp;"EX(GOOGLEFINANCE($C171, ""price"", WORKDAY(INT($B171), 1)), 2, 2), """"))/$G171))"),-0.01977204000930452)</f>
        <v>-0.01977204001</v>
      </c>
      <c r="R171" s="16">
        <f>IFERROR(__xludf.DUMMYFUNCTION("IF(OR(ISBLANK($G171), IFERROR(INDEX(GOOGLEFINANCE($C171, ""price"", WORKDAY(INT($B171), 5)), 2, 2), """")=""""), """", IF($D171=""LONG"", (IFERROR(INDEX(GOOGLEFINANCE($C171, ""price"", WORKDAY(INT($B171), 5)), 2, 2), """")-$G171)/$G171, ($G171-IFERROR(IND"&amp;"EX(GOOGLEFINANCE($C171, ""price"", WORKDAY(INT($B171), 5)), 2, 2), """"))/$G171))"),0.016922540125610588)</f>
        <v>0.01692254013</v>
      </c>
      <c r="S171" s="16" t="str">
        <f>IFERROR(__xludf.DUMMYFUNCTION("IF(OR(ISBLANK($G171), IFERROR(INDEX(GOOGLEFINANCE($C171, ""price"", WORKDAY(INT($B171), 20)), 2, 2), """")=""""), """", IF($D171=""LONG"", (IFERROR(INDEX(GOOGLEFINANCE($C171, ""price"", WORKDAY(INT($B171), 20)), 2, 2), """")-$G171)/$G171, ($G171-IFERROR(I"&amp;"NDEX(GOOGLEFINANCE($C171, ""price"", WORKDAY(INT($B171), 20)), 2, 2), """"))/$G171))"),"")</f>
        <v/>
      </c>
      <c r="T171" s="10" t="s">
        <v>2729</v>
      </c>
      <c r="U171" s="10" t="s">
        <v>984</v>
      </c>
      <c r="V171" s="10" t="s">
        <v>1880</v>
      </c>
      <c r="W171" s="10" t="s">
        <v>51</v>
      </c>
      <c r="X171" s="10" t="s">
        <v>984</v>
      </c>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10" t="s">
        <v>17</v>
      </c>
      <c r="V1" s="10" t="s">
        <v>19</v>
      </c>
      <c r="W1" s="10" t="s">
        <v>21</v>
      </c>
      <c r="X1" s="10" t="s">
        <v>474</v>
      </c>
    </row>
    <row r="2">
      <c r="A2" s="9">
        <f t="shared" ref="A2:A158" si="1">ROW()-1</f>
        <v>1</v>
      </c>
      <c r="B2" s="11">
        <v>46219.66740740741</v>
      </c>
      <c r="C2" s="10" t="s">
        <v>95</v>
      </c>
      <c r="D2" s="10" t="s">
        <v>36</v>
      </c>
      <c r="E2" s="10" t="s">
        <v>37</v>
      </c>
      <c r="F2" s="13">
        <v>2.0</v>
      </c>
      <c r="G2" s="14">
        <v>179.89</v>
      </c>
      <c r="H2" s="10" t="s">
        <v>2094</v>
      </c>
      <c r="I2" s="10">
        <v>91.7</v>
      </c>
      <c r="O2" s="15">
        <f>IFERROR(__xludf.DUMMYFUNCTION("IF(ISBLANK($C2), """", GOOGLEFINANCE($C2, ""price""))"),181.77)</f>
        <v>181.77</v>
      </c>
      <c r="P2" s="16">
        <f t="shared" ref="P2:P158" si="2">IF(OR(ISBLANK($G2), ISBLANK($O2)), "", IF($D2="LONG", ($O2-$G2)/$G2, ($G2-$O2)/$G2))</f>
        <v>0.01045083106</v>
      </c>
      <c r="Q2" s="16">
        <f>IFERROR(__xludf.DUMMYFUNCTION("IF(OR(ISBLANK($G2), IFERROR(INDEX(GOOGLEFINANCE($C2, ""price"", WORKDAY(INT($B2), 1)), 2, 2), """")=""""), """", IF($D2=""LONG"", (IFERROR(INDEX(GOOGLEFINANCE($C2, ""price"", WORKDAY(INT($B2), 1)), 2, 2), """")-$G2)/$G2, ($G2-IFERROR(INDEX(GOOGLEFINANCE($"&amp;"C2, ""price"", WORKDAY(INT($B2), 1)), 2, 2), """"))/$G2))"),0.001834454388793221)</f>
        <v>0.001834454389</v>
      </c>
      <c r="R2" s="16">
        <f>IFERROR(__xludf.DUMMYFUNCTION("IF(OR(ISBLANK($G2), IFERROR(INDEX(GOOGLEFINANCE($C2, ""price"", WORKDAY(INT($B2), 5)), 2, 2), """")=""""), """", IF($D2=""LONG"", (IFERROR(INDEX(GOOGLEFINANCE($C2, ""price"", WORKDAY(INT($B2), 5)), 2, 2), """")-$G2)/$G2, ($G2-IFERROR(INDEX(GOOGLEFINANCE($"&amp;"C2, ""price"", WORKDAY(INT($B2), 5)), 2, 2), """"))/$G2))"),-0.021290788815387093)</f>
        <v>-0.02129078882</v>
      </c>
      <c r="S2" s="16" t="str">
        <f>IFERROR(__xludf.DUMMYFUNCTION("IF(OR(ISBLANK($G2), IFERROR(INDEX(GOOGLEFINANCE($C2, ""price"", WORKDAY(INT($B2), 20)), 2, 2), """")=""""), """", IF($D2=""LONG"", (IFERROR(INDEX(GOOGLEFINANCE($C2, ""price"", WORKDAY(INT($B2), 20)), 2, 2), """")-$G2)/$G2, ($G2-IFERROR(INDEX(GOOGLEFINANCE"&amp;"($C2, ""price"", WORKDAY(INT($B2), 20)), 2, 2), """"))/$G2))"),"")</f>
        <v/>
      </c>
      <c r="T2" s="10" t="s">
        <v>2239</v>
      </c>
      <c r="U2" s="10" t="s">
        <v>219</v>
      </c>
      <c r="V2" s="10" t="s">
        <v>2240</v>
      </c>
      <c r="W2" s="10" t="s">
        <v>51</v>
      </c>
      <c r="X2" s="10" t="s">
        <v>974</v>
      </c>
    </row>
    <row r="3">
      <c r="A3" s="9">
        <f t="shared" si="1"/>
        <v>2</v>
      </c>
      <c r="B3" s="11">
        <v>46219.66746527778</v>
      </c>
      <c r="C3" s="10" t="s">
        <v>770</v>
      </c>
      <c r="D3" s="10" t="s">
        <v>36</v>
      </c>
      <c r="E3" s="10" t="s">
        <v>133</v>
      </c>
      <c r="F3" s="13">
        <v>2.0</v>
      </c>
      <c r="G3" s="14">
        <v>78.21</v>
      </c>
      <c r="H3" s="10" t="s">
        <v>2242</v>
      </c>
      <c r="I3" s="10">
        <v>92.5</v>
      </c>
      <c r="O3" s="15">
        <f>IFERROR(__xludf.DUMMYFUNCTION("IF(ISBLANK($C3), """", GOOGLEFINANCE($C3, ""price""))"),72.51)</f>
        <v>72.51</v>
      </c>
      <c r="P3" s="16">
        <f t="shared" si="2"/>
        <v>-0.07288070579</v>
      </c>
      <c r="Q3" s="16">
        <f>IFERROR(__xludf.DUMMYFUNCTION("IF(OR(ISBLANK($G3), IFERROR(INDEX(GOOGLEFINANCE($C3, ""price"", WORKDAY(INT($B3), 1)), 2, 2), """")=""""), """", IF($D3=""LONG"", (IFERROR(INDEX(GOOGLEFINANCE($C3, ""price"", WORKDAY(INT($B3), 1)), 2, 2), """")-$G3)/$G3, ($G3-IFERROR(INDEX(GOOGLEFINANCE($"&amp;"C3, ""price"", WORKDAY(INT($B3), 1)), 2, 2), """"))/$G3))"),-0.050505050505050365)</f>
        <v>-0.05050505051</v>
      </c>
      <c r="R3" s="16">
        <f>IFERROR(__xludf.DUMMYFUNCTION("IF(OR(ISBLANK($G3), IFERROR(INDEX(GOOGLEFINANCE($C3, ""price"", WORKDAY(INT($B3), 5)), 2, 2), """")=""""), """", IF($D3=""LONG"", (IFERROR(INDEX(GOOGLEFINANCE($C3, ""price"", WORKDAY(INT($B3), 5)), 2, 2), """")-$G3)/$G3, ($G3-IFERROR(INDEX(GOOGLEFINANCE($"&amp;"C3, ""price"", WORKDAY(INT($B3), 5)), 2, 2), """"))/$G3))"),-0.09794143971359158)</f>
        <v>-0.09794143971</v>
      </c>
      <c r="S3" s="16" t="str">
        <f>IFERROR(__xludf.DUMMYFUNCTION("IF(OR(ISBLANK($G3), IFERROR(INDEX(GOOGLEFINANCE($C3, ""price"", WORKDAY(INT($B3), 20)), 2, 2), """")=""""), """", IF($D3=""LONG"", (IFERROR(INDEX(GOOGLEFINANCE($C3, ""price"", WORKDAY(INT($B3), 20)), 2, 2), """")-$G3)/$G3, ($G3-IFERROR(INDEX(GOOGLEFINANCE"&amp;"($C3, ""price"", WORKDAY(INT($B3), 20)), 2, 2), """"))/$G3))"),"")</f>
        <v/>
      </c>
      <c r="T3" s="10" t="s">
        <v>2248</v>
      </c>
      <c r="U3" s="10" t="s">
        <v>984</v>
      </c>
      <c r="V3" s="10" t="s">
        <v>985</v>
      </c>
      <c r="W3" s="10" t="s">
        <v>51</v>
      </c>
      <c r="X3" s="10" t="s">
        <v>984</v>
      </c>
    </row>
    <row r="4">
      <c r="A4" s="9">
        <f t="shared" si="1"/>
        <v>3</v>
      </c>
      <c r="B4" s="11">
        <v>46219.667546296296</v>
      </c>
      <c r="C4" s="10" t="s">
        <v>426</v>
      </c>
      <c r="D4" s="10" t="s">
        <v>36</v>
      </c>
      <c r="E4" s="10" t="s">
        <v>133</v>
      </c>
      <c r="F4" s="13">
        <v>2.0</v>
      </c>
      <c r="G4" s="14">
        <v>543.15</v>
      </c>
      <c r="H4" s="10" t="s">
        <v>2252</v>
      </c>
      <c r="I4" s="10">
        <v>72.8</v>
      </c>
      <c r="O4" s="15">
        <f>IFERROR(__xludf.DUMMYFUNCTION("IF(ISBLANK($C4), """", GOOGLEFINANCE($C4, ""price""))"),580.02)</f>
        <v>580.02</v>
      </c>
      <c r="P4" s="16">
        <f t="shared" si="2"/>
        <v>0.06788180061</v>
      </c>
      <c r="Q4" s="16">
        <f>IFERROR(__xludf.DUMMYFUNCTION("IF(OR(ISBLANK($G4), IFERROR(INDEX(GOOGLEFINANCE($C4, ""price"", WORKDAY(INT($B4), 1)), 2, 2), """")=""""), """", IF($D4=""LONG"", (IFERROR(INDEX(GOOGLEFINANCE($C4, ""price"", WORKDAY(INT($B4), 1)), 2, 2), """")-$G4)/$G4, ($G4-IFERROR(INDEX(GOOGLEFINANCE($"&amp;"C4, ""price"", WORKDAY(INT($B4), 1)), 2, 2), """"))/$G4))"),-0.01964466537788817)</f>
        <v>-0.01964466538</v>
      </c>
      <c r="R4" s="16">
        <f>IFERROR(__xludf.DUMMYFUNCTION("IF(OR(ISBLANK($G4), IFERROR(INDEX(GOOGLEFINANCE($C4, ""price"", WORKDAY(INT($B4), 5)), 2, 2), """")=""""), """", IF($D4=""LONG"", (IFERROR(INDEX(GOOGLEFINANCE($C4, ""price"", WORKDAY(INT($B4), 5)), 2, 2), """")-$G4)/$G4, ($G4-IFERROR(INDEX(GOOGLEFINANCE($"&amp;"C4, ""price"", WORKDAY(INT($B4), 5)), 2, 2), """"))/$G4))"),0.05370523796373023)</f>
        <v>0.05370523796</v>
      </c>
      <c r="S4" s="16" t="str">
        <f>IFERROR(__xludf.DUMMYFUNCTION("IF(OR(ISBLANK($G4), IFERROR(INDEX(GOOGLEFINANCE($C4, ""price"", WORKDAY(INT($B4), 20)), 2, 2), """")=""""), """", IF($D4=""LONG"", (IFERROR(INDEX(GOOGLEFINANCE($C4, ""price"", WORKDAY(INT($B4), 20)), 2, 2), """")-$G4)/$G4, ($G4-IFERROR(INDEX(GOOGLEFINANCE"&amp;"($C4, ""price"", WORKDAY(INT($B4), 20)), 2, 2), """"))/$G4))"),"")</f>
        <v/>
      </c>
      <c r="T4" s="10" t="s">
        <v>2255</v>
      </c>
      <c r="U4" s="10" t="s">
        <v>984</v>
      </c>
      <c r="V4" s="10" t="s">
        <v>985</v>
      </c>
      <c r="W4" s="10" t="s">
        <v>51</v>
      </c>
      <c r="X4" s="10" t="s">
        <v>984</v>
      </c>
    </row>
    <row r="5">
      <c r="A5" s="9">
        <f t="shared" si="1"/>
        <v>4</v>
      </c>
      <c r="B5" s="11">
        <v>46219.66768518519</v>
      </c>
      <c r="C5" s="10" t="s">
        <v>800</v>
      </c>
      <c r="D5" s="10" t="s">
        <v>36</v>
      </c>
      <c r="E5" s="10" t="s">
        <v>133</v>
      </c>
      <c r="F5" s="13">
        <v>2.0</v>
      </c>
      <c r="G5" s="14">
        <v>307.99</v>
      </c>
      <c r="H5" s="10" t="s">
        <v>2258</v>
      </c>
      <c r="I5" s="10">
        <v>93.8</v>
      </c>
      <c r="O5" s="15">
        <f>IFERROR(__xludf.DUMMYFUNCTION("IF(ISBLANK($C5), """", GOOGLEFINANCE($C5, ""price""))"),325.01)</f>
        <v>325.01</v>
      </c>
      <c r="P5" s="16">
        <f t="shared" si="2"/>
        <v>0.05526153447</v>
      </c>
      <c r="Q5" s="16">
        <f>IFERROR(__xludf.DUMMYFUNCTION("IF(OR(ISBLANK($G5), IFERROR(INDEX(GOOGLEFINANCE($C5, ""price"", WORKDAY(INT($B5), 1)), 2, 2), """")=""""), """", IF($D5=""LONG"", (IFERROR(INDEX(GOOGLEFINANCE($C5, ""price"", WORKDAY(INT($B5), 1)), 2, 2), """")-$G5)/$G5, ($G5-IFERROR(INDEX(GOOGLEFINANCE($"&amp;"C5, ""price"", WORKDAY(INT($B5), 1)), 2, 2), """"))/$G5))"),-2.9221727978191443E-4)</f>
        <v>-0.0002922172798</v>
      </c>
      <c r="R5" s="16">
        <f>IFERROR(__xludf.DUMMYFUNCTION("IF(OR(ISBLANK($G5), IFERROR(INDEX(GOOGLEFINANCE($C5, ""price"", WORKDAY(INT($B5), 5)), 2, 2), """")=""""), """", IF($D5=""LONG"", (IFERROR(INDEX(GOOGLEFINANCE($C5, ""price"", WORKDAY(INT($B5), 5)), 2, 2), """")-$G5)/$G5, ($G5-IFERROR(INDEX(GOOGLEFINANCE($"&amp;"C5, ""price"", WORKDAY(INT($B5), 5)), 2, 2), """"))/$G5))"),-0.009513295886230094)</f>
        <v>-0.009513295886</v>
      </c>
      <c r="S5" s="16" t="str">
        <f>IFERROR(__xludf.DUMMYFUNCTION("IF(OR(ISBLANK($G5), IFERROR(INDEX(GOOGLEFINANCE($C5, ""price"", WORKDAY(INT($B5), 20)), 2, 2), """")=""""), """", IF($D5=""LONG"", (IFERROR(INDEX(GOOGLEFINANCE($C5, ""price"", WORKDAY(INT($B5), 20)), 2, 2), """")-$G5)/$G5, ($G5-IFERROR(INDEX(GOOGLEFINANCE"&amp;"($C5, ""price"", WORKDAY(INT($B5), 20)), 2, 2), """"))/$G5))"),"")</f>
        <v/>
      </c>
      <c r="T5" s="10" t="s">
        <v>2262</v>
      </c>
      <c r="U5" s="10" t="s">
        <v>984</v>
      </c>
      <c r="V5" s="10" t="s">
        <v>985</v>
      </c>
      <c r="W5" s="10" t="s">
        <v>51</v>
      </c>
      <c r="X5" s="10" t="s">
        <v>984</v>
      </c>
    </row>
    <row r="6">
      <c r="A6" s="9">
        <f t="shared" si="1"/>
        <v>5</v>
      </c>
      <c r="B6" s="11">
        <v>46219.667662037034</v>
      </c>
      <c r="C6" s="10" t="s">
        <v>310</v>
      </c>
      <c r="D6" s="10" t="s">
        <v>36</v>
      </c>
      <c r="E6" s="10" t="s">
        <v>37</v>
      </c>
      <c r="F6" s="13">
        <v>2.0</v>
      </c>
      <c r="G6" s="14">
        <v>210.49</v>
      </c>
      <c r="H6" s="10" t="s">
        <v>2263</v>
      </c>
      <c r="I6" s="10">
        <v>91.8</v>
      </c>
      <c r="O6" s="15">
        <f>IFERROR(__xludf.DUMMYFUNCTION("IF(ISBLANK($C6), """", GOOGLEFINANCE($C6, ""price""))"),232.43)</f>
        <v>232.43</v>
      </c>
      <c r="P6" s="16">
        <f t="shared" si="2"/>
        <v>0.1042329802</v>
      </c>
      <c r="Q6" s="16">
        <f>IFERROR(__xludf.DUMMYFUNCTION("IF(OR(ISBLANK($G6), IFERROR(INDEX(GOOGLEFINANCE($C6, ""price"", WORKDAY(INT($B6), 1)), 2, 2), """")=""""), """", IF($D6=""LONG"", (IFERROR(INDEX(GOOGLEFINANCE($C6, ""price"", WORKDAY(INT($B6), 1)), 2, 2), """")-$G6)/$G6, ($G6-IFERROR(INDEX(GOOGLEFINANCE($"&amp;"C6, ""price"", WORKDAY(INT($B6), 1)), 2, 2), """"))/$G6))"),-0.02009596655423069)</f>
        <v>-0.02009596655</v>
      </c>
      <c r="R6" s="16">
        <f>IFERROR(__xludf.DUMMYFUNCTION("IF(OR(ISBLANK($G6), IFERROR(INDEX(GOOGLEFINANCE($C6, ""price"", WORKDAY(INT($B6), 5)), 2, 2), """")=""""), """", IF($D6=""LONG"", (IFERROR(INDEX(GOOGLEFINANCE($C6, ""price"", WORKDAY(INT($B6), 5)), 2, 2), """")-$G6)/$G6, ($G6-IFERROR(INDEX(GOOGLEFINANCE($"&amp;"C6, ""price"", WORKDAY(INT($B6), 5)), 2, 2), """"))/$G6))"),-0.015060097866882113)</f>
        <v>-0.01506009787</v>
      </c>
      <c r="S6" s="16" t="str">
        <f>IFERROR(__xludf.DUMMYFUNCTION("IF(OR(ISBLANK($G6), IFERROR(INDEX(GOOGLEFINANCE($C6, ""price"", WORKDAY(INT($B6), 20)), 2, 2), """")=""""), """", IF($D6=""LONG"", (IFERROR(INDEX(GOOGLEFINANCE($C6, ""price"", WORKDAY(INT($B6), 20)), 2, 2), """")-$G6)/$G6, ($G6-IFERROR(INDEX(GOOGLEFINANCE"&amp;"($C6, ""price"", WORKDAY(INT($B6), 20)), 2, 2), """"))/$G6))"),"")</f>
        <v/>
      </c>
      <c r="T6" s="10" t="s">
        <v>2269</v>
      </c>
      <c r="U6" s="10" t="s">
        <v>704</v>
      </c>
      <c r="V6" s="10" t="s">
        <v>2270</v>
      </c>
      <c r="W6" s="10" t="s">
        <v>51</v>
      </c>
      <c r="X6" s="10" t="s">
        <v>1885</v>
      </c>
    </row>
    <row r="7">
      <c r="A7" s="9">
        <f t="shared" si="1"/>
        <v>6</v>
      </c>
      <c r="B7" s="11">
        <v>46219.667395833334</v>
      </c>
      <c r="C7" s="10" t="s">
        <v>207</v>
      </c>
      <c r="D7" s="10" t="s">
        <v>36</v>
      </c>
      <c r="E7" s="10" t="s">
        <v>37</v>
      </c>
      <c r="F7" s="13">
        <v>2.0</v>
      </c>
      <c r="G7" s="14">
        <v>338.26</v>
      </c>
      <c r="H7" s="10" t="s">
        <v>2271</v>
      </c>
      <c r="I7" s="10">
        <v>96.1</v>
      </c>
      <c r="O7" s="15">
        <f>IFERROR(__xludf.DUMMYFUNCTION("IF(ISBLANK($C7), """", GOOGLEFINANCE($C7, ""price""))"),363.42)</f>
        <v>363.42</v>
      </c>
      <c r="P7" s="16">
        <f t="shared" si="2"/>
        <v>0.07438065393</v>
      </c>
      <c r="Q7" s="16">
        <f>IFERROR(__xludf.DUMMYFUNCTION("IF(OR(ISBLANK($G7), IFERROR(INDEX(GOOGLEFINANCE($C7, ""price"", WORKDAY(INT($B7), 1)), 2, 2), """")=""""), """", IF($D7=""LONG"", (IFERROR(INDEX(GOOGLEFINANCE($C7, ""price"", WORKDAY(INT($B7), 1)), 2, 2), """")-$G7)/$G7, ($G7-IFERROR(INDEX(GOOGLEFINANCE($"&amp;"C7, ""price"", WORKDAY(INT($B7), 1)), 2, 2), """"))/$G7))"),-0.020516762253887537)</f>
        <v>-0.02051676225</v>
      </c>
      <c r="R7" s="16">
        <f>IFERROR(__xludf.DUMMYFUNCTION("IF(OR(ISBLANK($G7), IFERROR(INDEX(GOOGLEFINANCE($C7, ""price"", WORKDAY(INT($B7), 5)), 2, 2), """")=""""), """", IF($D7=""LONG"", (IFERROR(INDEX(GOOGLEFINANCE($C7, ""price"", WORKDAY(INT($B7), 5)), 2, 2), """")-$G7)/$G7, ($G7-IFERROR(INDEX(GOOGLEFINANCE($"&amp;"C7, ""price"", WORKDAY(INT($B7), 5)), 2, 2), """"))/$G7))"),-0.08194879678353921)</f>
        <v>-0.08194879678</v>
      </c>
      <c r="S7" s="16" t="str">
        <f>IFERROR(__xludf.DUMMYFUNCTION("IF(OR(ISBLANK($G7), IFERROR(INDEX(GOOGLEFINANCE($C7, ""price"", WORKDAY(INT($B7), 20)), 2, 2), """")=""""), """", IF($D7=""LONG"", (IFERROR(INDEX(GOOGLEFINANCE($C7, ""price"", WORKDAY(INT($B7), 20)), 2, 2), """")-$G7)/$G7, ($G7-IFERROR(INDEX(GOOGLEFINANCE"&amp;"($C7, ""price"", WORKDAY(INT($B7), 20)), 2, 2), """"))/$G7))"),"")</f>
        <v/>
      </c>
      <c r="T7" s="10" t="s">
        <v>2278</v>
      </c>
      <c r="U7" s="10" t="s">
        <v>984</v>
      </c>
      <c r="V7" s="10" t="s">
        <v>1059</v>
      </c>
      <c r="W7" s="10" t="s">
        <v>51</v>
      </c>
      <c r="X7" s="10" t="s">
        <v>984</v>
      </c>
    </row>
    <row r="8">
      <c r="A8" s="9">
        <f t="shared" si="1"/>
        <v>7</v>
      </c>
      <c r="B8" s="11">
        <v>46219.66778935185</v>
      </c>
      <c r="C8" s="10" t="s">
        <v>1183</v>
      </c>
      <c r="D8" s="10" t="s">
        <v>36</v>
      </c>
      <c r="E8" s="10" t="s">
        <v>133</v>
      </c>
      <c r="F8" s="13">
        <v>2.0</v>
      </c>
      <c r="G8" s="14">
        <v>188.67</v>
      </c>
      <c r="H8" s="10" t="s">
        <v>2284</v>
      </c>
      <c r="I8" s="10">
        <v>84.9</v>
      </c>
      <c r="O8" s="15">
        <f>IFERROR(__xludf.DUMMYFUNCTION("IF(ISBLANK($C8), """", GOOGLEFINANCE($C8, ""price""))"),184.14)</f>
        <v>184.14</v>
      </c>
      <c r="P8" s="16">
        <f t="shared" si="2"/>
        <v>-0.0240101765</v>
      </c>
      <c r="Q8" s="16">
        <f>IFERROR(__xludf.DUMMYFUNCTION("IF(OR(ISBLANK($G8), IFERROR(INDEX(GOOGLEFINANCE($C8, ""price"", WORKDAY(INT($B8), 1)), 2, 2), """")=""""), """", IF($D8=""LONG"", (IFERROR(INDEX(GOOGLEFINANCE($C8, ""price"", WORKDAY(INT($B8), 1)), 2, 2), """")-$G8)/$G8, ($G8-IFERROR(INDEX(GOOGLEFINANCE($"&amp;"C8, ""price"", WORKDAY(INT($B8), 1)), 2, 2), """"))/$G8))"),-0.021148036253776335)</f>
        <v>-0.02114803625</v>
      </c>
      <c r="R8" s="16">
        <f>IFERROR(__xludf.DUMMYFUNCTION("IF(OR(ISBLANK($G8), IFERROR(INDEX(GOOGLEFINANCE($C8, ""price"", WORKDAY(INT($B8), 5)), 2, 2), """")=""""), """", IF($D8=""LONG"", (IFERROR(INDEX(GOOGLEFINANCE($C8, ""price"", WORKDAY(INT($B8), 5)), 2, 2), """")-$G8)/$G8, ($G8-IFERROR(INDEX(GOOGLEFINANCE($"&amp;"C8, ""price"", WORKDAY(INT($B8), 5)), 2, 2), """"))/$G8))"),-0.0568187841204219)</f>
        <v>-0.05681878412</v>
      </c>
      <c r="S8" s="16" t="str">
        <f>IFERROR(__xludf.DUMMYFUNCTION("IF(OR(ISBLANK($G8), IFERROR(INDEX(GOOGLEFINANCE($C8, ""price"", WORKDAY(INT($B8), 20)), 2, 2), """")=""""), """", IF($D8=""LONG"", (IFERROR(INDEX(GOOGLEFINANCE($C8, ""price"", WORKDAY(INT($B8), 20)), 2, 2), """")-$G8)/$G8, ($G8-IFERROR(INDEX(GOOGLEFINANCE"&amp;"($C8, ""price"", WORKDAY(INT($B8), 20)), 2, 2), """"))/$G8))"),"")</f>
        <v/>
      </c>
      <c r="T8" s="10" t="s">
        <v>2287</v>
      </c>
      <c r="U8" s="10" t="s">
        <v>984</v>
      </c>
      <c r="V8" s="10" t="s">
        <v>1880</v>
      </c>
      <c r="W8" s="10" t="s">
        <v>51</v>
      </c>
      <c r="X8" s="10" t="s">
        <v>984</v>
      </c>
    </row>
    <row r="9">
      <c r="A9" s="9">
        <f t="shared" si="1"/>
        <v>8</v>
      </c>
      <c r="B9" s="11">
        <v>46219.66743055556</v>
      </c>
      <c r="C9" s="10" t="s">
        <v>746</v>
      </c>
      <c r="D9" s="10" t="s">
        <v>119</v>
      </c>
      <c r="E9" s="10" t="s">
        <v>120</v>
      </c>
      <c r="F9" s="13">
        <v>4.0</v>
      </c>
      <c r="G9" s="14">
        <v>168.93</v>
      </c>
      <c r="H9" s="10" t="s">
        <v>2289</v>
      </c>
      <c r="I9" s="10">
        <v>9.8</v>
      </c>
      <c r="O9" s="15">
        <f>IFERROR(__xludf.DUMMYFUNCTION("IF(ISBLANK($C9), """", GOOGLEFINANCE($C9, ""price""))"),171.2)</f>
        <v>171.2</v>
      </c>
      <c r="P9" s="16">
        <f t="shared" si="2"/>
        <v>-0.0134375185</v>
      </c>
      <c r="Q9" s="16">
        <f>IFERROR(__xludf.DUMMYFUNCTION("IF(OR(ISBLANK($G9), IFERROR(INDEX(GOOGLEFINANCE($C9, ""price"", WORKDAY(INT($B9), 1)), 2, 2), """")=""""), """", IF($D9=""LONG"", (IFERROR(INDEX(GOOGLEFINANCE($C9, ""price"", WORKDAY(INT($B9), 1)), 2, 2), """")-$G9)/$G9, ($G9-IFERROR(INDEX(GOOGLEFINANCE($"&amp;"C9, ""price"", WORKDAY(INT($B9), 1)), 2, 2), """"))/$G9))"),-0.006689161191025842)</f>
        <v>-0.006689161191</v>
      </c>
      <c r="R9" s="16">
        <f>IFERROR(__xludf.DUMMYFUNCTION("IF(OR(ISBLANK($G9), IFERROR(INDEX(GOOGLEFINANCE($C9, ""price"", WORKDAY(INT($B9), 5)), 2, 2), """")=""""), """", IF($D9=""LONG"", (IFERROR(INDEX(GOOGLEFINANCE($C9, ""price"", WORKDAY(INT($B9), 5)), 2, 2), """")-$G9)/$G9, ($G9-IFERROR(INDEX(GOOGLEFINANCE($"&amp;"C9, ""price"", WORKDAY(INT($B9), 5)), 2, 2), """"))/$G9))"),0.02533593796246967)</f>
        <v>0.02533593796</v>
      </c>
      <c r="S9" s="16" t="str">
        <f>IFERROR(__xludf.DUMMYFUNCTION("IF(OR(ISBLANK($G9), IFERROR(INDEX(GOOGLEFINANCE($C9, ""price"", WORKDAY(INT($B9), 20)), 2, 2), """")=""""), """", IF($D9=""LONG"", (IFERROR(INDEX(GOOGLEFINANCE($C9, ""price"", WORKDAY(INT($B9), 20)), 2, 2), """")-$G9)/$G9, ($G9-IFERROR(INDEX(GOOGLEFINANCE"&amp;"($C9, ""price"", WORKDAY(INT($B9), 20)), 2, 2), """"))/$G9))"),"")</f>
        <v/>
      </c>
      <c r="T9" s="10" t="s">
        <v>2292</v>
      </c>
      <c r="U9" s="10" t="s">
        <v>984</v>
      </c>
      <c r="V9" s="10" t="s">
        <v>1880</v>
      </c>
      <c r="W9" s="10" t="s">
        <v>51</v>
      </c>
      <c r="X9" s="10" t="s">
        <v>984</v>
      </c>
    </row>
    <row r="10">
      <c r="A10" s="9">
        <f t="shared" si="1"/>
        <v>9</v>
      </c>
      <c r="B10" s="11">
        <v>46219.66736111111</v>
      </c>
      <c r="C10" s="10" t="s">
        <v>464</v>
      </c>
      <c r="D10" s="10" t="s">
        <v>119</v>
      </c>
      <c r="E10" s="10" t="s">
        <v>120</v>
      </c>
      <c r="F10" s="13">
        <v>4.0</v>
      </c>
      <c r="G10" s="14">
        <v>275.22</v>
      </c>
      <c r="H10" s="10" t="s">
        <v>2295</v>
      </c>
      <c r="I10" s="10">
        <v>9.8</v>
      </c>
      <c r="O10" s="15">
        <f>IFERROR(__xludf.DUMMYFUNCTION("IF(ISBLANK($C10), """", GOOGLEFINANCE($C10, ""price""))"),292.53)</f>
        <v>292.53</v>
      </c>
      <c r="P10" s="16">
        <f t="shared" si="2"/>
        <v>-0.06289513843</v>
      </c>
      <c r="Q10" s="16">
        <f>IFERROR(__xludf.DUMMYFUNCTION("IF(OR(ISBLANK($G10), IFERROR(INDEX(GOOGLEFINANCE($C10, ""price"", WORKDAY(INT($B10), 1)), 2, 2), """")=""""), """", IF($D10=""LONG"", (IFERROR(INDEX(GOOGLEFINANCE($C10, ""price"", WORKDAY(INT($B10), 1)), 2, 2), """")-$G10)/$G10, ($G10-IFERROR(INDEX(GOOGLE"&amp;"FINANCE($C10, ""price"", WORKDAY(INT($B10), 1)), 2, 2), """"))/$G10))"),-0.008865634764915331)</f>
        <v>-0.008865634765</v>
      </c>
      <c r="R10" s="16">
        <f>IFERROR(__xludf.DUMMYFUNCTION("IF(OR(ISBLANK($G10), IFERROR(INDEX(GOOGLEFINANCE($C10, ""price"", WORKDAY(INT($B10), 5)), 2, 2), """")=""""), """", IF($D10=""LONG"", (IFERROR(INDEX(GOOGLEFINANCE($C10, ""price"", WORKDAY(INT($B10), 5)), 2, 2), """")-$G10)/$G10, ($G10-IFERROR(INDEX(GOOGLE"&amp;"FINANCE($C10, ""price"", WORKDAY(INT($B10), 5)), 2, 2), """"))/$G10))"),0.04956035171862525)</f>
        <v>0.04956035172</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2297</v>
      </c>
      <c r="U10" s="10" t="s">
        <v>984</v>
      </c>
      <c r="V10" s="10" t="s">
        <v>985</v>
      </c>
      <c r="W10" s="10" t="s">
        <v>51</v>
      </c>
      <c r="X10" s="10" t="s">
        <v>984</v>
      </c>
    </row>
    <row r="11">
      <c r="A11" s="9">
        <f t="shared" si="1"/>
        <v>10</v>
      </c>
      <c r="B11" s="11">
        <v>46219.66740740741</v>
      </c>
      <c r="C11" s="10" t="s">
        <v>413</v>
      </c>
      <c r="D11" s="10" t="s">
        <v>36</v>
      </c>
      <c r="E11" s="10" t="s">
        <v>37</v>
      </c>
      <c r="F11" s="13">
        <v>2.0</v>
      </c>
      <c r="G11" s="14">
        <v>203.76</v>
      </c>
      <c r="H11" s="10" t="s">
        <v>2303</v>
      </c>
      <c r="I11" s="10">
        <v>94.7</v>
      </c>
      <c r="O11" s="15">
        <f>IFERROR(__xludf.DUMMYFUNCTION("IF(ISBLANK($C11), """", GOOGLEFINANCE($C11, ""price""))"),207.39)</f>
        <v>207.39</v>
      </c>
      <c r="P11" s="16">
        <f t="shared" si="2"/>
        <v>0.01781507656</v>
      </c>
      <c r="Q11" s="16">
        <f>IFERROR(__xludf.DUMMYFUNCTION("IF(OR(ISBLANK($G11), IFERROR(INDEX(GOOGLEFINANCE($C11, ""price"", WORKDAY(INT($B11), 1)), 2, 2), """")=""""), """", IF($D11=""LONG"", (IFERROR(INDEX(GOOGLEFINANCE($C11, ""price"", WORKDAY(INT($B11), 1)), 2, 2), """")-$G11)/$G11, ($G11-IFERROR(INDEX(GOOGLE"&amp;"FINANCE($C11, ""price"", WORKDAY(INT($B11), 1)), 2, 2), """"))/$G11))"),-0.0033372595210049982)</f>
        <v>-0.003337259521</v>
      </c>
      <c r="R11" s="16">
        <f>IFERROR(__xludf.DUMMYFUNCTION("IF(OR(ISBLANK($G11), IFERROR(INDEX(GOOGLEFINANCE($C11, ""price"", WORKDAY(INT($B11), 5)), 2, 2), """")=""""), """", IF($D11=""LONG"", (IFERROR(INDEX(GOOGLEFINANCE($C11, ""price"", WORKDAY(INT($B11), 5)), 2, 2), """")-$G11)/$G11, ($G11-IFERROR(INDEX(GOOGLE"&amp;"FINANCE($C11, ""price"", WORKDAY(INT($B11), 5)), 2, 2), """"))/$G11))"),-0.09982332155477033)</f>
        <v>-0.09982332155</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2304</v>
      </c>
      <c r="U11" s="10" t="s">
        <v>984</v>
      </c>
      <c r="V11" s="10" t="s">
        <v>1880</v>
      </c>
      <c r="W11" s="10" t="s">
        <v>51</v>
      </c>
      <c r="X11" s="10" t="s">
        <v>984</v>
      </c>
    </row>
    <row r="12">
      <c r="A12" s="9">
        <f t="shared" si="1"/>
        <v>11</v>
      </c>
      <c r="B12" s="11">
        <v>46219.66782407407</v>
      </c>
      <c r="C12" s="10" t="s">
        <v>1672</v>
      </c>
      <c r="D12" s="10" t="s">
        <v>36</v>
      </c>
      <c r="E12" s="10" t="s">
        <v>37</v>
      </c>
      <c r="F12" s="13">
        <v>2.0</v>
      </c>
      <c r="G12" s="14">
        <v>100.03</v>
      </c>
      <c r="H12" s="10" t="s">
        <v>2310</v>
      </c>
      <c r="I12" s="10">
        <v>95.9</v>
      </c>
      <c r="O12" s="15">
        <f>IFERROR(__xludf.DUMMYFUNCTION("IF(ISBLANK($C12), """", GOOGLEFINANCE($C12, ""price""))"),99.29)</f>
        <v>99.29</v>
      </c>
      <c r="P12" s="16">
        <f t="shared" si="2"/>
        <v>-0.007397780666</v>
      </c>
      <c r="Q12" s="16">
        <f>IFERROR(__xludf.DUMMYFUNCTION("IF(OR(ISBLANK($G12), IFERROR(INDEX(GOOGLEFINANCE($C12, ""price"", WORKDAY(INT($B12), 1)), 2, 2), """")=""""), """", IF($D12=""LONG"", (IFERROR(INDEX(GOOGLEFINANCE($C12, ""price"", WORKDAY(INT($B12), 1)), 2, 2), """")-$G12)/$G12, ($G12-IFERROR(INDEX(GOOGLE"&amp;"FINANCE($C12, ""price"", WORKDAY(INT($B12), 1)), 2, 2), """"))/$G12))"),0.013196041187643639)</f>
        <v>0.01319604119</v>
      </c>
      <c r="R12" s="16">
        <f>IFERROR(__xludf.DUMMYFUNCTION("IF(OR(ISBLANK($G12), IFERROR(INDEX(GOOGLEFINANCE($C12, ""price"", WORKDAY(INT($B12), 5)), 2, 2), """")=""""), """", IF($D12=""LONG"", (IFERROR(INDEX(GOOGLEFINANCE($C12, ""price"", WORKDAY(INT($B12), 5)), 2, 2), """")-$G12)/$G12, ($G12-IFERROR(INDEX(GOOGLE"&amp;"FINANCE($C12, ""price"", WORKDAY(INT($B12), 5)), 2, 2), """"))/$G12))"),6.997900629810374E-4)</f>
        <v>0.000699790063</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2314</v>
      </c>
      <c r="U12" s="10" t="s">
        <v>704</v>
      </c>
      <c r="V12" s="10" t="s">
        <v>2315</v>
      </c>
      <c r="W12" s="10" t="s">
        <v>51</v>
      </c>
      <c r="X12" s="10" t="s">
        <v>1885</v>
      </c>
    </row>
    <row r="13">
      <c r="A13" s="9">
        <f t="shared" si="1"/>
        <v>12</v>
      </c>
      <c r="B13" s="11">
        <v>46219.667858796296</v>
      </c>
      <c r="C13" s="10" t="s">
        <v>641</v>
      </c>
      <c r="D13" s="10" t="s">
        <v>36</v>
      </c>
      <c r="E13" s="10" t="s">
        <v>37</v>
      </c>
      <c r="F13" s="13">
        <v>2.0</v>
      </c>
      <c r="G13" s="14">
        <v>63.17</v>
      </c>
      <c r="H13" s="10" t="s">
        <v>714</v>
      </c>
      <c r="I13" s="10">
        <v>96.9</v>
      </c>
      <c r="O13" s="15">
        <f>IFERROR(__xludf.DUMMYFUNCTION("IF(ISBLANK($C13), """", GOOGLEFINANCE($C13, ""price""))"),63.13)</f>
        <v>63.13</v>
      </c>
      <c r="P13" s="16">
        <f t="shared" si="2"/>
        <v>-0.0006332119677</v>
      </c>
      <c r="Q13" s="16">
        <f>IFERROR(__xludf.DUMMYFUNCTION("IF(OR(ISBLANK($G13), IFERROR(INDEX(GOOGLEFINANCE($C13, ""price"", WORKDAY(INT($B13), 1)), 2, 2), """")=""""), """", IF($D13=""LONG"", (IFERROR(INDEX(GOOGLEFINANCE($C13, ""price"", WORKDAY(INT($B13), 1)), 2, 2), """")-$G13)/$G13, ($G13-IFERROR(INDEX(GOOGLE"&amp;"FINANCE($C13, ""price"", WORKDAY(INT($B13), 1)), 2, 2), """"))/$G13))"),-0.007281937628621195)</f>
        <v>-0.007281937629</v>
      </c>
      <c r="R13" s="16">
        <f>IFERROR(__xludf.DUMMYFUNCTION("IF(OR(ISBLANK($G13), IFERROR(INDEX(GOOGLEFINANCE($C13, ""price"", WORKDAY(INT($B13), 5)), 2, 2), """")=""""), """", IF($D13=""LONG"", (IFERROR(INDEX(GOOGLEFINANCE($C13, ""price"", WORKDAY(INT($B13), 5)), 2, 2), """")-$G13)/$G13, ($G13-IFERROR(INDEX(GOOGLE"&amp;"FINANCE($C13, ""price"", WORKDAY(INT($B13), 5)), 2, 2), """"))/$G13))"),-0.014880481241095533)</f>
        <v>-0.01488048124</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2319</v>
      </c>
      <c r="U13" s="10" t="s">
        <v>850</v>
      </c>
      <c r="V13" s="10" t="s">
        <v>2321</v>
      </c>
      <c r="W13" s="10" t="s">
        <v>51</v>
      </c>
      <c r="X13" s="10" t="s">
        <v>2282</v>
      </c>
    </row>
    <row r="14">
      <c r="A14" s="9">
        <f t="shared" si="1"/>
        <v>13</v>
      </c>
      <c r="B14" s="11">
        <v>46219.66746527778</v>
      </c>
      <c r="C14" s="10" t="s">
        <v>757</v>
      </c>
      <c r="D14" s="10" t="s">
        <v>119</v>
      </c>
      <c r="E14" s="10" t="s">
        <v>120</v>
      </c>
      <c r="F14" s="13">
        <v>4.0</v>
      </c>
      <c r="G14" s="14">
        <v>121.66</v>
      </c>
      <c r="H14" s="10" t="s">
        <v>2323</v>
      </c>
      <c r="I14" s="10">
        <v>11.0</v>
      </c>
      <c r="O14" s="15">
        <f>IFERROR(__xludf.DUMMYFUNCTION("IF(ISBLANK($C14), """", GOOGLEFINANCE($C14, ""price""))"),121.96)</f>
        <v>121.96</v>
      </c>
      <c r="P14" s="16">
        <f t="shared" si="2"/>
        <v>-0.002465888542</v>
      </c>
      <c r="Q14" s="16">
        <f>IFERROR(__xludf.DUMMYFUNCTION("IF(OR(ISBLANK($G14), IFERROR(INDEX(GOOGLEFINANCE($C14, ""price"", WORKDAY(INT($B14), 1)), 2, 2), """")=""""), """", IF($D14=""LONG"", (IFERROR(INDEX(GOOGLEFINANCE($C14, ""price"", WORKDAY(INT($B14), 1)), 2, 2), """")-$G14)/$G14, ($G14-IFERROR(INDEX(GOOGLE"&amp;"FINANCE($C14, ""price"", WORKDAY(INT($B14), 1)), 2, 2), """"))/$G14))"),-0.017754397501232918)</f>
        <v>-0.0177543975</v>
      </c>
      <c r="R14" s="16">
        <f>IFERROR(__xludf.DUMMYFUNCTION("IF(OR(ISBLANK($G14), IFERROR(INDEX(GOOGLEFINANCE($C14, ""price"", WORKDAY(INT($B14), 5)), 2, 2), """")=""""), """", IF($D14=""LONG"", (IFERROR(INDEX(GOOGLEFINANCE($C14, ""price"", WORKDAY(INT($B14), 5)), 2, 2), """")-$G14)/$G14, ($G14-IFERROR(INDEX(GOOGLE"&amp;"FINANCE($C14, ""price"", WORKDAY(INT($B14), 5)), 2, 2), """"))/$G14))"),-0.02375472628637186)</f>
        <v>-0.02375472629</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2326</v>
      </c>
      <c r="U14" s="10" t="s">
        <v>984</v>
      </c>
      <c r="V14" s="10" t="s">
        <v>985</v>
      </c>
      <c r="W14" s="10" t="s">
        <v>51</v>
      </c>
      <c r="X14" s="10" t="s">
        <v>984</v>
      </c>
    </row>
    <row r="15">
      <c r="A15" s="9">
        <f t="shared" si="1"/>
        <v>14</v>
      </c>
      <c r="B15" s="11">
        <v>46219.66747685185</v>
      </c>
      <c r="C15" s="10" t="s">
        <v>215</v>
      </c>
      <c r="D15" s="10" t="s">
        <v>36</v>
      </c>
      <c r="E15" s="10" t="s">
        <v>37</v>
      </c>
      <c r="F15" s="13">
        <v>2.0</v>
      </c>
      <c r="G15" s="14">
        <v>99.92</v>
      </c>
      <c r="H15" s="10" t="s">
        <v>2328</v>
      </c>
      <c r="I15" s="10">
        <v>80.5</v>
      </c>
      <c r="L15" s="10" t="s">
        <v>2329</v>
      </c>
      <c r="M15" s="34" t="s">
        <v>2106</v>
      </c>
      <c r="N15" s="10" t="s">
        <v>925</v>
      </c>
      <c r="O15" s="15">
        <f>IFERROR(__xludf.DUMMYFUNCTION("IF(ISBLANK($C15), """", GOOGLEFINANCE($C15, ""price""))"),94.16)</f>
        <v>94.16</v>
      </c>
      <c r="P15" s="16">
        <f t="shared" si="2"/>
        <v>-0.05764611689</v>
      </c>
      <c r="Q15" s="16">
        <f>IFERROR(__xludf.DUMMYFUNCTION("IF(OR(ISBLANK($G15), IFERROR(INDEX(GOOGLEFINANCE($C15, ""price"", WORKDAY(INT($B15), 1)), 2, 2), """")=""""), """", IF($D15=""LONG"", (IFERROR(INDEX(GOOGLEFINANCE($C15, ""price"", WORKDAY(INT($B15), 1)), 2, 2), """")-$G15)/$G15, ($G15-IFERROR(INDEX(GOOGLE"&amp;"FINANCE($C15, ""price"", WORKDAY(INT($B15), 1)), 2, 2), """"))/$G15))"),-0.024219375500400337)</f>
        <v>-0.0242193755</v>
      </c>
      <c r="R15" s="16">
        <f>IFERROR(__xludf.DUMMYFUNCTION("IF(OR(ISBLANK($G15), IFERROR(INDEX(GOOGLEFINANCE($C15, ""price"", WORKDAY(INT($B15), 5)), 2, 2), """")=""""), """", IF($D15=""LONG"", (IFERROR(INDEX(GOOGLEFINANCE($C15, ""price"", WORKDAY(INT($B15), 5)), 2, 2), """")-$G15)/$G15, ($G15-IFERROR(INDEX(GOOGLE"&amp;"FINANCE($C15, ""price"", WORKDAY(INT($B15), 5)), 2, 2), """"))/$G15))"),-0.06365092073658926)</f>
        <v>-0.06365092074</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2332</v>
      </c>
      <c r="U15" s="10" t="s">
        <v>240</v>
      </c>
      <c r="V15" s="10" t="s">
        <v>2333</v>
      </c>
      <c r="W15" s="10" t="s">
        <v>51</v>
      </c>
      <c r="X15" s="10" t="s">
        <v>1905</v>
      </c>
    </row>
    <row r="16">
      <c r="A16" s="9">
        <f t="shared" si="1"/>
        <v>15</v>
      </c>
      <c r="B16" s="11">
        <v>46219.66748842593</v>
      </c>
      <c r="C16" s="10" t="s">
        <v>834</v>
      </c>
      <c r="D16" s="10" t="s">
        <v>119</v>
      </c>
      <c r="E16" s="10" t="s">
        <v>120</v>
      </c>
      <c r="F16" s="13">
        <v>4.0</v>
      </c>
      <c r="G16" s="14">
        <v>123.34</v>
      </c>
      <c r="H16" s="10" t="s">
        <v>2335</v>
      </c>
      <c r="I16" s="10">
        <v>12.2</v>
      </c>
      <c r="O16" s="15">
        <f>IFERROR(__xludf.DUMMYFUNCTION("IF(ISBLANK($C16), """", GOOGLEFINANCE($C16, ""price""))"),127.99)</f>
        <v>127.99</v>
      </c>
      <c r="P16" s="16">
        <f t="shared" si="2"/>
        <v>-0.03770066483</v>
      </c>
      <c r="Q16" s="16">
        <f>IFERROR(__xludf.DUMMYFUNCTION("IF(OR(ISBLANK($G16), IFERROR(INDEX(GOOGLEFINANCE($C16, ""price"", WORKDAY(INT($B16), 1)), 2, 2), """")=""""), """", IF($D16=""LONG"", (IFERROR(INDEX(GOOGLEFINANCE($C16, ""price"", WORKDAY(INT($B16), 1)), 2, 2), """")-$G16)/$G16, ($G16-IFERROR(INDEX(GOOGLE"&amp;"FINANCE($C16, ""price"", WORKDAY(INT($B16), 1)), 2, 2), """"))/$G16))"),0.023269012485811615)</f>
        <v>0.02326901249</v>
      </c>
      <c r="R16" s="16">
        <f>IFERROR(__xludf.DUMMYFUNCTION("IF(OR(ISBLANK($G16), IFERROR(INDEX(GOOGLEFINANCE($C16, ""price"", WORKDAY(INT($B16), 5)), 2, 2), """")=""""), """", IF($D16=""LONG"", (IFERROR(INDEX(GOOGLEFINANCE($C16, ""price"", WORKDAY(INT($B16), 5)), 2, 2), """")-$G16)/$G16, ($G16-IFERROR(INDEX(GOOGLE"&amp;"FINANCE($C16, ""price"", WORKDAY(INT($B16), 5)), 2, 2), """"))/$G16))"),0.035187287173666315)</f>
        <v>0.03518728717</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2340</v>
      </c>
      <c r="U16" s="10" t="s">
        <v>984</v>
      </c>
      <c r="V16" s="10" t="s">
        <v>985</v>
      </c>
      <c r="W16" s="10" t="s">
        <v>51</v>
      </c>
      <c r="X16" s="10" t="s">
        <v>984</v>
      </c>
    </row>
    <row r="17">
      <c r="A17" s="9">
        <f t="shared" si="1"/>
        <v>16</v>
      </c>
      <c r="B17" s="11">
        <v>46219.66740740741</v>
      </c>
      <c r="C17" s="10" t="s">
        <v>191</v>
      </c>
      <c r="D17" s="10" t="s">
        <v>36</v>
      </c>
      <c r="E17" s="10" t="s">
        <v>133</v>
      </c>
      <c r="F17" s="13">
        <v>2.0</v>
      </c>
      <c r="G17" s="14">
        <v>23.36</v>
      </c>
      <c r="H17" s="10" t="s">
        <v>2341</v>
      </c>
      <c r="I17" s="10">
        <v>92.6</v>
      </c>
      <c r="O17" s="15">
        <f>IFERROR(__xludf.DUMMYFUNCTION("IF(ISBLANK($C17), """", GOOGLEFINANCE($C17, ""price""))"),27.01)</f>
        <v>27.01</v>
      </c>
      <c r="P17" s="16">
        <f t="shared" si="2"/>
        <v>0.15625</v>
      </c>
      <c r="Q17" s="16">
        <f>IFERROR(__xludf.DUMMYFUNCTION("IF(OR(ISBLANK($G17), IFERROR(INDEX(GOOGLEFINANCE($C17, ""price"", WORKDAY(INT($B17), 1)), 2, 2), """")=""""), """", IF($D17=""LONG"", (IFERROR(INDEX(GOOGLEFINANCE($C17, ""price"", WORKDAY(INT($B17), 1)), 2, 2), """")-$G17)/$G17, ($G17-IFERROR(INDEX(GOOGLE"&amp;"FINANCE($C17, ""price"", WORKDAY(INT($B17), 1)), 2, 2), """"))/$G17))"),-0.03210616438356165)</f>
        <v>-0.03210616438</v>
      </c>
      <c r="R17" s="16">
        <f>IFERROR(__xludf.DUMMYFUNCTION("IF(OR(ISBLANK($G17), IFERROR(INDEX(GOOGLEFINANCE($C17, ""price"", WORKDAY(INT($B17), 5)), 2, 2), """")=""""), """", IF($D17=""LONG"", (IFERROR(INDEX(GOOGLEFINANCE($C17, ""price"", WORKDAY(INT($B17), 5)), 2, 2), """")-$G17)/$G17, ($G17-IFERROR(INDEX(GOOGLE"&amp;"FINANCE($C17, ""price"", WORKDAY(INT($B17), 5)), 2, 2), """"))/$G17))"),-0.0723458904109588)</f>
        <v>-0.07234589041</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2346</v>
      </c>
      <c r="U17" s="10" t="s">
        <v>984</v>
      </c>
      <c r="V17" s="10" t="s">
        <v>985</v>
      </c>
      <c r="W17" s="10" t="s">
        <v>51</v>
      </c>
      <c r="X17" s="10" t="s">
        <v>984</v>
      </c>
    </row>
    <row r="18">
      <c r="A18" s="9">
        <f t="shared" si="1"/>
        <v>17</v>
      </c>
      <c r="B18" s="11">
        <v>46219.66747685185</v>
      </c>
      <c r="C18" s="10" t="s">
        <v>374</v>
      </c>
      <c r="D18" s="10" t="s">
        <v>36</v>
      </c>
      <c r="E18" s="10" t="s">
        <v>37</v>
      </c>
      <c r="F18" s="13">
        <v>2.0</v>
      </c>
      <c r="G18" s="14">
        <v>73.11</v>
      </c>
      <c r="H18" s="10" t="s">
        <v>2348</v>
      </c>
      <c r="I18" s="10">
        <v>96.2</v>
      </c>
      <c r="O18" s="15">
        <f>IFERROR(__xludf.DUMMYFUNCTION("IF(ISBLANK($C18), """", GOOGLEFINANCE($C18, ""price""))"),73.32)</f>
        <v>73.32</v>
      </c>
      <c r="P18" s="16">
        <f t="shared" si="2"/>
        <v>0.002872384079</v>
      </c>
      <c r="Q18" s="16">
        <f>IFERROR(__xludf.DUMMYFUNCTION("IF(OR(ISBLANK($G18), IFERROR(INDEX(GOOGLEFINANCE($C18, ""price"", WORKDAY(INT($B18), 1)), 2, 2), """")=""""), """", IF($D18=""LONG"", (IFERROR(INDEX(GOOGLEFINANCE($C18, ""price"", WORKDAY(INT($B18), 1)), 2, 2), """")-$G18)/$G18, ($G18-IFERROR(INDEX(GOOGLE"&amp;"FINANCE($C18, ""price"", WORKDAY(INT($B18), 1)), 2, 2), """"))/$G18))"),-0.01914922719190269)</f>
        <v>-0.01914922719</v>
      </c>
      <c r="R18" s="16">
        <f>IFERROR(__xludf.DUMMYFUNCTION("IF(OR(ISBLANK($G18), IFERROR(INDEX(GOOGLEFINANCE($C18, ""price"", WORKDAY(INT($B18), 5)), 2, 2), """")=""""), """", IF($D18=""LONG"", (IFERROR(INDEX(GOOGLEFINANCE($C18, ""price"", WORKDAY(INT($B18), 5)), 2, 2), """")-$G18)/$G18, ($G18-IFERROR(INDEX(GOOGLE"&amp;"FINANCE($C18, ""price"", WORKDAY(INT($B18), 5)), 2, 2), """"))/$G18))"),-0.03939269593762817)</f>
        <v>-0.03939269594</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2354</v>
      </c>
      <c r="U18" s="10" t="s">
        <v>984</v>
      </c>
      <c r="V18" s="10" t="s">
        <v>985</v>
      </c>
      <c r="W18" s="10" t="s">
        <v>51</v>
      </c>
      <c r="X18" s="10" t="s">
        <v>984</v>
      </c>
    </row>
    <row r="19">
      <c r="A19" s="9">
        <f t="shared" si="1"/>
        <v>18</v>
      </c>
      <c r="B19" s="11">
        <v>46219.66800925926</v>
      </c>
      <c r="C19" s="10" t="s">
        <v>444</v>
      </c>
      <c r="D19" s="10" t="s">
        <v>36</v>
      </c>
      <c r="E19" s="10" t="s">
        <v>37</v>
      </c>
      <c r="F19" s="13">
        <v>2.0</v>
      </c>
      <c r="G19" s="14">
        <v>361.54</v>
      </c>
      <c r="H19" s="10" t="s">
        <v>2355</v>
      </c>
      <c r="I19" s="10">
        <v>95.4</v>
      </c>
      <c r="O19" s="15">
        <f>IFERROR(__xludf.DUMMYFUNCTION("IF(ISBLANK($C19), """", GOOGLEFINANCE($C19, ""price""))"),342.6)</f>
        <v>342.6</v>
      </c>
      <c r="P19" s="16">
        <f t="shared" si="2"/>
        <v>-0.05238701112</v>
      </c>
      <c r="Q19" s="16">
        <f>IFERROR(__xludf.DUMMYFUNCTION("IF(OR(ISBLANK($G19), IFERROR(INDEX(GOOGLEFINANCE($C19, ""price"", WORKDAY(INT($B19), 1)), 2, 2), """")=""""), """", IF($D19=""LONG"", (IFERROR(INDEX(GOOGLEFINANCE($C19, ""price"", WORKDAY(INT($B19), 1)), 2, 2), """")-$G19)/$G19, ($G19-IFERROR(INDEX(GOOGLE"&amp;"FINANCE($C19, ""price"", WORKDAY(INT($B19), 1)), 2, 2), """"))/$G19))"),-0.017121203739558548)</f>
        <v>-0.01712120374</v>
      </c>
      <c r="R19" s="16">
        <f>IFERROR(__xludf.DUMMYFUNCTION("IF(OR(ISBLANK($G19), IFERROR(INDEX(GOOGLEFINANCE($C19, ""price"", WORKDAY(INT($B19), 5)), 2, 2), """")=""""), """", IF($D19=""LONG"", (IFERROR(INDEX(GOOGLEFINANCE($C19, ""price"", WORKDAY(INT($B19), 5)), 2, 2), """")-$G19)/$G19, ($G19-IFERROR(INDEX(GOOGLE"&amp;"FINANCE($C19, ""price"", WORKDAY(INT($B19), 5)), 2, 2), """"))/$G19))"),-0.0572550755103171)</f>
        <v>-0.05725507551</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2359</v>
      </c>
      <c r="U19" s="10" t="s">
        <v>704</v>
      </c>
      <c r="V19" s="10" t="s">
        <v>2360</v>
      </c>
      <c r="W19" s="10" t="s">
        <v>51</v>
      </c>
      <c r="X19" s="10" t="s">
        <v>1885</v>
      </c>
    </row>
    <row r="20">
      <c r="A20" s="9">
        <f t="shared" si="1"/>
        <v>19</v>
      </c>
      <c r="B20" s="11">
        <v>46219.66741898148</v>
      </c>
      <c r="C20" s="10" t="s">
        <v>312</v>
      </c>
      <c r="D20" s="10" t="s">
        <v>36</v>
      </c>
      <c r="E20" s="10" t="s">
        <v>37</v>
      </c>
      <c r="F20" s="13">
        <v>2.0</v>
      </c>
      <c r="G20" s="14">
        <v>14.82</v>
      </c>
      <c r="H20" s="10" t="s">
        <v>2362</v>
      </c>
      <c r="I20" s="10">
        <v>86.2</v>
      </c>
      <c r="O20" s="15">
        <f>IFERROR(__xludf.DUMMYFUNCTION("IF(ISBLANK($C20), """", GOOGLEFINANCE($C20, ""price""))"),14.7)</f>
        <v>14.7</v>
      </c>
      <c r="P20" s="16">
        <f t="shared" si="2"/>
        <v>-0.008097165992</v>
      </c>
      <c r="Q20" s="16">
        <f>IFERROR(__xludf.DUMMYFUNCTION("IF(OR(ISBLANK($G20), IFERROR(INDEX(GOOGLEFINANCE($C20, ""price"", WORKDAY(INT($B20), 1)), 2, 2), """")=""""), """", IF($D20=""LONG"", (IFERROR(INDEX(GOOGLEFINANCE($C20, ""price"", WORKDAY(INT($B20), 1)), 2, 2), """")-$G20)/$G20, ($G20-IFERROR(INDEX(GOOGLE"&amp;"FINANCE($C20, ""price"", WORKDAY(INT($B20), 1)), 2, 2), """"))/$G20))"),-0.0033738191632928954)</f>
        <v>-0.003373819163</v>
      </c>
      <c r="R20" s="16">
        <f>IFERROR(__xludf.DUMMYFUNCTION("IF(OR(ISBLANK($G20), IFERROR(INDEX(GOOGLEFINANCE($C20, ""price"", WORKDAY(INT($B20), 5)), 2, 2), """")=""""), """", IF($D20=""LONG"", (IFERROR(INDEX(GOOGLEFINANCE($C20, ""price"", WORKDAY(INT($B20), 5)), 2, 2), """")-$G20)/$G20, ($G20-IFERROR(INDEX(GOOGLE"&amp;"FINANCE($C20, ""price"", WORKDAY(INT($B20), 5)), 2, 2), """"))/$G20))"),6.74763832658555E-4)</f>
        <v>0.0006747638327</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2364</v>
      </c>
      <c r="U20" s="10" t="s">
        <v>984</v>
      </c>
      <c r="V20" s="10" t="s">
        <v>1880</v>
      </c>
      <c r="W20" s="10" t="s">
        <v>51</v>
      </c>
      <c r="X20" s="10" t="s">
        <v>984</v>
      </c>
    </row>
    <row r="21">
      <c r="A21" s="9">
        <f t="shared" si="1"/>
        <v>20</v>
      </c>
      <c r="B21" s="11">
        <v>46219.66744212963</v>
      </c>
      <c r="C21" s="10" t="s">
        <v>986</v>
      </c>
      <c r="D21" s="10" t="s">
        <v>119</v>
      </c>
      <c r="E21" s="10" t="s">
        <v>120</v>
      </c>
      <c r="F21" s="13">
        <v>4.0</v>
      </c>
      <c r="G21" s="14">
        <v>232.69</v>
      </c>
      <c r="H21" s="10" t="s">
        <v>2366</v>
      </c>
      <c r="I21" s="10">
        <v>1.5</v>
      </c>
      <c r="O21" s="15">
        <f>IFERROR(__xludf.DUMMYFUNCTION("IF(ISBLANK($C21), """", GOOGLEFINANCE($C21, ""price""))"),254.31)</f>
        <v>254.31</v>
      </c>
      <c r="P21" s="16">
        <f t="shared" si="2"/>
        <v>-0.09291331815</v>
      </c>
      <c r="Q21" s="16">
        <f>IFERROR(__xludf.DUMMYFUNCTION("IF(OR(ISBLANK($G21), IFERROR(INDEX(GOOGLEFINANCE($C21, ""price"", WORKDAY(INT($B21), 1)), 2, 2), """")=""""), """", IF($D21=""LONG"", (IFERROR(INDEX(GOOGLEFINANCE($C21, ""price"", WORKDAY(INT($B21), 1)), 2, 2), """")-$G21)/$G21, ($G21-IFERROR(INDEX(GOOGLE"&amp;"FINANCE($C21, ""price"", WORKDAY(INT($B21), 1)), 2, 2), """"))/$G21))"),-0.003309123726846922)</f>
        <v>-0.003309123727</v>
      </c>
      <c r="R21" s="16">
        <f>IFERROR(__xludf.DUMMYFUNCTION("IF(OR(ISBLANK($G21), IFERROR(INDEX(GOOGLEFINANCE($C21, ""price"", WORKDAY(INT($B21), 5)), 2, 2), """")=""""), """", IF($D21=""LONG"", (IFERROR(INDEX(GOOGLEFINANCE($C21, ""price"", WORKDAY(INT($B21), 5)), 2, 2), """")-$G21)/$G21, ($G21-IFERROR(INDEX(GOOGLE"&amp;"FINANCE($C21, ""price"", WORKDAY(INT($B21), 5)), 2, 2), """"))/$G21))"),0.0012892689844858454)</f>
        <v>0.001289268984</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2369</v>
      </c>
      <c r="U21" s="10" t="s">
        <v>984</v>
      </c>
      <c r="V21" s="10" t="s">
        <v>985</v>
      </c>
      <c r="W21" s="10" t="s">
        <v>51</v>
      </c>
      <c r="X21" s="10" t="s">
        <v>984</v>
      </c>
    </row>
    <row r="22">
      <c r="A22" s="9">
        <f t="shared" si="1"/>
        <v>21</v>
      </c>
      <c r="B22" s="11">
        <v>46219.667395833334</v>
      </c>
      <c r="C22" s="10" t="s">
        <v>238</v>
      </c>
      <c r="D22" s="10" t="s">
        <v>36</v>
      </c>
      <c r="E22" s="10" t="s">
        <v>37</v>
      </c>
      <c r="F22" s="13">
        <v>2.0</v>
      </c>
      <c r="G22" s="14">
        <v>228.45</v>
      </c>
      <c r="H22" s="10" t="s">
        <v>2370</v>
      </c>
      <c r="I22" s="10">
        <v>83.9</v>
      </c>
      <c r="O22" s="15">
        <f>IFERROR(__xludf.DUMMYFUNCTION("IF(ISBLANK($C22), """", GOOGLEFINANCE($C22, ""price""))"),246.89)</f>
        <v>246.89</v>
      </c>
      <c r="P22" s="16">
        <f t="shared" si="2"/>
        <v>0.08071788137</v>
      </c>
      <c r="Q22" s="16">
        <f>IFERROR(__xludf.DUMMYFUNCTION("IF(OR(ISBLANK($G22), IFERROR(INDEX(GOOGLEFINANCE($C22, ""price"", WORKDAY(INT($B22), 1)), 2, 2), """")=""""), """", IF($D22=""LONG"", (IFERROR(INDEX(GOOGLEFINANCE($C22, ""price"", WORKDAY(INT($B22), 1)), 2, 2), """")-$G22)/$G22, ($G22-IFERROR(INDEX(GOOGLE"&amp;"FINANCE($C22, ""price"", WORKDAY(INT($B22), 1)), 2, 2), """"))/$G22))"),-1.750930181658658E-4)</f>
        <v>-0.0001750930182</v>
      </c>
      <c r="R22" s="16">
        <f>IFERROR(__xludf.DUMMYFUNCTION("IF(OR(ISBLANK($G22), IFERROR(INDEX(GOOGLEFINANCE($C22, ""price"", WORKDAY(INT($B22), 5)), 2, 2), """")=""""), """", IF($D22=""LONG"", (IFERROR(INDEX(GOOGLEFINANCE($C22, ""price"", WORKDAY(INT($B22), 5)), 2, 2), """")-$G22)/$G22, ($G22-IFERROR(INDEX(GOOGLE"&amp;"FINANCE($C22, ""price"", WORKDAY(INT($B22), 5)), 2, 2), """"))/$G22))"),-0.043116655723353006)</f>
        <v>-0.04311665572</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2374</v>
      </c>
      <c r="U22" s="10" t="s">
        <v>984</v>
      </c>
      <c r="V22" s="10" t="s">
        <v>998</v>
      </c>
      <c r="W22" s="10" t="s">
        <v>51</v>
      </c>
      <c r="X22" s="10" t="s">
        <v>984</v>
      </c>
    </row>
    <row r="23">
      <c r="A23" s="9">
        <f t="shared" si="1"/>
        <v>22</v>
      </c>
      <c r="B23" s="11">
        <v>46219.66748842593</v>
      </c>
      <c r="C23" s="10" t="s">
        <v>728</v>
      </c>
      <c r="D23" s="10" t="s">
        <v>36</v>
      </c>
      <c r="E23" s="10" t="s">
        <v>1892</v>
      </c>
      <c r="F23" s="13">
        <v>2.0</v>
      </c>
      <c r="G23" s="14">
        <v>98.82</v>
      </c>
      <c r="H23" s="10" t="s">
        <v>2375</v>
      </c>
      <c r="I23" s="10">
        <v>83.7</v>
      </c>
      <c r="O23" s="15">
        <f>IFERROR(__xludf.DUMMYFUNCTION("IF(ISBLANK($C23), """", GOOGLEFINANCE($C23, ""price""))"),107.96)</f>
        <v>107.96</v>
      </c>
      <c r="P23" s="16">
        <f t="shared" si="2"/>
        <v>0.0924913985</v>
      </c>
      <c r="Q23" s="16">
        <f>IFERROR(__xludf.DUMMYFUNCTION("IF(OR(ISBLANK($G23), IFERROR(INDEX(GOOGLEFINANCE($C23, ""price"", WORKDAY(INT($B23), 1)), 2, 2), """")=""""), """", IF($D23=""LONG"", (IFERROR(INDEX(GOOGLEFINANCE($C23, ""price"", WORKDAY(INT($B23), 1)), 2, 2), """")-$G23)/$G23, ($G23-IFERROR(INDEX(GOOGLE"&amp;"FINANCE($C23, ""price"", WORKDAY(INT($B23), 1)), 2, 2), """"))/$G23))"),0.018822100789314043)</f>
        <v>0.01882210079</v>
      </c>
      <c r="R23" s="16">
        <f>IFERROR(__xludf.DUMMYFUNCTION("IF(OR(ISBLANK($G23), IFERROR(INDEX(GOOGLEFINANCE($C23, ""price"", WORKDAY(INT($B23), 5)), 2, 2), """")=""""), """", IF($D23=""LONG"", (IFERROR(INDEX(GOOGLEFINANCE($C23, ""price"", WORKDAY(INT($B23), 5)), 2, 2), """")-$G23)/$G23, ($G23-IFERROR(INDEX(GOOGLE"&amp;"FINANCE($C23, ""price"", WORKDAY(INT($B23), 5)), 2, 2), """"))/$G23))"),0.019530459421169873)</f>
        <v>0.01953045942</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2378</v>
      </c>
      <c r="U23" s="10" t="s">
        <v>984</v>
      </c>
      <c r="V23" s="10" t="s">
        <v>1880</v>
      </c>
      <c r="W23" s="10" t="s">
        <v>51</v>
      </c>
      <c r="X23" s="10" t="s">
        <v>984</v>
      </c>
    </row>
    <row r="24">
      <c r="A24" s="9">
        <f t="shared" si="1"/>
        <v>23</v>
      </c>
      <c r="B24" s="11">
        <v>46219.66748842593</v>
      </c>
      <c r="C24" s="10" t="s">
        <v>41</v>
      </c>
      <c r="D24" s="10" t="s">
        <v>36</v>
      </c>
      <c r="E24" s="10" t="s">
        <v>37</v>
      </c>
      <c r="F24" s="13">
        <v>2.0</v>
      </c>
      <c r="G24" s="14">
        <v>184.39</v>
      </c>
      <c r="H24" s="10" t="s">
        <v>2380</v>
      </c>
      <c r="I24" s="10">
        <v>79.9</v>
      </c>
      <c r="O24" s="15">
        <f>IFERROR(__xludf.DUMMYFUNCTION("IF(ISBLANK($C24), """", GOOGLEFINANCE($C24, ""price""))"),186.02)</f>
        <v>186.02</v>
      </c>
      <c r="P24" s="16">
        <f t="shared" si="2"/>
        <v>0.008839958783</v>
      </c>
      <c r="Q24" s="16">
        <f>IFERROR(__xludf.DUMMYFUNCTION("IF(OR(ISBLANK($G24), IFERROR(INDEX(GOOGLEFINANCE($C24, ""price"", WORKDAY(INT($B24), 1)), 2, 2), """")=""""), """", IF($D24=""LONG"", (IFERROR(INDEX(GOOGLEFINANCE($C24, ""price"", WORKDAY(INT($B24), 1)), 2, 2), """")-$G24)/$G24, ($G24-IFERROR(INDEX(GOOGLE"&amp;"FINANCE($C24, ""price"", WORKDAY(INT($B24), 1)), 2, 2), """"))/$G24))"),0.002006616410868293)</f>
        <v>0.002006616411</v>
      </c>
      <c r="R24" s="16">
        <f>IFERROR(__xludf.DUMMYFUNCTION("IF(OR(ISBLANK($G24), IFERROR(INDEX(GOOGLEFINANCE($C24, ""price"", WORKDAY(INT($B24), 5)), 2, 2), """")=""""), """", IF($D24=""LONG"", (IFERROR(INDEX(GOOGLEFINANCE($C24, ""price"", WORKDAY(INT($B24), 5)), 2, 2), """")-$G24)/$G24, ($G24-IFERROR(INDEX(GOOGLE"&amp;"FINANCE($C24, ""price"", WORKDAY(INT($B24), 5)), 2, 2), """"))/$G24))"),-0.07218395791528812)</f>
        <v>-0.07218395792</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2384</v>
      </c>
      <c r="U24" s="10" t="s">
        <v>984</v>
      </c>
      <c r="V24" s="10" t="s">
        <v>1880</v>
      </c>
      <c r="W24" s="10" t="s">
        <v>51</v>
      </c>
      <c r="X24" s="10" t="s">
        <v>984</v>
      </c>
    </row>
    <row r="25">
      <c r="A25" s="9">
        <f t="shared" si="1"/>
        <v>24</v>
      </c>
      <c r="B25" s="11">
        <v>46219.66737268519</v>
      </c>
      <c r="C25" s="10" t="s">
        <v>618</v>
      </c>
      <c r="D25" s="10" t="s">
        <v>36</v>
      </c>
      <c r="E25" s="10" t="s">
        <v>37</v>
      </c>
      <c r="F25" s="13">
        <v>2.0</v>
      </c>
      <c r="G25" s="14">
        <v>225.98</v>
      </c>
      <c r="H25" s="10" t="s">
        <v>2385</v>
      </c>
      <c r="I25" s="10">
        <v>96.7</v>
      </c>
      <c r="O25" s="15">
        <f>IFERROR(__xludf.DUMMYFUNCTION("IF(ISBLANK($C25), """", GOOGLEFINANCE($C25, ""price""))"),254.06)</f>
        <v>254.06</v>
      </c>
      <c r="P25" s="16">
        <f t="shared" si="2"/>
        <v>0.124258784</v>
      </c>
      <c r="Q25" s="16">
        <f>IFERROR(__xludf.DUMMYFUNCTION("IF(OR(ISBLANK($G25), IFERROR(INDEX(GOOGLEFINANCE($C25, ""price"", WORKDAY(INT($B25), 1)), 2, 2), """")=""""), """", IF($D25=""LONG"", (IFERROR(INDEX(GOOGLEFINANCE($C25, ""price"", WORKDAY(INT($B25), 1)), 2, 2), """")-$G25)/$G25, ($G25-IFERROR(INDEX(GOOGLE"&amp;"FINANCE($C25, ""price"", WORKDAY(INT($B25), 1)), 2, 2), """"))/$G25))"),0.005885476590848804)</f>
        <v>0.005885476591</v>
      </c>
      <c r="R25" s="16">
        <f>IFERROR(__xludf.DUMMYFUNCTION("IF(OR(ISBLANK($G25), IFERROR(INDEX(GOOGLEFINANCE($C25, ""price"", WORKDAY(INT($B25), 5)), 2, 2), """")=""""), """", IF($D25=""LONG"", (IFERROR(INDEX(GOOGLEFINANCE($C25, ""price"", WORKDAY(INT($B25), 5)), 2, 2), """")-$G25)/$G25, ($G25-IFERROR(INDEX(GOOGLE"&amp;"FINANCE($C25, ""price"", WORKDAY(INT($B25), 5)), 2, 2), """"))/$G25))"),-0.05071245242941844)</f>
        <v>-0.05071245243</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2390</v>
      </c>
      <c r="U25" s="10" t="s">
        <v>984</v>
      </c>
      <c r="V25" s="10" t="s">
        <v>985</v>
      </c>
      <c r="W25" s="10" t="s">
        <v>51</v>
      </c>
      <c r="X25" s="10" t="s">
        <v>984</v>
      </c>
    </row>
    <row r="26">
      <c r="A26" s="9">
        <f t="shared" si="1"/>
        <v>25</v>
      </c>
      <c r="B26" s="11">
        <v>46219.66746527778</v>
      </c>
      <c r="C26" s="10" t="s">
        <v>499</v>
      </c>
      <c r="D26" s="10" t="s">
        <v>36</v>
      </c>
      <c r="E26" s="10" t="s">
        <v>37</v>
      </c>
      <c r="F26" s="13">
        <v>2.0</v>
      </c>
      <c r="G26" s="14">
        <v>113.85</v>
      </c>
      <c r="H26" s="10" t="s">
        <v>2392</v>
      </c>
      <c r="I26" s="10">
        <v>93.1</v>
      </c>
      <c r="O26" s="15">
        <f>IFERROR(__xludf.DUMMYFUNCTION("IF(ISBLANK($C26), """", GOOGLEFINANCE($C26, ""price""))"),115.98)</f>
        <v>115.98</v>
      </c>
      <c r="P26" s="16">
        <f t="shared" si="2"/>
        <v>0.0187088274</v>
      </c>
      <c r="Q26" s="16">
        <f>IFERROR(__xludf.DUMMYFUNCTION("IF(OR(ISBLANK($G26), IFERROR(INDEX(GOOGLEFINANCE($C26, ""price"", WORKDAY(INT($B26), 1)), 2, 2), """")=""""), """", IF($D26=""LONG"", (IFERROR(INDEX(GOOGLEFINANCE($C26, ""price"", WORKDAY(INT($B26), 1)), 2, 2), """")-$G26)/$G26, ($G26-IFERROR(INDEX(GOOGLE"&amp;"FINANCE($C26, ""price"", WORKDAY(INT($B26), 1)), 2, 2), """"))/$G26))"),0.0052700922266140406)</f>
        <v>0.005270092227</v>
      </c>
      <c r="R26" s="16">
        <f>IFERROR(__xludf.DUMMYFUNCTION("IF(OR(ISBLANK($G26), IFERROR(INDEX(GOOGLEFINANCE($C26, ""price"", WORKDAY(INT($B26), 5)), 2, 2), """")=""""), """", IF($D26=""LONG"", (IFERROR(INDEX(GOOGLEFINANCE($C26, ""price"", WORKDAY(INT($B26), 5)), 2, 2), """")-$G26)/$G26, ($G26-IFERROR(INDEX(GOOGLE"&amp;"FINANCE($C26, ""price"", WORKDAY(INT($B26), 5)), 2, 2), """"))/$G26))"),0.015634606938954777)</f>
        <v>0.01563460694</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2395</v>
      </c>
      <c r="U26" s="10" t="s">
        <v>240</v>
      </c>
      <c r="V26" s="10" t="s">
        <v>2396</v>
      </c>
      <c r="W26" s="10" t="s">
        <v>51</v>
      </c>
      <c r="X26" s="10" t="s">
        <v>1905</v>
      </c>
    </row>
    <row r="27">
      <c r="A27" s="9">
        <f t="shared" si="1"/>
        <v>26</v>
      </c>
      <c r="B27" s="11">
        <v>46219.66740740741</v>
      </c>
      <c r="C27" s="10" t="s">
        <v>556</v>
      </c>
      <c r="D27" s="10" t="s">
        <v>119</v>
      </c>
      <c r="E27" s="10" t="s">
        <v>120</v>
      </c>
      <c r="F27" s="13">
        <v>4.0</v>
      </c>
      <c r="G27" s="14">
        <v>51.05</v>
      </c>
      <c r="H27" s="10" t="s">
        <v>2398</v>
      </c>
      <c r="I27" s="10">
        <v>6.6</v>
      </c>
      <c r="O27" s="15">
        <f>IFERROR(__xludf.DUMMYFUNCTION("IF(ISBLANK($C27), """", GOOGLEFINANCE($C27, ""price""))"),55.37)</f>
        <v>55.37</v>
      </c>
      <c r="P27" s="16">
        <f t="shared" si="2"/>
        <v>-0.08462291871</v>
      </c>
      <c r="Q27" s="16">
        <f>IFERROR(__xludf.DUMMYFUNCTION("IF(OR(ISBLANK($G27), IFERROR(INDEX(GOOGLEFINANCE($C27, ""price"", WORKDAY(INT($B27), 1)), 2, 2), """")=""""), """", IF($D27=""LONG"", (IFERROR(INDEX(GOOGLEFINANCE($C27, ""price"", WORKDAY(INT($B27), 1)), 2, 2), """")-$G27)/$G27, ($G27-IFERROR(INDEX(GOOGLE"&amp;"FINANCE($C27, ""price"", WORKDAY(INT($B27), 1)), 2, 2), """"))/$G27))"),-0.011361410381978559)</f>
        <v>-0.01136141038</v>
      </c>
      <c r="R27" s="16">
        <f>IFERROR(__xludf.DUMMYFUNCTION("IF(OR(ISBLANK($G27), IFERROR(INDEX(GOOGLEFINANCE($C27, ""price"", WORKDAY(INT($B27), 5)), 2, 2), """")=""""), """", IF($D27=""LONG"", (IFERROR(INDEX(GOOGLEFINANCE($C27, ""price"", WORKDAY(INT($B27), 5)), 2, 2), """")-$G27)/$G27, ($G27-IFERROR(INDEX(GOOGLE"&amp;"FINANCE($C27, ""price"", WORKDAY(INT($B27), 5)), 2, 2), """"))/$G27))"),0.036630754162585655)</f>
        <v>0.03663075416</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2401</v>
      </c>
      <c r="U27" s="10" t="s">
        <v>984</v>
      </c>
      <c r="V27" s="10" t="s">
        <v>985</v>
      </c>
      <c r="W27" s="10" t="s">
        <v>51</v>
      </c>
      <c r="X27" s="10" t="s">
        <v>984</v>
      </c>
    </row>
    <row r="28">
      <c r="A28" s="9">
        <f t="shared" si="1"/>
        <v>27</v>
      </c>
      <c r="B28" s="11">
        <v>46219.66755787037</v>
      </c>
      <c r="C28" s="10" t="s">
        <v>1171</v>
      </c>
      <c r="D28" s="10" t="s">
        <v>36</v>
      </c>
      <c r="E28" s="10" t="s">
        <v>133</v>
      </c>
      <c r="F28" s="13">
        <v>2.0</v>
      </c>
      <c r="G28" s="14">
        <v>241.45</v>
      </c>
      <c r="H28" s="10" t="s">
        <v>2403</v>
      </c>
      <c r="I28" s="10">
        <v>81.1</v>
      </c>
      <c r="O28" s="15">
        <f>IFERROR(__xludf.DUMMYFUNCTION("IF(ISBLANK($C28), """", GOOGLEFINANCE($C28, ""price""))"),236.0)</f>
        <v>236</v>
      </c>
      <c r="P28" s="16">
        <f t="shared" si="2"/>
        <v>-0.02257196107</v>
      </c>
      <c r="Q28" s="16">
        <f>IFERROR(__xludf.DUMMYFUNCTION("IF(OR(ISBLANK($G28), IFERROR(INDEX(GOOGLEFINANCE($C28, ""price"", WORKDAY(INT($B28), 1)), 2, 2), """")=""""), """", IF($D28=""LONG"", (IFERROR(INDEX(GOOGLEFINANCE($C28, ""price"", WORKDAY(INT($B28), 1)), 2, 2), """")-$G28)/$G28, ($G28-IFERROR(INDEX(GOOGLE"&amp;"FINANCE($C28, ""price"", WORKDAY(INT($B28), 1)), 2, 2), """"))/$G28))"),0.007454959618968778)</f>
        <v>0.007454959619</v>
      </c>
      <c r="R28" s="16">
        <f>IFERROR(__xludf.DUMMYFUNCTION("IF(OR(ISBLANK($G28), IFERROR(INDEX(GOOGLEFINANCE($C28, ""price"", WORKDAY(INT($B28), 5)), 2, 2), """")=""""), """", IF($D28=""LONG"", (IFERROR(INDEX(GOOGLEFINANCE($C28, ""price"", WORKDAY(INT($B28), 5)), 2, 2), """")-$G28)/$G28, ($G28-IFERROR(INDEX(GOOGLE"&amp;"FINANCE($C28, ""price"", WORKDAY(INT($B28), 5)), 2, 2), """"))/$G28))"),0.02319320770345837)</f>
        <v>0.0231932077</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2406</v>
      </c>
      <c r="U28" s="10" t="s">
        <v>984</v>
      </c>
      <c r="V28" s="10" t="s">
        <v>985</v>
      </c>
      <c r="W28" s="10" t="s">
        <v>51</v>
      </c>
      <c r="X28" s="10" t="s">
        <v>984</v>
      </c>
    </row>
    <row r="29">
      <c r="A29" s="9">
        <f t="shared" si="1"/>
        <v>28</v>
      </c>
      <c r="B29" s="11">
        <v>46219.66751157407</v>
      </c>
      <c r="C29" s="10" t="s">
        <v>94</v>
      </c>
      <c r="D29" s="10" t="s">
        <v>36</v>
      </c>
      <c r="E29" s="10" t="s">
        <v>37</v>
      </c>
      <c r="F29" s="13">
        <v>2.0</v>
      </c>
      <c r="G29" s="14">
        <v>59.36</v>
      </c>
      <c r="H29" s="10" t="s">
        <v>2407</v>
      </c>
      <c r="I29" s="10">
        <v>88.9</v>
      </c>
      <c r="O29" s="15">
        <f>IFERROR(__xludf.DUMMYFUNCTION("IF(ISBLANK($C29), """", GOOGLEFINANCE($C29, ""price""))"),56.96)</f>
        <v>56.96</v>
      </c>
      <c r="P29" s="16">
        <f t="shared" si="2"/>
        <v>-0.04043126685</v>
      </c>
      <c r="Q29" s="16">
        <f>IFERROR(__xludf.DUMMYFUNCTION("IF(OR(ISBLANK($G29), IFERROR(INDEX(GOOGLEFINANCE($C29, ""price"", WORKDAY(INT($B29), 1)), 2, 2), """")=""""), """", IF($D29=""LONG"", (IFERROR(INDEX(GOOGLEFINANCE($C29, ""price"", WORKDAY(INT($B29), 1)), 2, 2), """")-$G29)/$G29, ($G29-IFERROR(INDEX(GOOGLE"&amp;"FINANCE($C29, ""price"", WORKDAY(INT($B29), 1)), 2, 2), """"))/$G29))"),-0.022742587601078192)</f>
        <v>-0.0227425876</v>
      </c>
      <c r="R29" s="16">
        <f>IFERROR(__xludf.DUMMYFUNCTION("IF(OR(ISBLANK($G29), IFERROR(INDEX(GOOGLEFINANCE($C29, ""price"", WORKDAY(INT($B29), 5)), 2, 2), """")=""""), """", IF($D29=""LONG"", (IFERROR(INDEX(GOOGLEFINANCE($C29, ""price"", WORKDAY(INT($B29), 5)), 2, 2), """")-$G29)/$G29, ($G29-IFERROR(INDEX(GOOGLE"&amp;"FINANCE($C29, ""price"", WORKDAY(INT($B29), 5)), 2, 2), """"))/$G29))"),-0.037230458221024276)</f>
        <v>-0.03723045822</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2412</v>
      </c>
      <c r="U29" s="10" t="s">
        <v>984</v>
      </c>
      <c r="V29" s="10" t="s">
        <v>1880</v>
      </c>
      <c r="W29" s="10" t="s">
        <v>51</v>
      </c>
      <c r="X29" s="10" t="s">
        <v>984</v>
      </c>
    </row>
    <row r="30">
      <c r="A30" s="9">
        <f t="shared" si="1"/>
        <v>29</v>
      </c>
      <c r="B30" s="11">
        <v>46219.66753472222</v>
      </c>
      <c r="C30" s="10" t="s">
        <v>258</v>
      </c>
      <c r="D30" s="10" t="s">
        <v>36</v>
      </c>
      <c r="E30" s="10" t="s">
        <v>37</v>
      </c>
      <c r="F30" s="13">
        <v>2.0</v>
      </c>
      <c r="G30" s="14">
        <v>118.89</v>
      </c>
      <c r="H30" s="10" t="s">
        <v>2414</v>
      </c>
      <c r="I30" s="10">
        <v>93.1</v>
      </c>
      <c r="O30" s="15">
        <f>IFERROR(__xludf.DUMMYFUNCTION("IF(ISBLANK($C30), """", GOOGLEFINANCE($C30, ""price""))"),113.62)</f>
        <v>113.62</v>
      </c>
      <c r="P30" s="16">
        <f t="shared" si="2"/>
        <v>-0.04432668854</v>
      </c>
      <c r="Q30" s="16">
        <f>IFERROR(__xludf.DUMMYFUNCTION("IF(OR(ISBLANK($G30), IFERROR(INDEX(GOOGLEFINANCE($C30, ""price"", WORKDAY(INT($B30), 1)), 2, 2), """")=""""), """", IF($D30=""LONG"", (IFERROR(INDEX(GOOGLEFINANCE($C30, ""price"", WORKDAY(INT($B30), 1)), 2, 2), """")-$G30)/$G30, ($G30-IFERROR(INDEX(GOOGLE"&amp;"FINANCE($C30, ""price"", WORKDAY(INT($B30), 1)), 2, 2), """"))/$G30))"),-0.012953149970561075)</f>
        <v>-0.01295314997</v>
      </c>
      <c r="R30" s="16">
        <f>IFERROR(__xludf.DUMMYFUNCTION("IF(OR(ISBLANK($G30), IFERROR(INDEX(GOOGLEFINANCE($C30, ""price"", WORKDAY(INT($B30), 5)), 2, 2), """")=""""), """", IF($D30=""LONG"", (IFERROR(INDEX(GOOGLEFINANCE($C30, ""price"", WORKDAY(INT($B30), 5)), 2, 2), """")-$G30)/$G30, ($G30-IFERROR(INDEX(GOOGLE"&amp;"FINANCE($C30, ""price"", WORKDAY(INT($B30), 5)), 2, 2), """"))/$G30))"),-0.03313987719740935)</f>
        <v>-0.0331398772</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2415</v>
      </c>
      <c r="U30" s="10" t="s">
        <v>507</v>
      </c>
      <c r="V30" s="10" t="s">
        <v>2416</v>
      </c>
      <c r="W30" s="10" t="s">
        <v>51</v>
      </c>
      <c r="X30" s="10" t="s">
        <v>507</v>
      </c>
    </row>
    <row r="31">
      <c r="A31" s="9">
        <f t="shared" si="1"/>
        <v>30</v>
      </c>
      <c r="B31" s="11">
        <v>46219.66741898148</v>
      </c>
      <c r="C31" s="10" t="s">
        <v>154</v>
      </c>
      <c r="D31" s="10" t="s">
        <v>36</v>
      </c>
      <c r="E31" s="10" t="s">
        <v>37</v>
      </c>
      <c r="F31" s="13">
        <v>2.0</v>
      </c>
      <c r="G31" s="14">
        <v>160.79</v>
      </c>
      <c r="H31" s="10" t="s">
        <v>2418</v>
      </c>
      <c r="I31" s="10">
        <v>92.5</v>
      </c>
      <c r="O31" s="15">
        <f>IFERROR(__xludf.DUMMYFUNCTION("IF(ISBLANK($C31), """", GOOGLEFINANCE($C31, ""price""))"),160.11)</f>
        <v>160.11</v>
      </c>
      <c r="P31" s="16">
        <f t="shared" si="2"/>
        <v>-0.004229118726</v>
      </c>
      <c r="Q31" s="16">
        <f>IFERROR(__xludf.DUMMYFUNCTION("IF(OR(ISBLANK($G31), IFERROR(INDEX(GOOGLEFINANCE($C31, ""price"", WORKDAY(INT($B31), 1)), 2, 2), """")=""""), """", IF($D31=""LONG"", (IFERROR(INDEX(GOOGLEFINANCE($C31, ""price"", WORKDAY(INT($B31), 1)), 2, 2), """")-$G31)/$G31, ($G31-IFERROR(INDEX(GOOGLE"&amp;"FINANCE($C31, ""price"", WORKDAY(INT($B31), 1)), 2, 2), """"))/$G31))"),0.005099819640525043)</f>
        <v>0.005099819641</v>
      </c>
      <c r="R31" s="16">
        <f>IFERROR(__xludf.DUMMYFUNCTION("IF(OR(ISBLANK($G31), IFERROR(INDEX(GOOGLEFINANCE($C31, ""price"", WORKDAY(INT($B31), 5)), 2, 2), """")=""""), """", IF($D31=""LONG"", (IFERROR(INDEX(GOOGLEFINANCE($C31, ""price"", WORKDAY(INT($B31), 5)), 2, 2), """")-$G31)/$G31, ($G31-IFERROR(INDEX(GOOGLE"&amp;"FINANCE($C31, ""price"", WORKDAY(INT($B31), 5)), 2, 2), """"))/$G31))"),-0.05752845326201878)</f>
        <v>-0.05752845326</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2423</v>
      </c>
      <c r="U31" s="10" t="s">
        <v>507</v>
      </c>
      <c r="V31" s="10" t="s">
        <v>2424</v>
      </c>
      <c r="W31" s="10" t="s">
        <v>51</v>
      </c>
      <c r="X31" s="10" t="s">
        <v>507</v>
      </c>
    </row>
    <row r="32">
      <c r="A32" s="9">
        <f t="shared" si="1"/>
        <v>31</v>
      </c>
      <c r="B32" s="11">
        <v>46219.66753472222</v>
      </c>
      <c r="C32" s="10" t="s">
        <v>58</v>
      </c>
      <c r="D32" s="10" t="s">
        <v>36</v>
      </c>
      <c r="E32" s="10" t="s">
        <v>37</v>
      </c>
      <c r="F32" s="13">
        <v>2.0</v>
      </c>
      <c r="G32" s="14">
        <v>345.75</v>
      </c>
      <c r="H32" s="10" t="s">
        <v>2426</v>
      </c>
      <c r="I32" s="10">
        <v>94.4</v>
      </c>
      <c r="O32" s="15">
        <f>IFERROR(__xludf.DUMMYFUNCTION("IF(ISBLANK($C32), """", GOOGLEFINANCE($C32, ""price""))"),374.55)</f>
        <v>374.55</v>
      </c>
      <c r="P32" s="16">
        <f t="shared" si="2"/>
        <v>0.08329718004</v>
      </c>
      <c r="Q32" s="16">
        <f>IFERROR(__xludf.DUMMYFUNCTION("IF(OR(ISBLANK($G32), IFERROR(INDEX(GOOGLEFINANCE($C32, ""price"", WORKDAY(INT($B32), 1)), 2, 2), """")=""""), """", IF($D32=""LONG"", (IFERROR(INDEX(GOOGLEFINANCE($C32, ""price"", WORKDAY(INT($B32), 1)), 2, 2), """")-$G32)/$G32, ($G32-IFERROR(INDEX(GOOGLE"&amp;"FINANCE($C32, ""price"", WORKDAY(INT($B32), 1)), 2, 2), """"))/$G32))"),0.008908170643528515)</f>
        <v>0.008908170644</v>
      </c>
      <c r="R32" s="16">
        <f>IFERROR(__xludf.DUMMYFUNCTION("IF(OR(ISBLANK($G32), IFERROR(INDEX(GOOGLEFINANCE($C32, ""price"", WORKDAY(INT($B32), 5)), 2, 2), """")=""""), """", IF($D32=""LONG"", (IFERROR(INDEX(GOOGLEFINANCE($C32, ""price"", WORKDAY(INT($B32), 5)), 2, 2), """")-$G32)/$G32, ($G32-IFERROR(INDEX(GOOGLE"&amp;"FINANCE($C32, ""price"", WORKDAY(INT($B32), 5)), 2, 2), """"))/$G32))"),0.009399855386840203)</f>
        <v>0.009399855387</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2430</v>
      </c>
      <c r="U32" s="10" t="s">
        <v>507</v>
      </c>
      <c r="V32" s="10" t="s">
        <v>2431</v>
      </c>
      <c r="W32" s="10" t="s">
        <v>51</v>
      </c>
      <c r="X32" s="10" t="s">
        <v>507</v>
      </c>
    </row>
    <row r="33">
      <c r="A33" s="9">
        <f t="shared" si="1"/>
        <v>32</v>
      </c>
      <c r="B33" s="11">
        <v>46219.667546296296</v>
      </c>
      <c r="C33" s="10" t="s">
        <v>1739</v>
      </c>
      <c r="D33" s="10" t="s">
        <v>36</v>
      </c>
      <c r="E33" s="10" t="s">
        <v>37</v>
      </c>
      <c r="F33" s="13">
        <v>2.0</v>
      </c>
      <c r="G33" s="14">
        <v>241.89</v>
      </c>
      <c r="H33" s="10" t="s">
        <v>2434</v>
      </c>
      <c r="I33" s="10">
        <v>92.3</v>
      </c>
      <c r="O33" s="15">
        <f>IFERROR(__xludf.DUMMYFUNCTION("IF(ISBLANK($C33), """", GOOGLEFINANCE($C33, ""price""))"),275.11)</f>
        <v>275.11</v>
      </c>
      <c r="P33" s="16">
        <f t="shared" si="2"/>
        <v>0.1373351523</v>
      </c>
      <c r="Q33" s="16">
        <f>IFERROR(__xludf.DUMMYFUNCTION("IF(OR(ISBLANK($G33), IFERROR(INDEX(GOOGLEFINANCE($C33, ""price"", WORKDAY(INT($B33), 1)), 2, 2), """")=""""), """", IF($D33=""LONG"", (IFERROR(INDEX(GOOGLEFINANCE($C33, ""price"", WORKDAY(INT($B33), 1)), 2, 2), """")-$G33)/$G33, ($G33-IFERROR(INDEX(GOOGLE"&amp;"FINANCE($C33, ""price"", WORKDAY(INT($B33), 1)), 2, 2), """"))/$G33))"),0.03311422547438927)</f>
        <v>0.03311422547</v>
      </c>
      <c r="R33" s="16">
        <f>IFERROR(__xludf.DUMMYFUNCTION("IF(OR(ISBLANK($G33), IFERROR(INDEX(GOOGLEFINANCE($C33, ""price"", WORKDAY(INT($B33), 5)), 2, 2), """")=""""), """", IF($D33=""LONG"", (IFERROR(INDEX(GOOGLEFINANCE($C33, ""price"", WORKDAY(INT($B33), 5)), 2, 2), """")-$G33)/$G33, ($G33-IFERROR(INDEX(GOOGLE"&amp;"FINANCE($C33, ""price"", WORKDAY(INT($B33), 5)), 2, 2), """"))/$G33))"),0.05221381619744522)</f>
        <v>0.0522138162</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2437</v>
      </c>
      <c r="U33" s="10" t="s">
        <v>219</v>
      </c>
      <c r="V33" s="10" t="s">
        <v>2438</v>
      </c>
      <c r="W33" s="10" t="s">
        <v>51</v>
      </c>
      <c r="X33" s="10" t="s">
        <v>974</v>
      </c>
    </row>
    <row r="34">
      <c r="A34" s="9">
        <f t="shared" si="1"/>
        <v>33</v>
      </c>
      <c r="B34" s="11">
        <v>46219.66744212963</v>
      </c>
      <c r="C34" s="10" t="s">
        <v>110</v>
      </c>
      <c r="D34" s="10" t="s">
        <v>36</v>
      </c>
      <c r="E34" s="10" t="s">
        <v>37</v>
      </c>
      <c r="F34" s="13">
        <v>2.0</v>
      </c>
      <c r="G34" s="14">
        <v>211.97</v>
      </c>
      <c r="H34" s="10" t="s">
        <v>2440</v>
      </c>
      <c r="I34" s="10">
        <v>96.6</v>
      </c>
      <c r="O34" s="15">
        <f>IFERROR(__xludf.DUMMYFUNCTION("IF(ISBLANK($C34), """", GOOGLEFINANCE($C34, ""price""))"),220.0)</f>
        <v>220</v>
      </c>
      <c r="P34" s="16">
        <f t="shared" si="2"/>
        <v>0.03788271925</v>
      </c>
      <c r="Q34" s="16">
        <f>IFERROR(__xludf.DUMMYFUNCTION("IF(OR(ISBLANK($G34), IFERROR(INDEX(GOOGLEFINANCE($C34, ""price"", WORKDAY(INT($B34), 1)), 2, 2), """")=""""), """", IF($D34=""LONG"", (IFERROR(INDEX(GOOGLEFINANCE($C34, ""price"", WORKDAY(INT($B34), 1)), 2, 2), """")-$G34)/$G34, ($G34-IFERROR(INDEX(GOOGLE"&amp;"FINANCE($C34, ""price"", WORKDAY(INT($B34), 1)), 2, 2), """"))/$G34))"),-0.01858753597207151)</f>
        <v>-0.01858753597</v>
      </c>
      <c r="R34" s="16">
        <f>IFERROR(__xludf.DUMMYFUNCTION("IF(OR(ISBLANK($G34), IFERROR(INDEX(GOOGLEFINANCE($C34, ""price"", WORKDAY(INT($B34), 5)), 2, 2), """")=""""), """", IF($D34=""LONG"", (IFERROR(INDEX(GOOGLEFINANCE($C34, ""price"", WORKDAY(INT($B34), 5)), 2, 2), """")-$G34)/$G34, ($G34-IFERROR(INDEX(GOOGLE"&amp;"FINANCE($C34, ""price"", WORKDAY(INT($B34), 5)), 2, 2), """"))/$G34))"),-0.05665896117375096)</f>
        <v>-0.05665896117</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2446</v>
      </c>
      <c r="U34" s="10" t="s">
        <v>984</v>
      </c>
      <c r="V34" s="10" t="s">
        <v>985</v>
      </c>
      <c r="W34" s="10" t="s">
        <v>51</v>
      </c>
      <c r="X34" s="10" t="s">
        <v>984</v>
      </c>
    </row>
    <row r="35">
      <c r="A35" s="9">
        <f t="shared" si="1"/>
        <v>34</v>
      </c>
      <c r="B35" s="11">
        <v>46219.66746527778</v>
      </c>
      <c r="C35" s="10" t="s">
        <v>2447</v>
      </c>
      <c r="D35" s="10" t="s">
        <v>119</v>
      </c>
      <c r="E35" s="10" t="s">
        <v>120</v>
      </c>
      <c r="F35" s="13">
        <v>4.0</v>
      </c>
      <c r="G35" s="14">
        <v>86.25</v>
      </c>
      <c r="H35" s="10" t="s">
        <v>2448</v>
      </c>
      <c r="I35" s="10">
        <v>18.8</v>
      </c>
      <c r="O35" s="15">
        <f>IFERROR(__xludf.DUMMYFUNCTION("IF(ISBLANK($C35), """", GOOGLEFINANCE($C35, ""price""))"),93.37)</f>
        <v>93.37</v>
      </c>
      <c r="P35" s="16">
        <f t="shared" si="2"/>
        <v>-0.08255072464</v>
      </c>
      <c r="Q35" s="16">
        <f>IFERROR(__xludf.DUMMYFUNCTION("IF(OR(ISBLANK($G35), IFERROR(INDEX(GOOGLEFINANCE($C35, ""price"", WORKDAY(INT($B35), 1)), 2, 2), """")=""""), """", IF($D35=""LONG"", (IFERROR(INDEX(GOOGLEFINANCE($C35, ""price"", WORKDAY(INT($B35), 1)), 2, 2), """")-$G35)/$G35, ($G35-IFERROR(INDEX(GOOGLE"&amp;"FINANCE($C35, ""price"", WORKDAY(INT($B35), 1)), 2, 2), """"))/$G35))"),0.002318840579710178)</f>
        <v>0.00231884058</v>
      </c>
      <c r="R35" s="16">
        <f>IFERROR(__xludf.DUMMYFUNCTION("IF(OR(ISBLANK($G35), IFERROR(INDEX(GOOGLEFINANCE($C35, ""price"", WORKDAY(INT($B35), 5)), 2, 2), """")=""""), """", IF($D35=""LONG"", (IFERROR(INDEX(GOOGLEFINANCE($C35, ""price"", WORKDAY(INT($B35), 5)), 2, 2), """")-$G35)/$G35, ($G35-IFERROR(INDEX(GOOGLE"&amp;"FINANCE($C35, ""price"", WORKDAY(INT($B35), 5)), 2, 2), """"))/$G35))"),0.001623188405797108)</f>
        <v>0.001623188406</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2453</v>
      </c>
      <c r="U35" s="10" t="s">
        <v>84</v>
      </c>
      <c r="V35" s="10" t="s">
        <v>2454</v>
      </c>
      <c r="W35" s="10" t="s">
        <v>51</v>
      </c>
      <c r="X35" s="10" t="s">
        <v>2309</v>
      </c>
    </row>
    <row r="36">
      <c r="A36" s="9">
        <f t="shared" si="1"/>
        <v>35</v>
      </c>
      <c r="B36" s="11">
        <v>46219.66751157407</v>
      </c>
      <c r="C36" s="10" t="s">
        <v>2455</v>
      </c>
      <c r="D36" s="10" t="s">
        <v>36</v>
      </c>
      <c r="E36" s="10" t="s">
        <v>87</v>
      </c>
      <c r="F36" s="13">
        <v>2.0</v>
      </c>
      <c r="G36" s="14">
        <v>184.62</v>
      </c>
      <c r="H36" s="10" t="s">
        <v>2456</v>
      </c>
      <c r="I36" s="10">
        <v>97.2</v>
      </c>
      <c r="O36" s="15">
        <f>IFERROR(__xludf.DUMMYFUNCTION("IF(ISBLANK($C36), """", GOOGLEFINANCE($C36, ""price""))"),207.39)</f>
        <v>207.39</v>
      </c>
      <c r="P36" s="16">
        <f t="shared" si="2"/>
        <v>0.1233344166</v>
      </c>
      <c r="Q36" s="16">
        <f>IFERROR(__xludf.DUMMYFUNCTION("IF(OR(ISBLANK($G36), IFERROR(INDEX(GOOGLEFINANCE($C36, ""price"", WORKDAY(INT($B36), 1)), 2, 2), """")=""""), """", IF($D36=""LONG"", (IFERROR(INDEX(GOOGLEFINANCE($C36, ""price"", WORKDAY(INT($B36), 1)), 2, 2), """")-$G36)/$G36, ($G36-IFERROR(INDEX(GOOGLE"&amp;"FINANCE($C36, ""price"", WORKDAY(INT($B36), 1)), 2, 2), """"))/$G36))"),-0.015924601884952864)</f>
        <v>-0.01592460188</v>
      </c>
      <c r="R36" s="16">
        <f>IFERROR(__xludf.DUMMYFUNCTION("IF(OR(ISBLANK($G36), IFERROR(INDEX(GOOGLEFINANCE($C36, ""price"", WORKDAY(INT($B36), 5)), 2, 2), """")=""""), """", IF($D36=""LONG"", (IFERROR(INDEX(GOOGLEFINANCE($C36, ""price"", WORKDAY(INT($B36), 5)), 2, 2), """")-$G36)/$G36, ($G36-IFERROR(INDEX(GOOGLE"&amp;"FINANCE($C36, ""price"", WORKDAY(INT($B36), 5)), 2, 2), """"))/$G36))"),-0.06386090347741302)</f>
        <v>-0.06386090348</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2460</v>
      </c>
      <c r="U36" s="10" t="s">
        <v>984</v>
      </c>
      <c r="V36" s="10" t="s">
        <v>985</v>
      </c>
      <c r="W36" s="10" t="s">
        <v>51</v>
      </c>
      <c r="X36" s="10" t="s">
        <v>984</v>
      </c>
    </row>
    <row r="37">
      <c r="A37" s="9">
        <f t="shared" si="1"/>
        <v>36</v>
      </c>
      <c r="B37" s="11">
        <v>46219.66746527778</v>
      </c>
      <c r="C37" s="10" t="s">
        <v>257</v>
      </c>
      <c r="D37" s="10" t="s">
        <v>36</v>
      </c>
      <c r="E37" s="10" t="s">
        <v>133</v>
      </c>
      <c r="F37" s="13">
        <v>2.0</v>
      </c>
      <c r="G37" s="14">
        <v>70.64</v>
      </c>
      <c r="H37" s="10" t="s">
        <v>2461</v>
      </c>
      <c r="I37" s="10">
        <v>90.3</v>
      </c>
      <c r="O37" s="15">
        <f>IFERROR(__xludf.DUMMYFUNCTION("IF(ISBLANK($C37), """", GOOGLEFINANCE($C37, ""price""))"),68.81)</f>
        <v>68.81</v>
      </c>
      <c r="P37" s="16">
        <f t="shared" si="2"/>
        <v>-0.02590600227</v>
      </c>
      <c r="Q37" s="16">
        <f>IFERROR(__xludf.DUMMYFUNCTION("IF(OR(ISBLANK($G37), IFERROR(INDEX(GOOGLEFINANCE($C37, ""price"", WORKDAY(INT($B37), 1)), 2, 2), """")=""""), """", IF($D37=""LONG"", (IFERROR(INDEX(GOOGLEFINANCE($C37, ""price"", WORKDAY(INT($B37), 1)), 2, 2), """")-$G37)/$G37, ($G37-IFERROR(INDEX(GOOGLE"&amp;"FINANCE($C37, ""price"", WORKDAY(INT($B37), 1)), 2, 2), """"))/$G37))"),-0.011183465458663736)</f>
        <v>-0.01118346546</v>
      </c>
      <c r="R37" s="16">
        <f>IFERROR(__xludf.DUMMYFUNCTION("IF(OR(ISBLANK($G37), IFERROR(INDEX(GOOGLEFINANCE($C37, ""price"", WORKDAY(INT($B37), 5)), 2, 2), """")=""""), """", IF($D37=""LONG"", (IFERROR(INDEX(GOOGLEFINANCE($C37, ""price"", WORKDAY(INT($B37), 5)), 2, 2), """")-$G37)/$G37, ($G37-IFERROR(INDEX(GOOGLE"&amp;"FINANCE($C37, ""price"", WORKDAY(INT($B37), 5)), 2, 2), """"))/$G37))"),-0.039637599093997694)</f>
        <v>-0.03963759909</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2465</v>
      </c>
      <c r="U37" s="10" t="s">
        <v>984</v>
      </c>
      <c r="V37" s="10" t="s">
        <v>985</v>
      </c>
      <c r="W37" s="10" t="s">
        <v>51</v>
      </c>
      <c r="X37" s="10" t="s">
        <v>984</v>
      </c>
    </row>
    <row r="38">
      <c r="A38" s="9">
        <f t="shared" si="1"/>
        <v>37</v>
      </c>
      <c r="B38" s="11">
        <v>46219.66741898148</v>
      </c>
      <c r="C38" s="10" t="s">
        <v>288</v>
      </c>
      <c r="D38" s="10" t="s">
        <v>36</v>
      </c>
      <c r="E38" s="10" t="s">
        <v>37</v>
      </c>
      <c r="F38" s="13">
        <v>2.0</v>
      </c>
      <c r="G38" s="14">
        <v>19.02</v>
      </c>
      <c r="H38" s="10" t="s">
        <v>2467</v>
      </c>
      <c r="I38" s="10">
        <v>93.1</v>
      </c>
      <c r="O38" s="15">
        <f>IFERROR(__xludf.DUMMYFUNCTION("IF(ISBLANK($C38), """", GOOGLEFINANCE($C38, ""price""))"),19.18)</f>
        <v>19.18</v>
      </c>
      <c r="P38" s="16">
        <f t="shared" si="2"/>
        <v>0.008412197687</v>
      </c>
      <c r="Q38" s="16">
        <f>IFERROR(__xludf.DUMMYFUNCTION("IF(OR(ISBLANK($G38), IFERROR(INDEX(GOOGLEFINANCE($C38, ""price"", WORKDAY(INT($B38), 1)), 2, 2), """")=""""), """", IF($D38=""LONG"", (IFERROR(INDEX(GOOGLEFINANCE($C38, ""price"", WORKDAY(INT($B38), 1)), 2, 2), """")-$G38)/$G38, ($G38-IFERROR(INDEX(GOOGLE"&amp;"FINANCE($C38, ""price"", WORKDAY(INT($B38), 1)), 2, 2), """"))/$G38))"),-0.0021030494216613643)</f>
        <v>-0.002103049422</v>
      </c>
      <c r="R38" s="16">
        <f>IFERROR(__xludf.DUMMYFUNCTION("IF(OR(ISBLANK($G38), IFERROR(INDEX(GOOGLEFINANCE($C38, ""price"", WORKDAY(INT($B38), 5)), 2, 2), """")=""""), """", IF($D38=""LONG"", (IFERROR(INDEX(GOOGLEFINANCE($C38, ""price"", WORKDAY(INT($B38), 5)), 2, 2), """")-$G38)/$G38, ($G38-IFERROR(INDEX(GOOGLE"&amp;"FINANCE($C38, ""price"", WORKDAY(INT($B38), 5)), 2, 2), """"))/$G38))"),-0.00630914826498428)</f>
        <v>-0.006309148265</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2468</v>
      </c>
      <c r="U38" s="10" t="s">
        <v>704</v>
      </c>
      <c r="V38" s="10" t="s">
        <v>2469</v>
      </c>
      <c r="W38" s="10" t="s">
        <v>51</v>
      </c>
      <c r="X38" s="10" t="s">
        <v>1885</v>
      </c>
    </row>
    <row r="39">
      <c r="A39" s="9">
        <f t="shared" si="1"/>
        <v>38</v>
      </c>
      <c r="B39" s="11">
        <v>46219.66740740741</v>
      </c>
      <c r="C39" s="10" t="s">
        <v>169</v>
      </c>
      <c r="D39" s="10" t="s">
        <v>119</v>
      </c>
      <c r="E39" s="10" t="s">
        <v>120</v>
      </c>
      <c r="F39" s="13">
        <v>4.0</v>
      </c>
      <c r="G39" s="14">
        <v>270.94</v>
      </c>
      <c r="H39" s="10" t="s">
        <v>2471</v>
      </c>
      <c r="I39" s="10">
        <v>11.3</v>
      </c>
      <c r="O39" s="15">
        <f>IFERROR(__xludf.DUMMYFUNCTION("IF(ISBLANK($C39), """", GOOGLEFINANCE($C39, ""price""))"),231.78)</f>
        <v>231.78</v>
      </c>
      <c r="P39" s="16">
        <f t="shared" si="2"/>
        <v>0.1445338451</v>
      </c>
      <c r="Q39" s="16">
        <f>IFERROR(__xludf.DUMMYFUNCTION("IF(OR(ISBLANK($G39), IFERROR(INDEX(GOOGLEFINANCE($C39, ""price"", WORKDAY(INT($B39), 1)), 2, 2), """")=""""), """", IF($D39=""LONG"", (IFERROR(INDEX(GOOGLEFINANCE($C39, ""price"", WORKDAY(INT($B39), 1)), 2, 2), """")-$G39)/$G39, ($G39-IFERROR(INDEX(GOOGLE"&amp;"FINANCE($C39, ""price"", WORKDAY(INT($B39), 1)), 2, 2), """"))/$G39))"),0.01627666642060982)</f>
        <v>0.01627666642</v>
      </c>
      <c r="R39" s="16">
        <f>IFERROR(__xludf.DUMMYFUNCTION("IF(OR(ISBLANK($G39), IFERROR(INDEX(GOOGLEFINANCE($C39, ""price"", WORKDAY(INT($B39), 5)), 2, 2), """")=""""), """", IF($D39=""LONG"", (IFERROR(INDEX(GOOGLEFINANCE($C39, ""price"", WORKDAY(INT($B39), 5)), 2, 2), """")-$G39)/$G39, ($G39-IFERROR(INDEX(GOOGLE"&amp;"FINANCE($C39, ""price"", WORKDAY(INT($B39), 5)), 2, 2), """"))/$G39))"),-0.023436923304052643)</f>
        <v>-0.0234369233</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2474</v>
      </c>
      <c r="U39" s="10" t="s">
        <v>984</v>
      </c>
      <c r="V39" s="10" t="s">
        <v>985</v>
      </c>
      <c r="W39" s="10" t="s">
        <v>51</v>
      </c>
      <c r="X39" s="10" t="s">
        <v>984</v>
      </c>
    </row>
    <row r="40">
      <c r="A40" s="9">
        <f t="shared" si="1"/>
        <v>39</v>
      </c>
      <c r="B40" s="11">
        <v>46219.66761574074</v>
      </c>
      <c r="C40" s="10" t="s">
        <v>158</v>
      </c>
      <c r="D40" s="10" t="s">
        <v>36</v>
      </c>
      <c r="E40" s="10" t="s">
        <v>37</v>
      </c>
      <c r="F40" s="13">
        <v>2.0</v>
      </c>
      <c r="G40" s="14">
        <v>75.04</v>
      </c>
      <c r="H40" s="10" t="s">
        <v>2475</v>
      </c>
      <c r="I40" s="10">
        <v>95.5</v>
      </c>
      <c r="O40" s="15">
        <f>IFERROR(__xludf.DUMMYFUNCTION("IF(ISBLANK($C40), """", GOOGLEFINANCE($C40, ""price""))"),72.06)</f>
        <v>72.06</v>
      </c>
      <c r="P40" s="16">
        <f t="shared" si="2"/>
        <v>-0.03971215352</v>
      </c>
      <c r="Q40" s="16">
        <f>IFERROR(__xludf.DUMMYFUNCTION("IF(OR(ISBLANK($G40), IFERROR(INDEX(GOOGLEFINANCE($C40, ""price"", WORKDAY(INT($B40), 1)), 2, 2), """")=""""), """", IF($D40=""LONG"", (IFERROR(INDEX(GOOGLEFINANCE($C40, ""price"", WORKDAY(INT($B40), 1)), 2, 2), """")-$G40)/$G40, ($G40-IFERROR(INDEX(GOOGLE"&amp;"FINANCE($C40, ""price"", WORKDAY(INT($B40), 1)), 2, 2), """"))/$G40))"),-0.0055970149253731566)</f>
        <v>-0.005597014925</v>
      </c>
      <c r="R40" s="16">
        <f>IFERROR(__xludf.DUMMYFUNCTION("IF(OR(ISBLANK($G40), IFERROR(INDEX(GOOGLEFINANCE($C40, ""price"", WORKDAY(INT($B40), 5)), 2, 2), """")=""""), """", IF($D40=""LONG"", (IFERROR(INDEX(GOOGLEFINANCE($C40, ""price"", WORKDAY(INT($B40), 5)), 2, 2), """")-$G40)/$G40, ($G40-IFERROR(INDEX(GOOGLE"&amp;"FINANCE($C40, ""price"", WORKDAY(INT($B40), 5)), 2, 2), """"))/$G40))"),-0.0055970149253731566)</f>
        <v>-0.005597014925</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2478</v>
      </c>
      <c r="U40" s="10" t="s">
        <v>704</v>
      </c>
      <c r="V40" s="10" t="s">
        <v>2479</v>
      </c>
      <c r="W40" s="10" t="s">
        <v>51</v>
      </c>
      <c r="X40" s="10" t="s">
        <v>1885</v>
      </c>
    </row>
    <row r="41">
      <c r="A41" s="9">
        <f t="shared" si="1"/>
        <v>40</v>
      </c>
      <c r="B41" s="11">
        <v>46219.66753472222</v>
      </c>
      <c r="C41" s="10" t="s">
        <v>2480</v>
      </c>
      <c r="D41" s="10" t="s">
        <v>119</v>
      </c>
      <c r="E41" s="10" t="s">
        <v>120</v>
      </c>
      <c r="F41" s="13">
        <v>4.0</v>
      </c>
      <c r="G41" s="14">
        <v>98.08</v>
      </c>
      <c r="H41" s="10" t="s">
        <v>2481</v>
      </c>
      <c r="I41" s="10">
        <v>14.5</v>
      </c>
      <c r="O41" s="15">
        <f>IFERROR(__xludf.DUMMYFUNCTION("IF(ISBLANK($C41), """", GOOGLEFINANCE($C41, ""price""))"),101.5)</f>
        <v>101.5</v>
      </c>
      <c r="P41" s="16">
        <f t="shared" si="2"/>
        <v>-0.03486949429</v>
      </c>
      <c r="Q41" s="16">
        <f>IFERROR(__xludf.DUMMYFUNCTION("IF(OR(ISBLANK($G41), IFERROR(INDEX(GOOGLEFINANCE($C41, ""price"", WORKDAY(INT($B41), 1)), 2, 2), """")=""""), """", IF($D41=""LONG"", (IFERROR(INDEX(GOOGLEFINANCE($C41, ""price"", WORKDAY(INT($B41), 1)), 2, 2), """")-$G41)/$G41, ($G41-IFERROR(INDEX(GOOGLE"&amp;"FINANCE($C41, ""price"", WORKDAY(INT($B41), 1)), 2, 2), """"))/$G41))"),0.014681892332789537)</f>
        <v>0.01468189233</v>
      </c>
      <c r="R41" s="16">
        <f>IFERROR(__xludf.DUMMYFUNCTION("IF(OR(ISBLANK($G41), IFERROR(INDEX(GOOGLEFINANCE($C41, ""price"", WORKDAY(INT($B41), 5)), 2, 2), """")=""""), """", IF($D41=""LONG"", (IFERROR(INDEX(GOOGLEFINANCE($C41, ""price"", WORKDAY(INT($B41), 5)), 2, 2), """")-$G41)/$G41, ($G41-IFERROR(INDEX(GOOGLE"&amp;"FINANCE($C41, ""price"", WORKDAY(INT($B41), 5)), 2, 2), """"))/$G41))"),0.013356443719412747)</f>
        <v>0.01335644372</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2487</v>
      </c>
      <c r="U41" s="10" t="s">
        <v>984</v>
      </c>
      <c r="V41" s="10" t="s">
        <v>1880</v>
      </c>
      <c r="W41" s="10" t="s">
        <v>51</v>
      </c>
      <c r="X41" s="10" t="s">
        <v>984</v>
      </c>
    </row>
    <row r="42">
      <c r="A42" s="9">
        <f t="shared" si="1"/>
        <v>41</v>
      </c>
      <c r="B42" s="11">
        <v>46219.66743055556</v>
      </c>
      <c r="C42" s="10" t="s">
        <v>594</v>
      </c>
      <c r="D42" s="10" t="s">
        <v>36</v>
      </c>
      <c r="E42" s="10" t="s">
        <v>37</v>
      </c>
      <c r="F42" s="13">
        <v>2.0</v>
      </c>
      <c r="G42" s="14">
        <v>78.02</v>
      </c>
      <c r="H42" s="10" t="s">
        <v>2488</v>
      </c>
      <c r="I42" s="10">
        <v>97.9</v>
      </c>
      <c r="O42" s="15">
        <f>IFERROR(__xludf.DUMMYFUNCTION("IF(ISBLANK($C42), """", GOOGLEFINANCE($C42, ""price""))"),79.97)</f>
        <v>79.97</v>
      </c>
      <c r="P42" s="16">
        <f t="shared" si="2"/>
        <v>0.02499359139</v>
      </c>
      <c r="Q42" s="16">
        <f>IFERROR(__xludf.DUMMYFUNCTION("IF(OR(ISBLANK($G42), IFERROR(INDEX(GOOGLEFINANCE($C42, ""price"", WORKDAY(INT($B42), 1)), 2, 2), """")=""""), """", IF($D42=""LONG"", (IFERROR(INDEX(GOOGLEFINANCE($C42, ""price"", WORKDAY(INT($B42), 1)), 2, 2), """")-$G42)/$G42, ($G42-IFERROR(INDEX(GOOGLE"&amp;"FINANCE($C42, ""price"", WORKDAY(INT($B42), 1)), 2, 2), """"))/$G42))"),0.03178672135349916)</f>
        <v>0.03178672135</v>
      </c>
      <c r="R42" s="16">
        <f>IFERROR(__xludf.DUMMYFUNCTION("IF(OR(ISBLANK($G42), IFERROR(INDEX(GOOGLEFINANCE($C42, ""price"", WORKDAY(INT($B42), 5)), 2, 2), """")=""""), """", IF($D42=""LONG"", (IFERROR(INDEX(GOOGLEFINANCE($C42, ""price"", WORKDAY(INT($B42), 5)), 2, 2), """")-$G42)/$G42, ($G42-IFERROR(INDEX(GOOGLE"&amp;"FINANCE($C42, ""price"", WORKDAY(INT($B42), 5)), 2, 2), """"))/$G42))"),0.0017944116893104406)</f>
        <v>0.001794411689</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2492</v>
      </c>
      <c r="U42" s="10" t="s">
        <v>932</v>
      </c>
      <c r="V42" s="10" t="s">
        <v>933</v>
      </c>
      <c r="W42" s="10" t="s">
        <v>51</v>
      </c>
      <c r="X42" s="10" t="s">
        <v>932</v>
      </c>
    </row>
    <row r="43">
      <c r="A43" s="9">
        <f t="shared" si="1"/>
        <v>42</v>
      </c>
      <c r="B43" s="11">
        <v>46219.66740740741</v>
      </c>
      <c r="C43" s="10" t="s">
        <v>1140</v>
      </c>
      <c r="D43" s="10" t="s">
        <v>36</v>
      </c>
      <c r="E43" s="10" t="s">
        <v>133</v>
      </c>
      <c r="F43" s="13">
        <v>2.0</v>
      </c>
      <c r="G43" s="14">
        <v>1095.95</v>
      </c>
      <c r="H43" s="10" t="s">
        <v>2493</v>
      </c>
      <c r="I43" s="10">
        <v>60.9</v>
      </c>
      <c r="O43" s="15">
        <f>IFERROR(__xludf.DUMMYFUNCTION("IF(ISBLANK($C43), """", GOOGLEFINANCE($C43, ""price""))"),1032.58)</f>
        <v>1032.58</v>
      </c>
      <c r="P43" s="16">
        <f t="shared" si="2"/>
        <v>-0.05782198093</v>
      </c>
      <c r="Q43" s="16">
        <f>IFERROR(__xludf.DUMMYFUNCTION("IF(OR(ISBLANK($G43), IFERROR(INDEX(GOOGLEFINANCE($C43, ""price"", WORKDAY(INT($B43), 1)), 2, 2), """")=""""), """", IF($D43=""LONG"", (IFERROR(INDEX(GOOGLEFINANCE($C43, ""price"", WORKDAY(INT($B43), 1)), 2, 2), """")-$G43)/$G43, ($G43-IFERROR(INDEX(GOOGLE"&amp;"FINANCE($C43, ""price"", WORKDAY(INT($B43), 1)), 2, 2), """"))/$G43))"),-0.028039600346731162)</f>
        <v>-0.02803960035</v>
      </c>
      <c r="R43" s="16">
        <f>IFERROR(__xludf.DUMMYFUNCTION("IF(OR(ISBLANK($G43), IFERROR(INDEX(GOOGLEFINANCE($C43, ""price"", WORKDAY(INT($B43), 5)), 2, 2), """")=""""), """", IF($D43=""LONG"", (IFERROR(INDEX(GOOGLEFINANCE($C43, ""price"", WORKDAY(INT($B43), 5)), 2, 2), """")-$G43)/$G43, ($G43-IFERROR(INDEX(GOOGLE"&amp;"FINANCE($C43, ""price"", WORKDAY(INT($B43), 5)), 2, 2), """"))/$G43))"),-0.01937132168438343)</f>
        <v>-0.01937132168</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2495</v>
      </c>
      <c r="U43" s="10" t="s">
        <v>984</v>
      </c>
      <c r="V43" s="10" t="s">
        <v>1880</v>
      </c>
      <c r="W43" s="10" t="s">
        <v>51</v>
      </c>
      <c r="X43" s="10" t="s">
        <v>984</v>
      </c>
    </row>
    <row r="44">
      <c r="A44" s="9">
        <f t="shared" si="1"/>
        <v>43</v>
      </c>
      <c r="B44" s="11">
        <v>46219.66747685185</v>
      </c>
      <c r="C44" s="10" t="s">
        <v>72</v>
      </c>
      <c r="D44" s="10" t="s">
        <v>36</v>
      </c>
      <c r="E44" s="10" t="s">
        <v>70</v>
      </c>
      <c r="F44" s="13">
        <v>2.0</v>
      </c>
      <c r="G44" s="14">
        <v>1401.57</v>
      </c>
      <c r="H44" s="10" t="s">
        <v>2498</v>
      </c>
      <c r="I44" s="10">
        <v>86.5</v>
      </c>
      <c r="O44" s="15">
        <f>IFERROR(__xludf.DUMMYFUNCTION("IF(ISBLANK($C44), """", GOOGLEFINANCE($C44, ""price""))"),1282.58)</f>
        <v>1282.58</v>
      </c>
      <c r="P44" s="16">
        <f t="shared" si="2"/>
        <v>-0.08489765049</v>
      </c>
      <c r="Q44" s="16">
        <f>IFERROR(__xludf.DUMMYFUNCTION("IF(OR(ISBLANK($G44), IFERROR(INDEX(GOOGLEFINANCE($C44, ""price"", WORKDAY(INT($B44), 1)), 2, 2), """")=""""), """", IF($D44=""LONG"", (IFERROR(INDEX(GOOGLEFINANCE($C44, ""price"", WORKDAY(INT($B44), 1)), 2, 2), """")-$G44)/$G44, ($G44-IFERROR(INDEX(GOOGLE"&amp;"FINANCE($C44, ""price"", WORKDAY(INT($B44), 1)), 2, 2), """"))/$G44))"),-0.004680465477999633)</f>
        <v>-0.004680465478</v>
      </c>
      <c r="R44" s="16">
        <f>IFERROR(__xludf.DUMMYFUNCTION("IF(OR(ISBLANK($G44), IFERROR(INDEX(GOOGLEFINANCE($C44, ""price"", WORKDAY(INT($B44), 5)), 2, 2), """")=""""), """", IF($D44=""LONG"", (IFERROR(INDEX(GOOGLEFINANCE($C44, ""price"", WORKDAY(INT($B44), 5)), 2, 2), """")-$G44)/$G44, ($G44-IFERROR(INDEX(GOOGLE"&amp;"FINANCE($C44, ""price"", WORKDAY(INT($B44), 5)), 2, 2), """"))/$G44))"),-0.024336993514415907)</f>
        <v>-0.02433699351</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2502</v>
      </c>
      <c r="U44" s="10" t="s">
        <v>507</v>
      </c>
      <c r="V44" s="10" t="s">
        <v>2503</v>
      </c>
      <c r="W44" s="10" t="s">
        <v>51</v>
      </c>
      <c r="X44" s="10" t="s">
        <v>507</v>
      </c>
    </row>
    <row r="45">
      <c r="A45" s="9">
        <f t="shared" si="1"/>
        <v>44</v>
      </c>
      <c r="B45" s="11">
        <v>46219.66761574074</v>
      </c>
      <c r="C45" s="10" t="s">
        <v>431</v>
      </c>
      <c r="D45" s="10" t="s">
        <v>119</v>
      </c>
      <c r="E45" s="10" t="s">
        <v>120</v>
      </c>
      <c r="F45" s="13">
        <v>4.0</v>
      </c>
      <c r="G45" s="14">
        <v>145.95</v>
      </c>
      <c r="H45" s="10" t="s">
        <v>2504</v>
      </c>
      <c r="I45" s="10">
        <v>7.7</v>
      </c>
      <c r="O45" s="15">
        <f>IFERROR(__xludf.DUMMYFUNCTION("IF(ISBLANK($C45), """", GOOGLEFINANCE($C45, ""price""))"),154.84)</f>
        <v>154.84</v>
      </c>
      <c r="P45" s="16">
        <f t="shared" si="2"/>
        <v>-0.06091127098</v>
      </c>
      <c r="Q45" s="16">
        <f>IFERROR(__xludf.DUMMYFUNCTION("IF(OR(ISBLANK($G45), IFERROR(INDEX(GOOGLEFINANCE($C45, ""price"", WORKDAY(INT($B45), 1)), 2, 2), """")=""""), """", IF($D45=""LONG"", (IFERROR(INDEX(GOOGLEFINANCE($C45, ""price"", WORKDAY(INT($B45), 1)), 2, 2), """")-$G45)/$G45, ($G45-IFERROR(INDEX(GOOGLE"&amp;"FINANCE($C45, ""price"", WORKDAY(INT($B45), 1)), 2, 2), """"))/$G45))"),-0.009660842754368106)</f>
        <v>-0.009660842754</v>
      </c>
      <c r="R45" s="16">
        <f>IFERROR(__xludf.DUMMYFUNCTION("IF(OR(ISBLANK($G45), IFERROR(INDEX(GOOGLEFINANCE($C45, ""price"", WORKDAY(INT($B45), 5)), 2, 2), """")=""""), """", IF($D45=""LONG"", (IFERROR(INDEX(GOOGLEFINANCE($C45, ""price"", WORKDAY(INT($B45), 5)), 2, 2), """")-$G45)/$G45, ($G45-IFERROR(INDEX(GOOGLE"&amp;"FINANCE($C45, ""price"", WORKDAY(INT($B45), 5)), 2, 2), """"))/$G45))"),-0.07495717711545048)</f>
        <v>-0.07495717712</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2509</v>
      </c>
      <c r="U45" s="10" t="s">
        <v>984</v>
      </c>
      <c r="V45" s="10" t="s">
        <v>985</v>
      </c>
      <c r="W45" s="10" t="s">
        <v>51</v>
      </c>
      <c r="X45" s="10" t="s">
        <v>984</v>
      </c>
    </row>
    <row r="46">
      <c r="A46" s="9">
        <f t="shared" si="1"/>
        <v>45</v>
      </c>
      <c r="B46" s="11">
        <v>46219.66755787037</v>
      </c>
      <c r="C46" s="10" t="s">
        <v>232</v>
      </c>
      <c r="D46" s="10" t="s">
        <v>119</v>
      </c>
      <c r="E46" s="10" t="s">
        <v>120</v>
      </c>
      <c r="F46" s="13">
        <v>4.0</v>
      </c>
      <c r="G46" s="14">
        <v>78.71</v>
      </c>
      <c r="H46" s="10" t="s">
        <v>2511</v>
      </c>
      <c r="I46" s="10">
        <v>10.0</v>
      </c>
      <c r="O46" s="15">
        <f>IFERROR(__xludf.DUMMYFUNCTION("IF(ISBLANK($C46), """", GOOGLEFINANCE($C46, ""price""))"),74.92)</f>
        <v>74.92</v>
      </c>
      <c r="P46" s="16">
        <f t="shared" si="2"/>
        <v>0.048151442</v>
      </c>
      <c r="Q46" s="16">
        <f>IFERROR(__xludf.DUMMYFUNCTION("IF(OR(ISBLANK($G46), IFERROR(INDEX(GOOGLEFINANCE($C46, ""price"", WORKDAY(INT($B46), 1)), 2, 2), """")=""""), """", IF($D46=""LONG"", (IFERROR(INDEX(GOOGLEFINANCE($C46, ""price"", WORKDAY(INT($B46), 1)), 2, 2), """")-$G46)/$G46, ($G46-IFERROR(INDEX(GOOGLE"&amp;"FINANCE($C46, ""price"", WORKDAY(INT($B46), 1)), 2, 2), """"))/$G46))"),-0.0058442383432855795)</f>
        <v>-0.005844238343</v>
      </c>
      <c r="R46" s="16">
        <f>IFERROR(__xludf.DUMMYFUNCTION("IF(OR(ISBLANK($G46), IFERROR(INDEX(GOOGLEFINANCE($C46, ""price"", WORKDAY(INT($B46), 5)), 2, 2), """")=""""), """", IF($D46=""LONG"", (IFERROR(INDEX(GOOGLEFINANCE($C46, ""price"", WORKDAY(INT($B46), 5)), 2, 2), """")-$G46)/$G46, ($G46-IFERROR(INDEX(GOOGLE"&amp;"FINANCE($C46, ""price"", WORKDAY(INT($B46), 5)), 2, 2), """"))/$G46))"),0.052598145089569316)</f>
        <v>0.05259814509</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2513</v>
      </c>
      <c r="U46" s="10" t="s">
        <v>984</v>
      </c>
      <c r="V46" s="10" t="s">
        <v>1880</v>
      </c>
      <c r="W46" s="10" t="s">
        <v>51</v>
      </c>
      <c r="X46" s="10" t="s">
        <v>984</v>
      </c>
    </row>
    <row r="47">
      <c r="A47" s="9">
        <f t="shared" si="1"/>
        <v>46</v>
      </c>
      <c r="B47" s="11">
        <v>46219.66746527778</v>
      </c>
      <c r="C47" s="10" t="s">
        <v>80</v>
      </c>
      <c r="D47" s="10" t="s">
        <v>36</v>
      </c>
      <c r="E47" s="10" t="s">
        <v>37</v>
      </c>
      <c r="F47" s="13">
        <v>2.0</v>
      </c>
      <c r="G47" s="14">
        <v>254.45</v>
      </c>
      <c r="H47" s="10" t="s">
        <v>2516</v>
      </c>
      <c r="I47" s="10">
        <v>91.1</v>
      </c>
      <c r="O47" s="15">
        <f>IFERROR(__xludf.DUMMYFUNCTION("IF(ISBLANK($C47), """", GOOGLEFINANCE($C47, ""price""))"),243.87)</f>
        <v>243.87</v>
      </c>
      <c r="P47" s="16">
        <f t="shared" si="2"/>
        <v>-0.04157987817</v>
      </c>
      <c r="Q47" s="16">
        <f>IFERROR(__xludf.DUMMYFUNCTION("IF(OR(ISBLANK($G47), IFERROR(INDEX(GOOGLEFINANCE($C47, ""price"", WORKDAY(INT($B47), 1)), 2, 2), """")=""""), """", IF($D47=""LONG"", (IFERROR(INDEX(GOOGLEFINANCE($C47, ""price"", WORKDAY(INT($B47), 1)), 2, 2), """")-$G47)/$G47, ($G47-IFERROR(INDEX(GOOGLE"&amp;"FINANCE($C47, ""price"", WORKDAY(INT($B47), 1)), 2, 2), """"))/$G47))"),1.5720180782087038E-4)</f>
        <v>0.0001572018078</v>
      </c>
      <c r="R47" s="16">
        <f>IFERROR(__xludf.DUMMYFUNCTION("IF(OR(ISBLANK($G47), IFERROR(INDEX(GOOGLEFINANCE($C47, ""price"", WORKDAY(INT($B47), 5)), 2, 2), """")=""""), """", IF($D47=""LONG"", (IFERROR(INDEX(GOOGLEFINANCE($C47, ""price"", WORKDAY(INT($B47), 5)), 2, 2), """")-$G47)/$G47, ($G47-IFERROR(INDEX(GOOGLE"&amp;"FINANCE($C47, ""price"", WORKDAY(INT($B47), 5)), 2, 2), """"))/$G47))"),0.009707211632933886)</f>
        <v>0.009707211633</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2519</v>
      </c>
      <c r="U47" s="10" t="s">
        <v>492</v>
      </c>
      <c r="V47" s="10" t="s">
        <v>493</v>
      </c>
      <c r="W47" s="10" t="s">
        <v>51</v>
      </c>
      <c r="X47" s="10" t="s">
        <v>492</v>
      </c>
    </row>
    <row r="48">
      <c r="A48" s="9">
        <f t="shared" si="1"/>
        <v>47</v>
      </c>
      <c r="B48" s="11">
        <v>46219.66743055556</v>
      </c>
      <c r="C48" s="10" t="s">
        <v>367</v>
      </c>
      <c r="D48" s="10" t="s">
        <v>36</v>
      </c>
      <c r="E48" s="10" t="s">
        <v>37</v>
      </c>
      <c r="F48" s="13">
        <v>2.0</v>
      </c>
      <c r="G48" s="14">
        <v>109.28</v>
      </c>
      <c r="H48" s="10" t="s">
        <v>2520</v>
      </c>
      <c r="I48" s="10">
        <v>95.8</v>
      </c>
      <c r="O48" s="15">
        <f>IFERROR(__xludf.DUMMYFUNCTION("IF(ISBLANK($C48), """", GOOGLEFINANCE($C48, ""price""))"),100.82)</f>
        <v>100.82</v>
      </c>
      <c r="P48" s="16">
        <f t="shared" si="2"/>
        <v>-0.07741581259</v>
      </c>
      <c r="Q48" s="16">
        <f>IFERROR(__xludf.DUMMYFUNCTION("IF(OR(ISBLANK($G48), IFERROR(INDEX(GOOGLEFINANCE($C48, ""price"", WORKDAY(INT($B48), 1)), 2, 2), """")=""""), """", IF($D48=""LONG"", (IFERROR(INDEX(GOOGLEFINANCE($C48, ""price"", WORKDAY(INT($B48), 1)), 2, 2), """")-$G48)/$G48, ($G48-IFERROR(INDEX(GOOGLE"&amp;"FINANCE($C48, ""price"", WORKDAY(INT($B48), 1)), 2, 2), """"))/$G48))"),-0.01418374816983892)</f>
        <v>-0.01418374817</v>
      </c>
      <c r="R48" s="16">
        <f>IFERROR(__xludf.DUMMYFUNCTION("IF(OR(ISBLANK($G48), IFERROR(INDEX(GOOGLEFINANCE($C48, ""price"", WORKDAY(INT($B48), 5)), 2, 2), """")=""""), """", IF($D48=""LONG"", (IFERROR(INDEX(GOOGLEFINANCE($C48, ""price"", WORKDAY(INT($B48), 5)), 2, 2), """")-$G48)/$G48, ($G48-IFERROR(INDEX(GOOGLE"&amp;"FINANCE($C48, ""price"", WORKDAY(INT($B48), 5)), 2, 2), """"))/$G48))"),-0.035230600292825716)</f>
        <v>-0.03523060029</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2524</v>
      </c>
      <c r="U48" s="10" t="s">
        <v>219</v>
      </c>
      <c r="V48" s="10" t="s">
        <v>2525</v>
      </c>
      <c r="W48" s="10" t="s">
        <v>51</v>
      </c>
      <c r="X48" s="10" t="s">
        <v>974</v>
      </c>
    </row>
    <row r="49">
      <c r="A49" s="9">
        <f t="shared" si="1"/>
        <v>48</v>
      </c>
      <c r="B49" s="11">
        <v>46219.667662037034</v>
      </c>
      <c r="C49" s="10" t="s">
        <v>422</v>
      </c>
      <c r="D49" s="10" t="s">
        <v>119</v>
      </c>
      <c r="E49" s="10" t="s">
        <v>120</v>
      </c>
      <c r="F49" s="13">
        <v>4.0</v>
      </c>
      <c r="G49" s="14">
        <v>249.94</v>
      </c>
      <c r="H49" s="10" t="s">
        <v>2526</v>
      </c>
      <c r="I49" s="10">
        <v>14.3</v>
      </c>
      <c r="O49" s="15">
        <f>IFERROR(__xludf.DUMMYFUNCTION("IF(ISBLANK($C49), """", GOOGLEFINANCE($C49, ""price""))"),272.26)</f>
        <v>272.26</v>
      </c>
      <c r="P49" s="16">
        <f t="shared" si="2"/>
        <v>-0.08930143234</v>
      </c>
      <c r="Q49" s="16">
        <f>IFERROR(__xludf.DUMMYFUNCTION("IF(OR(ISBLANK($G49), IFERROR(INDEX(GOOGLEFINANCE($C49, ""price"", WORKDAY(INT($B49), 1)), 2, 2), """")=""""), """", IF($D49=""LONG"", (IFERROR(INDEX(GOOGLEFINANCE($C49, ""price"", WORKDAY(INT($B49), 1)), 2, 2), """")-$G49)/$G49, ($G49-IFERROR(INDEX(GOOGLE"&amp;"FINANCE($C49, ""price"", WORKDAY(INT($B49), 1)), 2, 2), """"))/$G49))"),0.01084260222453392)</f>
        <v>0.01084260222</v>
      </c>
      <c r="R49" s="16">
        <f>IFERROR(__xludf.DUMMYFUNCTION("IF(OR(ISBLANK($G49), IFERROR(INDEX(GOOGLEFINANCE($C49, ""price"", WORKDAY(INT($B49), 5)), 2, 2), """")=""""), """", IF($D49=""LONG"", (IFERROR(INDEX(GOOGLEFINANCE($C49, ""price"", WORKDAY(INT($B49), 5)), 2, 2), """")-$G49)/$G49, ($G49-IFERROR(INDEX(GOOGLE"&amp;"FINANCE($C49, ""price"", WORKDAY(INT($B49), 5)), 2, 2), """"))/$G49))"),0.06513563255181244)</f>
        <v>0.06513563255</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2529</v>
      </c>
      <c r="U49" s="10" t="s">
        <v>492</v>
      </c>
      <c r="V49" s="10" t="s">
        <v>493</v>
      </c>
      <c r="W49" s="10" t="s">
        <v>51</v>
      </c>
      <c r="X49" s="10" t="s">
        <v>492</v>
      </c>
    </row>
    <row r="50">
      <c r="A50" s="9">
        <f t="shared" si="1"/>
        <v>49</v>
      </c>
      <c r="B50" s="11">
        <v>46219.6675</v>
      </c>
      <c r="C50" s="10" t="s">
        <v>234</v>
      </c>
      <c r="D50" s="10" t="s">
        <v>36</v>
      </c>
      <c r="E50" s="10" t="s">
        <v>37</v>
      </c>
      <c r="F50" s="13">
        <v>2.0</v>
      </c>
      <c r="G50" s="14">
        <v>64.0</v>
      </c>
      <c r="H50" s="10" t="s">
        <v>2531</v>
      </c>
      <c r="I50" s="10">
        <v>92.2</v>
      </c>
      <c r="O50" s="15">
        <f>IFERROR(__xludf.DUMMYFUNCTION("IF(ISBLANK($C50), """", GOOGLEFINANCE($C50, ""price""))"),63.81)</f>
        <v>63.81</v>
      </c>
      <c r="P50" s="16">
        <f t="shared" si="2"/>
        <v>-0.00296875</v>
      </c>
      <c r="Q50" s="16">
        <f>IFERROR(__xludf.DUMMYFUNCTION("IF(OR(ISBLANK($G50), IFERROR(INDEX(GOOGLEFINANCE($C50, ""price"", WORKDAY(INT($B50), 1)), 2, 2), """")=""""), """", IF($D50=""LONG"", (IFERROR(INDEX(GOOGLEFINANCE($C50, ""price"", WORKDAY(INT($B50), 1)), 2, 2), """")-$G50)/$G50, ($G50-IFERROR(INDEX(GOOGLE"&amp;"FINANCE($C50, ""price"", WORKDAY(INT($B50), 1)), 2, 2), """"))/$G50))"),-0.013437499999999991)</f>
        <v>-0.0134375</v>
      </c>
      <c r="R50" s="16">
        <f>IFERROR(__xludf.DUMMYFUNCTION("IF(OR(ISBLANK($G50), IFERROR(INDEX(GOOGLEFINANCE($C50, ""price"", WORKDAY(INT($B50), 5)), 2, 2), """")=""""), """", IF($D50=""LONG"", (IFERROR(INDEX(GOOGLEFINANCE($C50, ""price"", WORKDAY(INT($B50), 5)), 2, 2), """")-$G50)/$G50, ($G50-IFERROR(INDEX(GOOGLE"&amp;"FINANCE($C50, ""price"", WORKDAY(INT($B50), 5)), 2, 2), """"))/$G50))"),-0.010468750000000027)</f>
        <v>-0.01046875</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2534</v>
      </c>
      <c r="U50" s="10" t="s">
        <v>984</v>
      </c>
      <c r="V50" s="10" t="s">
        <v>1880</v>
      </c>
      <c r="W50" s="10" t="s">
        <v>51</v>
      </c>
      <c r="X50" s="10" t="s">
        <v>984</v>
      </c>
    </row>
    <row r="51">
      <c r="A51" s="9">
        <f t="shared" si="1"/>
        <v>50</v>
      </c>
      <c r="B51" s="11">
        <v>46219.66747685185</v>
      </c>
      <c r="C51" s="10" t="s">
        <v>2535</v>
      </c>
      <c r="D51" s="10" t="s">
        <v>36</v>
      </c>
      <c r="E51" s="10" t="s">
        <v>1892</v>
      </c>
      <c r="F51" s="13">
        <v>2.0</v>
      </c>
      <c r="G51" s="14">
        <v>228.82</v>
      </c>
      <c r="H51" s="10" t="s">
        <v>2537</v>
      </c>
      <c r="I51" s="10">
        <v>58.5</v>
      </c>
      <c r="O51" s="15">
        <f>IFERROR(__xludf.DUMMYFUNCTION("IF(ISBLANK($C51), """", GOOGLEFINANCE($C51, ""price""))"),233.71)</f>
        <v>233.71</v>
      </c>
      <c r="P51" s="16">
        <f t="shared" si="2"/>
        <v>0.02137050957</v>
      </c>
      <c r="Q51" s="16">
        <f>IFERROR(__xludf.DUMMYFUNCTION("IF(OR(ISBLANK($G51), IFERROR(INDEX(GOOGLEFINANCE($C51, ""price"", WORKDAY(INT($B51), 1)), 2, 2), """")=""""), """", IF($D51=""LONG"", (IFERROR(INDEX(GOOGLEFINANCE($C51, ""price"", WORKDAY(INT($B51), 1)), 2, 2), """")-$G51)/$G51, ($G51-IFERROR(INDEX(GOOGLE"&amp;"FINANCE($C51, ""price"", WORKDAY(INT($B51), 1)), 2, 2), """"))/$G51))"),-0.016956559741281338)</f>
        <v>-0.01695655974</v>
      </c>
      <c r="R51" s="16">
        <f>IFERROR(__xludf.DUMMYFUNCTION("IF(OR(ISBLANK($G51), IFERROR(INDEX(GOOGLEFINANCE($C51, ""price"", WORKDAY(INT($B51), 5)), 2, 2), """")=""""), """", IF($D51=""LONG"", (IFERROR(INDEX(GOOGLEFINANCE($C51, ""price"", WORKDAY(INT($B51), 5)), 2, 2), """")-$G51)/$G51, ($G51-IFERROR(INDEX(GOOGLE"&amp;"FINANCE($C51, ""price"", WORKDAY(INT($B51), 5)), 2, 2), """"))/$G51))"),-0.028843632549602285)</f>
        <v>-0.02884363255</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2541</v>
      </c>
      <c r="U51" s="10" t="s">
        <v>492</v>
      </c>
      <c r="V51" s="10" t="s">
        <v>493</v>
      </c>
      <c r="W51" s="10" t="s">
        <v>51</v>
      </c>
      <c r="X51" s="10" t="s">
        <v>492</v>
      </c>
    </row>
    <row r="52">
      <c r="A52" s="9">
        <f t="shared" si="1"/>
        <v>51</v>
      </c>
      <c r="B52" s="11">
        <v>46219.66762731481</v>
      </c>
      <c r="C52" s="10" t="s">
        <v>398</v>
      </c>
      <c r="D52" s="10" t="s">
        <v>36</v>
      </c>
      <c r="E52" s="10" t="s">
        <v>37</v>
      </c>
      <c r="F52" s="13">
        <v>2.0</v>
      </c>
      <c r="G52" s="14">
        <v>71.78</v>
      </c>
      <c r="H52" s="10" t="s">
        <v>2543</v>
      </c>
      <c r="I52" s="10">
        <v>93.1</v>
      </c>
      <c r="O52" s="15">
        <f>IFERROR(__xludf.DUMMYFUNCTION("IF(ISBLANK($C52), """", GOOGLEFINANCE($C52, ""price""))"),71.9)</f>
        <v>71.9</v>
      </c>
      <c r="P52" s="16">
        <f t="shared" si="2"/>
        <v>0.001671774868</v>
      </c>
      <c r="Q52" s="16">
        <f>IFERROR(__xludf.DUMMYFUNCTION("IF(OR(ISBLANK($G52), IFERROR(INDEX(GOOGLEFINANCE($C52, ""price"", WORKDAY(INT($B52), 1)), 2, 2), """")=""""), """", IF($D52=""LONG"", (IFERROR(INDEX(GOOGLEFINANCE($C52, ""price"", WORKDAY(INT($B52), 1)), 2, 2), """")-$G52)/$G52, ($G52-IFERROR(INDEX(GOOGLE"&amp;"FINANCE($C52, ""price"", WORKDAY(INT($B52), 1)), 2, 2), """"))/$G52))"),0.00473669545834499)</f>
        <v>0.004736695458</v>
      </c>
      <c r="R52" s="16">
        <f>IFERROR(__xludf.DUMMYFUNCTION("IF(OR(ISBLANK($G52), IFERROR(INDEX(GOOGLEFINANCE($C52, ""price"", WORKDAY(INT($B52), 5)), 2, 2), """")=""""), """", IF($D52=""LONG"", (IFERROR(INDEX(GOOGLEFINANCE($C52, ""price"", WORKDAY(INT($B52), 5)), 2, 2), """")-$G52)/$G52, ($G52-IFERROR(INDEX(GOOGLE"&amp;"FINANCE($C52, ""price"", WORKDAY(INT($B52), 5)), 2, 2), """"))/$G52))"),-1.393145723043343E-4)</f>
        <v>-0.0001393145723</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2547</v>
      </c>
      <c r="U52" s="10" t="s">
        <v>850</v>
      </c>
      <c r="V52" s="10" t="s">
        <v>2548</v>
      </c>
      <c r="W52" s="10" t="s">
        <v>51</v>
      </c>
      <c r="X52" s="10" t="s">
        <v>2282</v>
      </c>
    </row>
    <row r="53">
      <c r="A53" s="9">
        <f t="shared" si="1"/>
        <v>52</v>
      </c>
      <c r="B53" s="11">
        <v>46219.66763888889</v>
      </c>
      <c r="C53" s="10" t="s">
        <v>406</v>
      </c>
      <c r="D53" s="10" t="s">
        <v>36</v>
      </c>
      <c r="E53" s="10" t="s">
        <v>133</v>
      </c>
      <c r="F53" s="13">
        <v>2.0</v>
      </c>
      <c r="G53" s="14">
        <v>176.34</v>
      </c>
      <c r="H53" s="10" t="s">
        <v>2549</v>
      </c>
      <c r="I53" s="10">
        <v>80.6</v>
      </c>
      <c r="O53" s="15">
        <f>IFERROR(__xludf.DUMMYFUNCTION("IF(ISBLANK($C53), """", GOOGLEFINANCE($C53, ""price""))"),179.04)</f>
        <v>179.04</v>
      </c>
      <c r="P53" s="16">
        <f t="shared" si="2"/>
        <v>0.01531133038</v>
      </c>
      <c r="Q53" s="16">
        <f>IFERROR(__xludf.DUMMYFUNCTION("IF(OR(ISBLANK($G53), IFERROR(INDEX(GOOGLEFINANCE($C53, ""price"", WORKDAY(INT($B53), 1)), 2, 2), """")=""""), """", IF($D53=""LONG"", (IFERROR(INDEX(GOOGLEFINANCE($C53, ""price"", WORKDAY(INT($B53), 1)), 2, 2), """")-$G53)/$G53, ($G53-IFERROR(INDEX(GOOGLE"&amp;"FINANCE($C53, ""price"", WORKDAY(INT($B53), 1)), 2, 2), """"))/$G53))"),0.02523534081887257)</f>
        <v>0.02523534082</v>
      </c>
      <c r="R53" s="16">
        <f>IFERROR(__xludf.DUMMYFUNCTION("IF(OR(ISBLANK($G53), IFERROR(INDEX(GOOGLEFINANCE($C53, ""price"", WORKDAY(INT($B53), 5)), 2, 2), """")=""""), """", IF($D53=""LONG"", (IFERROR(INDEX(GOOGLEFINANCE($C53, ""price"", WORKDAY(INT($B53), 5)), 2, 2), """")-$G53)/$G53, ($G53-IFERROR(INDEX(GOOGLE"&amp;"FINANCE($C53, ""price"", WORKDAY(INT($B53), 5)), 2, 2), """"))/$G53))"),0.017239423840308448)</f>
        <v>0.01723942384</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2554</v>
      </c>
      <c r="U53" s="10" t="s">
        <v>984</v>
      </c>
      <c r="V53" s="10" t="s">
        <v>1880</v>
      </c>
      <c r="W53" s="10" t="s">
        <v>51</v>
      </c>
      <c r="X53" s="10" t="s">
        <v>984</v>
      </c>
    </row>
    <row r="54">
      <c r="A54" s="9">
        <f t="shared" si="1"/>
        <v>53</v>
      </c>
      <c r="B54" s="11">
        <v>46219.66741898148</v>
      </c>
      <c r="C54" s="10" t="s">
        <v>248</v>
      </c>
      <c r="D54" s="10" t="s">
        <v>36</v>
      </c>
      <c r="E54" s="10" t="s">
        <v>1892</v>
      </c>
      <c r="F54" s="13">
        <v>2.0</v>
      </c>
      <c r="G54" s="14">
        <v>74.38</v>
      </c>
      <c r="H54" s="10" t="s">
        <v>2555</v>
      </c>
      <c r="I54" s="10">
        <v>76.3</v>
      </c>
      <c r="O54" s="15">
        <f>IFERROR(__xludf.DUMMYFUNCTION("IF(ISBLANK($C54), """", GOOGLEFINANCE($C54, ""price""))"),72.43)</f>
        <v>72.43</v>
      </c>
      <c r="P54" s="16">
        <f t="shared" si="2"/>
        <v>-0.02621672493</v>
      </c>
      <c r="Q54" s="16">
        <f>IFERROR(__xludf.DUMMYFUNCTION("IF(OR(ISBLANK($G54), IFERROR(INDEX(GOOGLEFINANCE($C54, ""price"", WORKDAY(INT($B54), 1)), 2, 2), """")=""""), """", IF($D54=""LONG"", (IFERROR(INDEX(GOOGLEFINANCE($C54, ""price"", WORKDAY(INT($B54), 1)), 2, 2), """")-$G54)/$G54, ($G54-IFERROR(INDEX(GOOGLE"&amp;"FINANCE($C54, ""price"", WORKDAY(INT($B54), 1)), 2, 2), """"))/$G54))"),-0.026754503898897487)</f>
        <v>-0.0267545039</v>
      </c>
      <c r="R54" s="16">
        <f>IFERROR(__xludf.DUMMYFUNCTION("IF(OR(ISBLANK($G54), IFERROR(INDEX(GOOGLEFINANCE($C54, ""price"", WORKDAY(INT($B54), 5)), 2, 2), """")=""""), """", IF($D54=""LONG"", (IFERROR(INDEX(GOOGLEFINANCE($C54, ""price"", WORKDAY(INT($B54), 5)), 2, 2), """")-$G54)/$G54, ($G54-IFERROR(INDEX(GOOGLE"&amp;"FINANCE($C54, ""price"", WORKDAY(INT($B54), 5)), 2, 2), """"))/$G54))"),-0.03468674374831942)</f>
        <v>-0.03468674375</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2558</v>
      </c>
      <c r="U54" s="10" t="s">
        <v>492</v>
      </c>
      <c r="V54" s="10" t="s">
        <v>493</v>
      </c>
      <c r="W54" s="10" t="s">
        <v>51</v>
      </c>
      <c r="X54" s="10" t="s">
        <v>492</v>
      </c>
    </row>
    <row r="55">
      <c r="A55" s="9">
        <f t="shared" si="1"/>
        <v>54</v>
      </c>
      <c r="B55" s="11">
        <v>46219.66755787037</v>
      </c>
      <c r="C55" s="10" t="s">
        <v>731</v>
      </c>
      <c r="D55" s="10" t="s">
        <v>36</v>
      </c>
      <c r="E55" s="10" t="s">
        <v>133</v>
      </c>
      <c r="F55" s="13">
        <v>2.0</v>
      </c>
      <c r="G55" s="14">
        <v>69.98</v>
      </c>
      <c r="H55" s="10" t="s">
        <v>2560</v>
      </c>
      <c r="I55" s="10">
        <v>92.0</v>
      </c>
      <c r="O55" s="15">
        <f>IFERROR(__xludf.DUMMYFUNCTION("IF(ISBLANK($C55), """", GOOGLEFINANCE($C55, ""price""))"),66.7)</f>
        <v>66.7</v>
      </c>
      <c r="P55" s="16">
        <f t="shared" si="2"/>
        <v>-0.04687053444</v>
      </c>
      <c r="Q55" s="16">
        <f>IFERROR(__xludf.DUMMYFUNCTION("IF(OR(ISBLANK($G55), IFERROR(INDEX(GOOGLEFINANCE($C55, ""price"", WORKDAY(INT($B55), 1)), 2, 2), """")=""""), """", IF($D55=""LONG"", (IFERROR(INDEX(GOOGLEFINANCE($C55, ""price"", WORKDAY(INT($B55), 1)), 2, 2), """")-$G55)/$G55, ($G55-IFERROR(INDEX(GOOGLE"&amp;"FINANCE($C55, ""price"", WORKDAY(INT($B55), 1)), 2, 2), """"))/$G55))"),-0.014004001143183823)</f>
        <v>-0.01400400114</v>
      </c>
      <c r="R55" s="16">
        <f>IFERROR(__xludf.DUMMYFUNCTION("IF(OR(ISBLANK($G55), IFERROR(INDEX(GOOGLEFINANCE($C55, ""price"", WORKDAY(INT($B55), 5)), 2, 2), """")=""""), """", IF($D55=""LONG"", (IFERROR(INDEX(GOOGLEFINANCE($C55, ""price"", WORKDAY(INT($B55), 5)), 2, 2), """")-$G55)/$G55, ($G55-IFERROR(INDEX(GOOGLE"&amp;"FINANCE($C55, ""price"", WORKDAY(INT($B55), 5)), 2, 2), """"))/$G55))"),-0.02429265504429841)</f>
        <v>-0.02429265504</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2563</v>
      </c>
      <c r="U55" s="10" t="s">
        <v>984</v>
      </c>
      <c r="V55" s="10" t="s">
        <v>998</v>
      </c>
      <c r="W55" s="10" t="s">
        <v>51</v>
      </c>
      <c r="X55" s="10" t="s">
        <v>984</v>
      </c>
    </row>
    <row r="56">
      <c r="A56" s="9">
        <f t="shared" si="1"/>
        <v>55</v>
      </c>
      <c r="B56" s="11">
        <v>46219.667395833334</v>
      </c>
      <c r="C56" s="10" t="s">
        <v>629</v>
      </c>
      <c r="D56" s="10" t="s">
        <v>36</v>
      </c>
      <c r="E56" s="10" t="s">
        <v>133</v>
      </c>
      <c r="F56" s="13">
        <v>2.0</v>
      </c>
      <c r="G56" s="14">
        <v>52.92</v>
      </c>
      <c r="H56" s="10" t="s">
        <v>2565</v>
      </c>
      <c r="I56" s="10">
        <v>98.1</v>
      </c>
      <c r="O56" s="15">
        <f>IFERROR(__xludf.DUMMYFUNCTION("IF(ISBLANK($C56), """", GOOGLEFINANCE($C56, ""price""))"),52.28)</f>
        <v>52.28</v>
      </c>
      <c r="P56" s="16">
        <f t="shared" si="2"/>
        <v>-0.01209372638</v>
      </c>
      <c r="Q56" s="16">
        <f>IFERROR(__xludf.DUMMYFUNCTION("IF(OR(ISBLANK($G56), IFERROR(INDEX(GOOGLEFINANCE($C56, ""price"", WORKDAY(INT($B56), 1)), 2, 2), """")=""""), """", IF($D56=""LONG"", (IFERROR(INDEX(GOOGLEFINANCE($C56, ""price"", WORKDAY(INT($B56), 1)), 2, 2), """")-$G56)/$G56, ($G56-IFERROR(INDEX(GOOGLE"&amp;"FINANCE($C56, ""price"", WORKDAY(INT($B56), 1)), 2, 2), """"))/$G56))"),-0.023053665910808745)</f>
        <v>-0.02305366591</v>
      </c>
      <c r="R56" s="16">
        <f>IFERROR(__xludf.DUMMYFUNCTION("IF(OR(ISBLANK($G56), IFERROR(INDEX(GOOGLEFINANCE($C56, ""price"", WORKDAY(INT($B56), 5)), 2, 2), """")=""""), """", IF($D56=""LONG"", (IFERROR(INDEX(GOOGLEFINANCE($C56, ""price"", WORKDAY(INT($B56), 5)), 2, 2), """")-$G56)/$G56, ($G56-IFERROR(INDEX(GOOGLE"&amp;"FINANCE($C56, ""price"", WORKDAY(INT($B56), 5)), 2, 2), """"))/$G56))"),-0.05158730158730166)</f>
        <v>-0.05158730159</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2569</v>
      </c>
      <c r="U56" s="10" t="s">
        <v>492</v>
      </c>
      <c r="V56" s="10" t="s">
        <v>493</v>
      </c>
      <c r="W56" s="10" t="s">
        <v>51</v>
      </c>
      <c r="X56" s="10" t="s">
        <v>492</v>
      </c>
    </row>
    <row r="57">
      <c r="A57" s="9">
        <f t="shared" si="1"/>
        <v>56</v>
      </c>
      <c r="B57" s="11">
        <v>46219.66761574074</v>
      </c>
      <c r="C57" s="10" t="s">
        <v>86</v>
      </c>
      <c r="D57" s="10" t="s">
        <v>36</v>
      </c>
      <c r="E57" s="10" t="s">
        <v>1892</v>
      </c>
      <c r="F57" s="13">
        <v>2.0</v>
      </c>
      <c r="G57" s="14">
        <v>84.77</v>
      </c>
      <c r="H57" s="10" t="s">
        <v>2571</v>
      </c>
      <c r="I57" s="10">
        <v>84.1</v>
      </c>
      <c r="O57" s="15">
        <f>IFERROR(__xludf.DUMMYFUNCTION("IF(ISBLANK($C57), """", GOOGLEFINANCE($C57, ""price""))"),88.24)</f>
        <v>88.24</v>
      </c>
      <c r="P57" s="16">
        <f t="shared" si="2"/>
        <v>0.04093429279</v>
      </c>
      <c r="Q57" s="16">
        <f>IFERROR(__xludf.DUMMYFUNCTION("IF(OR(ISBLANK($G57), IFERROR(INDEX(GOOGLEFINANCE($C57, ""price"", WORKDAY(INT($B57), 1)), 2, 2), """")=""""), """", IF($D57=""LONG"", (IFERROR(INDEX(GOOGLEFINANCE($C57, ""price"", WORKDAY(INT($B57), 1)), 2, 2), """")-$G57)/$G57, ($G57-IFERROR(INDEX(GOOGLE"&amp;"FINANCE($C57, ""price"", WORKDAY(INT($B57), 1)), 2, 2), """"))/$G57))"),-0.029845464197239605)</f>
        <v>-0.0298454642</v>
      </c>
      <c r="R57" s="16">
        <f>IFERROR(__xludf.DUMMYFUNCTION("IF(OR(ISBLANK($G57), IFERROR(INDEX(GOOGLEFINANCE($C57, ""price"", WORKDAY(INT($B57), 5)), 2, 2), """")=""""), """", IF($D57=""LONG"", (IFERROR(INDEX(GOOGLEFINANCE($C57, ""price"", WORKDAY(INT($B57), 5)), 2, 2), """")-$G57)/$G57, ($G57-IFERROR(INDEX(GOOGLE"&amp;"FINANCE($C57, ""price"", WORKDAY(INT($B57), 5)), 2, 2), """"))/$G57))"),-0.00542644803586167)</f>
        <v>-0.005426448036</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2574</v>
      </c>
      <c r="U57" s="10" t="s">
        <v>984</v>
      </c>
      <c r="V57" s="10" t="s">
        <v>1880</v>
      </c>
      <c r="W57" s="10" t="s">
        <v>51</v>
      </c>
      <c r="X57" s="10" t="s">
        <v>984</v>
      </c>
    </row>
    <row r="58">
      <c r="A58" s="9">
        <f t="shared" si="1"/>
        <v>57</v>
      </c>
      <c r="B58" s="11">
        <v>46219.66748842593</v>
      </c>
      <c r="C58" s="10" t="s">
        <v>434</v>
      </c>
      <c r="D58" s="10" t="s">
        <v>36</v>
      </c>
      <c r="E58" s="10" t="s">
        <v>37</v>
      </c>
      <c r="F58" s="13">
        <v>2.0</v>
      </c>
      <c r="G58" s="14">
        <v>111.73</v>
      </c>
      <c r="H58" s="10" t="s">
        <v>2575</v>
      </c>
      <c r="I58" s="10">
        <v>94.1</v>
      </c>
      <c r="O58" s="15">
        <f>IFERROR(__xludf.DUMMYFUNCTION("IF(ISBLANK($C58), """", GOOGLEFINANCE($C58, ""price""))"),114.24)</f>
        <v>114.24</v>
      </c>
      <c r="P58" s="16">
        <f t="shared" si="2"/>
        <v>0.02246487067</v>
      </c>
      <c r="Q58" s="16">
        <f>IFERROR(__xludf.DUMMYFUNCTION("IF(OR(ISBLANK($G58), IFERROR(INDEX(GOOGLEFINANCE($C58, ""price"", WORKDAY(INT($B58), 1)), 2, 2), """")=""""), """", IF($D58=""LONG"", (IFERROR(INDEX(GOOGLEFINANCE($C58, ""price"", WORKDAY(INT($B58), 1)), 2, 2), """")-$G58)/$G58, ($G58-IFERROR(INDEX(GOOGLE"&amp;"FINANCE($C58, ""price"", WORKDAY(INT($B58), 1)), 2, 2), """"))/$G58))"),-0.014141233330349934)</f>
        <v>-0.01414123333</v>
      </c>
      <c r="R58" s="16">
        <f>IFERROR(__xludf.DUMMYFUNCTION("IF(OR(ISBLANK($G58), IFERROR(INDEX(GOOGLEFINANCE($C58, ""price"", WORKDAY(INT($B58), 5)), 2, 2), """")=""""), """", IF($D58=""LONG"", (IFERROR(INDEX(GOOGLEFINANCE($C58, ""price"", WORKDAY(INT($B58), 5)), 2, 2), """")-$G58)/$G58, ($G58-IFERROR(INDEX(GOOGLE"&amp;"FINANCE($C58, ""price"", WORKDAY(INT($B58), 5)), 2, 2), """"))/$G58))"),0.012888212655508794)</f>
        <v>0.01288821266</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2578</v>
      </c>
      <c r="U58" s="10" t="s">
        <v>240</v>
      </c>
      <c r="V58" s="10" t="s">
        <v>2579</v>
      </c>
      <c r="W58" s="10" t="s">
        <v>51</v>
      </c>
      <c r="X58" s="10" t="s">
        <v>1905</v>
      </c>
    </row>
    <row r="59">
      <c r="A59" s="9">
        <f t="shared" si="1"/>
        <v>58</v>
      </c>
      <c r="B59" s="11">
        <v>46219.66769675926</v>
      </c>
      <c r="C59" s="10" t="s">
        <v>166</v>
      </c>
      <c r="D59" s="10" t="s">
        <v>36</v>
      </c>
      <c r="E59" s="10" t="s">
        <v>37</v>
      </c>
      <c r="F59" s="13">
        <v>2.0</v>
      </c>
      <c r="G59" s="14">
        <v>126.69</v>
      </c>
      <c r="H59" s="10" t="s">
        <v>2580</v>
      </c>
      <c r="I59" s="10">
        <v>86.0</v>
      </c>
      <c r="O59" s="15">
        <f>IFERROR(__xludf.DUMMYFUNCTION("IF(ISBLANK($C59), """", GOOGLEFINANCE($C59, ""price""))"),132.06)</f>
        <v>132.06</v>
      </c>
      <c r="P59" s="16">
        <f t="shared" si="2"/>
        <v>0.04238692872</v>
      </c>
      <c r="Q59" s="16">
        <f>IFERROR(__xludf.DUMMYFUNCTION("IF(OR(ISBLANK($G59), IFERROR(INDEX(GOOGLEFINANCE($C59, ""price"", WORKDAY(INT($B59), 1)), 2, 2), """")=""""), """", IF($D59=""LONG"", (IFERROR(INDEX(GOOGLEFINANCE($C59, ""price"", WORKDAY(INT($B59), 1)), 2, 2), """")-$G59)/$G59, ($G59-IFERROR(INDEX(GOOGLE"&amp;"FINANCE($C59, ""price"", WORKDAY(INT($B59), 1)), 2, 2), """"))/$G59))"),-0.003867708579998381)</f>
        <v>-0.00386770858</v>
      </c>
      <c r="R59" s="16">
        <f>IFERROR(__xludf.DUMMYFUNCTION("IF(OR(ISBLANK($G59), IFERROR(INDEX(GOOGLEFINANCE($C59, ""price"", WORKDAY(INT($B59), 5)), 2, 2), """")=""""), """", IF($D59=""LONG"", (IFERROR(INDEX(GOOGLEFINANCE($C59, ""price"", WORKDAY(INT($B59), 5)), 2, 2), """")-$G59)/$G59, ($G59-IFERROR(INDEX(GOOGLE"&amp;"FINANCE($C59, ""price"", WORKDAY(INT($B59), 5)), 2, 2), """"))/$G59))"),0.03204672823427265)</f>
        <v>0.03204672823</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2583</v>
      </c>
      <c r="U59" s="10" t="s">
        <v>984</v>
      </c>
      <c r="V59" s="10" t="s">
        <v>998</v>
      </c>
      <c r="W59" s="10" t="s">
        <v>51</v>
      </c>
      <c r="X59" s="10" t="s">
        <v>984</v>
      </c>
    </row>
    <row r="60">
      <c r="A60" s="9">
        <f t="shared" si="1"/>
        <v>59</v>
      </c>
      <c r="B60" s="11">
        <v>46219.66751157407</v>
      </c>
      <c r="C60" s="10" t="s">
        <v>197</v>
      </c>
      <c r="D60" s="10" t="s">
        <v>36</v>
      </c>
      <c r="E60" s="10" t="s">
        <v>37</v>
      </c>
      <c r="F60" s="13">
        <v>2.0</v>
      </c>
      <c r="G60" s="14">
        <v>209.37</v>
      </c>
      <c r="H60" s="10" t="s">
        <v>2584</v>
      </c>
      <c r="I60" s="10">
        <v>92.2</v>
      </c>
      <c r="O60" s="15">
        <f>IFERROR(__xludf.DUMMYFUNCTION("IF(ISBLANK($C60), """", GOOGLEFINANCE($C60, ""price""))"),238.5)</f>
        <v>238.5</v>
      </c>
      <c r="P60" s="16">
        <f t="shared" si="2"/>
        <v>0.1391316808</v>
      </c>
      <c r="Q60" s="16">
        <f>IFERROR(__xludf.DUMMYFUNCTION("IF(OR(ISBLANK($G60), IFERROR(INDEX(GOOGLEFINANCE($C60, ""price"", WORKDAY(INT($B60), 1)), 2, 2), """")=""""), """", IF($D60=""LONG"", (IFERROR(INDEX(GOOGLEFINANCE($C60, ""price"", WORKDAY(INT($B60), 1)), 2, 2), """")-$G60)/$G60, ($G60-IFERROR(INDEX(GOOGLE"&amp;"FINANCE($C60, ""price"", WORKDAY(INT($B60), 1)), 2, 2), """"))/$G60))"),0.006256865835602055)</f>
        <v>0.006256865836</v>
      </c>
      <c r="R60" s="16">
        <f>IFERROR(__xludf.DUMMYFUNCTION("IF(OR(ISBLANK($G60), IFERROR(INDEX(GOOGLEFINANCE($C60, ""price"", WORKDAY(INT($B60), 5)), 2, 2), """")=""""), """", IF($D60=""LONG"", (IFERROR(INDEX(GOOGLEFINANCE($C60, ""price"", WORKDAY(INT($B60), 5)), 2, 2), """")-$G60)/$G60, ($G60-IFERROR(INDEX(GOOGLE"&amp;"FINANCE($C60, ""price"", WORKDAY(INT($B60), 5)), 2, 2), """"))/$G60))"),0.08850360605626403)</f>
        <v>0.08850360606</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2586</v>
      </c>
      <c r="U60" s="10" t="s">
        <v>984</v>
      </c>
      <c r="V60" s="10" t="s">
        <v>998</v>
      </c>
      <c r="W60" s="10" t="s">
        <v>51</v>
      </c>
      <c r="X60" s="10" t="s">
        <v>984</v>
      </c>
    </row>
    <row r="61">
      <c r="A61" s="9">
        <f t="shared" si="1"/>
        <v>60</v>
      </c>
      <c r="B61" s="11">
        <v>46219.667662037034</v>
      </c>
      <c r="C61" s="10" t="s">
        <v>2588</v>
      </c>
      <c r="D61" s="10" t="s">
        <v>36</v>
      </c>
      <c r="E61" s="10" t="s">
        <v>133</v>
      </c>
      <c r="F61" s="13">
        <v>2.0</v>
      </c>
      <c r="G61" s="14">
        <v>74.29</v>
      </c>
      <c r="H61" s="10" t="s">
        <v>2589</v>
      </c>
      <c r="I61" s="10">
        <v>72.3</v>
      </c>
      <c r="O61" s="15">
        <f>IFERROR(__xludf.DUMMYFUNCTION("IF(ISBLANK($C61), """", GOOGLEFINANCE($C61, ""price""))"),78.67)</f>
        <v>78.67</v>
      </c>
      <c r="P61" s="16">
        <f t="shared" si="2"/>
        <v>0.05895813703</v>
      </c>
      <c r="Q61" s="16">
        <f>IFERROR(__xludf.DUMMYFUNCTION("IF(OR(ISBLANK($G61), IFERROR(INDEX(GOOGLEFINANCE($C61, ""price"", WORKDAY(INT($B61), 1)), 2, 2), """")=""""), """", IF($D61=""LONG"", (IFERROR(INDEX(GOOGLEFINANCE($C61, ""price"", WORKDAY(INT($B61), 1)), 2, 2), """")-$G61)/$G61, ($G61-IFERROR(INDEX(GOOGLE"&amp;"FINANCE($C61, ""price"", WORKDAY(INT($B61), 1)), 2, 2), """"))/$G61))"),-0.009018710459012003)</f>
        <v>-0.009018710459</v>
      </c>
      <c r="R61" s="16">
        <f>IFERROR(__xludf.DUMMYFUNCTION("IF(OR(ISBLANK($G61), IFERROR(INDEX(GOOGLEFINANCE($C61, ""price"", WORKDAY(INT($B61), 5)), 2, 2), """")=""""), """", IF($D61=""LONG"", (IFERROR(INDEX(GOOGLEFINANCE($C61, ""price"", WORKDAY(INT($B61), 5)), 2, 2), """")-$G61)/$G61, ($G61-IFERROR(INDEX(GOOGLE"&amp;"FINANCE($C61, ""price"", WORKDAY(INT($B61), 5)), 2, 2), """"))/$G61))"),-0.033921119935388475)</f>
        <v>-0.03392111994</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2591</v>
      </c>
      <c r="U61" s="10" t="s">
        <v>984</v>
      </c>
      <c r="V61" s="10" t="s">
        <v>1059</v>
      </c>
      <c r="W61" s="10" t="s">
        <v>51</v>
      </c>
      <c r="X61" s="10" t="s">
        <v>984</v>
      </c>
    </row>
    <row r="62">
      <c r="A62" s="9">
        <f t="shared" si="1"/>
        <v>61</v>
      </c>
      <c r="B62" s="11">
        <v>46219.66763888889</v>
      </c>
      <c r="C62" s="10" t="s">
        <v>452</v>
      </c>
      <c r="D62" s="10" t="s">
        <v>119</v>
      </c>
      <c r="E62" s="10" t="s">
        <v>120</v>
      </c>
      <c r="F62" s="13">
        <v>4.0</v>
      </c>
      <c r="G62" s="14">
        <v>57.81</v>
      </c>
      <c r="H62" s="10" t="s">
        <v>2592</v>
      </c>
      <c r="I62" s="10">
        <v>9.3</v>
      </c>
      <c r="O62" s="15">
        <f>IFERROR(__xludf.DUMMYFUNCTION("IF(ISBLANK($C62), """", GOOGLEFINANCE($C62, ""price""))"),61.44)</f>
        <v>61.44</v>
      </c>
      <c r="P62" s="16">
        <f t="shared" si="2"/>
        <v>-0.06279190451</v>
      </c>
      <c r="Q62" s="16">
        <f>IFERROR(__xludf.DUMMYFUNCTION("IF(OR(ISBLANK($G62), IFERROR(INDEX(GOOGLEFINANCE($C62, ""price"", WORKDAY(INT($B62), 1)), 2, 2), """")=""""), """", IF($D62=""LONG"", (IFERROR(INDEX(GOOGLEFINANCE($C62, ""price"", WORKDAY(INT($B62), 1)), 2, 2), """")-$G62)/$G62, ($G62-IFERROR(INDEX(GOOGLE"&amp;"FINANCE($C62, ""price"", WORKDAY(INT($B62), 1)), 2, 2), """"))/$G62))"),-0.023525341636395077)</f>
        <v>-0.02352534164</v>
      </c>
      <c r="R62" s="16">
        <f>IFERROR(__xludf.DUMMYFUNCTION("IF(OR(ISBLANK($G62), IFERROR(INDEX(GOOGLEFINANCE($C62, ""price"", WORKDAY(INT($B62), 5)), 2, 2), """")=""""), """", IF($D62=""LONG"", (IFERROR(INDEX(GOOGLEFINANCE($C62, ""price"", WORKDAY(INT($B62), 5)), 2, 2), """")-$G62)/$G62, ($G62-IFERROR(INDEX(GOOGLE"&amp;"FINANCE($C62, ""price"", WORKDAY(INT($B62), 5)), 2, 2), """"))/$G62))"),-0.06763535720463582)</f>
        <v>-0.0676353572</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2595</v>
      </c>
      <c r="U62" s="10" t="s">
        <v>984</v>
      </c>
      <c r="V62" s="10" t="s">
        <v>985</v>
      </c>
      <c r="W62" s="10" t="s">
        <v>51</v>
      </c>
      <c r="X62" s="10" t="s">
        <v>984</v>
      </c>
    </row>
    <row r="63">
      <c r="A63" s="9">
        <f t="shared" si="1"/>
        <v>62</v>
      </c>
      <c r="B63" s="11">
        <v>46219.66740740741</v>
      </c>
      <c r="C63" s="10" t="s">
        <v>149</v>
      </c>
      <c r="D63" s="10" t="s">
        <v>36</v>
      </c>
      <c r="E63" s="10" t="s">
        <v>37</v>
      </c>
      <c r="F63" s="13">
        <v>2.0</v>
      </c>
      <c r="G63" s="14">
        <v>125.65</v>
      </c>
      <c r="H63" s="10" t="s">
        <v>2598</v>
      </c>
      <c r="I63" s="10">
        <v>96.7</v>
      </c>
      <c r="O63" s="15">
        <f>IFERROR(__xludf.DUMMYFUNCTION("IF(ISBLANK($C63), """", GOOGLEFINANCE($C63, ""price""))"),132.79)</f>
        <v>132.79</v>
      </c>
      <c r="P63" s="16">
        <f t="shared" si="2"/>
        <v>0.05682451253</v>
      </c>
      <c r="Q63" s="16">
        <f>IFERROR(__xludf.DUMMYFUNCTION("IF(OR(ISBLANK($G63), IFERROR(INDEX(GOOGLEFINANCE($C63, ""price"", WORKDAY(INT($B63), 1)), 2, 2), """")=""""), """", IF($D63=""LONG"", (IFERROR(INDEX(GOOGLEFINANCE($C63, ""price"", WORKDAY(INT($B63), 1)), 2, 2), """")-$G63)/$G63, ($G63-IFERROR(INDEX(GOOGLE"&amp;"FINANCE($C63, ""price"", WORKDAY(INT($B63), 1)), 2, 2), """"))/$G63))"),-0.006605650616792778)</f>
        <v>-0.006605650617</v>
      </c>
      <c r="R63" s="16">
        <f>IFERROR(__xludf.DUMMYFUNCTION("IF(OR(ISBLANK($G63), IFERROR(INDEX(GOOGLEFINANCE($C63, ""price"", WORKDAY(INT($B63), 5)), 2, 2), """")=""""), """", IF($D63=""LONG"", (IFERROR(INDEX(GOOGLEFINANCE($C63, ""price"", WORKDAY(INT($B63), 5)), 2, 2), """")-$G63)/$G63, ($G63-IFERROR(INDEX(GOOGLE"&amp;"FINANCE($C63, ""price"", WORKDAY(INT($B63), 5)), 2, 2), """"))/$G63))"),-0.04456824512534825)</f>
        <v>-0.04456824513</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2603</v>
      </c>
      <c r="U63" s="10" t="s">
        <v>984</v>
      </c>
      <c r="V63" s="10" t="s">
        <v>985</v>
      </c>
      <c r="W63" s="10" t="s">
        <v>51</v>
      </c>
      <c r="X63" s="10" t="s">
        <v>984</v>
      </c>
    </row>
    <row r="64">
      <c r="A64" s="9">
        <f t="shared" si="1"/>
        <v>63</v>
      </c>
      <c r="B64" s="11">
        <v>46219.66755787037</v>
      </c>
      <c r="C64" s="10" t="s">
        <v>707</v>
      </c>
      <c r="D64" s="10" t="s">
        <v>36</v>
      </c>
      <c r="E64" s="10" t="s">
        <v>37</v>
      </c>
      <c r="F64" s="13">
        <v>2.0</v>
      </c>
      <c r="G64" s="14">
        <v>112.35</v>
      </c>
      <c r="H64" s="10" t="s">
        <v>2605</v>
      </c>
      <c r="I64" s="10">
        <v>95.6</v>
      </c>
      <c r="O64" s="15">
        <f>IFERROR(__xludf.DUMMYFUNCTION("IF(ISBLANK($C64), """", GOOGLEFINANCE($C64, ""price""))"),108.95)</f>
        <v>108.95</v>
      </c>
      <c r="P64" s="16">
        <f t="shared" si="2"/>
        <v>-0.03026257232</v>
      </c>
      <c r="Q64" s="16">
        <f>IFERROR(__xludf.DUMMYFUNCTION("IF(OR(ISBLANK($G64), IFERROR(INDEX(GOOGLEFINANCE($C64, ""price"", WORKDAY(INT($B64), 1)), 2, 2), """")=""""), """", IF($D64=""LONG"", (IFERROR(INDEX(GOOGLEFINANCE($C64, ""price"", WORKDAY(INT($B64), 1)), 2, 2), """")-$G64)/$G64, ($G64-IFERROR(INDEX(GOOGLE"&amp;"FINANCE($C64, ""price"", WORKDAY(INT($B64), 1)), 2, 2), """"))/$G64))"),1.780151312862504E-4)</f>
        <v>0.0001780151313</v>
      </c>
      <c r="R64" s="16">
        <f>IFERROR(__xludf.DUMMYFUNCTION("IF(OR(ISBLANK($G64), IFERROR(INDEX(GOOGLEFINANCE($C64, ""price"", WORKDAY(INT($B64), 5)), 2, 2), """")=""""), """", IF($D64=""LONG"", (IFERROR(INDEX(GOOGLEFINANCE($C64, ""price"", WORKDAY(INT($B64), 5)), 2, 2), """")-$G64)/$G64, ($G64-IFERROR(INDEX(GOOGLE"&amp;"FINANCE($C64, ""price"", WORKDAY(INT($B64), 5)), 2, 2), """"))/$G64))"),0.003916332888295611)</f>
        <v>0.003916332888</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2609</v>
      </c>
      <c r="U64" s="10" t="s">
        <v>240</v>
      </c>
      <c r="V64" s="10" t="s">
        <v>2610</v>
      </c>
      <c r="W64" s="10" t="s">
        <v>51</v>
      </c>
      <c r="X64" s="10" t="s">
        <v>1905</v>
      </c>
    </row>
    <row r="65">
      <c r="A65" s="9">
        <f t="shared" si="1"/>
        <v>64</v>
      </c>
      <c r="B65" s="11">
        <v>46219.667546296296</v>
      </c>
      <c r="C65" s="10" t="s">
        <v>442</v>
      </c>
      <c r="D65" s="10" t="s">
        <v>36</v>
      </c>
      <c r="E65" s="10" t="s">
        <v>37</v>
      </c>
      <c r="F65" s="13">
        <v>2.0</v>
      </c>
      <c r="G65" s="14">
        <v>542.13</v>
      </c>
      <c r="H65" s="10" t="s">
        <v>2036</v>
      </c>
      <c r="I65" s="10">
        <v>98.5</v>
      </c>
      <c r="O65" s="15">
        <f>IFERROR(__xludf.DUMMYFUNCTION("IF(ISBLANK($C65), """", GOOGLEFINANCE($C65, ""price""))"),522.46)</f>
        <v>522.46</v>
      </c>
      <c r="P65" s="16">
        <f t="shared" si="2"/>
        <v>-0.0362828104</v>
      </c>
      <c r="Q65" s="16">
        <f>IFERROR(__xludf.DUMMYFUNCTION("IF(OR(ISBLANK($G65), IFERROR(INDEX(GOOGLEFINANCE($C65, ""price"", WORKDAY(INT($B65), 1)), 2, 2), """")=""""), """", IF($D65=""LONG"", (IFERROR(INDEX(GOOGLEFINANCE($C65, ""price"", WORKDAY(INT($B65), 1)), 2, 2), """")-$G65)/$G65, ($G65-IFERROR(INDEX(GOOGLE"&amp;"FINANCE($C65, ""price"", WORKDAY(INT($B65), 1)), 2, 2), """"))/$G65))"),-0.05874974637079672)</f>
        <v>-0.05874974637</v>
      </c>
      <c r="R65" s="16">
        <f>IFERROR(__xludf.DUMMYFUNCTION("IF(OR(ISBLANK($G65), IFERROR(INDEX(GOOGLEFINANCE($C65, ""price"", WORKDAY(INT($B65), 5)), 2, 2), """")=""""), """", IF($D65=""LONG"", (IFERROR(INDEX(GOOGLEFINANCE($C65, ""price"", WORKDAY(INT($B65), 5)), 2, 2), """")-$G65)/$G65, ($G65-IFERROR(INDEX(GOOGLE"&amp;"FINANCE($C65, ""price"", WORKDAY(INT($B65), 5)), 2, 2), """"))/$G65))"),-0.0926530536956081)</f>
        <v>-0.0926530537</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2614</v>
      </c>
      <c r="U65" s="10" t="s">
        <v>984</v>
      </c>
      <c r="V65" s="10" t="s">
        <v>1059</v>
      </c>
      <c r="W65" s="10" t="s">
        <v>51</v>
      </c>
      <c r="X65" s="10" t="s">
        <v>984</v>
      </c>
    </row>
    <row r="66">
      <c r="A66" s="9">
        <f t="shared" si="1"/>
        <v>65</v>
      </c>
      <c r="B66" s="11">
        <v>46219.66783564815</v>
      </c>
      <c r="C66" s="10" t="s">
        <v>2616</v>
      </c>
      <c r="D66" s="10" t="s">
        <v>36</v>
      </c>
      <c r="E66" s="10" t="s">
        <v>87</v>
      </c>
      <c r="F66" s="13">
        <v>2.0</v>
      </c>
      <c r="G66" s="14">
        <v>81.69</v>
      </c>
      <c r="H66" s="10" t="s">
        <v>2618</v>
      </c>
      <c r="I66" s="10">
        <v>64.5</v>
      </c>
      <c r="O66" s="15">
        <f>IFERROR(__xludf.DUMMYFUNCTION("IF(ISBLANK($C66), """", GOOGLEFINANCE($C66, ""price""))"),82.96)</f>
        <v>82.96</v>
      </c>
      <c r="P66" s="16">
        <f t="shared" si="2"/>
        <v>0.01554657853</v>
      </c>
      <c r="Q66" s="16">
        <f>IFERROR(__xludf.DUMMYFUNCTION("IF(OR(ISBLANK($G66), IFERROR(INDEX(GOOGLEFINANCE($C66, ""price"", WORKDAY(INT($B66), 1)), 2, 2), """")=""""), """", IF($D66=""LONG"", (IFERROR(INDEX(GOOGLEFINANCE($C66, ""price"", WORKDAY(INT($B66), 1)), 2, 2), """")-$G66)/$G66, ($G66-IFERROR(INDEX(GOOGLE"&amp;"FINANCE($C66, ""price"", WORKDAY(INT($B66), 1)), 2, 2), """"))/$G66))"),-0.004651732158158838)</f>
        <v>-0.004651732158</v>
      </c>
      <c r="R66" s="16">
        <f>IFERROR(__xludf.DUMMYFUNCTION("IF(OR(ISBLANK($G66), IFERROR(INDEX(GOOGLEFINANCE($C66, ""price"", WORKDAY(INT($B66), 5)), 2, 2), """")=""""), """", IF($D66=""LONG"", (IFERROR(INDEX(GOOGLEFINANCE($C66, ""price"", WORKDAY(INT($B66), 5)), 2, 2), """")-$G66)/$G66, ($G66-IFERROR(INDEX(GOOGLE"&amp;"FINANCE($C66, ""price"", WORKDAY(INT($B66), 5)), 2, 2), """"))/$G66))"),-0.05447423185212392)</f>
        <v>-0.05447423185</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2623</v>
      </c>
      <c r="U66" s="10" t="s">
        <v>984</v>
      </c>
      <c r="V66" s="10" t="s">
        <v>985</v>
      </c>
      <c r="W66" s="10" t="s">
        <v>51</v>
      </c>
      <c r="X66" s="10" t="s">
        <v>984</v>
      </c>
    </row>
    <row r="67">
      <c r="A67" s="9">
        <f t="shared" si="1"/>
        <v>66</v>
      </c>
      <c r="B67" s="11">
        <v>46219.66752314815</v>
      </c>
      <c r="C67" s="10" t="s">
        <v>488</v>
      </c>
      <c r="D67" s="10" t="s">
        <v>36</v>
      </c>
      <c r="E67" s="10" t="s">
        <v>37</v>
      </c>
      <c r="F67" s="13">
        <v>2.0</v>
      </c>
      <c r="G67" s="14">
        <v>63.15</v>
      </c>
      <c r="H67" s="10" t="s">
        <v>2625</v>
      </c>
      <c r="I67" s="10">
        <v>96.3</v>
      </c>
      <c r="O67" s="15">
        <f>IFERROR(__xludf.DUMMYFUNCTION("IF(ISBLANK($C67), """", GOOGLEFINANCE($C67, ""price""))"),53.86)</f>
        <v>53.86</v>
      </c>
      <c r="P67" s="16">
        <f t="shared" si="2"/>
        <v>-0.1471100554</v>
      </c>
      <c r="Q67" s="16">
        <f>IFERROR(__xludf.DUMMYFUNCTION("IF(OR(ISBLANK($G67), IFERROR(INDEX(GOOGLEFINANCE($C67, ""price"", WORKDAY(INT($B67), 1)), 2, 2), """")=""""), """", IF($D67=""LONG"", (IFERROR(INDEX(GOOGLEFINANCE($C67, ""price"", WORKDAY(INT($B67), 1)), 2, 2), """")-$G67)/$G67, ($G67-IFERROR(INDEX(GOOGLE"&amp;"FINANCE($C67, ""price"", WORKDAY(INT($B67), 1)), 2, 2), """"))/$G67))"),-0.021060965954077568)</f>
        <v>-0.02106096595</v>
      </c>
      <c r="R67" s="16">
        <f>IFERROR(__xludf.DUMMYFUNCTION("IF(OR(ISBLANK($G67), IFERROR(INDEX(GOOGLEFINANCE($C67, ""price"", WORKDAY(INT($B67), 5)), 2, 2), """")=""""), """", IF($D67=""LONG"", (IFERROR(INDEX(GOOGLEFINANCE($C67, ""price"", WORKDAY(INT($B67), 5)), 2, 2), """")-$G67)/$G67, ($G67-IFERROR(INDEX(GOOGLE"&amp;"FINANCE($C67, ""price"", WORKDAY(INT($B67), 5)), 2, 2), """"))/$G67))"),-0.09707046714172599)</f>
        <v>-0.09707046714</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2629</v>
      </c>
      <c r="U67" s="10" t="s">
        <v>984</v>
      </c>
      <c r="V67" s="10" t="s">
        <v>998</v>
      </c>
      <c r="W67" s="10" t="s">
        <v>51</v>
      </c>
      <c r="X67" s="10" t="s">
        <v>984</v>
      </c>
    </row>
    <row r="68">
      <c r="A68" s="9">
        <f t="shared" si="1"/>
        <v>67</v>
      </c>
      <c r="B68" s="11">
        <v>46219.66756944444</v>
      </c>
      <c r="C68" s="10" t="s">
        <v>332</v>
      </c>
      <c r="D68" s="10" t="s">
        <v>36</v>
      </c>
      <c r="E68" s="10" t="s">
        <v>37</v>
      </c>
      <c r="F68" s="13">
        <v>2.0</v>
      </c>
      <c r="G68" s="14">
        <v>88.25</v>
      </c>
      <c r="H68" s="10" t="s">
        <v>2631</v>
      </c>
      <c r="I68" s="10">
        <v>93.8</v>
      </c>
      <c r="O68" s="15">
        <f>IFERROR(__xludf.DUMMYFUNCTION("IF(ISBLANK($C68), """", GOOGLEFINANCE($C68, ""price""))"),88.23)</f>
        <v>88.23</v>
      </c>
      <c r="P68" s="16">
        <f t="shared" si="2"/>
        <v>-0.0002266288952</v>
      </c>
      <c r="Q68" s="16">
        <f>IFERROR(__xludf.DUMMYFUNCTION("IF(OR(ISBLANK($G68), IFERROR(INDEX(GOOGLEFINANCE($C68, ""price"", WORKDAY(INT($B68), 1)), 2, 2), """")=""""), """", IF($D68=""LONG"", (IFERROR(INDEX(GOOGLEFINANCE($C68, ""price"", WORKDAY(INT($B68), 1)), 2, 2), """")-$G68)/$G68, ($G68-IFERROR(INDEX(GOOGLE"&amp;"FINANCE($C68, ""price"", WORKDAY(INT($B68), 1)), 2, 2), """"))/$G68))"),-0.004872521246459001)</f>
        <v>-0.004872521246</v>
      </c>
      <c r="R68" s="16">
        <f>IFERROR(__xludf.DUMMYFUNCTION("IF(OR(ISBLANK($G68), IFERROR(INDEX(GOOGLEFINANCE($C68, ""price"", WORKDAY(INT($B68), 5)), 2, 2), """")=""""), """", IF($D68=""LONG"", (IFERROR(INDEX(GOOGLEFINANCE($C68, ""price"", WORKDAY(INT($B68), 5)), 2, 2), """")-$G68)/$G68, ($G68-IFERROR(INDEX(GOOGLE"&amp;"FINANCE($C68, ""price"", WORKDAY(INT($B68), 5)), 2, 2), """"))/$G68))"),-0.04215297450424928)</f>
        <v>-0.0421529745</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2634</v>
      </c>
      <c r="U68" s="10" t="s">
        <v>615</v>
      </c>
      <c r="V68" s="10" t="s">
        <v>2636</v>
      </c>
      <c r="W68" s="10" t="s">
        <v>51</v>
      </c>
      <c r="X68" s="10" t="s">
        <v>2637</v>
      </c>
    </row>
    <row r="69">
      <c r="A69" s="9">
        <f t="shared" si="1"/>
        <v>68</v>
      </c>
      <c r="B69" s="11">
        <v>46219.66758101852</v>
      </c>
      <c r="C69" s="10" t="s">
        <v>92</v>
      </c>
      <c r="D69" s="10" t="s">
        <v>36</v>
      </c>
      <c r="E69" s="10" t="s">
        <v>133</v>
      </c>
      <c r="F69" s="13">
        <v>2.0</v>
      </c>
      <c r="G69" s="14">
        <v>84.94</v>
      </c>
      <c r="H69" s="10" t="s">
        <v>2638</v>
      </c>
      <c r="I69" s="10">
        <v>90.7</v>
      </c>
      <c r="O69" s="15">
        <f>IFERROR(__xludf.DUMMYFUNCTION("IF(ISBLANK($C69), """", GOOGLEFINANCE($C69, ""price""))"),86.85)</f>
        <v>86.85</v>
      </c>
      <c r="P69" s="16">
        <f t="shared" si="2"/>
        <v>0.02248646103</v>
      </c>
      <c r="Q69" s="16">
        <f>IFERROR(__xludf.DUMMYFUNCTION("IF(OR(ISBLANK($G69), IFERROR(INDEX(GOOGLEFINANCE($C69, ""price"", WORKDAY(INT($B69), 1)), 2, 2), """")=""""), """", IF($D69=""LONG"", (IFERROR(INDEX(GOOGLEFINANCE($C69, ""price"", WORKDAY(INT($B69), 1)), 2, 2), """")-$G69)/$G69, ($G69-IFERROR(INDEX(GOOGLE"&amp;"FINANCE($C69, ""price"", WORKDAY(INT($B69), 1)), 2, 2), """"))/$G69))"),-0.03979279491405693)</f>
        <v>-0.03979279491</v>
      </c>
      <c r="R69" s="16">
        <f>IFERROR(__xludf.DUMMYFUNCTION("IF(OR(ISBLANK($G69), IFERROR(INDEX(GOOGLEFINANCE($C69, ""price"", WORKDAY(INT($B69), 5)), 2, 2), """")=""""), """", IF($D69=""LONG"", (IFERROR(INDEX(GOOGLEFINANCE($C69, ""price"", WORKDAY(INT($B69), 5)), 2, 2), """")-$G69)/$G69, ($G69-IFERROR(INDEX(GOOGLE"&amp;"FINANCE($C69, ""price"", WORKDAY(INT($B69), 5)), 2, 2), """"))/$G69))"),-0.04438427125029428)</f>
        <v>-0.04438427125</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2640</v>
      </c>
      <c r="U69" s="10" t="s">
        <v>704</v>
      </c>
      <c r="V69" s="10" t="s">
        <v>2642</v>
      </c>
      <c r="W69" s="10" t="s">
        <v>51</v>
      </c>
      <c r="X69" s="10" t="s">
        <v>1885</v>
      </c>
    </row>
    <row r="70">
      <c r="A70" s="9">
        <f t="shared" si="1"/>
        <v>69</v>
      </c>
      <c r="B70" s="11">
        <v>46219.66768518519</v>
      </c>
      <c r="C70" s="10" t="s">
        <v>114</v>
      </c>
      <c r="D70" s="10" t="s">
        <v>36</v>
      </c>
      <c r="E70" s="10" t="s">
        <v>37</v>
      </c>
      <c r="F70" s="13">
        <v>2.0</v>
      </c>
      <c r="G70" s="14">
        <v>228.71</v>
      </c>
      <c r="H70" s="10" t="s">
        <v>2645</v>
      </c>
      <c r="I70" s="10">
        <v>98.0</v>
      </c>
      <c r="L70" s="10" t="s">
        <v>2646</v>
      </c>
      <c r="M70" s="34" t="s">
        <v>1789</v>
      </c>
      <c r="N70" s="10" t="s">
        <v>925</v>
      </c>
      <c r="O70" s="15">
        <f>IFERROR(__xludf.DUMMYFUNCTION("IF(ISBLANK($C70), """", GOOGLEFINANCE($C70, ""price""))"),237.66)</f>
        <v>237.66</v>
      </c>
      <c r="P70" s="16">
        <f t="shared" si="2"/>
        <v>0.03913252591</v>
      </c>
      <c r="Q70" s="16">
        <f>IFERROR(__xludf.DUMMYFUNCTION("IF(OR(ISBLANK($G70), IFERROR(INDEX(GOOGLEFINANCE($C70, ""price"", WORKDAY(INT($B70), 1)), 2, 2), """")=""""), """", IF($D70=""LONG"", (IFERROR(INDEX(GOOGLEFINANCE($C70, ""price"", WORKDAY(INT($B70), 1)), 2, 2), """")-$G70)/$G70, ($G70-IFERROR(INDEX(GOOGLE"&amp;"FINANCE($C70, ""price"", WORKDAY(INT($B70), 1)), 2, 2), """"))/$G70))"),-8.307463600192283E-4)</f>
        <v>-0.00083074636</v>
      </c>
      <c r="R70" s="16">
        <f>IFERROR(__xludf.DUMMYFUNCTION("IF(OR(ISBLANK($G70), IFERROR(INDEX(GOOGLEFINANCE($C70, ""price"", WORKDAY(INT($B70), 5)), 2, 2), """")=""""), """", IF($D70=""LONG"", (IFERROR(INDEX(GOOGLEFINANCE($C70, ""price"", WORKDAY(INT($B70), 5)), 2, 2), """")-$G70)/$G70, ($G70-IFERROR(INDEX(GOOGLE"&amp;"FINANCE($C70, ""price"", WORKDAY(INT($B70), 5)), 2, 2), """"))/$G70))"),-0.011936513488697556)</f>
        <v>-0.01193651349</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2650</v>
      </c>
      <c r="U70" s="10" t="s">
        <v>240</v>
      </c>
      <c r="V70" s="10" t="s">
        <v>2652</v>
      </c>
      <c r="W70" s="10" t="s">
        <v>51</v>
      </c>
      <c r="X70" s="10" t="s">
        <v>1905</v>
      </c>
    </row>
    <row r="71">
      <c r="A71" s="9">
        <f t="shared" si="1"/>
        <v>70</v>
      </c>
      <c r="B71" s="11">
        <v>46219.66761574074</v>
      </c>
      <c r="C71" s="10" t="s">
        <v>1762</v>
      </c>
      <c r="D71" s="10" t="s">
        <v>36</v>
      </c>
      <c r="E71" s="10" t="s">
        <v>1892</v>
      </c>
      <c r="F71" s="13">
        <v>2.0</v>
      </c>
      <c r="G71" s="14">
        <v>205.72</v>
      </c>
      <c r="H71" s="10" t="s">
        <v>2654</v>
      </c>
      <c r="I71" s="10">
        <v>71.2</v>
      </c>
      <c r="O71" s="15">
        <f>IFERROR(__xludf.DUMMYFUNCTION("IF(ISBLANK($C71), """", GOOGLEFINANCE($C71, ""price""))"),146.66)</f>
        <v>146.66</v>
      </c>
      <c r="P71" s="16">
        <f t="shared" si="2"/>
        <v>-0.2870892475</v>
      </c>
      <c r="Q71" s="16">
        <f>IFERROR(__xludf.DUMMYFUNCTION("IF(OR(ISBLANK($G71), IFERROR(INDEX(GOOGLEFINANCE($C71, ""price"", WORKDAY(INT($B71), 1)), 2, 2), """")=""""), """", IF($D71=""LONG"", (IFERROR(INDEX(GOOGLEFINANCE($C71, ""price"", WORKDAY(INT($B71), 1)), 2, 2), """")-$G71)/$G71, ($G71-IFERROR(INDEX(GOOGLE"&amp;"FINANCE($C71, ""price"", WORKDAY(INT($B71), 1)), 2, 2), """"))/$G71))"),0.01351351351351352)</f>
        <v>0.01351351351</v>
      </c>
      <c r="R71" s="16">
        <f>IFERROR(__xludf.DUMMYFUNCTION("IF(OR(ISBLANK($G71), IFERROR(INDEX(GOOGLEFINANCE($C71, ""price"", WORKDAY(INT($B71), 5)), 2, 2), """")=""""), """", IF($D71=""LONG"", (IFERROR(INDEX(GOOGLEFINANCE($C71, ""price"", WORKDAY(INT($B71), 5)), 2, 2), """")-$G71)/$G71, ($G71-IFERROR(INDEX(GOOGLE"&amp;"FINANCE($C71, ""price"", WORKDAY(INT($B71), 5)), 2, 2), """"))/$G71))"),-0.0010208049776395487)</f>
        <v>-0.001020804978</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2659</v>
      </c>
      <c r="U71" s="10" t="s">
        <v>704</v>
      </c>
      <c r="V71" s="10" t="s">
        <v>2660</v>
      </c>
      <c r="W71" s="10" t="s">
        <v>51</v>
      </c>
      <c r="X71" s="10" t="s">
        <v>1885</v>
      </c>
    </row>
    <row r="72">
      <c r="A72" s="9">
        <f t="shared" si="1"/>
        <v>71</v>
      </c>
      <c r="B72" s="11">
        <v>46219.66762731481</v>
      </c>
      <c r="C72" s="10" t="s">
        <v>170</v>
      </c>
      <c r="D72" s="10" t="s">
        <v>36</v>
      </c>
      <c r="E72" s="10" t="s">
        <v>133</v>
      </c>
      <c r="F72" s="13">
        <v>2.0</v>
      </c>
      <c r="G72" s="14">
        <v>71.67</v>
      </c>
      <c r="H72" s="10" t="s">
        <v>2662</v>
      </c>
      <c r="I72" s="10">
        <v>89.3</v>
      </c>
      <c r="O72" s="15">
        <f>IFERROR(__xludf.DUMMYFUNCTION("IF(ISBLANK($C72), """", GOOGLEFINANCE($C72, ""price""))"),66.8)</f>
        <v>66.8</v>
      </c>
      <c r="P72" s="16">
        <f t="shared" si="2"/>
        <v>-0.06795032789</v>
      </c>
      <c r="Q72" s="16">
        <f>IFERROR(__xludf.DUMMYFUNCTION("IF(OR(ISBLANK($G72), IFERROR(INDEX(GOOGLEFINANCE($C72, ""price"", WORKDAY(INT($B72), 1)), 2, 2), """")=""""), """", IF($D72=""LONG"", (IFERROR(INDEX(GOOGLEFINANCE($C72, ""price"", WORKDAY(INT($B72), 1)), 2, 2), """")-$G72)/$G72, ($G72-IFERROR(INDEX(GOOGLE"&amp;"FINANCE($C72, ""price"", WORKDAY(INT($B72), 1)), 2, 2), """"))/$G72))"),-0.008790288823775574)</f>
        <v>-0.008790288824</v>
      </c>
      <c r="R72" s="16">
        <f>IFERROR(__xludf.DUMMYFUNCTION("IF(OR(ISBLANK($G72), IFERROR(INDEX(GOOGLEFINANCE($C72, ""price"", WORKDAY(INT($B72), 5)), 2, 2), """")=""""), """", IF($D72=""LONG"", (IFERROR(INDEX(GOOGLEFINANCE($C72, ""price"", WORKDAY(INT($B72), 5)), 2, 2), """")-$G72)/$G72, ($G72-IFERROR(INDEX(GOOGLE"&amp;"FINANCE($C72, ""price"", WORKDAY(INT($B72), 5)), 2, 2), """"))/$G72))"),-0.0029300962745919903)</f>
        <v>-0.002930096275</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2667</v>
      </c>
      <c r="U72" s="10" t="s">
        <v>984</v>
      </c>
      <c r="V72" s="10" t="s">
        <v>1880</v>
      </c>
      <c r="W72" s="10" t="s">
        <v>51</v>
      </c>
      <c r="X72" s="10" t="s">
        <v>984</v>
      </c>
    </row>
    <row r="73">
      <c r="A73" s="9">
        <f t="shared" si="1"/>
        <v>72</v>
      </c>
      <c r="B73" s="11">
        <v>46219.667592592596</v>
      </c>
      <c r="C73" s="10" t="s">
        <v>223</v>
      </c>
      <c r="D73" s="10" t="s">
        <v>36</v>
      </c>
      <c r="E73" s="10" t="s">
        <v>37</v>
      </c>
      <c r="F73" s="13">
        <v>2.0</v>
      </c>
      <c r="G73" s="14">
        <v>129.02</v>
      </c>
      <c r="H73" s="10" t="s">
        <v>2669</v>
      </c>
      <c r="I73" s="10">
        <v>93.6</v>
      </c>
      <c r="O73" s="15">
        <f>IFERROR(__xludf.DUMMYFUNCTION("IF(ISBLANK($C73), """", GOOGLEFINANCE($C73, ""price""))"),129.55)</f>
        <v>129.55</v>
      </c>
      <c r="P73" s="16">
        <f t="shared" si="2"/>
        <v>0.00410789025</v>
      </c>
      <c r="Q73" s="16">
        <f>IFERROR(__xludf.DUMMYFUNCTION("IF(OR(ISBLANK($G73), IFERROR(INDEX(GOOGLEFINANCE($C73, ""price"", WORKDAY(INT($B73), 1)), 2, 2), """")=""""), """", IF($D73=""LONG"", (IFERROR(INDEX(GOOGLEFINANCE($C73, ""price"", WORKDAY(INT($B73), 1)), 2, 2), """")-$G73)/$G73, ($G73-IFERROR(INDEX(GOOGLE"&amp;"FINANCE($C73, ""price"", WORKDAY(INT($B73), 1)), 2, 2), """"))/$G73))"),-0.02278716478065425)</f>
        <v>-0.02278716478</v>
      </c>
      <c r="R73" s="16">
        <f>IFERROR(__xludf.DUMMYFUNCTION("IF(OR(ISBLANK($G73), IFERROR(INDEX(GOOGLEFINANCE($C73, ""price"", WORKDAY(INT($B73), 5)), 2, 2), """")=""""), """", IF($D73=""LONG"", (IFERROR(INDEX(GOOGLEFINANCE($C73, ""price"", WORKDAY(INT($B73), 5)), 2, 2), """")-$G73)/$G73, ($G73-IFERROR(INDEX(GOOGLE"&amp;"FINANCE($C73, ""price"", WORKDAY(INT($B73), 5)), 2, 2), """"))/$G73))"),-0.03371570299178428)</f>
        <v>-0.03371570299</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2673</v>
      </c>
      <c r="U73" s="10" t="s">
        <v>850</v>
      </c>
      <c r="V73" s="10" t="s">
        <v>2674</v>
      </c>
      <c r="W73" s="10" t="s">
        <v>51</v>
      </c>
      <c r="X73" s="10" t="s">
        <v>2282</v>
      </c>
    </row>
    <row r="74">
      <c r="A74" s="9">
        <f t="shared" si="1"/>
        <v>73</v>
      </c>
      <c r="B74" s="11">
        <v>46219.66773148148</v>
      </c>
      <c r="C74" s="10" t="s">
        <v>1216</v>
      </c>
      <c r="D74" s="10" t="s">
        <v>36</v>
      </c>
      <c r="E74" s="10" t="s">
        <v>37</v>
      </c>
      <c r="F74" s="13">
        <v>2.0</v>
      </c>
      <c r="G74" s="14">
        <v>81.53</v>
      </c>
      <c r="H74" s="10" t="s">
        <v>2677</v>
      </c>
      <c r="I74" s="10">
        <v>88.5</v>
      </c>
      <c r="O74" s="15">
        <f>IFERROR(__xludf.DUMMYFUNCTION("IF(ISBLANK($C74), """", GOOGLEFINANCE($C74, ""price""))"),79.02)</f>
        <v>79.02</v>
      </c>
      <c r="P74" s="16">
        <f t="shared" si="2"/>
        <v>-0.03078621366</v>
      </c>
      <c r="Q74" s="16">
        <f>IFERROR(__xludf.DUMMYFUNCTION("IF(OR(ISBLANK($G74), IFERROR(INDEX(GOOGLEFINANCE($C74, ""price"", WORKDAY(INT($B74), 1)), 2, 2), """")=""""), """", IF($D74=""LONG"", (IFERROR(INDEX(GOOGLEFINANCE($C74, ""price"", WORKDAY(INT($B74), 1)), 2, 2), """")-$G74)/$G74, ($G74-IFERROR(INDEX(GOOGLE"&amp;"FINANCE($C74, ""price"", WORKDAY(INT($B74), 1)), 2, 2), """"))/$G74))"),-0.019502023794922156)</f>
        <v>-0.01950202379</v>
      </c>
      <c r="R74" s="16">
        <f>IFERROR(__xludf.DUMMYFUNCTION("IF(OR(ISBLANK($G74), IFERROR(INDEX(GOOGLEFINANCE($C74, ""price"", WORKDAY(INT($B74), 5)), 2, 2), """")=""""), """", IF($D74=""LONG"", (IFERROR(INDEX(GOOGLEFINANCE($C74, ""price"", WORKDAY(INT($B74), 5)), 2, 2), """")-$G74)/$G74, ($G74-IFERROR(INDEX(GOOGLE"&amp;"FINANCE($C74, ""price"", WORKDAY(INT($B74), 5)), 2, 2), """"))/$G74))"),-0.06181773580277206)</f>
        <v>-0.0618177358</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2683</v>
      </c>
      <c r="U74" s="10" t="s">
        <v>984</v>
      </c>
      <c r="V74" s="10" t="s">
        <v>1880</v>
      </c>
      <c r="W74" s="10" t="s">
        <v>51</v>
      </c>
      <c r="X74" s="10" t="s">
        <v>984</v>
      </c>
    </row>
    <row r="75">
      <c r="A75" s="9">
        <f t="shared" si="1"/>
        <v>74</v>
      </c>
      <c r="B75" s="11">
        <v>46219.66752314815</v>
      </c>
      <c r="C75" s="10" t="s">
        <v>939</v>
      </c>
      <c r="D75" s="10" t="s">
        <v>36</v>
      </c>
      <c r="E75" s="10" t="s">
        <v>37</v>
      </c>
      <c r="F75" s="13">
        <v>2.0</v>
      </c>
      <c r="G75" s="14">
        <v>194.37</v>
      </c>
      <c r="H75" s="10" t="s">
        <v>2685</v>
      </c>
      <c r="I75" s="10">
        <v>93.3</v>
      </c>
      <c r="L75" s="10" t="s">
        <v>2686</v>
      </c>
      <c r="M75" s="10" t="s">
        <v>2174</v>
      </c>
      <c r="N75" s="10" t="s">
        <v>925</v>
      </c>
      <c r="O75" s="15">
        <f>IFERROR(__xludf.DUMMYFUNCTION("IF(ISBLANK($C75), """", GOOGLEFINANCE($C75, ""price""))"),223.25)</f>
        <v>223.25</v>
      </c>
      <c r="P75" s="16">
        <f t="shared" si="2"/>
        <v>0.1485826002</v>
      </c>
      <c r="Q75" s="16">
        <f>IFERROR(__xludf.DUMMYFUNCTION("IF(OR(ISBLANK($G75), IFERROR(INDEX(GOOGLEFINANCE($C75, ""price"", WORKDAY(INT($B75), 1)), 2, 2), """")=""""), """", IF($D75=""LONG"", (IFERROR(INDEX(GOOGLEFINANCE($C75, ""price"", WORKDAY(INT($B75), 1)), 2, 2), """")-$G75)/$G75, ($G75-IFERROR(INDEX(GOOGLE"&amp;"FINANCE($C75, ""price"", WORKDAY(INT($B75), 1)), 2, 2), """"))/$G75))"),-0.004424551113855089)</f>
        <v>-0.004424551114</v>
      </c>
      <c r="R75" s="16">
        <f>IFERROR(__xludf.DUMMYFUNCTION("IF(OR(ISBLANK($G75), IFERROR(INDEX(GOOGLEFINANCE($C75, ""price"", WORKDAY(INT($B75), 5)), 2, 2), """")=""""), """", IF($D75=""LONG"", (IFERROR(INDEX(GOOGLEFINANCE($C75, ""price"", WORKDAY(INT($B75), 5)), 2, 2), """")-$G75)/$G75, ($G75-IFERROR(INDEX(GOOGLE"&amp;"FINANCE($C75, ""price"", WORKDAY(INT($B75), 5)), 2, 2), """"))/$G75))"),0.07609198950455313)</f>
        <v>0.0760919895</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2693</v>
      </c>
      <c r="U75" s="10" t="s">
        <v>704</v>
      </c>
      <c r="V75" s="10" t="s">
        <v>2695</v>
      </c>
      <c r="W75" s="10" t="s">
        <v>51</v>
      </c>
      <c r="X75" s="10" t="s">
        <v>1885</v>
      </c>
    </row>
    <row r="76">
      <c r="A76" s="9">
        <f t="shared" si="1"/>
        <v>75</v>
      </c>
      <c r="B76" s="11">
        <v>46219.667719907404</v>
      </c>
      <c r="C76" s="10" t="s">
        <v>128</v>
      </c>
      <c r="D76" s="10" t="s">
        <v>36</v>
      </c>
      <c r="E76" s="10" t="s">
        <v>133</v>
      </c>
      <c r="F76" s="13">
        <v>2.0</v>
      </c>
      <c r="G76" s="14">
        <v>414.89</v>
      </c>
      <c r="H76" s="10" t="s">
        <v>2697</v>
      </c>
      <c r="I76" s="10">
        <v>80.4</v>
      </c>
      <c r="O76" s="15">
        <f>IFERROR(__xludf.DUMMYFUNCTION("IF(ISBLANK($C76), """", GOOGLEFINANCE($C76, ""price""))"),414.68)</f>
        <v>414.68</v>
      </c>
      <c r="P76" s="16">
        <f t="shared" si="2"/>
        <v>-0.0005061582588</v>
      </c>
      <c r="Q76" s="16">
        <f>IFERROR(__xludf.DUMMYFUNCTION("IF(OR(ISBLANK($G76), IFERROR(INDEX(GOOGLEFINANCE($C76, ""price"", WORKDAY(INT($B76), 1)), 2, 2), """")=""""), """", IF($D76=""LONG"", (IFERROR(INDEX(GOOGLEFINANCE($C76, ""price"", WORKDAY(INT($B76), 1)), 2, 2), """")-$G76)/$G76, ($G76-IFERROR(INDEX(GOOGLE"&amp;"FINANCE($C76, ""price"", WORKDAY(INT($B76), 1)), 2, 2), """"))/$G76))"),-0.009400081949432326)</f>
        <v>-0.009400081949</v>
      </c>
      <c r="R76" s="16">
        <f>IFERROR(__xludf.DUMMYFUNCTION("IF(OR(ISBLANK($G76), IFERROR(INDEX(GOOGLEFINANCE($C76, ""price"", WORKDAY(INT($B76), 5)), 2, 2), """")=""""), """", IF($D76=""LONG"", (IFERROR(INDEX(GOOGLEFINANCE($C76, ""price"", WORKDAY(INT($B76), 5)), 2, 2), """")-$G76)/$G76, ($G76-IFERROR(INDEX(GOOGLE"&amp;"FINANCE($C76, ""price"", WORKDAY(INT($B76), 5)), 2, 2), """"))/$G76))"),-0.046952204198703176)</f>
        <v>-0.0469522042</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2700</v>
      </c>
      <c r="U76" s="10" t="s">
        <v>492</v>
      </c>
      <c r="V76" s="10" t="s">
        <v>2701</v>
      </c>
      <c r="W76" s="10" t="s">
        <v>51</v>
      </c>
      <c r="X76" s="10" t="s">
        <v>492</v>
      </c>
    </row>
    <row r="77">
      <c r="A77" s="9">
        <f t="shared" si="1"/>
        <v>76</v>
      </c>
      <c r="B77" s="11">
        <v>46219.667592592596</v>
      </c>
      <c r="C77" s="10" t="s">
        <v>117</v>
      </c>
      <c r="D77" s="10" t="s">
        <v>36</v>
      </c>
      <c r="E77" s="10" t="s">
        <v>37</v>
      </c>
      <c r="F77" s="13">
        <v>2.0</v>
      </c>
      <c r="G77" s="14">
        <v>23.98</v>
      </c>
      <c r="H77" s="10" t="s">
        <v>2704</v>
      </c>
      <c r="I77" s="10">
        <v>91.3</v>
      </c>
      <c r="O77" s="15">
        <f>IFERROR(__xludf.DUMMYFUNCTION("IF(ISBLANK($C77), """", GOOGLEFINANCE($C77, ""price""))"),22.66)</f>
        <v>22.66</v>
      </c>
      <c r="P77" s="16">
        <f t="shared" si="2"/>
        <v>-0.05504587156</v>
      </c>
      <c r="Q77" s="16">
        <f>IFERROR(__xludf.DUMMYFUNCTION("IF(OR(ISBLANK($G77), IFERROR(INDEX(GOOGLEFINANCE($C77, ""price"", WORKDAY(INT($B77), 1)), 2, 2), """")=""""), """", IF($D77=""LONG"", (IFERROR(INDEX(GOOGLEFINANCE($C77, ""price"", WORKDAY(INT($B77), 1)), 2, 2), """")-$G77)/$G77, ($G77-IFERROR(INDEX(GOOGLE"&amp;"FINANCE($C77, ""price"", WORKDAY(INT($B77), 1)), 2, 2), """"))/$G77))"),-0.01793160967472893)</f>
        <v>-0.01793160967</v>
      </c>
      <c r="R77" s="16">
        <f>IFERROR(__xludf.DUMMYFUNCTION("IF(OR(ISBLANK($G77), IFERROR(INDEX(GOOGLEFINANCE($C77, ""price"", WORKDAY(INT($B77), 5)), 2, 2), """")=""""), """", IF($D77=""LONG"", (IFERROR(INDEX(GOOGLEFINANCE($C77, ""price"", WORKDAY(INT($B77), 5)), 2, 2), """")-$G77)/$G77, ($G77-IFERROR(INDEX(GOOGLE"&amp;"FINANCE($C77, ""price"", WORKDAY(INT($B77), 5)), 2, 2), """"))/$G77))"),-0.05254378648874068)</f>
        <v>-0.05254378649</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2710</v>
      </c>
      <c r="U77" s="10" t="s">
        <v>219</v>
      </c>
      <c r="V77" s="10" t="s">
        <v>2711</v>
      </c>
      <c r="W77" s="10" t="s">
        <v>51</v>
      </c>
      <c r="X77" s="10" t="s">
        <v>974</v>
      </c>
    </row>
    <row r="78">
      <c r="A78" s="9">
        <f t="shared" si="1"/>
        <v>77</v>
      </c>
      <c r="B78" s="11">
        <v>46219.66756944444</v>
      </c>
      <c r="C78" s="10" t="s">
        <v>69</v>
      </c>
      <c r="D78" s="10" t="s">
        <v>36</v>
      </c>
      <c r="E78" s="10" t="s">
        <v>37</v>
      </c>
      <c r="F78" s="13">
        <v>2.0</v>
      </c>
      <c r="G78" s="14">
        <v>249.6</v>
      </c>
      <c r="H78" s="10" t="s">
        <v>2712</v>
      </c>
      <c r="I78" s="10">
        <v>95.0</v>
      </c>
      <c r="O78" s="15">
        <f>IFERROR(__xludf.DUMMYFUNCTION("IF(ISBLANK($C78), """", GOOGLEFINANCE($C78, ""price""))"),256.98)</f>
        <v>256.98</v>
      </c>
      <c r="P78" s="16">
        <f t="shared" si="2"/>
        <v>0.02956730769</v>
      </c>
      <c r="Q78" s="16">
        <f>IFERROR(__xludf.DUMMYFUNCTION("IF(OR(ISBLANK($G78), IFERROR(INDEX(GOOGLEFINANCE($C78, ""price"", WORKDAY(INT($B78), 1)), 2, 2), """")=""""), """", IF($D78=""LONG"", (IFERROR(INDEX(GOOGLEFINANCE($C78, ""price"", WORKDAY(INT($B78), 1)), 2, 2), """")-$G78)/$G78, ($G78-IFERROR(INDEX(GOOGLE"&amp;"FINANCE($C78, ""price"", WORKDAY(INT($B78), 1)), 2, 2), """"))/$G78))"),0.013782051282051273)</f>
        <v>0.01378205128</v>
      </c>
      <c r="R78" s="16">
        <f>IFERROR(__xludf.DUMMYFUNCTION("IF(OR(ISBLANK($G78), IFERROR(INDEX(GOOGLEFINANCE($C78, ""price"", WORKDAY(INT($B78), 5)), 2, 2), """")=""""), """", IF($D78=""LONG"", (IFERROR(INDEX(GOOGLEFINANCE($C78, ""price"", WORKDAY(INT($B78), 5)), 2, 2), """")-$G78)/$G78, ($G78-IFERROR(INDEX(GOOGLE"&amp;"FINANCE($C78, ""price"", WORKDAY(INT($B78), 5)), 2, 2), """"))/$G78))"),0.03874198717948713)</f>
        <v>0.03874198718</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2718</v>
      </c>
      <c r="U78" s="10" t="s">
        <v>984</v>
      </c>
      <c r="V78" s="10" t="s">
        <v>985</v>
      </c>
      <c r="W78" s="10" t="s">
        <v>51</v>
      </c>
      <c r="X78" s="10" t="s">
        <v>984</v>
      </c>
    </row>
    <row r="79">
      <c r="A79" s="9">
        <f t="shared" si="1"/>
        <v>78</v>
      </c>
      <c r="B79" s="11">
        <v>46219.667604166665</v>
      </c>
      <c r="C79" s="10" t="s">
        <v>339</v>
      </c>
      <c r="D79" s="10" t="s">
        <v>119</v>
      </c>
      <c r="E79" s="10" t="s">
        <v>120</v>
      </c>
      <c r="F79" s="13">
        <v>4.0</v>
      </c>
      <c r="G79" s="14">
        <v>29.31</v>
      </c>
      <c r="H79" s="10" t="s">
        <v>2721</v>
      </c>
      <c r="I79" s="10">
        <v>6.2</v>
      </c>
      <c r="O79" s="15">
        <f>IFERROR(__xludf.DUMMYFUNCTION("IF(ISBLANK($C79), """", GOOGLEFINANCE($C79, ""price""))"),30.3)</f>
        <v>30.3</v>
      </c>
      <c r="P79" s="16">
        <f t="shared" si="2"/>
        <v>-0.03377686796</v>
      </c>
      <c r="Q79" s="16">
        <f>IFERROR(__xludf.DUMMYFUNCTION("IF(OR(ISBLANK($G79), IFERROR(INDEX(GOOGLEFINANCE($C79, ""price"", WORKDAY(INT($B79), 1)), 2, 2), """")=""""), """", IF($D79=""LONG"", (IFERROR(INDEX(GOOGLEFINANCE($C79, ""price"", WORKDAY(INT($B79), 1)), 2, 2), """")-$G79)/$G79, ($G79-IFERROR(INDEX(GOOGLE"&amp;"FINANCE($C79, ""price"", WORKDAY(INT($B79), 1)), 2, 2), """"))/$G79))"),-0.020812009553053668)</f>
        <v>-0.02081200955</v>
      </c>
      <c r="R79" s="16">
        <f>IFERROR(__xludf.DUMMYFUNCTION("IF(OR(ISBLANK($G79), IFERROR(INDEX(GOOGLEFINANCE($C79, ""price"", WORKDAY(INT($B79), 5)), 2, 2), """")=""""), """", IF($D79=""LONG"", (IFERROR(INDEX(GOOGLEFINANCE($C79, ""price"", WORKDAY(INT($B79), 5)), 2, 2), """")-$G79)/$G79, ($G79-IFERROR(INDEX(GOOGLE"&amp;"FINANCE($C79, ""price"", WORKDAY(INT($B79), 5)), 2, 2), """"))/$G79))"),-0.05424769703172978)</f>
        <v>-0.05424769703</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2726</v>
      </c>
      <c r="U79" s="10" t="s">
        <v>984</v>
      </c>
      <c r="V79" s="10" t="s">
        <v>985</v>
      </c>
      <c r="W79" s="10" t="s">
        <v>51</v>
      </c>
      <c r="X79" s="10" t="s">
        <v>984</v>
      </c>
    </row>
    <row r="80">
      <c r="A80" s="9">
        <f t="shared" si="1"/>
        <v>79</v>
      </c>
      <c r="B80" s="11">
        <v>46219.66752314815</v>
      </c>
      <c r="C80" s="10" t="s">
        <v>505</v>
      </c>
      <c r="D80" s="10" t="s">
        <v>119</v>
      </c>
      <c r="E80" s="10" t="s">
        <v>120</v>
      </c>
      <c r="F80" s="13">
        <v>4.0</v>
      </c>
      <c r="G80" s="14">
        <v>25.14</v>
      </c>
      <c r="H80" s="10" t="s">
        <v>2728</v>
      </c>
      <c r="I80" s="10">
        <v>9.6</v>
      </c>
      <c r="O80" s="15">
        <f>IFERROR(__xludf.DUMMYFUNCTION("IF(ISBLANK($C80), """", GOOGLEFINANCE($C80, ""price""))"),26.2)</f>
        <v>26.2</v>
      </c>
      <c r="P80" s="16">
        <f t="shared" si="2"/>
        <v>-0.04216388226</v>
      </c>
      <c r="Q80" s="16">
        <f>IFERROR(__xludf.DUMMYFUNCTION("IF(OR(ISBLANK($G80), IFERROR(INDEX(GOOGLEFINANCE($C80, ""price"", WORKDAY(INT($B80), 1)), 2, 2), """")=""""), """", IF($D80=""LONG"", (IFERROR(INDEX(GOOGLEFINANCE($C80, ""price"", WORKDAY(INT($B80), 1)), 2, 2), """")-$G80)/$G80, ($G80-IFERROR(INDEX(GOOGLE"&amp;"FINANCE($C80, ""price"", WORKDAY(INT($B80), 1)), 2, 2), """"))/$G80))"),0.0035799522673030967)</f>
        <v>0.003579952267</v>
      </c>
      <c r="R80" s="16">
        <f>IFERROR(__xludf.DUMMYFUNCTION("IF(OR(ISBLANK($G80), IFERROR(INDEX(GOOGLEFINANCE($C80, ""price"", WORKDAY(INT($B80), 5)), 2, 2), """")=""""), """", IF($D80=""LONG"", (IFERROR(INDEX(GOOGLEFINANCE($C80, ""price"", WORKDAY(INT($B80), 5)), 2, 2), """")-$G80)/$G80, ($G80-IFERROR(INDEX(GOOGLE"&amp;"FINANCE($C80, ""price"", WORKDAY(INT($B80), 5)), 2, 2), """"))/$G80))"),0.005171042163882219)</f>
        <v>0.005171042164</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2732</v>
      </c>
      <c r="U80" s="10" t="s">
        <v>984</v>
      </c>
      <c r="V80" s="10" t="s">
        <v>1059</v>
      </c>
      <c r="W80" s="10" t="s">
        <v>51</v>
      </c>
      <c r="X80" s="10" t="s">
        <v>984</v>
      </c>
    </row>
    <row r="81">
      <c r="A81" s="9">
        <f t="shared" si="1"/>
        <v>80</v>
      </c>
      <c r="B81" s="11">
        <v>46219.667766203704</v>
      </c>
      <c r="C81" s="10" t="s">
        <v>226</v>
      </c>
      <c r="D81" s="10" t="s">
        <v>36</v>
      </c>
      <c r="E81" s="10" t="s">
        <v>37</v>
      </c>
      <c r="F81" s="13">
        <v>2.0</v>
      </c>
      <c r="G81" s="14">
        <v>22.33</v>
      </c>
      <c r="H81" s="10" t="s">
        <v>2733</v>
      </c>
      <c r="I81" s="10">
        <v>91.6</v>
      </c>
      <c r="O81" s="15">
        <f>IFERROR(__xludf.DUMMYFUNCTION("IF(ISBLANK($C81), """", GOOGLEFINANCE($C81, ""price""))"),21.1)</f>
        <v>21.1</v>
      </c>
      <c r="P81" s="16">
        <f t="shared" si="2"/>
        <v>-0.05508284819</v>
      </c>
      <c r="Q81" s="16">
        <f>IFERROR(__xludf.DUMMYFUNCTION("IF(OR(ISBLANK($G81), IFERROR(INDEX(GOOGLEFINANCE($C81, ""price"", WORKDAY(INT($B81), 1)), 2, 2), """")=""""), """", IF($D81=""LONG"", (IFERROR(INDEX(GOOGLEFINANCE($C81, ""price"", WORKDAY(INT($B81), 1)), 2, 2), """")-$G81)/$G81, ($G81-IFERROR(INDEX(GOOGLE"&amp;"FINANCE($C81, ""price"", WORKDAY(INT($B81), 1)), 2, 2), """"))/$G81))"),0.008060904612628898)</f>
        <v>0.008060904613</v>
      </c>
      <c r="R81" s="16">
        <f>IFERROR(__xludf.DUMMYFUNCTION("IF(OR(ISBLANK($G81), IFERROR(INDEX(GOOGLEFINANCE($C81, ""price"", WORKDAY(INT($B81), 5)), 2, 2), """")=""""), """", IF($D81=""LONG"", (IFERROR(INDEX(GOOGLEFINANCE($C81, ""price"", WORKDAY(INT($B81), 5)), 2, 2), """")-$G81)/$G81, ($G81-IFERROR(INDEX(GOOGLE"&amp;"FINANCE($C81, ""price"", WORKDAY(INT($B81), 5)), 2, 2), """"))/$G81))"),-0.011195700850873265)</f>
        <v>-0.01119570085</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2737</v>
      </c>
      <c r="U81" s="10" t="s">
        <v>984</v>
      </c>
      <c r="V81" s="10" t="s">
        <v>998</v>
      </c>
      <c r="W81" s="10" t="s">
        <v>51</v>
      </c>
      <c r="X81" s="10" t="s">
        <v>984</v>
      </c>
    </row>
    <row r="82">
      <c r="A82" s="9">
        <f t="shared" si="1"/>
        <v>81</v>
      </c>
      <c r="B82" s="11">
        <v>46219.66768518519</v>
      </c>
      <c r="C82" s="10" t="s">
        <v>185</v>
      </c>
      <c r="D82" s="10" t="s">
        <v>36</v>
      </c>
      <c r="E82" s="10" t="s">
        <v>37</v>
      </c>
      <c r="F82" s="13">
        <v>2.0</v>
      </c>
      <c r="G82" s="14">
        <v>80.14</v>
      </c>
      <c r="H82" s="10" t="s">
        <v>2738</v>
      </c>
      <c r="I82" s="10">
        <v>91.7</v>
      </c>
      <c r="O82" s="15">
        <f>IFERROR(__xludf.DUMMYFUNCTION("IF(ISBLANK($C82), """", GOOGLEFINANCE($C82, ""price""))"),75.47)</f>
        <v>75.47</v>
      </c>
      <c r="P82" s="16">
        <f t="shared" si="2"/>
        <v>-0.05827302221</v>
      </c>
      <c r="Q82" s="16">
        <f>IFERROR(__xludf.DUMMYFUNCTION("IF(OR(ISBLANK($G82), IFERROR(INDEX(GOOGLEFINANCE($C82, ""price"", WORKDAY(INT($B82), 1)), 2, 2), """")=""""), """", IF($D82=""LONG"", (IFERROR(INDEX(GOOGLEFINANCE($C82, ""price"", WORKDAY(INT($B82), 1)), 2, 2), """")-$G82)/$G82, ($G82-IFERROR(INDEX(GOOGLE"&amp;"FINANCE($C82, ""price"", WORKDAY(INT($B82), 1)), 2, 2), """"))/$G82))"),-0.018592463189418453)</f>
        <v>-0.01859246319</v>
      </c>
      <c r="R82" s="16">
        <f>IFERROR(__xludf.DUMMYFUNCTION("IF(OR(ISBLANK($G82), IFERROR(INDEX(GOOGLEFINANCE($C82, ""price"", WORKDAY(INT($B82), 5)), 2, 2), """")=""""), """", IF($D82=""LONG"", (IFERROR(INDEX(GOOGLEFINANCE($C82, ""price"", WORKDAY(INT($B82), 5)), 2, 2), """")-$G82)/$G82, ($G82-IFERROR(INDEX(GOOGLE"&amp;"FINANCE($C82, ""price"", WORKDAY(INT($B82), 5)), 2, 2), """"))/$G82))"),-0.034938857000249526)</f>
        <v>-0.034938857</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2741</v>
      </c>
      <c r="U82" s="10" t="s">
        <v>984</v>
      </c>
      <c r="V82" s="10" t="s">
        <v>998</v>
      </c>
      <c r="W82" s="10" t="s">
        <v>51</v>
      </c>
      <c r="X82" s="10" t="s">
        <v>984</v>
      </c>
    </row>
    <row r="83">
      <c r="A83" s="9">
        <f t="shared" si="1"/>
        <v>82</v>
      </c>
      <c r="B83" s="11">
        <v>46219.667650462965</v>
      </c>
      <c r="C83" s="10" t="s">
        <v>222</v>
      </c>
      <c r="D83" s="10" t="s">
        <v>36</v>
      </c>
      <c r="E83" s="10" t="s">
        <v>37</v>
      </c>
      <c r="F83" s="13">
        <v>2.0</v>
      </c>
      <c r="G83" s="14">
        <v>486.0</v>
      </c>
      <c r="H83" s="10" t="s">
        <v>2742</v>
      </c>
      <c r="I83" s="10">
        <v>93.1</v>
      </c>
      <c r="O83" s="15">
        <f>IFERROR(__xludf.DUMMYFUNCTION("IF(ISBLANK($C83), """", GOOGLEFINANCE($C83, ""price""))"),484.03)</f>
        <v>484.03</v>
      </c>
      <c r="P83" s="16">
        <f t="shared" si="2"/>
        <v>-0.004053497942</v>
      </c>
      <c r="Q83" s="16">
        <f>IFERROR(__xludf.DUMMYFUNCTION("IF(OR(ISBLANK($G83), IFERROR(INDEX(GOOGLEFINANCE($C83, ""price"", WORKDAY(INT($B83), 1)), 2, 2), """")=""""), """", IF($D83=""LONG"", (IFERROR(INDEX(GOOGLEFINANCE($C83, ""price"", WORKDAY(INT($B83), 1)), 2, 2), """")-$G83)/$G83, ($G83-IFERROR(INDEX(GOOGLE"&amp;"FINANCE($C83, ""price"", WORKDAY(INT($B83), 1)), 2, 2), """"))/$G83))"),-7.201646090535447E-4)</f>
        <v>-0.0007201646091</v>
      </c>
      <c r="R83" s="16">
        <f>IFERROR(__xludf.DUMMYFUNCTION("IF(OR(ISBLANK($G83), IFERROR(INDEX(GOOGLEFINANCE($C83, ""price"", WORKDAY(INT($B83), 5)), 2, 2), """")=""""), """", IF($D83=""LONG"", (IFERROR(INDEX(GOOGLEFINANCE($C83, ""price"", WORKDAY(INT($B83), 5)), 2, 2), """")-$G83)/$G83, ($G83-IFERROR(INDEX(GOOGLE"&amp;"FINANCE($C83, ""price"", WORKDAY(INT($B83), 5)), 2, 2), """"))/$G83))"),-0.026563786008230506)</f>
        <v>-0.02656378601</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2745</v>
      </c>
      <c r="U83" s="10" t="s">
        <v>850</v>
      </c>
      <c r="V83" s="10" t="s">
        <v>2746</v>
      </c>
      <c r="W83" s="10" t="s">
        <v>51</v>
      </c>
      <c r="X83" s="10" t="s">
        <v>2282</v>
      </c>
    </row>
    <row r="84">
      <c r="A84" s="9">
        <f t="shared" si="1"/>
        <v>83</v>
      </c>
      <c r="B84" s="11">
        <v>46219.667604166665</v>
      </c>
      <c r="C84" s="10" t="s">
        <v>201</v>
      </c>
      <c r="D84" s="10" t="s">
        <v>36</v>
      </c>
      <c r="E84" s="10" t="s">
        <v>37</v>
      </c>
      <c r="F84" s="13">
        <v>2.0</v>
      </c>
      <c r="G84" s="14">
        <v>134.31</v>
      </c>
      <c r="H84" s="10" t="s">
        <v>2748</v>
      </c>
      <c r="I84" s="10">
        <v>97.6</v>
      </c>
      <c r="O84" s="15">
        <f>IFERROR(__xludf.DUMMYFUNCTION("IF(ISBLANK($C84), """", GOOGLEFINANCE($C84, ""price""))"),134.82)</f>
        <v>134.82</v>
      </c>
      <c r="P84" s="16">
        <f t="shared" si="2"/>
        <v>0.003797185615</v>
      </c>
      <c r="Q84" s="16">
        <f>IFERROR(__xludf.DUMMYFUNCTION("IF(OR(ISBLANK($G84), IFERROR(INDEX(GOOGLEFINANCE($C84, ""price"", WORKDAY(INT($B84), 1)), 2, 2), """")=""""), """", IF($D84=""LONG"", (IFERROR(INDEX(GOOGLEFINANCE($C84, ""price"", WORKDAY(INT($B84), 1)), 2, 2), """")-$G84)/$G84, ($G84-IFERROR(INDEX(GOOGLE"&amp;"FINANCE($C84, ""price"", WORKDAY(INT($B84), 1)), 2, 2), """"))/$G84))"),0.005956369592733313)</f>
        <v>0.005956369593</v>
      </c>
      <c r="R84" s="16">
        <f>IFERROR(__xludf.DUMMYFUNCTION("IF(OR(ISBLANK($G84), IFERROR(INDEX(GOOGLEFINANCE($C84, ""price"", WORKDAY(INT($B84), 5)), 2, 2), """")=""""), """", IF($D84=""LONG"", (IFERROR(INDEX(GOOGLEFINANCE($C84, ""price"", WORKDAY(INT($B84), 5)), 2, 2), """")-$G84)/$G84, ($G84-IFERROR(INDEX(GOOGLE"&amp;"FINANCE($C84, ""price"", WORKDAY(INT($B84), 5)), 2, 2), """"))/$G84))"),7.445461990916113E-4)</f>
        <v>0.0007445461991</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2752</v>
      </c>
      <c r="U84" s="10" t="s">
        <v>984</v>
      </c>
      <c r="V84" s="10" t="s">
        <v>985</v>
      </c>
      <c r="W84" s="10" t="s">
        <v>51</v>
      </c>
      <c r="X84" s="10" t="s">
        <v>984</v>
      </c>
    </row>
    <row r="85">
      <c r="A85" s="9">
        <f t="shared" si="1"/>
        <v>84</v>
      </c>
      <c r="B85" s="11">
        <v>46219.667766203704</v>
      </c>
      <c r="C85" s="10" t="s">
        <v>264</v>
      </c>
      <c r="D85" s="10" t="s">
        <v>36</v>
      </c>
      <c r="E85" s="10" t="s">
        <v>37</v>
      </c>
      <c r="F85" s="13">
        <v>2.0</v>
      </c>
      <c r="G85" s="14">
        <v>354.0</v>
      </c>
      <c r="H85" s="10" t="s">
        <v>2753</v>
      </c>
      <c r="I85" s="10">
        <v>94.0</v>
      </c>
      <c r="O85" s="15">
        <f>IFERROR(__xludf.DUMMYFUNCTION("IF(ISBLANK($C85), """", GOOGLEFINANCE($C85, ""price""))"),359.49)</f>
        <v>359.49</v>
      </c>
      <c r="P85" s="16">
        <f t="shared" si="2"/>
        <v>0.01550847458</v>
      </c>
      <c r="Q85" s="16">
        <f>IFERROR(__xludf.DUMMYFUNCTION("IF(OR(ISBLANK($G85), IFERROR(INDEX(GOOGLEFINANCE($C85, ""price"", WORKDAY(INT($B85), 1)), 2, 2), """")=""""), """", IF($D85=""LONG"", (IFERROR(INDEX(GOOGLEFINANCE($C85, ""price"", WORKDAY(INT($B85), 1)), 2, 2), """")-$G85)/$G85, ($G85-IFERROR(INDEX(GOOGLE"&amp;"FINANCE($C85, ""price"", WORKDAY(INT($B85), 1)), 2, 2), """"))/$G85))"),0.013220338983050866)</f>
        <v>0.01322033898</v>
      </c>
      <c r="R85" s="16">
        <f>IFERROR(__xludf.DUMMYFUNCTION("IF(OR(ISBLANK($G85), IFERROR(INDEX(GOOGLEFINANCE($C85, ""price"", WORKDAY(INT($B85), 5)), 2, 2), """")=""""), """", IF($D85=""LONG"", (IFERROR(INDEX(GOOGLEFINANCE($C85, ""price"", WORKDAY(INT($B85), 5)), 2, 2), """")-$G85)/$G85, ($G85-IFERROR(INDEX(GOOGLE"&amp;"FINANCE($C85, ""price"", WORKDAY(INT($B85), 5)), 2, 2), """"))/$G85))"),-0.08014124293785312)</f>
        <v>-0.08014124294</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2756</v>
      </c>
      <c r="U85" s="10" t="s">
        <v>984</v>
      </c>
      <c r="V85" s="10" t="s">
        <v>1880</v>
      </c>
      <c r="W85" s="10" t="s">
        <v>51</v>
      </c>
      <c r="X85" s="10" t="s">
        <v>984</v>
      </c>
    </row>
    <row r="86">
      <c r="A86" s="9">
        <f t="shared" si="1"/>
        <v>85</v>
      </c>
      <c r="B86" s="11">
        <v>46219.667766203704</v>
      </c>
      <c r="C86" s="10" t="s">
        <v>55</v>
      </c>
      <c r="D86" s="10" t="s">
        <v>36</v>
      </c>
      <c r="E86" s="10" t="s">
        <v>37</v>
      </c>
      <c r="F86" s="13">
        <v>2.0</v>
      </c>
      <c r="G86" s="14">
        <v>1169.69</v>
      </c>
      <c r="H86" s="10" t="s">
        <v>2757</v>
      </c>
      <c r="I86" s="10">
        <v>91.7</v>
      </c>
      <c r="O86" s="15">
        <f>IFERROR(__xludf.DUMMYFUNCTION("IF(ISBLANK($C86), """", GOOGLEFINANCE($C86, ""price""))"),1191.94)</f>
        <v>1191.94</v>
      </c>
      <c r="P86" s="16">
        <f t="shared" si="2"/>
        <v>0.01902213407</v>
      </c>
      <c r="Q86" s="16">
        <f>IFERROR(__xludf.DUMMYFUNCTION("IF(OR(ISBLANK($G86), IFERROR(INDEX(GOOGLEFINANCE($C86, ""price"", WORKDAY(INT($B86), 1)), 2, 2), """")=""""), """", IF($D86=""LONG"", (IFERROR(INDEX(GOOGLEFINANCE($C86, ""price"", WORKDAY(INT($B86), 1)), 2, 2), """")-$G86)/$G86, ($G86-IFERROR(INDEX(GOOGLE"&amp;"FINANCE($C86, ""price"", WORKDAY(INT($B86), 1)), 2, 2), """"))/$G86))"),0.008053415862322362)</f>
        <v>0.008053415862</v>
      </c>
      <c r="R86" s="16">
        <f>IFERROR(__xludf.DUMMYFUNCTION("IF(OR(ISBLANK($G86), IFERROR(INDEX(GOOGLEFINANCE($C86, ""price"", WORKDAY(INT($B86), 5)), 2, 2), """")=""""), """", IF($D86=""LONG"", (IFERROR(INDEX(GOOGLEFINANCE($C86, ""price"", WORKDAY(INT($B86), 5)), 2, 2), """")-$G86)/$G86, ($G86-IFERROR(INDEX(GOOGLE"&amp;"FINANCE($C86, ""price"", WORKDAY(INT($B86), 5)), 2, 2), """"))/$G86))"),0.013832724910018752)</f>
        <v>0.01383272491</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2760</v>
      </c>
      <c r="U86" s="10" t="s">
        <v>984</v>
      </c>
      <c r="V86" s="10" t="s">
        <v>985</v>
      </c>
      <c r="W86" s="10" t="s">
        <v>51</v>
      </c>
      <c r="X86" s="10" t="s">
        <v>984</v>
      </c>
    </row>
    <row r="87">
      <c r="A87" s="9">
        <f t="shared" si="1"/>
        <v>86</v>
      </c>
      <c r="B87" s="11">
        <v>46219.66769675926</v>
      </c>
      <c r="C87" s="10" t="s">
        <v>260</v>
      </c>
      <c r="D87" s="10" t="s">
        <v>36</v>
      </c>
      <c r="E87" s="10" t="s">
        <v>37</v>
      </c>
      <c r="F87" s="13">
        <v>2.0</v>
      </c>
      <c r="G87" s="14">
        <v>106.06</v>
      </c>
      <c r="H87" s="10" t="s">
        <v>2761</v>
      </c>
      <c r="I87" s="10">
        <v>93.5</v>
      </c>
      <c r="O87" s="15">
        <f>IFERROR(__xludf.DUMMYFUNCTION("IF(ISBLANK($C87), """", GOOGLEFINANCE($C87, ""price""))"),90.71)</f>
        <v>90.71</v>
      </c>
      <c r="P87" s="16">
        <f t="shared" si="2"/>
        <v>-0.1447293985</v>
      </c>
      <c r="Q87" s="16">
        <f>IFERROR(__xludf.DUMMYFUNCTION("IF(OR(ISBLANK($G87), IFERROR(INDEX(GOOGLEFINANCE($C87, ""price"", WORKDAY(INT($B87), 1)), 2, 2), """")=""""), """", IF($D87=""LONG"", (IFERROR(INDEX(GOOGLEFINANCE($C87, ""price"", WORKDAY(INT($B87), 1)), 2, 2), """")-$G87)/$G87, ($G87-IFERROR(INDEX(GOOGLE"&amp;"FINANCE($C87, ""price"", WORKDAY(INT($B87), 1)), 2, 2), """"))/$G87))"),-0.057514614369225045)</f>
        <v>-0.05751461437</v>
      </c>
      <c r="R87" s="16">
        <f>IFERROR(__xludf.DUMMYFUNCTION("IF(OR(ISBLANK($G87), IFERROR(INDEX(GOOGLEFINANCE($C87, ""price"", WORKDAY(INT($B87), 5)), 2, 2), """")=""""), """", IF($D87=""LONG"", (IFERROR(INDEX(GOOGLEFINANCE($C87, ""price"", WORKDAY(INT($B87), 5)), 2, 2), """")-$G87)/$G87, ($G87-IFERROR(INDEX(GOOGLE"&amp;"FINANCE($C87, ""price"", WORKDAY(INT($B87), 5)), 2, 2), """"))/$G87))"),-0.04224024137280788)</f>
        <v>-0.04224024137</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2766</v>
      </c>
      <c r="U87" s="10" t="s">
        <v>984</v>
      </c>
      <c r="V87" s="10" t="s">
        <v>1880</v>
      </c>
      <c r="W87" s="10" t="s">
        <v>51</v>
      </c>
      <c r="X87" s="10" t="s">
        <v>984</v>
      </c>
    </row>
    <row r="88">
      <c r="A88" s="9">
        <f t="shared" si="1"/>
        <v>87</v>
      </c>
      <c r="B88" s="11">
        <v>46219.66758101852</v>
      </c>
      <c r="C88" s="10" t="s">
        <v>1022</v>
      </c>
      <c r="D88" s="10" t="s">
        <v>119</v>
      </c>
      <c r="E88" s="10" t="s">
        <v>120</v>
      </c>
      <c r="F88" s="13">
        <v>4.0</v>
      </c>
      <c r="G88" s="14">
        <v>35.03</v>
      </c>
      <c r="H88" s="10" t="s">
        <v>2767</v>
      </c>
      <c r="I88" s="10">
        <v>1.2</v>
      </c>
      <c r="O88" s="15">
        <f>IFERROR(__xludf.DUMMYFUNCTION("IF(ISBLANK($C88), """", GOOGLEFINANCE($C88, ""price""))"),32.51)</f>
        <v>32.51</v>
      </c>
      <c r="P88" s="16">
        <f t="shared" si="2"/>
        <v>0.07193833857</v>
      </c>
      <c r="Q88" s="16">
        <f>IFERROR(__xludf.DUMMYFUNCTION("IF(OR(ISBLANK($G88), IFERROR(INDEX(GOOGLEFINANCE($C88, ""price"", WORKDAY(INT($B88), 1)), 2, 2), """")=""""), """", IF($D88=""LONG"", (IFERROR(INDEX(GOOGLEFINANCE($C88, ""price"", WORKDAY(INT($B88), 1)), 2, 2), """")-$G88)/$G88, ($G88-IFERROR(INDEX(GOOGLE"&amp;"FINANCE($C88, ""price"", WORKDAY(INT($B88), 1)), 2, 2), """"))/$G88))"),-0.005423922352269418)</f>
        <v>-0.005423922352</v>
      </c>
      <c r="R88" s="16">
        <f>IFERROR(__xludf.DUMMYFUNCTION("IF(OR(ISBLANK($G88), IFERROR(INDEX(GOOGLEFINANCE($C88, ""price"", WORKDAY(INT($B88), 5)), 2, 2), """")=""""), """", IF($D88=""LONG"", (IFERROR(INDEX(GOOGLEFINANCE($C88, ""price"", WORKDAY(INT($B88), 5)), 2, 2), """")-$G88)/$G88, ($G88-IFERROR(INDEX(GOOGLE"&amp;"FINANCE($C88, ""price"", WORKDAY(INT($B88), 5)), 2, 2), """"))/$G88))"),0.06622894661718527)</f>
        <v>0.06622894662</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2770</v>
      </c>
      <c r="U88" s="10" t="s">
        <v>984</v>
      </c>
      <c r="V88" s="10" t="s">
        <v>985</v>
      </c>
      <c r="W88" s="10" t="s">
        <v>51</v>
      </c>
      <c r="X88" s="10" t="s">
        <v>984</v>
      </c>
    </row>
    <row r="89">
      <c r="A89" s="9">
        <f t="shared" si="1"/>
        <v>88</v>
      </c>
      <c r="B89" s="11">
        <v>46219.66780092593</v>
      </c>
      <c r="C89" s="10" t="s">
        <v>272</v>
      </c>
      <c r="D89" s="10" t="s">
        <v>36</v>
      </c>
      <c r="E89" s="10" t="s">
        <v>37</v>
      </c>
      <c r="F89" s="13">
        <v>2.0</v>
      </c>
      <c r="G89" s="14">
        <v>343.09</v>
      </c>
      <c r="H89" s="10" t="s">
        <v>2771</v>
      </c>
      <c r="I89" s="10">
        <v>93.2</v>
      </c>
      <c r="O89" s="15">
        <f>IFERROR(__xludf.DUMMYFUNCTION("IF(ISBLANK($C89), """", GOOGLEFINANCE($C89, ""price""))"),356.3)</f>
        <v>356.3</v>
      </c>
      <c r="P89" s="16">
        <f t="shared" si="2"/>
        <v>0.0385030167</v>
      </c>
      <c r="Q89" s="16">
        <f>IFERROR(__xludf.DUMMYFUNCTION("IF(OR(ISBLANK($G89), IFERROR(INDEX(GOOGLEFINANCE($C89, ""price"", WORKDAY(INT($B89), 1)), 2, 2), """")=""""), """", IF($D89=""LONG"", (IFERROR(INDEX(GOOGLEFINANCE($C89, ""price"", WORKDAY(INT($B89), 1)), 2, 2), """")-$G89)/$G89, ($G89-IFERROR(INDEX(GOOGLE"&amp;"FINANCE($C89, ""price"", WORKDAY(INT($B89), 1)), 2, 2), """"))/$G89))"),-0.005800227345594312)</f>
        <v>-0.005800227346</v>
      </c>
      <c r="R89" s="16">
        <f>IFERROR(__xludf.DUMMYFUNCTION("IF(OR(ISBLANK($G89), IFERROR(INDEX(GOOGLEFINANCE($C89, ""price"", WORKDAY(INT($B89), 5)), 2, 2), """")=""""), """", IF($D89=""LONG"", (IFERROR(INDEX(GOOGLEFINANCE($C89, ""price"", WORKDAY(INT($B89), 5)), 2, 2), """")-$G89)/$G89, ($G89-IFERROR(INDEX(GOOGLE"&amp;"FINANCE($C89, ""price"", WORKDAY(INT($B89), 5)), 2, 2), """"))/$G89))"),0.019849019207788053)</f>
        <v>0.01984901921</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2774</v>
      </c>
      <c r="U89" s="10" t="s">
        <v>492</v>
      </c>
      <c r="V89" s="10" t="s">
        <v>493</v>
      </c>
      <c r="W89" s="10" t="s">
        <v>51</v>
      </c>
      <c r="X89" s="10" t="s">
        <v>492</v>
      </c>
    </row>
    <row r="90">
      <c r="A90" s="9">
        <f t="shared" si="1"/>
        <v>89</v>
      </c>
      <c r="B90" s="11">
        <v>46219.6678125</v>
      </c>
      <c r="C90" s="10" t="s">
        <v>358</v>
      </c>
      <c r="D90" s="10" t="s">
        <v>119</v>
      </c>
      <c r="E90" s="10" t="s">
        <v>120</v>
      </c>
      <c r="F90" s="13">
        <v>4.0</v>
      </c>
      <c r="G90" s="14">
        <v>47.09</v>
      </c>
      <c r="H90" s="10" t="s">
        <v>2775</v>
      </c>
      <c r="I90" s="10">
        <v>3.3</v>
      </c>
      <c r="O90" s="15">
        <f>IFERROR(__xludf.DUMMYFUNCTION("IF(ISBLANK($C90), """", GOOGLEFINANCE($C90, ""price""))"),51.54)</f>
        <v>51.54</v>
      </c>
      <c r="P90" s="16">
        <f t="shared" si="2"/>
        <v>-0.09449989382</v>
      </c>
      <c r="Q90" s="16">
        <f>IFERROR(__xludf.DUMMYFUNCTION("IF(OR(ISBLANK($G90), IFERROR(INDEX(GOOGLEFINANCE($C90, ""price"", WORKDAY(INT($B90), 1)), 2, 2), """")=""""), """", IF($D90=""LONG"", (IFERROR(INDEX(GOOGLEFINANCE($C90, ""price"", WORKDAY(INT($B90), 1)), 2, 2), """")-$G90)/$G90, ($G90-IFERROR(INDEX(GOOGLE"&amp;"FINANCE($C90, ""price"", WORKDAY(INT($B90), 1)), 2, 2), """"))/$G90))"),0.0021235931195583225)</f>
        <v>0.00212359312</v>
      </c>
      <c r="R90" s="16">
        <f>IFERROR(__xludf.DUMMYFUNCTION("IF(OR(ISBLANK($G90), IFERROR(INDEX(GOOGLEFINANCE($C90, ""price"", WORKDAY(INT($B90), 5)), 2, 2), """")=""""), """", IF($D90=""LONG"", (IFERROR(INDEX(GOOGLEFINANCE($C90, ""price"", WORKDAY(INT($B90), 5)), 2, 2), """")-$G90)/$G90, ($G90-IFERROR(INDEX(GOOGLE"&amp;"FINANCE($C90, ""price"", WORKDAY(INT($B90), 5)), 2, 2), """"))/$G90))"),-0.0027606710554256837)</f>
        <v>-0.002760671055</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2778</v>
      </c>
      <c r="U90" s="10" t="s">
        <v>984</v>
      </c>
      <c r="V90" s="10" t="s">
        <v>985</v>
      </c>
      <c r="W90" s="10" t="s">
        <v>51</v>
      </c>
      <c r="X90" s="10" t="s">
        <v>984</v>
      </c>
    </row>
    <row r="91">
      <c r="A91" s="9">
        <f t="shared" si="1"/>
        <v>90</v>
      </c>
      <c r="B91" s="11">
        <v>46219.66768518519</v>
      </c>
      <c r="C91" s="10" t="s">
        <v>1603</v>
      </c>
      <c r="D91" s="10" t="s">
        <v>36</v>
      </c>
      <c r="E91" s="10" t="s">
        <v>37</v>
      </c>
      <c r="F91" s="13">
        <v>2.0</v>
      </c>
      <c r="G91" s="14">
        <v>136.64</v>
      </c>
      <c r="H91" s="10" t="s">
        <v>2779</v>
      </c>
      <c r="I91" s="10">
        <v>93.8</v>
      </c>
      <c r="O91" s="15">
        <f>IFERROR(__xludf.DUMMYFUNCTION("IF(ISBLANK($C91), """", GOOGLEFINANCE($C91, ""price""))"),144.51)</f>
        <v>144.51</v>
      </c>
      <c r="P91" s="16">
        <f t="shared" si="2"/>
        <v>0.05759660422</v>
      </c>
      <c r="Q91" s="16">
        <f>IFERROR(__xludf.DUMMYFUNCTION("IF(OR(ISBLANK($G91), IFERROR(INDEX(GOOGLEFINANCE($C91, ""price"", WORKDAY(INT($B91), 1)), 2, 2), """")=""""), """", IF($D91=""LONG"", (IFERROR(INDEX(GOOGLEFINANCE($C91, ""price"", WORKDAY(INT($B91), 1)), 2, 2), """")-$G91)/$G91, ($G91-IFERROR(INDEX(GOOGLE"&amp;"FINANCE($C91, ""price"", WORKDAY(INT($B91), 1)), 2, 2), """"))/$G91))"),0.026492974238875915)</f>
        <v>0.02649297424</v>
      </c>
      <c r="R91" s="16">
        <f>IFERROR(__xludf.DUMMYFUNCTION("IF(OR(ISBLANK($G91), IFERROR(INDEX(GOOGLEFINANCE($C91, ""price"", WORKDAY(INT($B91), 5)), 2, 2), """")=""""), """", IF($D91=""LONG"", (IFERROR(INDEX(GOOGLEFINANCE($C91, ""price"", WORKDAY(INT($B91), 5)), 2, 2), """")-$G91)/$G91, ($G91-IFERROR(INDEX(GOOGLE"&amp;"FINANCE($C91, ""price"", WORKDAY(INT($B91), 5)), 2, 2), """"))/$G91))"),0.040544496487119594)</f>
        <v>0.04054449649</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2782</v>
      </c>
      <c r="U91" s="10" t="s">
        <v>492</v>
      </c>
      <c r="V91" s="10" t="s">
        <v>493</v>
      </c>
      <c r="W91" s="10" t="s">
        <v>51</v>
      </c>
      <c r="X91" s="10" t="s">
        <v>492</v>
      </c>
    </row>
    <row r="92">
      <c r="A92" s="9">
        <f t="shared" si="1"/>
        <v>91</v>
      </c>
      <c r="B92" s="11">
        <v>46219.66782407407</v>
      </c>
      <c r="C92" s="10" t="s">
        <v>455</v>
      </c>
      <c r="D92" s="10" t="s">
        <v>36</v>
      </c>
      <c r="E92" s="10" t="s">
        <v>37</v>
      </c>
      <c r="F92" s="13">
        <v>2.0</v>
      </c>
      <c r="G92" s="14">
        <v>108.97</v>
      </c>
      <c r="H92" s="10" t="s">
        <v>2783</v>
      </c>
      <c r="I92" s="10">
        <v>98.1</v>
      </c>
      <c r="O92" s="15">
        <f>IFERROR(__xludf.DUMMYFUNCTION("IF(ISBLANK($C92), """", GOOGLEFINANCE($C92, ""price""))"),108.66)</f>
        <v>108.66</v>
      </c>
      <c r="P92" s="16">
        <f t="shared" si="2"/>
        <v>-0.002844819675</v>
      </c>
      <c r="Q92" s="16">
        <f>IFERROR(__xludf.DUMMYFUNCTION("IF(OR(ISBLANK($G92), IFERROR(INDEX(GOOGLEFINANCE($C92, ""price"", WORKDAY(INT($B92), 1)), 2, 2), """")=""""), """", IF($D92=""LONG"", (IFERROR(INDEX(GOOGLEFINANCE($C92, ""price"", WORKDAY(INT($B92), 1)), 2, 2), """")-$G92)/$G92, ($G92-IFERROR(INDEX(GOOGLE"&amp;"FINANCE($C92, ""price"", WORKDAY(INT($B92), 1)), 2, 2), """"))/$G92))"),-0.005689639350279935)</f>
        <v>-0.00568963935</v>
      </c>
      <c r="R92" s="16">
        <f>IFERROR(__xludf.DUMMYFUNCTION("IF(OR(ISBLANK($G92), IFERROR(INDEX(GOOGLEFINANCE($C92, ""price"", WORKDAY(INT($B92), 5)), 2, 2), """")=""""), """", IF($D92=""LONG"", (IFERROR(INDEX(GOOGLEFINANCE($C92, ""price"", WORKDAY(INT($B92), 5)), 2, 2), """")-$G92)/$G92, ($G92-IFERROR(INDEX(GOOGLE"&amp;"FINANCE($C92, ""price"", WORKDAY(INT($B92), 5)), 2, 2), """"))/$G92))"),-0.015233550518491297)</f>
        <v>-0.01523355052</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2787</v>
      </c>
      <c r="U92" s="10" t="s">
        <v>984</v>
      </c>
      <c r="V92" s="10" t="s">
        <v>985</v>
      </c>
      <c r="W92" s="10" t="s">
        <v>51</v>
      </c>
      <c r="X92" s="10" t="s">
        <v>984</v>
      </c>
    </row>
    <row r="93">
      <c r="A93" s="9">
        <f t="shared" si="1"/>
        <v>92</v>
      </c>
      <c r="B93" s="11">
        <v>46219.66774305556</v>
      </c>
      <c r="C93" s="10" t="s">
        <v>342</v>
      </c>
      <c r="D93" s="10" t="s">
        <v>36</v>
      </c>
      <c r="E93" s="10" t="s">
        <v>37</v>
      </c>
      <c r="F93" s="13">
        <v>2.0</v>
      </c>
      <c r="G93" s="14">
        <v>61.51</v>
      </c>
      <c r="H93" s="10" t="s">
        <v>2788</v>
      </c>
      <c r="I93" s="10">
        <v>82.6</v>
      </c>
      <c r="O93" s="15">
        <f>IFERROR(__xludf.DUMMYFUNCTION("IF(ISBLANK($C93), """", GOOGLEFINANCE($C93, ""price""))"),63.0)</f>
        <v>63</v>
      </c>
      <c r="P93" s="16">
        <f t="shared" si="2"/>
        <v>0.02422370346</v>
      </c>
      <c r="Q93" s="16">
        <f>IFERROR(__xludf.DUMMYFUNCTION("IF(OR(ISBLANK($G93), IFERROR(INDEX(GOOGLEFINANCE($C93, ""price"", WORKDAY(INT($B93), 1)), 2, 2), """")=""""), """", IF($D93=""LONG"", (IFERROR(INDEX(GOOGLEFINANCE($C93, ""price"", WORKDAY(INT($B93), 1)), 2, 2), """")-$G93)/$G93, ($G93-IFERROR(INDEX(GOOGLE"&amp;"FINANCE($C93, ""price"", WORKDAY(INT($B93), 1)), 2, 2), """"))/$G93))"),-0.003901804584620304)</f>
        <v>-0.003901804585</v>
      </c>
      <c r="R93" s="16">
        <f>IFERROR(__xludf.DUMMYFUNCTION("IF(OR(ISBLANK($G93), IFERROR(INDEX(GOOGLEFINANCE($C93, ""price"", WORKDAY(INT($B93), 5)), 2, 2), """")=""""), """", IF($D93=""LONG"", (IFERROR(INDEX(GOOGLEFINANCE($C93, ""price"", WORKDAY(INT($B93), 5)), 2, 2), """")-$G93)/$G93, ($G93-IFERROR(INDEX(GOOGLE"&amp;"FINANCE($C93, ""price"", WORKDAY(INT($B93), 5)), 2, 2), """"))/$G93))"),-0.0037392293935944866)</f>
        <v>-0.003739229394</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2789</v>
      </c>
      <c r="U93" s="10" t="s">
        <v>219</v>
      </c>
      <c r="V93" s="10" t="s">
        <v>2790</v>
      </c>
      <c r="W93" s="10" t="s">
        <v>51</v>
      </c>
      <c r="X93" s="10" t="s">
        <v>974</v>
      </c>
    </row>
    <row r="94">
      <c r="A94" s="9">
        <f t="shared" si="1"/>
        <v>93</v>
      </c>
      <c r="B94" s="11">
        <v>46219.667604166665</v>
      </c>
      <c r="C94" s="10" t="s">
        <v>217</v>
      </c>
      <c r="D94" s="10" t="s">
        <v>36</v>
      </c>
      <c r="E94" s="10" t="s">
        <v>37</v>
      </c>
      <c r="F94" s="13">
        <v>2.0</v>
      </c>
      <c r="G94" s="14">
        <v>377.74</v>
      </c>
      <c r="H94" s="10" t="s">
        <v>2794</v>
      </c>
      <c r="I94" s="10">
        <v>83.2</v>
      </c>
      <c r="O94" s="15">
        <f>IFERROR(__xludf.DUMMYFUNCTION("IF(ISBLANK($C94), """", GOOGLEFINANCE($C94, ""price""))"),399.7)</f>
        <v>399.7</v>
      </c>
      <c r="P94" s="16">
        <f t="shared" si="2"/>
        <v>0.05813522529</v>
      </c>
      <c r="Q94" s="16">
        <f>IFERROR(__xludf.DUMMYFUNCTION("IF(OR(ISBLANK($G94), IFERROR(INDEX(GOOGLEFINANCE($C94, ""price"", WORKDAY(INT($B94), 1)), 2, 2), """")=""""), """", IF($D94=""LONG"", (IFERROR(INDEX(GOOGLEFINANCE($C94, ""price"", WORKDAY(INT($B94), 1)), 2, 2), """")-$G94)/$G94, ($G94-IFERROR(INDEX(GOOGLE"&amp;"FINANCE($C94, ""price"", WORKDAY(INT($B94), 1)), 2, 2), """"))/$G94))"),-0.023190554349552576)</f>
        <v>-0.02319055435</v>
      </c>
      <c r="R94" s="16">
        <f>IFERROR(__xludf.DUMMYFUNCTION("IF(OR(ISBLANK($G94), IFERROR(INDEX(GOOGLEFINANCE($C94, ""price"", WORKDAY(INT($B94), 5)), 2, 2), """")=""""), """", IF($D94=""LONG"", (IFERROR(INDEX(GOOGLEFINANCE($C94, ""price"", WORKDAY(INT($B94), 5)), 2, 2), """")-$G94)/$G94, ($G94-IFERROR(INDEX(GOOGLE"&amp;"FINANCE($C94, ""price"", WORKDAY(INT($B94), 5)), 2, 2), """"))/$G94))"),0.012363001005982994)</f>
        <v>0.01236300101</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2796</v>
      </c>
      <c r="U94" s="10" t="s">
        <v>492</v>
      </c>
      <c r="V94" s="10" t="s">
        <v>493</v>
      </c>
      <c r="W94" s="10" t="s">
        <v>51</v>
      </c>
      <c r="X94" s="10" t="s">
        <v>492</v>
      </c>
    </row>
    <row r="95">
      <c r="A95" s="9">
        <f t="shared" si="1"/>
        <v>94</v>
      </c>
      <c r="B95" s="11">
        <v>46219.66768518519</v>
      </c>
      <c r="C95" s="10" t="s">
        <v>347</v>
      </c>
      <c r="D95" s="10" t="s">
        <v>36</v>
      </c>
      <c r="E95" s="10" t="s">
        <v>37</v>
      </c>
      <c r="F95" s="13">
        <v>2.0</v>
      </c>
      <c r="G95" s="14">
        <v>282.11</v>
      </c>
      <c r="H95" s="10" t="s">
        <v>2799</v>
      </c>
      <c r="I95" s="10">
        <v>93.2</v>
      </c>
      <c r="O95" s="15">
        <f>IFERROR(__xludf.DUMMYFUNCTION("IF(ISBLANK($C95), """", GOOGLEFINANCE($C95, ""price""))"),316.53)</f>
        <v>316.53</v>
      </c>
      <c r="P95" s="16">
        <f t="shared" si="2"/>
        <v>0.1220091454</v>
      </c>
      <c r="Q95" s="16">
        <f>IFERROR(__xludf.DUMMYFUNCTION("IF(OR(ISBLANK($G95), IFERROR(INDEX(GOOGLEFINANCE($C95, ""price"", WORKDAY(INT($B95), 1)), 2, 2), """")=""""), """", IF($D95=""LONG"", (IFERROR(INDEX(GOOGLEFINANCE($C95, ""price"", WORKDAY(INT($B95), 1)), 2, 2), """")-$G95)/$G95, ($G95-IFERROR(INDEX(GOOGLE"&amp;"FINANCE($C95, ""price"", WORKDAY(INT($B95), 1)), 2, 2), """"))/$G95))"),0.004430895749884796)</f>
        <v>0.00443089575</v>
      </c>
      <c r="R95" s="16">
        <f>IFERROR(__xludf.DUMMYFUNCTION("IF(OR(ISBLANK($G95), IFERROR(INDEX(GOOGLEFINANCE($C95, ""price"", WORKDAY(INT($B95), 5)), 2, 2), """")=""""), """", IF($D95=""LONG"", (IFERROR(INDEX(GOOGLEFINANCE($C95, ""price"", WORKDAY(INT($B95), 5)), 2, 2), """")-$G95)/$G95, ($G95-IFERROR(INDEX(GOOGLE"&amp;"FINANCE($C95, ""price"", WORKDAY(INT($B95), 5)), 2, 2), """"))/$G95))"),0.031583424905178716)</f>
        <v>0.03158342491</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2800</v>
      </c>
      <c r="U95" s="10" t="s">
        <v>984</v>
      </c>
      <c r="V95" s="10" t="s">
        <v>1059</v>
      </c>
      <c r="W95" s="10" t="s">
        <v>51</v>
      </c>
      <c r="X95" s="10" t="s">
        <v>984</v>
      </c>
    </row>
    <row r="96">
      <c r="A96" s="9">
        <f t="shared" si="1"/>
        <v>95</v>
      </c>
      <c r="B96" s="11">
        <v>46219.66769675926</v>
      </c>
      <c r="C96" s="10" t="s">
        <v>323</v>
      </c>
      <c r="D96" s="10" t="s">
        <v>36</v>
      </c>
      <c r="E96" s="10" t="s">
        <v>37</v>
      </c>
      <c r="F96" s="13">
        <v>2.0</v>
      </c>
      <c r="G96" s="14">
        <v>207.81</v>
      </c>
      <c r="H96" s="10" t="s">
        <v>2802</v>
      </c>
      <c r="I96" s="10">
        <v>78.0</v>
      </c>
      <c r="O96" s="15">
        <f>IFERROR(__xludf.DUMMYFUNCTION("IF(ISBLANK($C96), """", GOOGLEFINANCE($C96, ""price""))"),209.7)</f>
        <v>209.7</v>
      </c>
      <c r="P96" s="16">
        <f t="shared" si="2"/>
        <v>0.009094846254</v>
      </c>
      <c r="Q96" s="16">
        <f>IFERROR(__xludf.DUMMYFUNCTION("IF(OR(ISBLANK($G96), IFERROR(INDEX(GOOGLEFINANCE($C96, ""price"", WORKDAY(INT($B96), 1)), 2, 2), """")=""""), """", IF($D96=""LONG"", (IFERROR(INDEX(GOOGLEFINANCE($C96, ""price"", WORKDAY(INT($B96), 1)), 2, 2), """")-$G96)/$G96, ($G96-IFERROR(INDEX(GOOGLE"&amp;"FINANCE($C96, ""price"", WORKDAY(INT($B96), 1)), 2, 2), """"))/$G96))"),0.005245175881815136)</f>
        <v>0.005245175882</v>
      </c>
      <c r="R96" s="16">
        <f>IFERROR(__xludf.DUMMYFUNCTION("IF(OR(ISBLANK($G96), IFERROR(INDEX(GOOGLEFINANCE($C96, ""price"", WORKDAY(INT($B96), 5)), 2, 2), """")=""""), """", IF($D96=""LONG"", (IFERROR(INDEX(GOOGLEFINANCE($C96, ""price"", WORKDAY(INT($B96), 5)), 2, 2), """")-$G96)/$G96, ($G96-IFERROR(INDEX(GOOGLE"&amp;"FINANCE($C96, ""price"", WORKDAY(INT($B96), 5)), 2, 2), """"))/$G96))"),0.0057263846783119085)</f>
        <v>0.005726384678</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2805</v>
      </c>
      <c r="U96" s="10" t="s">
        <v>492</v>
      </c>
      <c r="V96" s="10" t="s">
        <v>493</v>
      </c>
      <c r="W96" s="10" t="s">
        <v>51</v>
      </c>
      <c r="X96" s="10" t="s">
        <v>492</v>
      </c>
    </row>
    <row r="97">
      <c r="A97" s="9">
        <f t="shared" si="1"/>
        <v>96</v>
      </c>
      <c r="B97" s="11">
        <v>46219.66769675926</v>
      </c>
      <c r="C97" s="10" t="s">
        <v>765</v>
      </c>
      <c r="D97" s="10" t="s">
        <v>36</v>
      </c>
      <c r="E97" s="10" t="s">
        <v>37</v>
      </c>
      <c r="F97" s="13">
        <v>2.0</v>
      </c>
      <c r="G97" s="14">
        <v>123.0</v>
      </c>
      <c r="H97" s="10" t="s">
        <v>2807</v>
      </c>
      <c r="I97" s="10">
        <v>90.6</v>
      </c>
      <c r="O97" s="15">
        <f>IFERROR(__xludf.DUMMYFUNCTION("IF(ISBLANK($C97), """", GOOGLEFINANCE($C97, ""price""))"),126.66)</f>
        <v>126.66</v>
      </c>
      <c r="P97" s="16">
        <f t="shared" si="2"/>
        <v>0.02975609756</v>
      </c>
      <c r="Q97" s="16">
        <f>IFERROR(__xludf.DUMMYFUNCTION("IF(OR(ISBLANK($G97), IFERROR(INDEX(GOOGLEFINANCE($C97, ""price"", WORKDAY(INT($B97), 1)), 2, 2), """")=""""), """", IF($D97=""LONG"", (IFERROR(INDEX(GOOGLEFINANCE($C97, ""price"", WORKDAY(INT($B97), 1)), 2, 2), """")-$G97)/$G97, ($G97-IFERROR(INDEX(GOOGLE"&amp;"FINANCE($C97, ""price"", WORKDAY(INT($B97), 1)), 2, 2), """"))/$G97))"),0.013983739837398364)</f>
        <v>0.01398373984</v>
      </c>
      <c r="R97" s="16">
        <f>IFERROR(__xludf.DUMMYFUNCTION("IF(OR(ISBLANK($G97), IFERROR(INDEX(GOOGLEFINANCE($C97, ""price"", WORKDAY(INT($B97), 5)), 2, 2), """")=""""), """", IF($D97=""LONG"", (IFERROR(INDEX(GOOGLEFINANCE($C97, ""price"", WORKDAY(INT($B97), 5)), 2, 2), """")-$G97)/$G97, ($G97-IFERROR(INDEX(GOOGLE"&amp;"FINANCE($C97, ""price"", WORKDAY(INT($B97), 5)), 2, 2), """"))/$G97))"),0.010894308943089459)</f>
        <v>0.01089430894</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2809</v>
      </c>
      <c r="U97" s="10" t="s">
        <v>507</v>
      </c>
      <c r="V97" s="10" t="s">
        <v>2810</v>
      </c>
      <c r="W97" s="10" t="s">
        <v>51</v>
      </c>
      <c r="X97" s="10" t="s">
        <v>507</v>
      </c>
    </row>
    <row r="98">
      <c r="A98" s="9">
        <f t="shared" si="1"/>
        <v>97</v>
      </c>
      <c r="B98" s="11">
        <v>46219.66775462963</v>
      </c>
      <c r="C98" s="10" t="s">
        <v>303</v>
      </c>
      <c r="D98" s="10" t="s">
        <v>36</v>
      </c>
      <c r="E98" s="10" t="s">
        <v>37</v>
      </c>
      <c r="F98" s="13">
        <v>2.0</v>
      </c>
      <c r="G98" s="14">
        <v>106.48</v>
      </c>
      <c r="H98" s="10" t="s">
        <v>2812</v>
      </c>
      <c r="I98" s="10">
        <v>88.5</v>
      </c>
      <c r="O98" s="15">
        <f>IFERROR(__xludf.DUMMYFUNCTION("IF(ISBLANK($C98), """", GOOGLEFINANCE($C98, ""price""))"),96.22)</f>
        <v>96.22</v>
      </c>
      <c r="P98" s="16">
        <f t="shared" si="2"/>
        <v>-0.09635612322</v>
      </c>
      <c r="Q98" s="16">
        <f>IFERROR(__xludf.DUMMYFUNCTION("IF(OR(ISBLANK($G98), IFERROR(INDEX(GOOGLEFINANCE($C98, ""price"", WORKDAY(INT($B98), 1)), 2, 2), """")=""""), """", IF($D98=""LONG"", (IFERROR(INDEX(GOOGLEFINANCE($C98, ""price"", WORKDAY(INT($B98), 1)), 2, 2), """")-$G98)/$G98, ($G98-IFERROR(INDEX(GOOGLE"&amp;"FINANCE($C98, ""price"", WORKDAY(INT($B98), 1)), 2, 2), """"))/$G98))"),0.009297520661156976)</f>
        <v>0.009297520661</v>
      </c>
      <c r="R98" s="16">
        <f>IFERROR(__xludf.DUMMYFUNCTION("IF(OR(ISBLANK($G98), IFERROR(INDEX(GOOGLEFINANCE($C98, ""price"", WORKDAY(INT($B98), 5)), 2, 2), """")=""""), """", IF($D98=""LONG"", (IFERROR(INDEX(GOOGLEFINANCE($C98, ""price"", WORKDAY(INT($B98), 5)), 2, 2), """")-$G98)/$G98, ($G98-IFERROR(INDEX(GOOGLE"&amp;"FINANCE($C98, ""price"", WORKDAY(INT($B98), 5)), 2, 2), """"))/$G98))"),0.003850488354620554)</f>
        <v>0.003850488355</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2815</v>
      </c>
      <c r="U98" s="10" t="s">
        <v>984</v>
      </c>
      <c r="V98" s="10" t="s">
        <v>1880</v>
      </c>
      <c r="W98" s="10" t="s">
        <v>51</v>
      </c>
      <c r="X98" s="10" t="s">
        <v>984</v>
      </c>
    </row>
    <row r="99">
      <c r="A99" s="9">
        <f t="shared" si="1"/>
        <v>98</v>
      </c>
      <c r="B99" s="11">
        <v>46219.66768518519</v>
      </c>
      <c r="C99" s="10" t="s">
        <v>43</v>
      </c>
      <c r="D99" s="10" t="s">
        <v>36</v>
      </c>
      <c r="E99" s="10" t="s">
        <v>37</v>
      </c>
      <c r="F99" s="13">
        <v>2.0</v>
      </c>
      <c r="G99" s="14">
        <v>262.35</v>
      </c>
      <c r="H99" s="10" t="s">
        <v>2816</v>
      </c>
      <c r="I99" s="10">
        <v>94.1</v>
      </c>
      <c r="O99" s="15">
        <f>IFERROR(__xludf.DUMMYFUNCTION("IF(ISBLANK($C99), """", GOOGLEFINANCE($C99, ""price""))"),229.29)</f>
        <v>229.29</v>
      </c>
      <c r="P99" s="16">
        <f t="shared" si="2"/>
        <v>-0.1260148656</v>
      </c>
      <c r="Q99" s="16">
        <f>IFERROR(__xludf.DUMMYFUNCTION("IF(OR(ISBLANK($G99), IFERROR(INDEX(GOOGLEFINANCE($C99, ""price"", WORKDAY(INT($B99), 1)), 2, 2), """")=""""), """", IF($D99=""LONG"", (IFERROR(INDEX(GOOGLEFINANCE($C99, ""price"", WORKDAY(INT($B99), 1)), 2, 2), """")-$G99)/$G99, ($G99-IFERROR(INDEX(GOOGLE"&amp;"FINANCE($C99, ""price"", WORKDAY(INT($B99), 1)), 2, 2), """"))/$G99))"),-0.013950829045168762)</f>
        <v>-0.01395082905</v>
      </c>
      <c r="R99" s="16">
        <f>IFERROR(__xludf.DUMMYFUNCTION("IF(OR(ISBLANK($G99), IFERROR(INDEX(GOOGLEFINANCE($C99, ""price"", WORKDAY(INT($B99), 5)), 2, 2), """")=""""), """", IF($D99=""LONG"", (IFERROR(INDEX(GOOGLEFINANCE($C99, ""price"", WORKDAY(INT($B99), 5)), 2, 2), """")-$G99)/$G99, ($G99-IFERROR(INDEX(GOOGLE"&amp;"FINANCE($C99, ""price"", WORKDAY(INT($B99), 5)), 2, 2), """"))/$G99))"),-0.06845816657137425)</f>
        <v>-0.06845816657</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2820</v>
      </c>
      <c r="U99" s="10" t="s">
        <v>704</v>
      </c>
      <c r="V99" s="10" t="s">
        <v>2821</v>
      </c>
      <c r="W99" s="10" t="s">
        <v>51</v>
      </c>
      <c r="X99" s="10" t="s">
        <v>704</v>
      </c>
    </row>
    <row r="100">
      <c r="A100" s="9">
        <f t="shared" si="1"/>
        <v>99</v>
      </c>
      <c r="B100" s="11">
        <v>46219.66768518519</v>
      </c>
      <c r="C100" s="10" t="s">
        <v>129</v>
      </c>
      <c r="D100" s="10" t="s">
        <v>119</v>
      </c>
      <c r="E100" s="10" t="s">
        <v>120</v>
      </c>
      <c r="F100" s="13">
        <v>4.0</v>
      </c>
      <c r="G100" s="14">
        <v>56.53</v>
      </c>
      <c r="H100" s="10" t="s">
        <v>2823</v>
      </c>
      <c r="I100" s="10">
        <v>3.8</v>
      </c>
      <c r="O100" s="15">
        <f>IFERROR(__xludf.DUMMYFUNCTION("IF(ISBLANK($C100), """", GOOGLEFINANCE($C100, ""price""))"),62.75)</f>
        <v>62.75</v>
      </c>
      <c r="P100" s="16">
        <f t="shared" si="2"/>
        <v>-0.1100300725</v>
      </c>
      <c r="Q100" s="16">
        <f>IFERROR(__xludf.DUMMYFUNCTION("IF(OR(ISBLANK($G100), IFERROR(INDEX(GOOGLEFINANCE($C100, ""price"", WORKDAY(INT($B100), 1)), 2, 2), """")=""""), """", IF($D100=""LONG"", (IFERROR(INDEX(GOOGLEFINANCE($C100, ""price"", WORKDAY(INT($B100), 1)), 2, 2), """")-$G100)/$G100, ($G100-IFERROR(IND"&amp;"EX(GOOGLEFINANCE($C100, ""price"", WORKDAY(INT($B100), 1)), 2, 2), """"))/$G100))"),0.010260038917388966)</f>
        <v>0.01026003892</v>
      </c>
      <c r="R100" s="16">
        <f>IFERROR(__xludf.DUMMYFUNCTION("IF(OR(ISBLANK($G100), IFERROR(INDEX(GOOGLEFINANCE($C100, ""price"", WORKDAY(INT($B100), 5)), 2, 2), """")=""""), """", IF($D100=""LONG"", (IFERROR(INDEX(GOOGLEFINANCE($C100, ""price"", WORKDAY(INT($B100), 5)), 2, 2), """")-$G100)/$G100, ($G100-IFERROR(IND"&amp;"EX(GOOGLEFINANCE($C100, ""price"", WORKDAY(INT($B100), 5)), 2, 2), """"))/$G100))"),0.007783477799398509)</f>
        <v>0.007783477799</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2825</v>
      </c>
      <c r="U100" s="10" t="s">
        <v>984</v>
      </c>
      <c r="V100" s="10" t="s">
        <v>985</v>
      </c>
      <c r="W100" s="10" t="s">
        <v>51</v>
      </c>
      <c r="X100" s="10" t="s">
        <v>984</v>
      </c>
    </row>
    <row r="101">
      <c r="A101" s="9">
        <f t="shared" si="1"/>
        <v>100</v>
      </c>
      <c r="B101" s="11">
        <v>46219.667650462965</v>
      </c>
      <c r="C101" s="10" t="s">
        <v>424</v>
      </c>
      <c r="D101" s="10" t="s">
        <v>36</v>
      </c>
      <c r="E101" s="10" t="s">
        <v>37</v>
      </c>
      <c r="F101" s="13">
        <v>2.0</v>
      </c>
      <c r="G101" s="14">
        <v>82.24</v>
      </c>
      <c r="H101" s="10" t="s">
        <v>2828</v>
      </c>
      <c r="I101" s="10">
        <v>96.6</v>
      </c>
      <c r="O101" s="15">
        <f>IFERROR(__xludf.DUMMYFUNCTION("IF(ISBLANK($C101), """", GOOGLEFINANCE($C101, ""price""))"),84.35)</f>
        <v>84.35</v>
      </c>
      <c r="P101" s="16">
        <f t="shared" si="2"/>
        <v>0.02565661479</v>
      </c>
      <c r="Q101" s="16">
        <f>IFERROR(__xludf.DUMMYFUNCTION("IF(OR(ISBLANK($G101), IFERROR(INDEX(GOOGLEFINANCE($C101, ""price"", WORKDAY(INT($B101), 1)), 2, 2), """")=""""), """", IF($D101=""LONG"", (IFERROR(INDEX(GOOGLEFINANCE($C101, ""price"", WORKDAY(INT($B101), 1)), 2, 2), """")-$G101)/$G101, ($G101-IFERROR(IND"&amp;"EX(GOOGLEFINANCE($C101, ""price"", WORKDAY(INT($B101), 1)), 2, 2), """"))/$G101))"),-0.006687743190661444)</f>
        <v>-0.006687743191</v>
      </c>
      <c r="R101" s="16">
        <f>IFERROR(__xludf.DUMMYFUNCTION("IF(OR(ISBLANK($G101), IFERROR(INDEX(GOOGLEFINANCE($C101, ""price"", WORKDAY(INT($B101), 5)), 2, 2), """")=""""), """", IF($D101=""LONG"", (IFERROR(INDEX(GOOGLEFINANCE($C101, ""price"", WORKDAY(INT($B101), 5)), 2, 2), """")-$G101)/$G101, ($G101-IFERROR(IND"&amp;"EX(GOOGLEFINANCE($C101, ""price"", WORKDAY(INT($B101), 5)), 2, 2), """"))/$G101))"),-0.00620136186770417)</f>
        <v>-0.006201361868</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2830</v>
      </c>
      <c r="U101" s="10" t="s">
        <v>850</v>
      </c>
      <c r="V101" s="10" t="s">
        <v>2831</v>
      </c>
      <c r="W101" s="10" t="s">
        <v>51</v>
      </c>
      <c r="X101" s="10" t="s">
        <v>2282</v>
      </c>
    </row>
    <row r="102">
      <c r="A102" s="9">
        <f t="shared" si="1"/>
        <v>101</v>
      </c>
      <c r="B102" s="11">
        <v>46219.667662037034</v>
      </c>
      <c r="C102" s="10" t="s">
        <v>351</v>
      </c>
      <c r="D102" s="10" t="s">
        <v>36</v>
      </c>
      <c r="E102" s="10" t="s">
        <v>37</v>
      </c>
      <c r="F102" s="13">
        <v>2.0</v>
      </c>
      <c r="G102" s="14">
        <v>228.5</v>
      </c>
      <c r="H102" s="10" t="s">
        <v>2833</v>
      </c>
      <c r="I102" s="10">
        <v>87.0</v>
      </c>
      <c r="O102" s="15">
        <f>IFERROR(__xludf.DUMMYFUNCTION("IF(ISBLANK($C102), """", GOOGLEFINANCE($C102, ""price""))"),221.83)</f>
        <v>221.83</v>
      </c>
      <c r="P102" s="16">
        <f t="shared" si="2"/>
        <v>-0.02919037199</v>
      </c>
      <c r="Q102" s="16">
        <f>IFERROR(__xludf.DUMMYFUNCTION("IF(OR(ISBLANK($G102), IFERROR(INDEX(GOOGLEFINANCE($C102, ""price"", WORKDAY(INT($B102), 1)), 2, 2), """")=""""), """", IF($D102=""LONG"", (IFERROR(INDEX(GOOGLEFINANCE($C102, ""price"", WORKDAY(INT($B102), 1)), 2, 2), """")-$G102)/$G102, ($G102-IFERROR(IND"&amp;"EX(GOOGLEFINANCE($C102, ""price"", WORKDAY(INT($B102), 1)), 2, 2), """"))/$G102))"),8.752735229758802E-4)</f>
        <v>0.000875273523</v>
      </c>
      <c r="R102" s="16">
        <f>IFERROR(__xludf.DUMMYFUNCTION("IF(OR(ISBLANK($G102), IFERROR(INDEX(GOOGLEFINANCE($C102, ""price"", WORKDAY(INT($B102), 5)), 2, 2), """")=""""), """", IF($D102=""LONG"", (IFERROR(INDEX(GOOGLEFINANCE($C102, ""price"", WORKDAY(INT($B102), 5)), 2, 2), """")-$G102)/$G102, ($G102-IFERROR(IND"&amp;"EX(GOOGLEFINANCE($C102, ""price"", WORKDAY(INT($B102), 5)), 2, 2), """"))/$G102))"),-0.014442013129102895)</f>
        <v>-0.01444201313</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2836</v>
      </c>
      <c r="U102" s="10" t="s">
        <v>219</v>
      </c>
      <c r="V102" s="10" t="s">
        <v>2837</v>
      </c>
      <c r="W102" s="10" t="s">
        <v>51</v>
      </c>
      <c r="X102" s="10" t="s">
        <v>974</v>
      </c>
    </row>
    <row r="103">
      <c r="A103" s="9">
        <f t="shared" si="1"/>
        <v>102</v>
      </c>
      <c r="B103" s="11">
        <v>46219.66767361111</v>
      </c>
      <c r="C103" s="10" t="s">
        <v>104</v>
      </c>
      <c r="D103" s="10" t="s">
        <v>36</v>
      </c>
      <c r="E103" s="10" t="s">
        <v>1892</v>
      </c>
      <c r="F103" s="13">
        <v>2.0</v>
      </c>
      <c r="G103" s="14">
        <v>127.22</v>
      </c>
      <c r="H103" s="10" t="s">
        <v>2838</v>
      </c>
      <c r="I103" s="10">
        <v>90.2</v>
      </c>
      <c r="O103" s="15">
        <f>IFERROR(__xludf.DUMMYFUNCTION("IF(ISBLANK($C103), """", GOOGLEFINANCE($C103, ""price""))"),127.45)</f>
        <v>127.45</v>
      </c>
      <c r="P103" s="16">
        <f t="shared" si="2"/>
        <v>0.001807891841</v>
      </c>
      <c r="Q103" s="16">
        <f>IFERROR(__xludf.DUMMYFUNCTION("IF(OR(ISBLANK($G103), IFERROR(INDEX(GOOGLEFINANCE($C103, ""price"", WORKDAY(INT($B103), 1)), 2, 2), """")=""""), """", IF($D103=""LONG"", (IFERROR(INDEX(GOOGLEFINANCE($C103, ""price"", WORKDAY(INT($B103), 1)), 2, 2), """")-$G103)/$G103, ($G103-IFERROR(IND"&amp;"EX(GOOGLEFINANCE($C103, ""price"", WORKDAY(INT($B103), 1)), 2, 2), """"))/$G103))"),-0.011554786983178737)</f>
        <v>-0.01155478698</v>
      </c>
      <c r="R103" s="16">
        <f>IFERROR(__xludf.DUMMYFUNCTION("IF(OR(ISBLANK($G103), IFERROR(INDEX(GOOGLEFINANCE($C103, ""price"", WORKDAY(INT($B103), 5)), 2, 2), """")=""""), """", IF($D103=""LONG"", (IFERROR(INDEX(GOOGLEFINANCE($C103, ""price"", WORKDAY(INT($B103), 5)), 2, 2), """")-$G103)/$G103, ($G103-IFERROR(IND"&amp;"EX(GOOGLEFINANCE($C103, ""price"", WORKDAY(INT($B103), 5)), 2, 2), """"))/$G103))"),-0.09479641565791544)</f>
        <v>-0.09479641566</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2842</v>
      </c>
      <c r="U103" s="10" t="s">
        <v>984</v>
      </c>
      <c r="V103" s="10" t="s">
        <v>985</v>
      </c>
      <c r="W103" s="10" t="s">
        <v>51</v>
      </c>
      <c r="X103" s="10" t="s">
        <v>984</v>
      </c>
    </row>
    <row r="104">
      <c r="A104" s="9">
        <f t="shared" si="1"/>
        <v>103</v>
      </c>
      <c r="B104" s="11">
        <v>46219.66768518519</v>
      </c>
      <c r="C104" s="10" t="s">
        <v>66</v>
      </c>
      <c r="D104" s="10" t="s">
        <v>36</v>
      </c>
      <c r="E104" s="10" t="s">
        <v>37</v>
      </c>
      <c r="F104" s="13">
        <v>2.0</v>
      </c>
      <c r="G104" s="14">
        <v>275.32</v>
      </c>
      <c r="H104" s="10" t="s">
        <v>2844</v>
      </c>
      <c r="I104" s="10">
        <v>89.5</v>
      </c>
      <c r="O104" s="15">
        <f>IFERROR(__xludf.DUMMYFUNCTION("IF(ISBLANK($C104), """", GOOGLEFINANCE($C104, ""price""))"),296.4)</f>
        <v>296.4</v>
      </c>
      <c r="P104" s="16">
        <f t="shared" si="2"/>
        <v>0.07656545111</v>
      </c>
      <c r="Q104" s="16">
        <f>IFERROR(__xludf.DUMMYFUNCTION("IF(OR(ISBLANK($G104), IFERROR(INDEX(GOOGLEFINANCE($C104, ""price"", WORKDAY(INT($B104), 1)), 2, 2), """")=""""), """", IF($D104=""LONG"", (IFERROR(INDEX(GOOGLEFINANCE($C104, ""price"", WORKDAY(INT($B104), 1)), 2, 2), """")-$G104)/$G104, ($G104-IFERROR(IND"&amp;"EX(GOOGLEFINANCE($C104, ""price"", WORKDAY(INT($B104), 1)), 2, 2), """"))/$G104))"),0.005520848467238057)</f>
        <v>0.005520848467</v>
      </c>
      <c r="R104" s="16">
        <f>IFERROR(__xludf.DUMMYFUNCTION("IF(OR(ISBLANK($G104), IFERROR(INDEX(GOOGLEFINANCE($C104, ""price"", WORKDAY(INT($B104), 5)), 2, 2), """")=""""), """", IF($D104=""LONG"", (IFERROR(INDEX(GOOGLEFINANCE($C104, ""price"", WORKDAY(INT($B104), 5)), 2, 2), """")-$G104)/$G104, ($G104-IFERROR(IND"&amp;"EX(GOOGLEFINANCE($C104, ""price"", WORKDAY(INT($B104), 5)), 2, 2), """"))/$G104))"),-0.005520848467238057)</f>
        <v>-0.005520848467</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2846</v>
      </c>
      <c r="U104" s="10" t="s">
        <v>492</v>
      </c>
      <c r="V104" s="10" t="s">
        <v>493</v>
      </c>
      <c r="W104" s="10" t="s">
        <v>51</v>
      </c>
      <c r="X104" s="10" t="s">
        <v>492</v>
      </c>
    </row>
    <row r="105">
      <c r="A105" s="9">
        <f t="shared" si="1"/>
        <v>104</v>
      </c>
      <c r="B105" s="11">
        <v>46219.66783564815</v>
      </c>
      <c r="C105" s="10" t="s">
        <v>397</v>
      </c>
      <c r="D105" s="10" t="s">
        <v>36</v>
      </c>
      <c r="E105" s="10" t="s">
        <v>37</v>
      </c>
      <c r="F105" s="13">
        <v>2.0</v>
      </c>
      <c r="G105" s="14">
        <v>271.01</v>
      </c>
      <c r="H105" s="10" t="s">
        <v>2848</v>
      </c>
      <c r="I105" s="10">
        <v>90.7</v>
      </c>
      <c r="O105" s="15">
        <f>IFERROR(__xludf.DUMMYFUNCTION("IF(ISBLANK($C105), """", GOOGLEFINANCE($C105, ""price""))"),306.57)</f>
        <v>306.57</v>
      </c>
      <c r="P105" s="16">
        <f t="shared" si="2"/>
        <v>0.1312128704</v>
      </c>
      <c r="Q105" s="16">
        <f>IFERROR(__xludf.DUMMYFUNCTION("IF(OR(ISBLANK($G105), IFERROR(INDEX(GOOGLEFINANCE($C105, ""price"", WORKDAY(INT($B105), 1)), 2, 2), """")=""""), """", IF($D105=""LONG"", (IFERROR(INDEX(GOOGLEFINANCE($C105, ""price"", WORKDAY(INT($B105), 1)), 2, 2), """")-$G105)/$G105, ($G105-IFERROR(IND"&amp;"EX(GOOGLEFINANCE($C105, ""price"", WORKDAY(INT($B105), 1)), 2, 2), """"))/$G105))"),-0.008265377661340943)</f>
        <v>-0.008265377661</v>
      </c>
      <c r="R105" s="16">
        <f>IFERROR(__xludf.DUMMYFUNCTION("IF(OR(ISBLANK($G105), IFERROR(INDEX(GOOGLEFINANCE($C105, ""price"", WORKDAY(INT($B105), 5)), 2, 2), """")=""""), """", IF($D105=""LONG"", (IFERROR(INDEX(GOOGLEFINANCE($C105, ""price"", WORKDAY(INT($B105), 5)), 2, 2), """")-$G105)/$G105, ($G105-IFERROR(IND"&amp;"EX(GOOGLEFINANCE($C105, ""price"", WORKDAY(INT($B105), 5)), 2, 2), """"))/$G105))"),-0.04944466993837857)</f>
        <v>-0.04944466994</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2851</v>
      </c>
      <c r="U105" s="10" t="s">
        <v>850</v>
      </c>
      <c r="V105" s="10" t="s">
        <v>2852</v>
      </c>
      <c r="W105" s="10" t="s">
        <v>51</v>
      </c>
      <c r="X105" s="10" t="s">
        <v>2282</v>
      </c>
    </row>
    <row r="106">
      <c r="A106" s="9">
        <f t="shared" si="1"/>
        <v>105</v>
      </c>
      <c r="B106" s="11">
        <v>46219.66773148148</v>
      </c>
      <c r="C106" s="10" t="s">
        <v>47</v>
      </c>
      <c r="D106" s="10" t="s">
        <v>36</v>
      </c>
      <c r="E106" s="10" t="s">
        <v>37</v>
      </c>
      <c r="F106" s="13">
        <v>2.0</v>
      </c>
      <c r="G106" s="14">
        <v>297.41</v>
      </c>
      <c r="H106" s="10" t="s">
        <v>2853</v>
      </c>
      <c r="I106" s="10">
        <v>95.8</v>
      </c>
      <c r="O106" s="15">
        <f>IFERROR(__xludf.DUMMYFUNCTION("IF(ISBLANK($C106), """", GOOGLEFINANCE($C106, ""price""))"),285.12)</f>
        <v>285.12</v>
      </c>
      <c r="P106" s="16">
        <f t="shared" si="2"/>
        <v>-0.04132342557</v>
      </c>
      <c r="Q106" s="16">
        <f>IFERROR(__xludf.DUMMYFUNCTION("IF(OR(ISBLANK($G106), IFERROR(INDEX(GOOGLEFINANCE($C106, ""price"", WORKDAY(INT($B106), 1)), 2, 2), """")=""""), """", IF($D106=""LONG"", (IFERROR(INDEX(GOOGLEFINANCE($C106, ""price"", WORKDAY(INT($B106), 1)), 2, 2), """")-$G106)/$G106, ($G106-IFERROR(IND"&amp;"EX(GOOGLEFINANCE($C106, ""price"", WORKDAY(INT($B106), 1)), 2, 2), """"))/$G106))"),-0.015063380518476237)</f>
        <v>-0.01506338052</v>
      </c>
      <c r="R106" s="16">
        <f>IFERROR(__xludf.DUMMYFUNCTION("IF(OR(ISBLANK($G106), IFERROR(INDEX(GOOGLEFINANCE($C106, ""price"", WORKDAY(INT($B106), 5)), 2, 2), """")=""""), """", IF($D106=""LONG"", (IFERROR(INDEX(GOOGLEFINANCE($C106, ""price"", WORKDAY(INT($B106), 5)), 2, 2), """")-$G106)/$G106, ($G106-IFERROR(IND"&amp;"EX(GOOGLEFINANCE($C106, ""price"", WORKDAY(INT($B106), 5)), 2, 2), """"))/$G106))"),-0.01415554285330028)</f>
        <v>-0.01415554285</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2856</v>
      </c>
      <c r="U106" s="10" t="s">
        <v>219</v>
      </c>
      <c r="V106" s="10" t="s">
        <v>2857</v>
      </c>
      <c r="W106" s="10" t="s">
        <v>51</v>
      </c>
      <c r="X106" s="10" t="s">
        <v>974</v>
      </c>
    </row>
    <row r="107">
      <c r="A107" s="9">
        <f t="shared" si="1"/>
        <v>106</v>
      </c>
      <c r="B107" s="11">
        <v>46219.667650462965</v>
      </c>
      <c r="C107" s="10" t="s">
        <v>1154</v>
      </c>
      <c r="D107" s="10" t="s">
        <v>36</v>
      </c>
      <c r="E107" s="10" t="s">
        <v>133</v>
      </c>
      <c r="F107" s="13">
        <v>2.0</v>
      </c>
      <c r="G107" s="14">
        <v>1335.89</v>
      </c>
      <c r="H107" s="10" t="s">
        <v>2858</v>
      </c>
      <c r="I107" s="10">
        <v>91.0</v>
      </c>
      <c r="O107" s="15">
        <f>IFERROR(__xludf.DUMMYFUNCTION("IF(ISBLANK($C107), """", GOOGLEFINANCE($C107, ""price""))"),1421.24)</f>
        <v>1421.24</v>
      </c>
      <c r="P107" s="16">
        <f t="shared" si="2"/>
        <v>0.06388999094</v>
      </c>
      <c r="Q107" s="16">
        <f>IFERROR(__xludf.DUMMYFUNCTION("IF(OR(ISBLANK($G107), IFERROR(INDEX(GOOGLEFINANCE($C107, ""price"", WORKDAY(INT($B107), 1)), 2, 2), """")=""""), """", IF($D107=""LONG"", (IFERROR(INDEX(GOOGLEFINANCE($C107, ""price"", WORKDAY(INT($B107), 1)), 2, 2), """")-$G107)/$G107, ($G107-IFERROR(IND"&amp;"EX(GOOGLEFINANCE($C107, ""price"", WORKDAY(INT($B107), 1)), 2, 2), """"))/$G107))"),-0.019365366908952172)</f>
        <v>-0.01936536691</v>
      </c>
      <c r="R107" s="16">
        <f>IFERROR(__xludf.DUMMYFUNCTION("IF(OR(ISBLANK($G107), IFERROR(INDEX(GOOGLEFINANCE($C107, ""price"", WORKDAY(INT($B107), 5)), 2, 2), """")=""""), """", IF($D107=""LONG"", (IFERROR(INDEX(GOOGLEFINANCE($C107, ""price"", WORKDAY(INT($B107), 5)), 2, 2), """")-$G107)/$G107, ($G107-IFERROR(IND"&amp;"EX(GOOGLEFINANCE($C107, ""price"", WORKDAY(INT($B107), 5)), 2, 2), """"))/$G107))"),-0.0030092298018550997)</f>
        <v>-0.003009229802</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2859</v>
      </c>
      <c r="U107" s="10" t="s">
        <v>984</v>
      </c>
      <c r="V107" s="10" t="s">
        <v>985</v>
      </c>
      <c r="W107" s="10" t="s">
        <v>51</v>
      </c>
      <c r="X107" s="10" t="s">
        <v>984</v>
      </c>
    </row>
    <row r="108">
      <c r="A108" s="9">
        <f t="shared" si="1"/>
        <v>107</v>
      </c>
      <c r="B108" s="11">
        <v>46219.66768518519</v>
      </c>
      <c r="C108" s="10" t="s">
        <v>2861</v>
      </c>
      <c r="D108" s="10" t="s">
        <v>36</v>
      </c>
      <c r="E108" s="10" t="s">
        <v>1892</v>
      </c>
      <c r="F108" s="13">
        <v>2.0</v>
      </c>
      <c r="G108" s="14">
        <v>298.26</v>
      </c>
      <c r="H108" s="10" t="s">
        <v>2863</v>
      </c>
      <c r="I108" s="10">
        <v>56.7</v>
      </c>
      <c r="O108" s="15">
        <f>IFERROR(__xludf.DUMMYFUNCTION("IF(ISBLANK($C108), """", GOOGLEFINANCE($C108, ""price""))"),267.25)</f>
        <v>267.25</v>
      </c>
      <c r="P108" s="16">
        <f t="shared" si="2"/>
        <v>-0.1039696909</v>
      </c>
      <c r="Q108" s="16">
        <f>IFERROR(__xludf.DUMMYFUNCTION("IF(OR(ISBLANK($G108), IFERROR(INDEX(GOOGLEFINANCE($C108, ""price"", WORKDAY(INT($B108), 1)), 2, 2), """")=""""), """", IF($D108=""LONG"", (IFERROR(INDEX(GOOGLEFINANCE($C108, ""price"", WORKDAY(INT($B108), 1)), 2, 2), """")-$G108)/$G108, ($G108-IFERROR(IND"&amp;"EX(GOOGLEFINANCE($C108, ""price"", WORKDAY(INT($B108), 1)), 2, 2), """"))/$G108))"),-0.022966539261047296)</f>
        <v>-0.02296653926</v>
      </c>
      <c r="R108" s="16">
        <f>IFERROR(__xludf.DUMMYFUNCTION("IF(OR(ISBLANK($G108), IFERROR(INDEX(GOOGLEFINANCE($C108, ""price"", WORKDAY(INT($B108), 5)), 2, 2), """")=""""), """", IF($D108=""LONG"", (IFERROR(INDEX(GOOGLEFINANCE($C108, ""price"", WORKDAY(INT($B108), 5)), 2, 2), """")-$G108)/$G108, ($G108-IFERROR(IND"&amp;"EX(GOOGLEFINANCE($C108, ""price"", WORKDAY(INT($B108), 5)), 2, 2), """"))/$G108))"),-0.029806209347549073)</f>
        <v>-0.02980620935</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2867</v>
      </c>
      <c r="U108" s="10" t="s">
        <v>984</v>
      </c>
      <c r="V108" s="10" t="s">
        <v>1059</v>
      </c>
      <c r="W108" s="10" t="s">
        <v>51</v>
      </c>
      <c r="X108" s="10" t="s">
        <v>984</v>
      </c>
    </row>
    <row r="109">
      <c r="A109" s="9">
        <f t="shared" si="1"/>
        <v>108</v>
      </c>
      <c r="B109" s="11">
        <v>46219.667766203704</v>
      </c>
      <c r="C109" s="10" t="s">
        <v>204</v>
      </c>
      <c r="D109" s="10" t="s">
        <v>36</v>
      </c>
      <c r="E109" s="10" t="s">
        <v>37</v>
      </c>
      <c r="F109" s="13">
        <v>2.0</v>
      </c>
      <c r="G109" s="14">
        <v>362.27</v>
      </c>
      <c r="H109" s="10" t="s">
        <v>2869</v>
      </c>
      <c r="I109" s="10">
        <v>91.6</v>
      </c>
      <c r="O109" s="15">
        <f>IFERROR(__xludf.DUMMYFUNCTION("IF(ISBLANK($C109), """", GOOGLEFINANCE($C109, ""price""))"),348.6)</f>
        <v>348.6</v>
      </c>
      <c r="P109" s="16">
        <f t="shared" si="2"/>
        <v>-0.03773428658</v>
      </c>
      <c r="Q109" s="16">
        <f>IFERROR(__xludf.DUMMYFUNCTION("IF(OR(ISBLANK($G109), IFERROR(INDEX(GOOGLEFINANCE($C109, ""price"", WORKDAY(INT($B109), 1)), 2, 2), """")=""""), """", IF($D109=""LONG"", (IFERROR(INDEX(GOOGLEFINANCE($C109, ""price"", WORKDAY(INT($B109), 1)), 2, 2), """")-$G109)/$G109, ($G109-IFERROR(IND"&amp;"EX(GOOGLEFINANCE($C109, ""price"", WORKDAY(INT($B109), 1)), 2, 2), """"))/$G109))"),-0.011124299555580017)</f>
        <v>-0.01112429956</v>
      </c>
      <c r="R109" s="16">
        <f>IFERROR(__xludf.DUMMYFUNCTION("IF(OR(ISBLANK($G109), IFERROR(INDEX(GOOGLEFINANCE($C109, ""price"", WORKDAY(INT($B109), 5)), 2, 2), """")=""""), """", IF($D109=""LONG"", (IFERROR(INDEX(GOOGLEFINANCE($C109, ""price"", WORKDAY(INT($B109), 5)), 2, 2), """")-$G109)/$G109, ($G109-IFERROR(IND"&amp;"EX(GOOGLEFINANCE($C109, ""price"", WORKDAY(INT($B109), 5)), 2, 2), """"))/$G109))"),-0.018742926546498367)</f>
        <v>-0.01874292655</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2872</v>
      </c>
      <c r="U109" s="10" t="s">
        <v>984</v>
      </c>
      <c r="V109" s="10" t="s">
        <v>1880</v>
      </c>
      <c r="W109" s="10" t="s">
        <v>51</v>
      </c>
      <c r="X109" s="10" t="s">
        <v>984</v>
      </c>
    </row>
    <row r="110">
      <c r="A110" s="9">
        <f t="shared" si="1"/>
        <v>109</v>
      </c>
      <c r="B110" s="11">
        <v>46219.66784722222</v>
      </c>
      <c r="C110" s="10" t="s">
        <v>341</v>
      </c>
      <c r="D110" s="10" t="s">
        <v>36</v>
      </c>
      <c r="E110" s="10" t="s">
        <v>37</v>
      </c>
      <c r="F110" s="13">
        <v>2.0</v>
      </c>
      <c r="G110" s="14">
        <v>60.52</v>
      </c>
      <c r="H110" s="10" t="s">
        <v>2873</v>
      </c>
      <c r="I110" s="10">
        <v>94.0</v>
      </c>
      <c r="O110" s="15">
        <f>IFERROR(__xludf.DUMMYFUNCTION("IF(ISBLANK($C110), """", GOOGLEFINANCE($C110, ""price""))"),62.99)</f>
        <v>62.99</v>
      </c>
      <c r="P110" s="16">
        <f t="shared" si="2"/>
        <v>0.0408129544</v>
      </c>
      <c r="Q110" s="16">
        <f>IFERROR(__xludf.DUMMYFUNCTION("IF(OR(ISBLANK($G110), IFERROR(INDEX(GOOGLEFINANCE($C110, ""price"", WORKDAY(INT($B110), 1)), 2, 2), """")=""""), """", IF($D110=""LONG"", (IFERROR(INDEX(GOOGLEFINANCE($C110, ""price"", WORKDAY(INT($B110), 1)), 2, 2), """")-$G110)/$G110, ($G110-IFERROR(IND"&amp;"EX(GOOGLEFINANCE($C110, ""price"", WORKDAY(INT($B110), 1)), 2, 2), """"))/$G110))"),-0.02759418374091212)</f>
        <v>-0.02759418374</v>
      </c>
      <c r="R110" s="16">
        <f>IFERROR(__xludf.DUMMYFUNCTION("IF(OR(ISBLANK($G110), IFERROR(INDEX(GOOGLEFINANCE($C110, ""price"", WORKDAY(INT($B110), 5)), 2, 2), """")=""""), """", IF($D110=""LONG"", (IFERROR(INDEX(GOOGLEFINANCE($C110, ""price"", WORKDAY(INT($B110), 5)), 2, 2), """")-$G110)/$G110, ($G110-IFERROR(IND"&amp;"EX(GOOGLEFINANCE($C110, ""price"", WORKDAY(INT($B110), 5)), 2, 2), """"))/$G110))"),-0.017019167217448797)</f>
        <v>-0.01701916722</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2876</v>
      </c>
      <c r="U110" s="10" t="s">
        <v>984</v>
      </c>
      <c r="V110" s="10" t="s">
        <v>985</v>
      </c>
      <c r="W110" s="10" t="s">
        <v>51</v>
      </c>
      <c r="X110" s="10" t="s">
        <v>984</v>
      </c>
    </row>
    <row r="111">
      <c r="A111" s="9">
        <f t="shared" si="1"/>
        <v>110</v>
      </c>
      <c r="B111" s="11">
        <v>46219.66778935185</v>
      </c>
      <c r="C111" s="10" t="s">
        <v>863</v>
      </c>
      <c r="D111" s="10" t="s">
        <v>119</v>
      </c>
      <c r="E111" s="10" t="s">
        <v>120</v>
      </c>
      <c r="F111" s="13">
        <v>4.0</v>
      </c>
      <c r="G111" s="14">
        <v>185.04</v>
      </c>
      <c r="H111" s="10" t="s">
        <v>2877</v>
      </c>
      <c r="I111" s="10">
        <v>10.4</v>
      </c>
      <c r="O111" s="15">
        <f>IFERROR(__xludf.DUMMYFUNCTION("IF(ISBLANK($C111), """", GOOGLEFINANCE($C111, ""price""))"),182.6)</f>
        <v>182.6</v>
      </c>
      <c r="P111" s="16">
        <f t="shared" si="2"/>
        <v>0.01318633809</v>
      </c>
      <c r="Q111" s="16">
        <f>IFERROR(__xludf.DUMMYFUNCTION("IF(OR(ISBLANK($G111), IFERROR(INDEX(GOOGLEFINANCE($C111, ""price"", WORKDAY(INT($B111), 1)), 2, 2), """")=""""), """", IF($D111=""LONG"", (IFERROR(INDEX(GOOGLEFINANCE($C111, ""price"", WORKDAY(INT($B111), 1)), 2, 2), """")-$G111)/$G111, ($G111-IFERROR(IND"&amp;"EX(GOOGLEFINANCE($C111, ""price"", WORKDAY(INT($B111), 1)), 2, 2), """"))/$G111))"),-0.003512753999135353)</f>
        <v>-0.003512753999</v>
      </c>
      <c r="R111" s="16">
        <f>IFERROR(__xludf.DUMMYFUNCTION("IF(OR(ISBLANK($G111), IFERROR(INDEX(GOOGLEFINANCE($C111, ""price"", WORKDAY(INT($B111), 5)), 2, 2), """")=""""), """", IF($D111=""LONG"", (IFERROR(INDEX(GOOGLEFINANCE($C111, ""price"", WORKDAY(INT($B111), 5)), 2, 2), """")-$G111)/$G111, ($G111-IFERROR(IND"&amp;"EX(GOOGLEFINANCE($C111, ""price"", WORKDAY(INT($B111), 5)), 2, 2), """"))/$G111))"),0.05506917423259835)</f>
        <v>0.05506917423</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2880</v>
      </c>
      <c r="U111" s="10" t="s">
        <v>84</v>
      </c>
      <c r="V111" s="10" t="s">
        <v>2881</v>
      </c>
      <c r="W111" s="10" t="s">
        <v>51</v>
      </c>
      <c r="X111" s="10" t="s">
        <v>2309</v>
      </c>
    </row>
    <row r="112">
      <c r="A112" s="9">
        <f t="shared" si="1"/>
        <v>111</v>
      </c>
      <c r="B112" s="11">
        <v>46219.66783564815</v>
      </c>
      <c r="C112" s="10" t="s">
        <v>52</v>
      </c>
      <c r="D112" s="10" t="s">
        <v>36</v>
      </c>
      <c r="E112" s="10" t="s">
        <v>37</v>
      </c>
      <c r="F112" s="13">
        <v>2.0</v>
      </c>
      <c r="G112" s="14">
        <v>116.63</v>
      </c>
      <c r="H112" s="10" t="s">
        <v>2883</v>
      </c>
      <c r="I112" s="10">
        <v>95.3</v>
      </c>
      <c r="O112" s="15">
        <f>IFERROR(__xludf.DUMMYFUNCTION("IF(ISBLANK($C112), """", GOOGLEFINANCE($C112, ""price""))"),118.38)</f>
        <v>118.38</v>
      </c>
      <c r="P112" s="16">
        <f t="shared" si="2"/>
        <v>0.01500471577</v>
      </c>
      <c r="Q112" s="16">
        <f>IFERROR(__xludf.DUMMYFUNCTION("IF(OR(ISBLANK($G112), IFERROR(INDEX(GOOGLEFINANCE($C112, ""price"", WORKDAY(INT($B112), 1)), 2, 2), """")=""""), """", IF($D112=""LONG"", (IFERROR(INDEX(GOOGLEFINANCE($C112, ""price"", WORKDAY(INT($B112), 1)), 2, 2), """")-$G112)/$G112, ($G112-IFERROR(IND"&amp;"EX(GOOGLEFINANCE($C112, ""price"", WORKDAY(INT($B112), 1)), 2, 2), """"))/$G112))"),0.005315956443453696)</f>
        <v>0.005315956443</v>
      </c>
      <c r="R112" s="16">
        <f>IFERROR(__xludf.DUMMYFUNCTION("IF(OR(ISBLANK($G112), IFERROR(INDEX(GOOGLEFINANCE($C112, ""price"", WORKDAY(INT($B112), 5)), 2, 2), """")=""""), """", IF($D112=""LONG"", (IFERROR(INDEX(GOOGLEFINANCE($C112, ""price"", WORKDAY(INT($B112), 5)), 2, 2), """")-$G112)/$G112, ($G112-IFERROR(IND"&amp;"EX(GOOGLEFINANCE($C112, ""price"", WORKDAY(INT($B112), 5)), 2, 2), """"))/$G112))"),5.144473977535992E-4)</f>
        <v>0.0005144473978</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2885</v>
      </c>
      <c r="U112" s="10" t="s">
        <v>984</v>
      </c>
      <c r="V112" s="10" t="s">
        <v>998</v>
      </c>
      <c r="W112" s="10" t="s">
        <v>51</v>
      </c>
      <c r="X112" s="10" t="s">
        <v>984</v>
      </c>
    </row>
    <row r="113">
      <c r="A113" s="9">
        <f t="shared" si="1"/>
        <v>112</v>
      </c>
      <c r="B113" s="11">
        <v>46219.66751157407</v>
      </c>
      <c r="C113" s="10" t="s">
        <v>173</v>
      </c>
      <c r="D113" s="10" t="s">
        <v>36</v>
      </c>
      <c r="E113" s="10" t="s">
        <v>37</v>
      </c>
      <c r="F113" s="13">
        <v>2.0</v>
      </c>
      <c r="G113" s="14">
        <v>88.07</v>
      </c>
      <c r="H113" s="10" t="s">
        <v>2887</v>
      </c>
      <c r="I113" s="10">
        <v>92.9</v>
      </c>
      <c r="O113" s="15">
        <f>IFERROR(__xludf.DUMMYFUNCTION("IF(ISBLANK($C113), """", GOOGLEFINANCE($C113, ""price""))"),87.59)</f>
        <v>87.59</v>
      </c>
      <c r="P113" s="16">
        <f t="shared" si="2"/>
        <v>-0.00545021006</v>
      </c>
      <c r="Q113" s="16">
        <f>IFERROR(__xludf.DUMMYFUNCTION("IF(OR(ISBLANK($G113), IFERROR(INDEX(GOOGLEFINANCE($C113, ""price"", WORKDAY(INT($B113), 1)), 2, 2), """")=""""), """", IF($D113=""LONG"", (IFERROR(INDEX(GOOGLEFINANCE($C113, ""price"", WORKDAY(INT($B113), 1)), 2, 2), """")-$G113)/$G113, ($G113-IFERROR(IND"&amp;"EX(GOOGLEFINANCE($C113, ""price"", WORKDAY(INT($B113), 1)), 2, 2), """"))/$G113))"),-0.006358578403542502)</f>
        <v>-0.006358578404</v>
      </c>
      <c r="R113" s="16">
        <f>IFERROR(__xludf.DUMMYFUNCTION("IF(OR(ISBLANK($G113), IFERROR(INDEX(GOOGLEFINANCE($C113, ""price"", WORKDAY(INT($B113), 5)), 2, 2), """")=""""), """", IF($D113=""LONG"", (IFERROR(INDEX(GOOGLEFINANCE($C113, ""price"", WORKDAY(INT($B113), 5)), 2, 2), """")-$G113)/$G113, ($G113-IFERROR(IND"&amp;"EX(GOOGLEFINANCE($C113, ""price"", WORKDAY(INT($B113), 5)), 2, 2), """"))/$G113))"),-0.021346656069035946)</f>
        <v>-0.02134665607</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2889</v>
      </c>
      <c r="U113" s="10" t="s">
        <v>240</v>
      </c>
      <c r="V113" s="10" t="s">
        <v>2890</v>
      </c>
      <c r="W113" s="10" t="s">
        <v>51</v>
      </c>
      <c r="X113" s="10" t="s">
        <v>1905</v>
      </c>
    </row>
    <row r="114">
      <c r="A114" s="9">
        <f t="shared" si="1"/>
        <v>113</v>
      </c>
      <c r="B114" s="11">
        <v>46219.66778935185</v>
      </c>
      <c r="C114" s="10" t="s">
        <v>1321</v>
      </c>
      <c r="D114" s="10" t="s">
        <v>119</v>
      </c>
      <c r="E114" s="10" t="s">
        <v>120</v>
      </c>
      <c r="F114" s="13">
        <v>4.0</v>
      </c>
      <c r="G114" s="14">
        <v>22.0</v>
      </c>
      <c r="H114" s="10" t="s">
        <v>2892</v>
      </c>
      <c r="I114" s="10">
        <v>19.2</v>
      </c>
      <c r="O114" s="15">
        <f>IFERROR(__xludf.DUMMYFUNCTION("IF(ISBLANK($C114), """", GOOGLEFINANCE($C114, ""price""))"),23.71)</f>
        <v>23.71</v>
      </c>
      <c r="P114" s="16">
        <f t="shared" si="2"/>
        <v>-0.07772727273</v>
      </c>
      <c r="Q114" s="16">
        <f>IFERROR(__xludf.DUMMYFUNCTION("IF(OR(ISBLANK($G114), IFERROR(INDEX(GOOGLEFINANCE($C114, ""price"", WORKDAY(INT($B114), 1)), 2, 2), """")=""""), """", IF($D114=""LONG"", (IFERROR(INDEX(GOOGLEFINANCE($C114, ""price"", WORKDAY(INT($B114), 1)), 2, 2), """")-$G114)/$G114, ($G114-IFERROR(IND"&amp;"EX(GOOGLEFINANCE($C114, ""price"", WORKDAY(INT($B114), 1)), 2, 2), """"))/$G114))"),0.008636363636363694)</f>
        <v>0.008636363636</v>
      </c>
      <c r="R114" s="16">
        <f>IFERROR(__xludf.DUMMYFUNCTION("IF(OR(ISBLANK($G114), IFERROR(INDEX(GOOGLEFINANCE($C114, ""price"", WORKDAY(INT($B114), 5)), 2, 2), """")=""""), """", IF($D114=""LONG"", (IFERROR(INDEX(GOOGLEFINANCE($C114, ""price"", WORKDAY(INT($B114), 5)), 2, 2), """")-$G114)/$G114, ($G114-IFERROR(IND"&amp;"EX(GOOGLEFINANCE($C114, ""price"", WORKDAY(INT($B114), 5)), 2, 2), """"))/$G114))"),-0.043636363636363674)</f>
        <v>-0.04363636364</v>
      </c>
      <c r="S114" s="16" t="str">
        <f>IFERROR(__xludf.DUMMYFUNCTION("IF(OR(ISBLANK($G114), IFERROR(INDEX(GOOGLEFINANCE($C114, ""price"", WORKDAY(INT($B114), 20)), 2, 2), """")=""""), """", IF($D114=""LONG"", (IFERROR(INDEX(GOOGLEFINANCE($C114, ""price"", WORKDAY(INT($B114), 20)), 2, 2), """")-$G114)/$G114, ($G114-IFERROR(I"&amp;"NDEX(GOOGLEFINANCE($C114, ""price"", WORKDAY(INT($B114), 20)), 2, 2), """"))/$G114))"),"")</f>
        <v/>
      </c>
      <c r="T114" s="10" t="s">
        <v>2894</v>
      </c>
      <c r="U114" s="10" t="s">
        <v>984</v>
      </c>
      <c r="V114" s="10" t="s">
        <v>985</v>
      </c>
      <c r="W114" s="10" t="s">
        <v>51</v>
      </c>
      <c r="X114" s="10" t="s">
        <v>984</v>
      </c>
    </row>
    <row r="115">
      <c r="A115" s="9">
        <f t="shared" si="1"/>
        <v>114</v>
      </c>
      <c r="B115" s="11">
        <v>46219.667546296296</v>
      </c>
      <c r="C115" s="10" t="s">
        <v>161</v>
      </c>
      <c r="D115" s="10" t="s">
        <v>36</v>
      </c>
      <c r="E115" s="10" t="s">
        <v>37</v>
      </c>
      <c r="F115" s="13">
        <v>2.0</v>
      </c>
      <c r="G115" s="14">
        <v>161.74</v>
      </c>
      <c r="H115" s="10" t="s">
        <v>2895</v>
      </c>
      <c r="I115" s="10">
        <v>79.0</v>
      </c>
      <c r="O115" s="15">
        <f>IFERROR(__xludf.DUMMYFUNCTION("IF(ISBLANK($C115), """", GOOGLEFINANCE($C115, ""price""))"),180.71)</f>
        <v>180.71</v>
      </c>
      <c r="P115" s="16">
        <f t="shared" si="2"/>
        <v>0.1172870038</v>
      </c>
      <c r="Q115" s="16">
        <f>IFERROR(__xludf.DUMMYFUNCTION("IF(OR(ISBLANK($G115), IFERROR(INDEX(GOOGLEFINANCE($C115, ""price"", WORKDAY(INT($B115), 1)), 2, 2), """")=""""), """", IF($D115=""LONG"", (IFERROR(INDEX(GOOGLEFINANCE($C115, ""price"", WORKDAY(INT($B115), 1)), 2, 2), """")-$G115)/$G115, ($G115-IFERROR(IND"&amp;"EX(GOOGLEFINANCE($C115, ""price"", WORKDAY(INT($B115), 1)), 2, 2), """"))/$G115))"),-0.011747248670706105)</f>
        <v>-0.01174724867</v>
      </c>
      <c r="R115" s="16">
        <f>IFERROR(__xludf.DUMMYFUNCTION("IF(OR(ISBLANK($G115), IFERROR(INDEX(GOOGLEFINANCE($C115, ""price"", WORKDAY(INT($B115), 5)), 2, 2), """")=""""), """", IF($D115=""LONG"", (IFERROR(INDEX(GOOGLEFINANCE($C115, ""price"", WORKDAY(INT($B115), 5)), 2, 2), """")-$G115)/$G115, ($G115-IFERROR(IND"&amp;"EX(GOOGLEFINANCE($C115, ""price"", WORKDAY(INT($B115), 5)), 2, 2), """"))/$G115))"),0.048534685297390835)</f>
        <v>0.0485346853</v>
      </c>
      <c r="S115" s="16" t="str">
        <f>IFERROR(__xludf.DUMMYFUNCTION("IF(OR(ISBLANK($G115), IFERROR(INDEX(GOOGLEFINANCE($C115, ""price"", WORKDAY(INT($B115), 20)), 2, 2), """")=""""), """", IF($D115=""LONG"", (IFERROR(INDEX(GOOGLEFINANCE($C115, ""price"", WORKDAY(INT($B115), 20)), 2, 2), """")-$G115)/$G115, ($G115-IFERROR(I"&amp;"NDEX(GOOGLEFINANCE($C115, ""price"", WORKDAY(INT($B115), 20)), 2, 2), """"))/$G115))"),"")</f>
        <v/>
      </c>
      <c r="T115" s="10" t="s">
        <v>2898</v>
      </c>
      <c r="U115" s="10" t="s">
        <v>984</v>
      </c>
      <c r="V115" s="10" t="s">
        <v>998</v>
      </c>
      <c r="W115" s="10" t="s">
        <v>51</v>
      </c>
      <c r="X115" s="10" t="s">
        <v>984</v>
      </c>
    </row>
    <row r="116">
      <c r="A116" s="9">
        <f t="shared" si="1"/>
        <v>115</v>
      </c>
      <c r="B116" s="11">
        <v>46219.66784722222</v>
      </c>
      <c r="C116" s="10" t="s">
        <v>1555</v>
      </c>
      <c r="D116" s="10" t="s">
        <v>36</v>
      </c>
      <c r="E116" s="10" t="s">
        <v>37</v>
      </c>
      <c r="F116" s="13">
        <v>2.0</v>
      </c>
      <c r="G116" s="14">
        <v>373.28</v>
      </c>
      <c r="H116" s="10" t="s">
        <v>2900</v>
      </c>
      <c r="I116" s="10">
        <v>93.2</v>
      </c>
      <c r="O116" s="15">
        <f>IFERROR(__xludf.DUMMYFUNCTION("IF(ISBLANK($C116), """", GOOGLEFINANCE($C116, ""price""))"),370.35)</f>
        <v>370.35</v>
      </c>
      <c r="P116" s="16">
        <f t="shared" si="2"/>
        <v>-0.007849335619</v>
      </c>
      <c r="Q116" s="16">
        <f>IFERROR(__xludf.DUMMYFUNCTION("IF(OR(ISBLANK($G116), IFERROR(INDEX(GOOGLEFINANCE($C116, ""price"", WORKDAY(INT($B116), 1)), 2, 2), """")=""""), """", IF($D116=""LONG"", (IFERROR(INDEX(GOOGLEFINANCE($C116, ""price"", WORKDAY(INT($B116), 1)), 2, 2), """")-$G116)/$G116, ($G116-IFERROR(IND"&amp;"EX(GOOGLEFINANCE($C116, ""price"", WORKDAY(INT($B116), 1)), 2, 2), """"))/$G116))"),0.02488748392627524)</f>
        <v>0.02488748393</v>
      </c>
      <c r="R116" s="16">
        <f>IFERROR(__xludf.DUMMYFUNCTION("IF(OR(ISBLANK($G116), IFERROR(INDEX(GOOGLEFINANCE($C116, ""price"", WORKDAY(INT($B116), 5)), 2, 2), """")=""""), """", IF($D116=""LONG"", (IFERROR(INDEX(GOOGLEFINANCE($C116, ""price"", WORKDAY(INT($B116), 5)), 2, 2), """")-$G116)/$G116, ($G116-IFERROR(IND"&amp;"EX(GOOGLEFINANCE($C116, ""price"", WORKDAY(INT($B116), 5)), 2, 2), """"))/$G116))"),0.006108015430775905)</f>
        <v>0.006108015431</v>
      </c>
      <c r="S116" s="16" t="str">
        <f>IFERROR(__xludf.DUMMYFUNCTION("IF(OR(ISBLANK($G116), IFERROR(INDEX(GOOGLEFINANCE($C116, ""price"", WORKDAY(INT($B116), 20)), 2, 2), """")=""""), """", IF($D116=""LONG"", (IFERROR(INDEX(GOOGLEFINANCE($C116, ""price"", WORKDAY(INT($B116), 20)), 2, 2), """")-$G116)/$G116, ($G116-IFERROR(I"&amp;"NDEX(GOOGLEFINANCE($C116, ""price"", WORKDAY(INT($B116), 20)), 2, 2), """"))/$G116))"),"")</f>
        <v/>
      </c>
      <c r="T116" s="10" t="s">
        <v>2904</v>
      </c>
      <c r="U116" s="10" t="s">
        <v>84</v>
      </c>
      <c r="V116" s="10" t="s">
        <v>2905</v>
      </c>
      <c r="W116" s="10" t="s">
        <v>51</v>
      </c>
      <c r="X116" s="10" t="s">
        <v>2309</v>
      </c>
    </row>
    <row r="117">
      <c r="A117" s="9">
        <f t="shared" si="1"/>
        <v>116</v>
      </c>
      <c r="B117" s="11">
        <v>46219.66778935185</v>
      </c>
      <c r="C117" s="10" t="s">
        <v>600</v>
      </c>
      <c r="D117" s="10" t="s">
        <v>36</v>
      </c>
      <c r="E117" s="10" t="s">
        <v>37</v>
      </c>
      <c r="F117" s="13">
        <v>2.0</v>
      </c>
      <c r="G117" s="14">
        <v>229.16</v>
      </c>
      <c r="H117" s="10" t="s">
        <v>2906</v>
      </c>
      <c r="I117" s="10">
        <v>95.6</v>
      </c>
      <c r="O117" s="15">
        <f>IFERROR(__xludf.DUMMYFUNCTION("IF(ISBLANK($C117), """", GOOGLEFINANCE($C117, ""price""))"),265.51)</f>
        <v>265.51</v>
      </c>
      <c r="P117" s="16">
        <f t="shared" si="2"/>
        <v>0.1586227963</v>
      </c>
      <c r="Q117" s="16">
        <f>IFERROR(__xludf.DUMMYFUNCTION("IF(OR(ISBLANK($G117), IFERROR(INDEX(GOOGLEFINANCE($C117, ""price"", WORKDAY(INT($B117), 1)), 2, 2), """")=""""), """", IF($D117=""LONG"", (IFERROR(INDEX(GOOGLEFINANCE($C117, ""price"", WORKDAY(INT($B117), 1)), 2, 2), """")-$G117)/$G117, ($G117-IFERROR(IND"&amp;"EX(GOOGLEFINANCE($C117, ""price"", WORKDAY(INT($B117), 1)), 2, 2), """"))/$G117))"),-0.020989701518589643)</f>
        <v>-0.02098970152</v>
      </c>
      <c r="R117" s="16">
        <f>IFERROR(__xludf.DUMMYFUNCTION("IF(OR(ISBLANK($G117), IFERROR(INDEX(GOOGLEFINANCE($C117, ""price"", WORKDAY(INT($B117), 5)), 2, 2), """")=""""), """", IF($D117=""LONG"", (IFERROR(INDEX(GOOGLEFINANCE($C117, ""price"", WORKDAY(INT($B117), 5)), 2, 2), """")-$G117)/$G117, ($G117-IFERROR(IND"&amp;"EX(GOOGLEFINANCE($C117, ""price"", WORKDAY(INT($B117), 5)), 2, 2), """"))/$G117))"),5.672892302321324E-4)</f>
        <v>0.0005672892302</v>
      </c>
      <c r="S117" s="16" t="str">
        <f>IFERROR(__xludf.DUMMYFUNCTION("IF(OR(ISBLANK($G117), IFERROR(INDEX(GOOGLEFINANCE($C117, ""price"", WORKDAY(INT($B117), 20)), 2, 2), """")=""""), """", IF($D117=""LONG"", (IFERROR(INDEX(GOOGLEFINANCE($C117, ""price"", WORKDAY(INT($B117), 20)), 2, 2), """")-$G117)/$G117, ($G117-IFERROR(I"&amp;"NDEX(GOOGLEFINANCE($C117, ""price"", WORKDAY(INT($B117), 20)), 2, 2), """"))/$G117))"),"")</f>
        <v/>
      </c>
      <c r="T117" s="10" t="s">
        <v>2909</v>
      </c>
      <c r="U117" s="10" t="s">
        <v>850</v>
      </c>
      <c r="V117" s="10" t="s">
        <v>2910</v>
      </c>
      <c r="W117" s="10" t="s">
        <v>51</v>
      </c>
      <c r="X117" s="10" t="s">
        <v>2282</v>
      </c>
    </row>
    <row r="118">
      <c r="A118" s="9">
        <f t="shared" si="1"/>
        <v>117</v>
      </c>
      <c r="B118" s="11">
        <v>46219.667766203704</v>
      </c>
      <c r="C118" s="10" t="s">
        <v>1255</v>
      </c>
      <c r="D118" s="10" t="s">
        <v>36</v>
      </c>
      <c r="E118" s="10" t="s">
        <v>37</v>
      </c>
      <c r="F118" s="13">
        <v>2.0</v>
      </c>
      <c r="G118" s="14">
        <v>78.06</v>
      </c>
      <c r="H118" s="10" t="s">
        <v>2911</v>
      </c>
      <c r="I118" s="10">
        <v>88.2</v>
      </c>
      <c r="O118" s="15">
        <f>IFERROR(__xludf.DUMMYFUNCTION("IF(ISBLANK($C118), """", GOOGLEFINANCE($C118, ""price""))"),67.23)</f>
        <v>67.23</v>
      </c>
      <c r="P118" s="16">
        <f t="shared" si="2"/>
        <v>-0.1387394312</v>
      </c>
      <c r="Q118" s="16">
        <f>IFERROR(__xludf.DUMMYFUNCTION("IF(OR(ISBLANK($G118), IFERROR(INDEX(GOOGLEFINANCE($C118, ""price"", WORKDAY(INT($B118), 1)), 2, 2), """")=""""), """", IF($D118=""LONG"", (IFERROR(INDEX(GOOGLEFINANCE($C118, ""price"", WORKDAY(INT($B118), 1)), 2, 2), """")-$G118)/$G118, ($G118-IFERROR(IND"&amp;"EX(GOOGLEFINANCE($C118, ""price"", WORKDAY(INT($B118), 1)), 2, 2), """"))/$G118))"),-0.005508583141173543)</f>
        <v>-0.005508583141</v>
      </c>
      <c r="R118" s="16">
        <f>IFERROR(__xludf.DUMMYFUNCTION("IF(OR(ISBLANK($G118), IFERROR(INDEX(GOOGLEFINANCE($C118, ""price"", WORKDAY(INT($B118), 5)), 2, 2), """")=""""), """", IF($D118=""LONG"", (IFERROR(INDEX(GOOGLEFINANCE($C118, ""price"", WORKDAY(INT($B118), 5)), 2, 2), """")-$G118)/$G118, ($G118-IFERROR(IND"&amp;"EX(GOOGLEFINANCE($C118, ""price"", WORKDAY(INT($B118), 5)), 2, 2), """"))/$G118))"),0.02024084037919547)</f>
        <v>0.02024084038</v>
      </c>
      <c r="S118" s="16" t="str">
        <f>IFERROR(__xludf.DUMMYFUNCTION("IF(OR(ISBLANK($G118), IFERROR(INDEX(GOOGLEFINANCE($C118, ""price"", WORKDAY(INT($B118), 20)), 2, 2), """")=""""), """", IF($D118=""LONG"", (IFERROR(INDEX(GOOGLEFINANCE($C118, ""price"", WORKDAY(INT($B118), 20)), 2, 2), """")-$G118)/$G118, ($G118-IFERROR(I"&amp;"NDEX(GOOGLEFINANCE($C118, ""price"", WORKDAY(INT($B118), 20)), 2, 2), """"))/$G118))"),"")</f>
        <v/>
      </c>
      <c r="T118" s="10" t="s">
        <v>2915</v>
      </c>
      <c r="U118" s="10" t="s">
        <v>984</v>
      </c>
      <c r="V118" s="10" t="s">
        <v>1880</v>
      </c>
      <c r="W118" s="10" t="s">
        <v>51</v>
      </c>
      <c r="X118" s="10" t="s">
        <v>984</v>
      </c>
    </row>
    <row r="119">
      <c r="A119" s="9">
        <f t="shared" si="1"/>
        <v>118</v>
      </c>
      <c r="B119" s="11">
        <v>46219.66747685185</v>
      </c>
      <c r="C119" s="10" t="s">
        <v>471</v>
      </c>
      <c r="D119" s="10" t="s">
        <v>36</v>
      </c>
      <c r="E119" s="10" t="s">
        <v>37</v>
      </c>
      <c r="F119" s="13">
        <v>2.0</v>
      </c>
      <c r="G119" s="14">
        <v>368.79</v>
      </c>
      <c r="H119" s="10" t="s">
        <v>2918</v>
      </c>
      <c r="I119" s="10">
        <v>96.0</v>
      </c>
      <c r="O119" s="15">
        <f>IFERROR(__xludf.DUMMYFUNCTION("IF(ISBLANK($C119), """", GOOGLEFINANCE($C119, ""price""))"),386.92)</f>
        <v>386.92</v>
      </c>
      <c r="P119" s="16">
        <f t="shared" si="2"/>
        <v>0.049160769</v>
      </c>
      <c r="Q119" s="16">
        <f>IFERROR(__xludf.DUMMYFUNCTION("IF(OR(ISBLANK($G119), IFERROR(INDEX(GOOGLEFINANCE($C119, ""price"", WORKDAY(INT($B119), 1)), 2, 2), """")=""""), """", IF($D119=""LONG"", (IFERROR(INDEX(GOOGLEFINANCE($C119, ""price"", WORKDAY(INT($B119), 1)), 2, 2), """")-$G119)/$G119, ($G119-IFERROR(IND"&amp;"EX(GOOGLEFINANCE($C119, ""price"", WORKDAY(INT($B119), 1)), 2, 2), """"))/$G119))"),-5.694297567722453E-4)</f>
        <v>-0.0005694297568</v>
      </c>
      <c r="R119" s="16">
        <f>IFERROR(__xludf.DUMMYFUNCTION("IF(OR(ISBLANK($G119), IFERROR(INDEX(GOOGLEFINANCE($C119, ""price"", WORKDAY(INT($B119), 5)), 2, 2), """")=""""), """", IF($D119=""LONG"", (IFERROR(INDEX(GOOGLEFINANCE($C119, ""price"", WORKDAY(INT($B119), 5)), 2, 2), """")-$G119)/$G119, ($G119-IFERROR(IND"&amp;"EX(GOOGLEFINANCE($C119, ""price"", WORKDAY(INT($B119), 5)), 2, 2), """"))/$G119))"),0.03525041351446623)</f>
        <v>0.03525041351</v>
      </c>
      <c r="S119" s="16" t="str">
        <f>IFERROR(__xludf.DUMMYFUNCTION("IF(OR(ISBLANK($G119), IFERROR(INDEX(GOOGLEFINANCE($C119, ""price"", WORKDAY(INT($B119), 20)), 2, 2), """")=""""), """", IF($D119=""LONG"", (IFERROR(INDEX(GOOGLEFINANCE($C119, ""price"", WORKDAY(INT($B119), 20)), 2, 2), """")-$G119)/$G119, ($G119-IFERROR(I"&amp;"NDEX(GOOGLEFINANCE($C119, ""price"", WORKDAY(INT($B119), 20)), 2, 2), """"))/$G119))"),"")</f>
        <v/>
      </c>
      <c r="T119" s="10" t="s">
        <v>2922</v>
      </c>
      <c r="U119" s="10" t="s">
        <v>240</v>
      </c>
      <c r="V119" s="10" t="s">
        <v>2924</v>
      </c>
      <c r="W119" s="10" t="s">
        <v>51</v>
      </c>
      <c r="X119" s="10" t="s">
        <v>1905</v>
      </c>
    </row>
    <row r="120">
      <c r="A120" s="9">
        <f t="shared" si="1"/>
        <v>119</v>
      </c>
      <c r="B120" s="11">
        <v>46219.66784722222</v>
      </c>
      <c r="C120" s="10" t="s">
        <v>1103</v>
      </c>
      <c r="D120" s="10" t="s">
        <v>36</v>
      </c>
      <c r="E120" s="10" t="s">
        <v>37</v>
      </c>
      <c r="F120" s="13">
        <v>2.0</v>
      </c>
      <c r="G120" s="14">
        <v>34.2</v>
      </c>
      <c r="H120" s="10" t="s">
        <v>2925</v>
      </c>
      <c r="I120" s="10">
        <v>97.9</v>
      </c>
      <c r="O120" s="15">
        <f>IFERROR(__xludf.DUMMYFUNCTION("IF(ISBLANK($C120), """", GOOGLEFINANCE($C120, ""price""))"),33.71)</f>
        <v>33.71</v>
      </c>
      <c r="P120" s="16">
        <f t="shared" si="2"/>
        <v>-0.01432748538</v>
      </c>
      <c r="Q120" s="16">
        <f>IFERROR(__xludf.DUMMYFUNCTION("IF(OR(ISBLANK($G120), IFERROR(INDEX(GOOGLEFINANCE($C120, ""price"", WORKDAY(INT($B120), 1)), 2, 2), """")=""""), """", IF($D120=""LONG"", (IFERROR(INDEX(GOOGLEFINANCE($C120, ""price"", WORKDAY(INT($B120), 1)), 2, 2), """")-$G120)/$G120, ($G120-IFERROR(IND"&amp;"EX(GOOGLEFINANCE($C120, ""price"", WORKDAY(INT($B120), 1)), 2, 2), """"))/$G120))"),0.007017543859648973)</f>
        <v>0.00701754386</v>
      </c>
      <c r="R120" s="16">
        <f>IFERROR(__xludf.DUMMYFUNCTION("IF(OR(ISBLANK($G120), IFERROR(INDEX(GOOGLEFINANCE($C120, ""price"", WORKDAY(INT($B120), 5)), 2, 2), """")=""""), """", IF($D120=""LONG"", (IFERROR(INDEX(GOOGLEFINANCE($C120, ""price"", WORKDAY(INT($B120), 5)), 2, 2), """")-$G120)/$G120, ($G120-IFERROR(IND"&amp;"EX(GOOGLEFINANCE($C120, ""price"", WORKDAY(INT($B120), 5)), 2, 2), """"))/$G120))"),-0.06403508771929838)</f>
        <v>-0.06403508772</v>
      </c>
      <c r="S120" s="16" t="str">
        <f>IFERROR(__xludf.DUMMYFUNCTION("IF(OR(ISBLANK($G120), IFERROR(INDEX(GOOGLEFINANCE($C120, ""price"", WORKDAY(INT($B120), 20)), 2, 2), """")=""""), """", IF($D120=""LONG"", (IFERROR(INDEX(GOOGLEFINANCE($C120, ""price"", WORKDAY(INT($B120), 20)), 2, 2), """")-$G120)/$G120, ($G120-IFERROR(I"&amp;"NDEX(GOOGLEFINANCE($C120, ""price"", WORKDAY(INT($B120), 20)), 2, 2), """"))/$G120))"),"")</f>
        <v/>
      </c>
      <c r="T120" s="10" t="s">
        <v>2928</v>
      </c>
      <c r="U120" s="10" t="s">
        <v>984</v>
      </c>
      <c r="V120" s="10" t="s">
        <v>985</v>
      </c>
      <c r="W120" s="10" t="s">
        <v>51</v>
      </c>
      <c r="X120" s="10" t="s">
        <v>984</v>
      </c>
    </row>
    <row r="121">
      <c r="A121" s="9">
        <f t="shared" si="1"/>
        <v>120</v>
      </c>
      <c r="B121" s="11">
        <v>46219.66783564815</v>
      </c>
      <c r="C121" s="10" t="s">
        <v>118</v>
      </c>
      <c r="D121" s="10" t="s">
        <v>119</v>
      </c>
      <c r="E121" s="10" t="s">
        <v>120</v>
      </c>
      <c r="F121" s="13">
        <v>4.0</v>
      </c>
      <c r="G121" s="14">
        <v>144.61</v>
      </c>
      <c r="H121" s="10" t="s">
        <v>2929</v>
      </c>
      <c r="I121" s="10">
        <v>10.5</v>
      </c>
      <c r="O121" s="15">
        <f>IFERROR(__xludf.DUMMYFUNCTION("IF(ISBLANK($C121), """", GOOGLEFINANCE($C121, ""price""))"),171.11)</f>
        <v>171.11</v>
      </c>
      <c r="P121" s="16">
        <f t="shared" si="2"/>
        <v>-0.183251504</v>
      </c>
      <c r="Q121" s="16">
        <f>IFERROR(__xludf.DUMMYFUNCTION("IF(OR(ISBLANK($G121), IFERROR(INDEX(GOOGLEFINANCE($C121, ""price"", WORKDAY(INT($B121), 1)), 2, 2), """")=""""), """", IF($D121=""LONG"", (IFERROR(INDEX(GOOGLEFINANCE($C121, ""price"", WORKDAY(INT($B121), 1)), 2, 2), """")-$G121)/$G121, ($G121-IFERROR(IND"&amp;"EX(GOOGLEFINANCE($C121, ""price"", WORKDAY(INT($B121), 1)), 2, 2), """"))/$G121))"),0.007191757139893648)</f>
        <v>0.00719175714</v>
      </c>
      <c r="R121" s="16">
        <f>IFERROR(__xludf.DUMMYFUNCTION("IF(OR(ISBLANK($G121), IFERROR(INDEX(GOOGLEFINANCE($C121, ""price"", WORKDAY(INT($B121), 5)), 2, 2), """")=""""), """", IF($D121=""LONG"", (IFERROR(INDEX(GOOGLEFINANCE($C121, ""price"", WORKDAY(INT($B121), 5)), 2, 2), """")-$G121)/$G121, ($G121-IFERROR(IND"&amp;"EX(GOOGLEFINANCE($C121, ""price"", WORKDAY(INT($B121), 5)), 2, 2), """"))/$G121))"),0.04059193693382203)</f>
        <v>0.04059193693</v>
      </c>
      <c r="S121" s="16" t="str">
        <f>IFERROR(__xludf.DUMMYFUNCTION("IF(OR(ISBLANK($G121), IFERROR(INDEX(GOOGLEFINANCE($C121, ""price"", WORKDAY(INT($B121), 20)), 2, 2), """")=""""), """", IF($D121=""LONG"", (IFERROR(INDEX(GOOGLEFINANCE($C121, ""price"", WORKDAY(INT($B121), 20)), 2, 2), """")-$G121)/$G121, ($G121-IFERROR(I"&amp;"NDEX(GOOGLEFINANCE($C121, ""price"", WORKDAY(INT($B121), 20)), 2, 2), """"))/$G121))"),"")</f>
        <v/>
      </c>
      <c r="T121" s="10" t="s">
        <v>2931</v>
      </c>
      <c r="U121" s="10" t="s">
        <v>984</v>
      </c>
      <c r="V121" s="10" t="s">
        <v>985</v>
      </c>
      <c r="W121" s="10" t="s">
        <v>51</v>
      </c>
      <c r="X121" s="10" t="s">
        <v>984</v>
      </c>
    </row>
    <row r="122">
      <c r="A122" s="9">
        <f t="shared" si="1"/>
        <v>121</v>
      </c>
      <c r="B122" s="11">
        <v>46219.66780092593</v>
      </c>
      <c r="C122" s="10" t="s">
        <v>454</v>
      </c>
      <c r="D122" s="10" t="s">
        <v>36</v>
      </c>
      <c r="E122" s="10" t="s">
        <v>37</v>
      </c>
      <c r="F122" s="13">
        <v>2.0</v>
      </c>
      <c r="G122" s="14">
        <v>118.84</v>
      </c>
      <c r="H122" s="10" t="s">
        <v>2932</v>
      </c>
      <c r="I122" s="10">
        <v>86.4</v>
      </c>
      <c r="O122" s="15">
        <f>IFERROR(__xludf.DUMMYFUNCTION("IF(ISBLANK($C122), """", GOOGLEFINANCE($C122, ""price""))"),129.12)</f>
        <v>129.12</v>
      </c>
      <c r="P122" s="16">
        <f t="shared" si="2"/>
        <v>0.08650286099</v>
      </c>
      <c r="Q122" s="16">
        <f>IFERROR(__xludf.DUMMYFUNCTION("IF(OR(ISBLANK($G122), IFERROR(INDEX(GOOGLEFINANCE($C122, ""price"", WORKDAY(INT($B122), 1)), 2, 2), """")=""""), """", IF($D122=""LONG"", (IFERROR(INDEX(GOOGLEFINANCE($C122, ""price"", WORKDAY(INT($B122), 1)), 2, 2), """")-$G122)/$G122, ($G122-IFERROR(IND"&amp;"EX(GOOGLEFINANCE($C122, ""price"", WORKDAY(INT($B122), 1)), 2, 2), """"))/$G122))"),-0.028862335913833782)</f>
        <v>-0.02886233591</v>
      </c>
      <c r="R122" s="16">
        <f>IFERROR(__xludf.DUMMYFUNCTION("IF(OR(ISBLANK($G122), IFERROR(INDEX(GOOGLEFINANCE($C122, ""price"", WORKDAY(INT($B122), 5)), 2, 2), """")=""""), """", IF($D122=""LONG"", (IFERROR(INDEX(GOOGLEFINANCE($C122, ""price"", WORKDAY(INT($B122), 5)), 2, 2), """")-$G122)/$G122, ($G122-IFERROR(IND"&amp;"EX(GOOGLEFINANCE($C122, ""price"", WORKDAY(INT($B122), 5)), 2, 2), """"))/$G122))"),-0.029367216425446055)</f>
        <v>-0.02936721643</v>
      </c>
      <c r="S122" s="16" t="str">
        <f>IFERROR(__xludf.DUMMYFUNCTION("IF(OR(ISBLANK($G122), IFERROR(INDEX(GOOGLEFINANCE($C122, ""price"", WORKDAY(INT($B122), 20)), 2, 2), """")=""""), """", IF($D122=""LONG"", (IFERROR(INDEX(GOOGLEFINANCE($C122, ""price"", WORKDAY(INT($B122), 20)), 2, 2), """")-$G122)/$G122, ($G122-IFERROR(I"&amp;"NDEX(GOOGLEFINANCE($C122, ""price"", WORKDAY(INT($B122), 20)), 2, 2), """"))/$G122))"),"")</f>
        <v/>
      </c>
      <c r="T122" s="10" t="s">
        <v>2935</v>
      </c>
      <c r="U122" s="10" t="s">
        <v>984</v>
      </c>
      <c r="V122" s="10" t="s">
        <v>1880</v>
      </c>
      <c r="W122" s="10" t="s">
        <v>51</v>
      </c>
      <c r="X122" s="10" t="s">
        <v>984</v>
      </c>
    </row>
    <row r="123">
      <c r="A123" s="9">
        <f t="shared" si="1"/>
        <v>122</v>
      </c>
      <c r="B123" s="11">
        <v>46219.66775462963</v>
      </c>
      <c r="C123" s="10" t="s">
        <v>162</v>
      </c>
      <c r="D123" s="10" t="s">
        <v>36</v>
      </c>
      <c r="E123" s="10" t="s">
        <v>37</v>
      </c>
      <c r="F123" s="13">
        <v>2.0</v>
      </c>
      <c r="G123" s="14">
        <v>49.43</v>
      </c>
      <c r="H123" s="10" t="s">
        <v>2936</v>
      </c>
      <c r="I123" s="10">
        <v>90.4</v>
      </c>
      <c r="O123" s="15">
        <f>IFERROR(__xludf.DUMMYFUNCTION("IF(ISBLANK($C123), """", GOOGLEFINANCE($C123, ""price""))"),46.94)</f>
        <v>46.94</v>
      </c>
      <c r="P123" s="16">
        <f t="shared" si="2"/>
        <v>-0.05037426664</v>
      </c>
      <c r="Q123" s="16">
        <f>IFERROR(__xludf.DUMMYFUNCTION("IF(OR(ISBLANK($G123), IFERROR(INDEX(GOOGLEFINANCE($C123, ""price"", WORKDAY(INT($B123), 1)), 2, 2), """")=""""), """", IF($D123=""LONG"", (IFERROR(INDEX(GOOGLEFINANCE($C123, ""price"", WORKDAY(INT($B123), 1)), 2, 2), """")-$G123)/$G123, ($G123-IFERROR(IND"&amp;"EX(GOOGLEFINANCE($C123, ""price"", WORKDAY(INT($B123), 1)), 2, 2), """"))/$G123))"),-0.027311349382965838)</f>
        <v>-0.02731134938</v>
      </c>
      <c r="R123" s="16">
        <f>IFERROR(__xludf.DUMMYFUNCTION("IF(OR(ISBLANK($G123), IFERROR(INDEX(GOOGLEFINANCE($C123, ""price"", WORKDAY(INT($B123), 5)), 2, 2), """")=""""), """", IF($D123=""LONG"", (IFERROR(INDEX(GOOGLEFINANCE($C123, ""price"", WORKDAY(INT($B123), 5)), 2, 2), """")-$G123)/$G123, ($G123-IFERROR(IND"&amp;"EX(GOOGLEFINANCE($C123, ""price"", WORKDAY(INT($B123), 5)), 2, 2), """"))/$G123))"),-0.09548856969451748)</f>
        <v>-0.09548856969</v>
      </c>
      <c r="S123" s="16" t="str">
        <f>IFERROR(__xludf.DUMMYFUNCTION("IF(OR(ISBLANK($G123), IFERROR(INDEX(GOOGLEFINANCE($C123, ""price"", WORKDAY(INT($B123), 20)), 2, 2), """")=""""), """", IF($D123=""LONG"", (IFERROR(INDEX(GOOGLEFINANCE($C123, ""price"", WORKDAY(INT($B123), 20)), 2, 2), """")-$G123)/$G123, ($G123-IFERROR(I"&amp;"NDEX(GOOGLEFINANCE($C123, ""price"", WORKDAY(INT($B123), 20)), 2, 2), """"))/$G123))"),"")</f>
        <v/>
      </c>
      <c r="T123" s="10" t="s">
        <v>2939</v>
      </c>
      <c r="U123" s="10" t="s">
        <v>704</v>
      </c>
      <c r="V123" s="10" t="s">
        <v>2940</v>
      </c>
      <c r="W123" s="10" t="s">
        <v>51</v>
      </c>
      <c r="X123" s="10" t="s">
        <v>1885</v>
      </c>
    </row>
    <row r="124">
      <c r="A124" s="9">
        <f t="shared" si="1"/>
        <v>123</v>
      </c>
      <c r="B124" s="11">
        <v>46219.667546296296</v>
      </c>
      <c r="C124" s="10" t="s">
        <v>2941</v>
      </c>
      <c r="D124" s="10" t="s">
        <v>119</v>
      </c>
      <c r="E124" s="10" t="s">
        <v>120</v>
      </c>
      <c r="F124" s="13">
        <v>4.0</v>
      </c>
      <c r="G124" s="14">
        <v>154.79</v>
      </c>
      <c r="H124" s="10" t="s">
        <v>2942</v>
      </c>
      <c r="I124" s="10">
        <v>4.6</v>
      </c>
      <c r="O124" s="15">
        <f>IFERROR(__xludf.DUMMYFUNCTION("IF(ISBLANK($C124), """", GOOGLEFINANCE($C124, ""price""))"),162.06)</f>
        <v>162.06</v>
      </c>
      <c r="P124" s="16">
        <f t="shared" si="2"/>
        <v>-0.04696685832</v>
      </c>
      <c r="Q124" s="16">
        <f>IFERROR(__xludf.DUMMYFUNCTION("IF(OR(ISBLANK($G124), IFERROR(INDEX(GOOGLEFINANCE($C124, ""price"", WORKDAY(INT($B124), 1)), 2, 2), """")=""""), """", IF($D124=""LONG"", (IFERROR(INDEX(GOOGLEFINANCE($C124, ""price"", WORKDAY(INT($B124), 1)), 2, 2), """")-$G124)/$G124, ($G124-IFERROR(IND"&amp;"EX(GOOGLEFINANCE($C124, ""price"", WORKDAY(INT($B124), 1)), 2, 2), """"))/$G124))"),0.002131920666709633)</f>
        <v>0.002131920667</v>
      </c>
      <c r="R124" s="16">
        <f>IFERROR(__xludf.DUMMYFUNCTION("IF(OR(ISBLANK($G124), IFERROR(INDEX(GOOGLEFINANCE($C124, ""price"", WORKDAY(INT($B124), 5)), 2, 2), """")=""""), """", IF($D124=""LONG"", (IFERROR(INDEX(GOOGLEFINANCE($C124, ""price"", WORKDAY(INT($B124), 5)), 2, 2), """")-$G124)/$G124, ($G124-IFERROR(IND"&amp;"EX(GOOGLEFINANCE($C124, ""price"", WORKDAY(INT($B124), 5)), 2, 2), """"))/$G124))"),0.008463079010271997)</f>
        <v>0.00846307901</v>
      </c>
      <c r="S124" s="16" t="str">
        <f>IFERROR(__xludf.DUMMYFUNCTION("IF(OR(ISBLANK($G124), IFERROR(INDEX(GOOGLEFINANCE($C124, ""price"", WORKDAY(INT($B124), 20)), 2, 2), """")=""""), """", IF($D124=""LONG"", (IFERROR(INDEX(GOOGLEFINANCE($C124, ""price"", WORKDAY(INT($B124), 20)), 2, 2), """")-$G124)/$G124, ($G124-IFERROR(I"&amp;"NDEX(GOOGLEFINANCE($C124, ""price"", WORKDAY(INT($B124), 20)), 2, 2), """"))/$G124))"),"")</f>
        <v/>
      </c>
      <c r="T124" s="10" t="s">
        <v>2946</v>
      </c>
      <c r="U124" s="10" t="s">
        <v>984</v>
      </c>
      <c r="V124" s="10" t="s">
        <v>985</v>
      </c>
      <c r="W124" s="10" t="s">
        <v>51</v>
      </c>
      <c r="X124" s="10" t="s">
        <v>984</v>
      </c>
    </row>
    <row r="125">
      <c r="A125" s="9">
        <f t="shared" si="1"/>
        <v>124</v>
      </c>
      <c r="B125" s="11">
        <v>46219.66755787037</v>
      </c>
      <c r="C125" s="10" t="s">
        <v>379</v>
      </c>
      <c r="D125" s="10" t="s">
        <v>36</v>
      </c>
      <c r="E125" s="10" t="s">
        <v>133</v>
      </c>
      <c r="F125" s="13">
        <v>2.0</v>
      </c>
      <c r="G125" s="14">
        <v>50.9</v>
      </c>
      <c r="H125" s="10" t="s">
        <v>2947</v>
      </c>
      <c r="I125" s="10">
        <v>69.1</v>
      </c>
      <c r="O125" s="15">
        <f>IFERROR(__xludf.DUMMYFUNCTION("IF(ISBLANK($C125), """", GOOGLEFINANCE($C125, ""price""))"),50.7)</f>
        <v>50.7</v>
      </c>
      <c r="P125" s="16">
        <f t="shared" si="2"/>
        <v>-0.003929273084</v>
      </c>
      <c r="Q125" s="16">
        <f>IFERROR(__xludf.DUMMYFUNCTION("IF(OR(ISBLANK($G125), IFERROR(INDEX(GOOGLEFINANCE($C125, ""price"", WORKDAY(INT($B125), 1)), 2, 2), """")=""""), """", IF($D125=""LONG"", (IFERROR(INDEX(GOOGLEFINANCE($C125, ""price"", WORKDAY(INT($B125), 1)), 2, 2), """")-$G125)/$G125, ($G125-IFERROR(IND"&amp;"EX(GOOGLEFINANCE($C125, ""price"", WORKDAY(INT($B125), 1)), 2, 2), """"))/$G125))"),-0.0029469548133595007)</f>
        <v>-0.002946954813</v>
      </c>
      <c r="R125" s="16">
        <f>IFERROR(__xludf.DUMMYFUNCTION("IF(OR(ISBLANK($G125), IFERROR(INDEX(GOOGLEFINANCE($C125, ""price"", WORKDAY(INT($B125), 5)), 2, 2), """")=""""), """", IF($D125=""LONG"", (IFERROR(INDEX(GOOGLEFINANCE($C125, ""price"", WORKDAY(INT($B125), 5)), 2, 2), """")-$G125)/$G125, ($G125-IFERROR(IND"&amp;"EX(GOOGLEFINANCE($C125, ""price"", WORKDAY(INT($B125), 5)), 2, 2), """"))/$G125))"),0.03752455795677807)</f>
        <v>0.03752455796</v>
      </c>
      <c r="S125" s="16" t="str">
        <f>IFERROR(__xludf.DUMMYFUNCTION("IF(OR(ISBLANK($G125), IFERROR(INDEX(GOOGLEFINANCE($C125, ""price"", WORKDAY(INT($B125), 20)), 2, 2), """")=""""), """", IF($D125=""LONG"", (IFERROR(INDEX(GOOGLEFINANCE($C125, ""price"", WORKDAY(INT($B125), 20)), 2, 2), """")-$G125)/$G125, ($G125-IFERROR(I"&amp;"NDEX(GOOGLEFINANCE($C125, ""price"", WORKDAY(INT($B125), 20)), 2, 2), """"))/$G125))"),"")</f>
        <v/>
      </c>
      <c r="T125" s="10" t="s">
        <v>2950</v>
      </c>
      <c r="U125" s="10" t="s">
        <v>984</v>
      </c>
      <c r="V125" s="10" t="s">
        <v>985</v>
      </c>
      <c r="W125" s="10" t="s">
        <v>51</v>
      </c>
      <c r="X125" s="10" t="s">
        <v>984</v>
      </c>
    </row>
    <row r="126">
      <c r="A126" s="9">
        <f t="shared" si="1"/>
        <v>125</v>
      </c>
      <c r="B126" s="11">
        <v>46219.66763888889</v>
      </c>
      <c r="C126" s="10" t="s">
        <v>295</v>
      </c>
      <c r="D126" s="10" t="s">
        <v>119</v>
      </c>
      <c r="E126" s="10" t="s">
        <v>120</v>
      </c>
      <c r="F126" s="13">
        <v>4.0</v>
      </c>
      <c r="G126" s="14">
        <v>1306.83</v>
      </c>
      <c r="H126" s="10" t="s">
        <v>2951</v>
      </c>
      <c r="I126" s="10">
        <v>4.4</v>
      </c>
      <c r="O126" s="15">
        <f>IFERROR(__xludf.DUMMYFUNCTION("IF(ISBLANK($C126), """", GOOGLEFINANCE($C126, ""price""))"),1359.08)</f>
        <v>1359.08</v>
      </c>
      <c r="P126" s="16">
        <f t="shared" si="2"/>
        <v>-0.03998224712</v>
      </c>
      <c r="Q126" s="16">
        <f>IFERROR(__xludf.DUMMYFUNCTION("IF(OR(ISBLANK($G126), IFERROR(INDEX(GOOGLEFINANCE($C126, ""price"", WORKDAY(INT($B126), 1)), 2, 2), """")=""""), """", IF($D126=""LONG"", (IFERROR(INDEX(GOOGLEFINANCE($C126, ""price"", WORKDAY(INT($B126), 1)), 2, 2), """")-$G126)/$G126, ($G126-IFERROR(IND"&amp;"EX(GOOGLEFINANCE($C126, ""price"", WORKDAY(INT($B126), 1)), 2, 2), """"))/$G126))"),-0.003956138135794306)</f>
        <v>-0.003956138136</v>
      </c>
      <c r="R126" s="16">
        <f>IFERROR(__xludf.DUMMYFUNCTION("IF(OR(ISBLANK($G126), IFERROR(INDEX(GOOGLEFINANCE($C126, ""price"", WORKDAY(INT($B126), 5)), 2, 2), """")=""""), """", IF($D126=""LONG"", (IFERROR(INDEX(GOOGLEFINANCE($C126, ""price"", WORKDAY(INT($B126), 5)), 2, 2), """")-$G126)/$G126, ($G126-IFERROR(IND"&amp;"EX(GOOGLEFINANCE($C126, ""price"", WORKDAY(INT($B126), 5)), 2, 2), """"))/$G126))"),-0.06911380975337279)</f>
        <v>-0.06911380975</v>
      </c>
      <c r="S126" s="16" t="str">
        <f>IFERROR(__xludf.DUMMYFUNCTION("IF(OR(ISBLANK($G126), IFERROR(INDEX(GOOGLEFINANCE($C126, ""price"", WORKDAY(INT($B126), 20)), 2, 2), """")=""""), """", IF($D126=""LONG"", (IFERROR(INDEX(GOOGLEFINANCE($C126, ""price"", WORKDAY(INT($B126), 20)), 2, 2), """")-$G126)/$G126, ($G126-IFERROR(I"&amp;"NDEX(GOOGLEFINANCE($C126, ""price"", WORKDAY(INT($B126), 20)), 2, 2), """"))/$G126))"),"")</f>
        <v/>
      </c>
      <c r="T126" s="10" t="s">
        <v>2954</v>
      </c>
      <c r="U126" s="10" t="s">
        <v>984</v>
      </c>
      <c r="V126" s="10" t="s">
        <v>985</v>
      </c>
      <c r="W126" s="10" t="s">
        <v>51</v>
      </c>
      <c r="X126" s="10" t="s">
        <v>984</v>
      </c>
    </row>
    <row r="127">
      <c r="A127" s="9">
        <f t="shared" si="1"/>
        <v>126</v>
      </c>
      <c r="B127" s="11">
        <v>46219.667708333334</v>
      </c>
      <c r="C127" s="10" t="s">
        <v>337</v>
      </c>
      <c r="D127" s="10" t="s">
        <v>119</v>
      </c>
      <c r="E127" s="10" t="s">
        <v>120</v>
      </c>
      <c r="F127" s="13">
        <v>4.0</v>
      </c>
      <c r="G127" s="14">
        <v>43.87</v>
      </c>
      <c r="H127" s="10" t="s">
        <v>2955</v>
      </c>
      <c r="I127" s="10">
        <v>11.2</v>
      </c>
      <c r="O127" s="15">
        <f>IFERROR(__xludf.DUMMYFUNCTION("IF(ISBLANK($C127), """", GOOGLEFINANCE($C127, ""price""))"),46.99)</f>
        <v>46.99</v>
      </c>
      <c r="P127" s="16">
        <f t="shared" si="2"/>
        <v>-0.07111921587</v>
      </c>
      <c r="Q127" s="16">
        <f>IFERROR(__xludf.DUMMYFUNCTION("IF(OR(ISBLANK($G127), IFERROR(INDEX(GOOGLEFINANCE($C127, ""price"", WORKDAY(INT($B127), 1)), 2, 2), """")=""""), """", IF($D127=""LONG"", (IFERROR(INDEX(GOOGLEFINANCE($C127, ""price"", WORKDAY(INT($B127), 1)), 2, 2), """")-$G127)/$G127, ($G127-IFERROR(IND"&amp;"EX(GOOGLEFINANCE($C127, ""price"", WORKDAY(INT($B127), 1)), 2, 2), """"))/$G127))"),0.006382493731479235)</f>
        <v>0.006382493731</v>
      </c>
      <c r="R127" s="16">
        <f>IFERROR(__xludf.DUMMYFUNCTION("IF(OR(ISBLANK($G127), IFERROR(INDEX(GOOGLEFINANCE($C127, ""price"", WORKDAY(INT($B127), 5)), 2, 2), """")=""""), """", IF($D127=""LONG"", (IFERROR(INDEX(GOOGLEFINANCE($C127, ""price"", WORKDAY(INT($B127), 5)), 2, 2), """")-$G127)/$G127, ($G127-IFERROR(IND"&amp;"EX(GOOGLEFINANCE($C127, ""price"", WORKDAY(INT($B127), 5)), 2, 2), """"))/$G127))"),0.0011397310234783943)</f>
        <v>0.001139731023</v>
      </c>
      <c r="S127" s="16" t="str">
        <f>IFERROR(__xludf.DUMMYFUNCTION("IF(OR(ISBLANK($G127), IFERROR(INDEX(GOOGLEFINANCE($C127, ""price"", WORKDAY(INT($B127), 20)), 2, 2), """")=""""), """", IF($D127=""LONG"", (IFERROR(INDEX(GOOGLEFINANCE($C127, ""price"", WORKDAY(INT($B127), 20)), 2, 2), """")-$G127)/$G127, ($G127-IFERROR(I"&amp;"NDEX(GOOGLEFINANCE($C127, ""price"", WORKDAY(INT($B127), 20)), 2, 2), """"))/$G127))"),"")</f>
        <v/>
      </c>
      <c r="T127" s="10" t="s">
        <v>2958</v>
      </c>
      <c r="U127" s="10" t="s">
        <v>984</v>
      </c>
      <c r="V127" s="10" t="s">
        <v>985</v>
      </c>
      <c r="W127" s="10" t="s">
        <v>51</v>
      </c>
      <c r="X127" s="10" t="s">
        <v>984</v>
      </c>
    </row>
    <row r="128">
      <c r="A128" s="9">
        <f t="shared" si="1"/>
        <v>127</v>
      </c>
      <c r="B128" s="11">
        <v>46219.66756944444</v>
      </c>
      <c r="C128" s="10" t="s">
        <v>212</v>
      </c>
      <c r="D128" s="10" t="s">
        <v>119</v>
      </c>
      <c r="E128" s="10" t="s">
        <v>120</v>
      </c>
      <c r="F128" s="13">
        <v>4.0</v>
      </c>
      <c r="G128" s="14">
        <v>114.93</v>
      </c>
      <c r="H128" s="10" t="s">
        <v>2959</v>
      </c>
      <c r="I128" s="10">
        <v>5.3</v>
      </c>
      <c r="O128" s="15">
        <f>IFERROR(__xludf.DUMMYFUNCTION("IF(ISBLANK($C128), """", GOOGLEFINANCE($C128, ""price""))"),112.07)</f>
        <v>112.07</v>
      </c>
      <c r="P128" s="16">
        <f t="shared" si="2"/>
        <v>0.02488471243</v>
      </c>
      <c r="Q128" s="16">
        <f>IFERROR(__xludf.DUMMYFUNCTION("IF(OR(ISBLANK($G128), IFERROR(INDEX(GOOGLEFINANCE($C128, ""price"", WORKDAY(INT($B128), 1)), 2, 2), """")=""""), """", IF($D128=""LONG"", (IFERROR(INDEX(GOOGLEFINANCE($C128, ""price"", WORKDAY(INT($B128), 1)), 2, 2), """")-$G128)/$G128, ($G128-IFERROR(IND"&amp;"EX(GOOGLEFINANCE($C128, ""price"", WORKDAY(INT($B128), 1)), 2, 2), """"))/$G128))"),0.006003654398329521)</f>
        <v>0.006003654398</v>
      </c>
      <c r="R128" s="16">
        <f>IFERROR(__xludf.DUMMYFUNCTION("IF(OR(ISBLANK($G128), IFERROR(INDEX(GOOGLEFINANCE($C128, ""price"", WORKDAY(INT($B128), 5)), 2, 2), """")=""""), """", IF($D128=""LONG"", (IFERROR(INDEX(GOOGLEFINANCE($C128, ""price"", WORKDAY(INT($B128), 5)), 2, 2), """")-$G128)/$G128, ($G128-IFERROR(IND"&amp;"EX(GOOGLEFINANCE($C128, ""price"", WORKDAY(INT($B128), 5)), 2, 2), """"))/$G128))"),0.05681719307404508)</f>
        <v>0.05681719307</v>
      </c>
      <c r="S128" s="16" t="str">
        <f>IFERROR(__xludf.DUMMYFUNCTION("IF(OR(ISBLANK($G128), IFERROR(INDEX(GOOGLEFINANCE($C128, ""price"", WORKDAY(INT($B128), 20)), 2, 2), """")=""""), """", IF($D128=""LONG"", (IFERROR(INDEX(GOOGLEFINANCE($C128, ""price"", WORKDAY(INT($B128), 20)), 2, 2), """")-$G128)/$G128, ($G128-IFERROR(I"&amp;"NDEX(GOOGLEFINANCE($C128, ""price"", WORKDAY(INT($B128), 20)), 2, 2), """"))/$G128))"),"")</f>
        <v/>
      </c>
      <c r="T128" s="10" t="s">
        <v>2962</v>
      </c>
      <c r="U128" s="10" t="s">
        <v>984</v>
      </c>
      <c r="V128" s="10" t="s">
        <v>985</v>
      </c>
      <c r="W128" s="10" t="s">
        <v>51</v>
      </c>
      <c r="X128" s="10" t="s">
        <v>984</v>
      </c>
    </row>
    <row r="129">
      <c r="A129" s="9">
        <f t="shared" si="1"/>
        <v>128</v>
      </c>
      <c r="B129" s="11">
        <v>46219.667719907404</v>
      </c>
      <c r="C129" s="10" t="s">
        <v>299</v>
      </c>
      <c r="D129" s="10" t="s">
        <v>36</v>
      </c>
      <c r="E129" s="10" t="s">
        <v>37</v>
      </c>
      <c r="F129" s="13">
        <v>2.0</v>
      </c>
      <c r="G129" s="14">
        <v>40.56</v>
      </c>
      <c r="H129" s="10" t="s">
        <v>2963</v>
      </c>
      <c r="I129" s="10">
        <v>94.1</v>
      </c>
      <c r="O129" s="15">
        <f>IFERROR(__xludf.DUMMYFUNCTION("IF(ISBLANK($C129), """", GOOGLEFINANCE($C129, ""price""))"),38.14)</f>
        <v>38.14</v>
      </c>
      <c r="P129" s="16">
        <f t="shared" si="2"/>
        <v>-0.05966469428</v>
      </c>
      <c r="Q129" s="16">
        <f>IFERROR(__xludf.DUMMYFUNCTION("IF(OR(ISBLANK($G129), IFERROR(INDEX(GOOGLEFINANCE($C129, ""price"", WORKDAY(INT($B129), 1)), 2, 2), """")=""""), """", IF($D129=""LONG"", (IFERROR(INDEX(GOOGLEFINANCE($C129, ""price"", WORKDAY(INT($B129), 1)), 2, 2), """")-$G129)/$G129, ($G129-IFERROR(IND"&amp;"EX(GOOGLEFINANCE($C129, ""price"", WORKDAY(INT($B129), 1)), 2, 2), """"))/$G129))"),-0.019723865877712136)</f>
        <v>-0.01972386588</v>
      </c>
      <c r="R129" s="16">
        <f>IFERROR(__xludf.DUMMYFUNCTION("IF(OR(ISBLANK($G129), IFERROR(INDEX(GOOGLEFINANCE($C129, ""price"", WORKDAY(INT($B129), 5)), 2, 2), """")=""""), """", IF($D129=""LONG"", (IFERROR(INDEX(GOOGLEFINANCE($C129, ""price"", WORKDAY(INT($B129), 5)), 2, 2), """")-$G129)/$G129, ($G129-IFERROR(IND"&amp;"EX(GOOGLEFINANCE($C129, ""price"", WORKDAY(INT($B129), 5)), 2, 2), """"))/$G129))"),-0.026627218934911375)</f>
        <v>-0.02662721893</v>
      </c>
      <c r="S129" s="16" t="str">
        <f>IFERROR(__xludf.DUMMYFUNCTION("IF(OR(ISBLANK($G129), IFERROR(INDEX(GOOGLEFINANCE($C129, ""price"", WORKDAY(INT($B129), 20)), 2, 2), """")=""""), """", IF($D129=""LONG"", (IFERROR(INDEX(GOOGLEFINANCE($C129, ""price"", WORKDAY(INT($B129), 20)), 2, 2), """")-$G129)/$G129, ($G129-IFERROR(I"&amp;"NDEX(GOOGLEFINANCE($C129, ""price"", WORKDAY(INT($B129), 20)), 2, 2), """"))/$G129))"),"")</f>
        <v/>
      </c>
      <c r="T129" s="10" t="s">
        <v>2966</v>
      </c>
      <c r="U129" s="10" t="s">
        <v>492</v>
      </c>
      <c r="V129" s="10" t="s">
        <v>493</v>
      </c>
      <c r="W129" s="10" t="s">
        <v>51</v>
      </c>
      <c r="X129" s="10" t="s">
        <v>492</v>
      </c>
    </row>
    <row r="130">
      <c r="A130" s="9">
        <f t="shared" si="1"/>
        <v>129</v>
      </c>
      <c r="B130" s="11">
        <v>46219.66756944444</v>
      </c>
      <c r="C130" s="10" t="s">
        <v>306</v>
      </c>
      <c r="D130" s="10" t="s">
        <v>119</v>
      </c>
      <c r="E130" s="10" t="s">
        <v>120</v>
      </c>
      <c r="F130" s="13">
        <v>4.0</v>
      </c>
      <c r="G130" s="14">
        <v>91.53</v>
      </c>
      <c r="H130" s="10" t="s">
        <v>2969</v>
      </c>
      <c r="I130" s="10">
        <v>9.8</v>
      </c>
      <c r="O130" s="15">
        <f>IFERROR(__xludf.DUMMYFUNCTION("IF(ISBLANK($C130), """", GOOGLEFINANCE($C130, ""price""))"),87.03)</f>
        <v>87.03</v>
      </c>
      <c r="P130" s="16">
        <f t="shared" si="2"/>
        <v>0.04916420846</v>
      </c>
      <c r="Q130" s="16">
        <f>IFERROR(__xludf.DUMMYFUNCTION("IF(OR(ISBLANK($G130), IFERROR(INDEX(GOOGLEFINANCE($C130, ""price"", WORKDAY(INT($B130), 1)), 2, 2), """")=""""), """", IF($D130=""LONG"", (IFERROR(INDEX(GOOGLEFINANCE($C130, ""price"", WORKDAY(INT($B130), 1)), 2, 2), """")-$G130)/$G130, ($G130-IFERROR(IND"&amp;"EX(GOOGLEFINANCE($C130, ""price"", WORKDAY(INT($B130), 1)), 2, 2), """"))/$G130))"),-0.0051349284387632345)</f>
        <v>-0.005134928439</v>
      </c>
      <c r="R130" s="16">
        <f>IFERROR(__xludf.DUMMYFUNCTION("IF(OR(ISBLANK($G130), IFERROR(INDEX(GOOGLEFINANCE($C130, ""price"", WORKDAY(INT($B130), 5)), 2, 2), """")=""""), """", IF($D130=""LONG"", (IFERROR(INDEX(GOOGLEFINANCE($C130, ""price"", WORKDAY(INT($B130), 5)), 2, 2), """")-$G130)/$G130, ($G130-IFERROR(IND"&amp;"EX(GOOGLEFINANCE($C130, ""price"", WORKDAY(INT($B130), 5)), 2, 2), """"))/$G130))"),2.185075931388181E-4)</f>
        <v>0.0002185075931</v>
      </c>
      <c r="S130" s="16" t="str">
        <f>IFERROR(__xludf.DUMMYFUNCTION("IF(OR(ISBLANK($G130), IFERROR(INDEX(GOOGLEFINANCE($C130, ""price"", WORKDAY(INT($B130), 20)), 2, 2), """")=""""), """", IF($D130=""LONG"", (IFERROR(INDEX(GOOGLEFINANCE($C130, ""price"", WORKDAY(INT($B130), 20)), 2, 2), """")-$G130)/$G130, ($G130-IFERROR(I"&amp;"NDEX(GOOGLEFINANCE($C130, ""price"", WORKDAY(INT($B130), 20)), 2, 2), """"))/$G130))"),"")</f>
        <v/>
      </c>
      <c r="T130" s="10" t="s">
        <v>2971</v>
      </c>
      <c r="U130" s="10" t="s">
        <v>984</v>
      </c>
      <c r="V130" s="10" t="s">
        <v>985</v>
      </c>
      <c r="W130" s="10" t="s">
        <v>51</v>
      </c>
      <c r="X130" s="10" t="s">
        <v>984</v>
      </c>
    </row>
    <row r="131">
      <c r="A131" s="9">
        <f t="shared" si="1"/>
        <v>130</v>
      </c>
      <c r="B131" s="11">
        <v>46219.66782407407</v>
      </c>
      <c r="C131" s="10" t="s">
        <v>108</v>
      </c>
      <c r="D131" s="10" t="s">
        <v>36</v>
      </c>
      <c r="E131" s="10" t="s">
        <v>37</v>
      </c>
      <c r="F131" s="13">
        <v>2.0</v>
      </c>
      <c r="G131" s="14">
        <v>128.48</v>
      </c>
      <c r="H131" s="10" t="s">
        <v>2972</v>
      </c>
      <c r="I131" s="10">
        <v>94.8</v>
      </c>
      <c r="O131" s="15">
        <f>IFERROR(__xludf.DUMMYFUNCTION("IF(ISBLANK($C131), """", GOOGLEFINANCE($C131, ""price""))"),129.68)</f>
        <v>129.68</v>
      </c>
      <c r="P131" s="16">
        <f t="shared" si="2"/>
        <v>0.009339975093</v>
      </c>
      <c r="Q131" s="16">
        <f>IFERROR(__xludf.DUMMYFUNCTION("IF(OR(ISBLANK($G131), IFERROR(INDEX(GOOGLEFINANCE($C131, ""price"", WORKDAY(INT($B131), 1)), 2, 2), """")=""""), """", IF($D131=""LONG"", (IFERROR(INDEX(GOOGLEFINANCE($C131, ""price"", WORKDAY(INT($B131), 1)), 2, 2), """")-$G131)/$G131, ($G131-IFERROR(IND"&amp;"EX(GOOGLEFINANCE($C131, ""price"", WORKDAY(INT($B131), 1)), 2, 2), """"))/$G131))"),-0.01976961394769608)</f>
        <v>-0.01976961395</v>
      </c>
      <c r="R131" s="16">
        <f>IFERROR(__xludf.DUMMYFUNCTION("IF(OR(ISBLANK($G131), IFERROR(INDEX(GOOGLEFINANCE($C131, ""price"", WORKDAY(INT($B131), 5)), 2, 2), """")=""""), """", IF($D131=""LONG"", (IFERROR(INDEX(GOOGLEFINANCE($C131, ""price"", WORKDAY(INT($B131), 5)), 2, 2), """")-$G131)/$G131, ($G131-IFERROR(IND"&amp;"EX(GOOGLEFINANCE($C131, ""price"", WORKDAY(INT($B131), 5)), 2, 2), """"))/$G131))"),-0.08429327521793263)</f>
        <v>-0.08429327522</v>
      </c>
      <c r="S131" s="16" t="str">
        <f>IFERROR(__xludf.DUMMYFUNCTION("IF(OR(ISBLANK($G131), IFERROR(INDEX(GOOGLEFINANCE($C131, ""price"", WORKDAY(INT($B131), 20)), 2, 2), """")=""""), """", IF($D131=""LONG"", (IFERROR(INDEX(GOOGLEFINANCE($C131, ""price"", WORKDAY(INT($B131), 20)), 2, 2), """")-$G131)/$G131, ($G131-IFERROR(I"&amp;"NDEX(GOOGLEFINANCE($C131, ""price"", WORKDAY(INT($B131), 20)), 2, 2), """"))/$G131))"),"")</f>
        <v/>
      </c>
      <c r="T131" s="10" t="s">
        <v>2975</v>
      </c>
      <c r="U131" s="10" t="s">
        <v>492</v>
      </c>
      <c r="V131" s="10" t="s">
        <v>493</v>
      </c>
      <c r="W131" s="10" t="s">
        <v>51</v>
      </c>
      <c r="X131" s="10" t="s">
        <v>492</v>
      </c>
    </row>
    <row r="132">
      <c r="A132" s="9">
        <f t="shared" si="1"/>
        <v>131</v>
      </c>
      <c r="B132" s="11">
        <v>46219.66758101852</v>
      </c>
      <c r="C132" s="10" t="s">
        <v>174</v>
      </c>
      <c r="D132" s="10" t="s">
        <v>36</v>
      </c>
      <c r="E132" s="10" t="s">
        <v>37</v>
      </c>
      <c r="F132" s="13">
        <v>2.0</v>
      </c>
      <c r="G132" s="14">
        <v>25.71</v>
      </c>
      <c r="H132" s="10" t="s">
        <v>2976</v>
      </c>
      <c r="I132" s="10">
        <v>94.2</v>
      </c>
      <c r="O132" s="15">
        <f>IFERROR(__xludf.DUMMYFUNCTION("IF(ISBLANK($C132), """", GOOGLEFINANCE($C132, ""price""))"),25.09)</f>
        <v>25.09</v>
      </c>
      <c r="P132" s="16">
        <f t="shared" si="2"/>
        <v>-0.0241151303</v>
      </c>
      <c r="Q132" s="16">
        <f>IFERROR(__xludf.DUMMYFUNCTION("IF(OR(ISBLANK($G132), IFERROR(INDEX(GOOGLEFINANCE($C132, ""price"", WORKDAY(INT($B132), 1)), 2, 2), """")=""""), """", IF($D132=""LONG"", (IFERROR(INDEX(GOOGLEFINANCE($C132, ""price"", WORKDAY(INT($B132), 1)), 2, 2), """")-$G132)/$G132, ($G132-IFERROR(IND"&amp;"EX(GOOGLEFINANCE($C132, ""price"", WORKDAY(INT($B132), 1)), 2, 2), """"))/$G132))"),-0.012446518864255164)</f>
        <v>-0.01244651886</v>
      </c>
      <c r="R132" s="16">
        <f>IFERROR(__xludf.DUMMYFUNCTION("IF(OR(ISBLANK($G132), IFERROR(INDEX(GOOGLEFINANCE($C132, ""price"", WORKDAY(INT($B132), 5)), 2, 2), """")=""""), """", IF($D132=""LONG"", (IFERROR(INDEX(GOOGLEFINANCE($C132, ""price"", WORKDAY(INT($B132), 5)), 2, 2), """")-$G132)/$G132, ($G132-IFERROR(IND"&amp;"EX(GOOGLEFINANCE($C132, ""price"", WORKDAY(INT($B132), 5)), 2, 2), """"))/$G132))"),-0.026837806301050225)</f>
        <v>-0.0268378063</v>
      </c>
      <c r="S132" s="16" t="str">
        <f>IFERROR(__xludf.DUMMYFUNCTION("IF(OR(ISBLANK($G132), IFERROR(INDEX(GOOGLEFINANCE($C132, ""price"", WORKDAY(INT($B132), 20)), 2, 2), """")=""""), """", IF($D132=""LONG"", (IFERROR(INDEX(GOOGLEFINANCE($C132, ""price"", WORKDAY(INT($B132), 20)), 2, 2), """")-$G132)/$G132, ($G132-IFERROR(I"&amp;"NDEX(GOOGLEFINANCE($C132, ""price"", WORKDAY(INT($B132), 20)), 2, 2), """"))/$G132))"),"")</f>
        <v/>
      </c>
      <c r="T132" s="10" t="s">
        <v>2979</v>
      </c>
      <c r="U132" s="10" t="s">
        <v>984</v>
      </c>
      <c r="V132" s="10" t="s">
        <v>998</v>
      </c>
      <c r="W132" s="10" t="s">
        <v>51</v>
      </c>
      <c r="X132" s="10" t="s">
        <v>984</v>
      </c>
    </row>
    <row r="133">
      <c r="A133" s="9">
        <f t="shared" si="1"/>
        <v>132</v>
      </c>
      <c r="B133" s="11">
        <v>46219.667708333334</v>
      </c>
      <c r="C133" s="10" t="s">
        <v>1294</v>
      </c>
      <c r="D133" s="10" t="s">
        <v>119</v>
      </c>
      <c r="E133" s="10" t="s">
        <v>120</v>
      </c>
      <c r="F133" s="13">
        <v>4.0</v>
      </c>
      <c r="G133" s="14">
        <v>318.19</v>
      </c>
      <c r="H133" s="10" t="s">
        <v>2980</v>
      </c>
      <c r="I133" s="10">
        <v>2.2</v>
      </c>
      <c r="O133" s="15">
        <f>IFERROR(__xludf.DUMMYFUNCTION("IF(ISBLANK($C133), """", GOOGLEFINANCE($C133, ""price""))"),315.87)</f>
        <v>315.87</v>
      </c>
      <c r="P133" s="16">
        <f t="shared" si="2"/>
        <v>0.007291241082</v>
      </c>
      <c r="Q133" s="16">
        <f>IFERROR(__xludf.DUMMYFUNCTION("IF(OR(ISBLANK($G133), IFERROR(INDEX(GOOGLEFINANCE($C133, ""price"", WORKDAY(INT($B133), 1)), 2, 2), """")=""""), """", IF($D133=""LONG"", (IFERROR(INDEX(GOOGLEFINANCE($C133, ""price"", WORKDAY(INT($B133), 1)), 2, 2), """")-$G133)/$G133, ($G133-IFERROR(IND"&amp;"EX(GOOGLEFINANCE($C133, ""price"", WORKDAY(INT($B133), 1)), 2, 2), """"))/$G133))"),0.016373864672051226)</f>
        <v>0.01637386467</v>
      </c>
      <c r="R133" s="16">
        <f>IFERROR(__xludf.DUMMYFUNCTION("IF(OR(ISBLANK($G133), IFERROR(INDEX(GOOGLEFINANCE($C133, ""price"", WORKDAY(INT($B133), 5)), 2, 2), """")=""""), """", IF($D133=""LONG"", (IFERROR(INDEX(GOOGLEFINANCE($C133, ""price"", WORKDAY(INT($B133), 5)), 2, 2), """")-$G133)/$G133, ($G133-IFERROR(IND"&amp;"EX(GOOGLEFINANCE($C133, ""price"", WORKDAY(INT($B133), 5)), 2, 2), """"))/$G133))"),0.00807693516452432)</f>
        <v>0.008076935165</v>
      </c>
      <c r="S133" s="16" t="str">
        <f>IFERROR(__xludf.DUMMYFUNCTION("IF(OR(ISBLANK($G133), IFERROR(INDEX(GOOGLEFINANCE($C133, ""price"", WORKDAY(INT($B133), 20)), 2, 2), """")=""""), """", IF($D133=""LONG"", (IFERROR(INDEX(GOOGLEFINANCE($C133, ""price"", WORKDAY(INT($B133), 20)), 2, 2), """")-$G133)/$G133, ($G133-IFERROR(I"&amp;"NDEX(GOOGLEFINANCE($C133, ""price"", WORKDAY(INT($B133), 20)), 2, 2), """"))/$G133))"),"")</f>
        <v/>
      </c>
      <c r="T133" s="10" t="s">
        <v>2983</v>
      </c>
      <c r="U133" s="10" t="s">
        <v>984</v>
      </c>
      <c r="V133" s="10" t="s">
        <v>985</v>
      </c>
      <c r="W133" s="10" t="s">
        <v>51</v>
      </c>
      <c r="X133" s="10" t="s">
        <v>984</v>
      </c>
    </row>
    <row r="134">
      <c r="A134" s="9">
        <f t="shared" si="1"/>
        <v>133</v>
      </c>
      <c r="B134" s="11">
        <v>46219.66777777778</v>
      </c>
      <c r="C134" s="10" t="s">
        <v>445</v>
      </c>
      <c r="D134" s="10" t="s">
        <v>36</v>
      </c>
      <c r="E134" s="10" t="s">
        <v>37</v>
      </c>
      <c r="F134" s="13">
        <v>2.0</v>
      </c>
      <c r="G134" s="14">
        <v>147.79</v>
      </c>
      <c r="H134" s="10" t="s">
        <v>2985</v>
      </c>
      <c r="I134" s="10">
        <v>96.1</v>
      </c>
      <c r="O134" s="15">
        <f>IFERROR(__xludf.DUMMYFUNCTION("IF(ISBLANK($C134), """", GOOGLEFINANCE($C134, ""price""))"),151.64)</f>
        <v>151.64</v>
      </c>
      <c r="P134" s="16">
        <f t="shared" si="2"/>
        <v>0.02605047703</v>
      </c>
      <c r="Q134" s="16">
        <f>IFERROR(__xludf.DUMMYFUNCTION("IF(OR(ISBLANK($G134), IFERROR(INDEX(GOOGLEFINANCE($C134, ""price"", WORKDAY(INT($B134), 1)), 2, 2), """")=""""), """", IF($D134=""LONG"", (IFERROR(INDEX(GOOGLEFINANCE($C134, ""price"", WORKDAY(INT($B134), 1)), 2, 2), """")-$G134)/$G134, ($G134-IFERROR(IND"&amp;"EX(GOOGLEFINANCE($C134, ""price"", WORKDAY(INT($B134), 1)), 2, 2), """"))/$G134))"),-0.012247107382096233)</f>
        <v>-0.01224710738</v>
      </c>
      <c r="R134" s="16">
        <f>IFERROR(__xludf.DUMMYFUNCTION("IF(OR(ISBLANK($G134), IFERROR(INDEX(GOOGLEFINANCE($C134, ""price"", WORKDAY(INT($B134), 5)), 2, 2), """")=""""), """", IF($D134=""LONG"", (IFERROR(INDEX(GOOGLEFINANCE($C134, ""price"", WORKDAY(INT($B134), 5)), 2, 2), """")-$G134)/$G134, ($G134-IFERROR(IND"&amp;"EX(GOOGLEFINANCE($C134, ""price"", WORKDAY(INT($B134), 5)), 2, 2), """"))/$G134))"),-0.0691521753839908)</f>
        <v>-0.06915217538</v>
      </c>
      <c r="S134" s="16" t="str">
        <f>IFERROR(__xludf.DUMMYFUNCTION("IF(OR(ISBLANK($G134), IFERROR(INDEX(GOOGLEFINANCE($C134, ""price"", WORKDAY(INT($B134), 20)), 2, 2), """")=""""), """", IF($D134=""LONG"", (IFERROR(INDEX(GOOGLEFINANCE($C134, ""price"", WORKDAY(INT($B134), 20)), 2, 2), """")-$G134)/$G134, ($G134-IFERROR(I"&amp;"NDEX(GOOGLEFINANCE($C134, ""price"", WORKDAY(INT($B134), 20)), 2, 2), """"))/$G134))"),"")</f>
        <v/>
      </c>
      <c r="T134" s="10" t="s">
        <v>2989</v>
      </c>
      <c r="U134" s="10" t="s">
        <v>492</v>
      </c>
      <c r="V134" s="10" t="s">
        <v>493</v>
      </c>
      <c r="W134" s="10" t="s">
        <v>51</v>
      </c>
      <c r="X134" s="10" t="s">
        <v>492</v>
      </c>
    </row>
    <row r="135">
      <c r="A135" s="9">
        <f t="shared" si="1"/>
        <v>134</v>
      </c>
      <c r="B135" s="11">
        <v>46219.667858796296</v>
      </c>
      <c r="C135" s="10" t="s">
        <v>348</v>
      </c>
      <c r="D135" s="10" t="s">
        <v>36</v>
      </c>
      <c r="E135" s="10" t="s">
        <v>37</v>
      </c>
      <c r="F135" s="13">
        <v>2.0</v>
      </c>
      <c r="G135" s="14">
        <v>265.18</v>
      </c>
      <c r="H135" s="10" t="s">
        <v>1411</v>
      </c>
      <c r="I135" s="10">
        <v>97.2</v>
      </c>
      <c r="O135" s="15">
        <f>IFERROR(__xludf.DUMMYFUNCTION("IF(ISBLANK($C135), """", GOOGLEFINANCE($C135, ""price""))"),364.24)</f>
        <v>364.24</v>
      </c>
      <c r="P135" s="16">
        <f t="shared" si="2"/>
        <v>0.3735575835</v>
      </c>
      <c r="Q135" s="16">
        <f>IFERROR(__xludf.DUMMYFUNCTION("IF(OR(ISBLANK($G135), IFERROR(INDEX(GOOGLEFINANCE($C135, ""price"", WORKDAY(INT($B135), 1)), 2, 2), """")=""""), """", IF($D135=""LONG"", (IFERROR(INDEX(GOOGLEFINANCE($C135, ""price"", WORKDAY(INT($B135), 1)), 2, 2), """")-$G135)/$G135, ($G135-IFERROR(IND"&amp;"EX(GOOGLEFINANCE($C135, ""price"", WORKDAY(INT($B135), 1)), 2, 2), """"))/$G135))"),0.008371672071800175)</f>
        <v>0.008371672072</v>
      </c>
      <c r="R135" s="16">
        <f>IFERROR(__xludf.DUMMYFUNCTION("IF(OR(ISBLANK($G135), IFERROR(INDEX(GOOGLEFINANCE($C135, ""price"", WORKDAY(INT($B135), 5)), 2, 2), """")=""""), """", IF($D135=""LONG"", (IFERROR(INDEX(GOOGLEFINANCE($C135, ""price"", WORKDAY(INT($B135), 5)), 2, 2), """")-$G135)/$G135, ($G135-IFERROR(IND"&amp;"EX(GOOGLEFINANCE($C135, ""price"", WORKDAY(INT($B135), 5)), 2, 2), """"))/$G135))"),-0.031035523040953382)</f>
        <v>-0.03103552304</v>
      </c>
      <c r="S135" s="16" t="str">
        <f>IFERROR(__xludf.DUMMYFUNCTION("IF(OR(ISBLANK($G135), IFERROR(INDEX(GOOGLEFINANCE($C135, ""price"", WORKDAY(INT($B135), 20)), 2, 2), """")=""""), """", IF($D135=""LONG"", (IFERROR(INDEX(GOOGLEFINANCE($C135, ""price"", WORKDAY(INT($B135), 20)), 2, 2), """")-$G135)/$G135, ($G135-IFERROR(I"&amp;"NDEX(GOOGLEFINANCE($C135, ""price"", WORKDAY(INT($B135), 20)), 2, 2), """"))/$G135))"),"")</f>
        <v/>
      </c>
      <c r="T135" s="10" t="s">
        <v>2992</v>
      </c>
      <c r="U135" s="10" t="s">
        <v>984</v>
      </c>
      <c r="V135" s="10" t="s">
        <v>985</v>
      </c>
      <c r="W135" s="10" t="s">
        <v>51</v>
      </c>
      <c r="X135" s="10" t="s">
        <v>984</v>
      </c>
    </row>
    <row r="136">
      <c r="A136" s="9">
        <f t="shared" si="1"/>
        <v>135</v>
      </c>
      <c r="B136" s="11">
        <v>46219.66761574074</v>
      </c>
      <c r="C136" s="10" t="s">
        <v>419</v>
      </c>
      <c r="D136" s="10" t="s">
        <v>36</v>
      </c>
      <c r="E136" s="10" t="s">
        <v>133</v>
      </c>
      <c r="F136" s="13">
        <v>2.0</v>
      </c>
      <c r="G136" s="14">
        <v>86.7</v>
      </c>
      <c r="H136" s="10" t="s">
        <v>2993</v>
      </c>
      <c r="I136" s="10">
        <v>57.4</v>
      </c>
      <c r="O136" s="15">
        <f>IFERROR(__xludf.DUMMYFUNCTION("IF(ISBLANK($C136), """", GOOGLEFINANCE($C136, ""price""))"),91.98)</f>
        <v>91.98</v>
      </c>
      <c r="P136" s="16">
        <f t="shared" si="2"/>
        <v>0.06089965398</v>
      </c>
      <c r="Q136" s="16">
        <f>IFERROR(__xludf.DUMMYFUNCTION("IF(OR(ISBLANK($G136), IFERROR(INDEX(GOOGLEFINANCE($C136, ""price"", WORKDAY(INT($B136), 1)), 2, 2), """")=""""), """", IF($D136=""LONG"", (IFERROR(INDEX(GOOGLEFINANCE($C136, ""price"", WORKDAY(INT($B136), 1)), 2, 2), """")-$G136)/$G136, ($G136-IFERROR(IND"&amp;"EX(GOOGLEFINANCE($C136, ""price"", WORKDAY(INT($B136), 1)), 2, 2), """"))/$G136))"),-0.02918108419838525)</f>
        <v>-0.0291810842</v>
      </c>
      <c r="R136" s="16">
        <f>IFERROR(__xludf.DUMMYFUNCTION("IF(OR(ISBLANK($G136), IFERROR(INDEX(GOOGLEFINANCE($C136, ""price"", WORKDAY(INT($B136), 5)), 2, 2), """")=""""), """", IF($D136=""LONG"", (IFERROR(INDEX(GOOGLEFINANCE($C136, ""price"", WORKDAY(INT($B136), 5)), 2, 2), """")-$G136)/$G136, ($G136-IFERROR(IND"&amp;"EX(GOOGLEFINANCE($C136, ""price"", WORKDAY(INT($B136), 5)), 2, 2), """"))/$G136))"),-0.05455594002306809)</f>
        <v>-0.05455594002</v>
      </c>
      <c r="S136" s="16" t="str">
        <f>IFERROR(__xludf.DUMMYFUNCTION("IF(OR(ISBLANK($G136), IFERROR(INDEX(GOOGLEFINANCE($C136, ""price"", WORKDAY(INT($B136), 20)), 2, 2), """")=""""), """", IF($D136=""LONG"", (IFERROR(INDEX(GOOGLEFINANCE($C136, ""price"", WORKDAY(INT($B136), 20)), 2, 2), """")-$G136)/$G136, ($G136-IFERROR(I"&amp;"NDEX(GOOGLEFINANCE($C136, ""price"", WORKDAY(INT($B136), 20)), 2, 2), """"))/$G136))"),"")</f>
        <v/>
      </c>
      <c r="T136" s="10" t="s">
        <v>2996</v>
      </c>
      <c r="U136" s="10" t="s">
        <v>492</v>
      </c>
      <c r="V136" s="10" t="s">
        <v>493</v>
      </c>
      <c r="W136" s="10" t="s">
        <v>51</v>
      </c>
      <c r="X136" s="10" t="s">
        <v>492</v>
      </c>
    </row>
    <row r="137">
      <c r="A137" s="9">
        <f t="shared" si="1"/>
        <v>136</v>
      </c>
      <c r="B137" s="11">
        <v>46219.66762731481</v>
      </c>
      <c r="C137" s="10" t="s">
        <v>1778</v>
      </c>
      <c r="D137" s="10" t="s">
        <v>36</v>
      </c>
      <c r="E137" s="10" t="s">
        <v>37</v>
      </c>
      <c r="F137" s="13">
        <v>2.0</v>
      </c>
      <c r="G137" s="14">
        <v>86.65</v>
      </c>
      <c r="H137" s="10" t="s">
        <v>2997</v>
      </c>
      <c r="I137" s="10">
        <v>94.9</v>
      </c>
      <c r="O137" s="15">
        <f>IFERROR(__xludf.DUMMYFUNCTION("IF(ISBLANK($C137), """", GOOGLEFINANCE($C137, ""price""))"),76.86)</f>
        <v>76.86</v>
      </c>
      <c r="P137" s="16">
        <f t="shared" si="2"/>
        <v>-0.112983266</v>
      </c>
      <c r="Q137" s="16">
        <f>IFERROR(__xludf.DUMMYFUNCTION("IF(OR(ISBLANK($G137), IFERROR(INDEX(GOOGLEFINANCE($C137, ""price"", WORKDAY(INT($B137), 1)), 2, 2), """")=""""), """", IF($D137=""LONG"", (IFERROR(INDEX(GOOGLEFINANCE($C137, ""price"", WORKDAY(INT($B137), 1)), 2, 2), """")-$G137)/$G137, ($G137-IFERROR(IND"&amp;"EX(GOOGLEFINANCE($C137, ""price"", WORKDAY(INT($B137), 1)), 2, 2), """"))/$G137))"),0.007501442585112423)</f>
        <v>0.007501442585</v>
      </c>
      <c r="R137" s="16">
        <f>IFERROR(__xludf.DUMMYFUNCTION("IF(OR(ISBLANK($G137), IFERROR(INDEX(GOOGLEFINANCE($C137, ""price"", WORKDAY(INT($B137), 5)), 2, 2), """")=""""), """", IF($D137=""LONG"", (IFERROR(INDEX(GOOGLEFINANCE($C137, ""price"", WORKDAY(INT($B137), 5)), 2, 2), """")-$G137)/$G137, ($G137-IFERROR(IND"&amp;"EX(GOOGLEFINANCE($C137, ""price"", WORKDAY(INT($B137), 5)), 2, 2), """"))/$G137))"),0.02458165031736867)</f>
        <v>0.02458165032</v>
      </c>
      <c r="S137" s="16" t="str">
        <f>IFERROR(__xludf.DUMMYFUNCTION("IF(OR(ISBLANK($G137), IFERROR(INDEX(GOOGLEFINANCE($C137, ""price"", WORKDAY(INT($B137), 20)), 2, 2), """")=""""), """", IF($D137=""LONG"", (IFERROR(INDEX(GOOGLEFINANCE($C137, ""price"", WORKDAY(INT($B137), 20)), 2, 2), """")-$G137)/$G137, ($G137-IFERROR(I"&amp;"NDEX(GOOGLEFINANCE($C137, ""price"", WORKDAY(INT($B137), 20)), 2, 2), """"))/$G137))"),"")</f>
        <v/>
      </c>
      <c r="T137" s="10" t="s">
        <v>3000</v>
      </c>
      <c r="U137" s="10" t="s">
        <v>704</v>
      </c>
      <c r="V137" s="10" t="s">
        <v>3001</v>
      </c>
      <c r="W137" s="10" t="s">
        <v>51</v>
      </c>
      <c r="X137" s="10" t="s">
        <v>1885</v>
      </c>
    </row>
    <row r="138">
      <c r="A138" s="9">
        <f t="shared" si="1"/>
        <v>137</v>
      </c>
      <c r="B138" s="11">
        <v>46219.66780092593</v>
      </c>
      <c r="C138" s="10" t="s">
        <v>1198</v>
      </c>
      <c r="D138" s="10" t="s">
        <v>36</v>
      </c>
      <c r="E138" s="10" t="s">
        <v>37</v>
      </c>
      <c r="F138" s="13">
        <v>2.0</v>
      </c>
      <c r="G138" s="14">
        <v>343.44</v>
      </c>
      <c r="H138" s="10" t="s">
        <v>3002</v>
      </c>
      <c r="I138" s="10">
        <v>95.7</v>
      </c>
      <c r="O138" s="15">
        <f>IFERROR(__xludf.DUMMYFUNCTION("IF(ISBLANK($C138), """", GOOGLEFINANCE($C138, ""price""))"),354.03)</f>
        <v>354.03</v>
      </c>
      <c r="P138" s="16">
        <f t="shared" si="2"/>
        <v>0.03083508036</v>
      </c>
      <c r="Q138" s="16">
        <f>IFERROR(__xludf.DUMMYFUNCTION("IF(OR(ISBLANK($G138), IFERROR(INDEX(GOOGLEFINANCE($C138, ""price"", WORKDAY(INT($B138), 1)), 2, 2), """")=""""), """", IF($D138=""LONG"", (IFERROR(INDEX(GOOGLEFINANCE($C138, ""price"", WORKDAY(INT($B138), 1)), 2, 2), """")-$G138)/$G138, ($G138-IFERROR(IND"&amp;"EX(GOOGLEFINANCE($C138, ""price"", WORKDAY(INT($B138), 1)), 2, 2), """"))/$G138))"),0.025390170044258174)</f>
        <v>0.02539017004</v>
      </c>
      <c r="R138" s="16">
        <f>IFERROR(__xludf.DUMMYFUNCTION("IF(OR(ISBLANK($G138), IFERROR(INDEX(GOOGLEFINANCE($C138, ""price"", WORKDAY(INT($B138), 5)), 2, 2), """")=""""), """", IF($D138=""LONG"", (IFERROR(INDEX(GOOGLEFINANCE($C138, ""price"", WORKDAY(INT($B138), 5)), 2, 2), """")-$G138)/$G138, ($G138-IFERROR(IND"&amp;"EX(GOOGLEFINANCE($C138, ""price"", WORKDAY(INT($B138), 5)), 2, 2), """"))/$G138))"),0.02856394129979036)</f>
        <v>0.0285639413</v>
      </c>
      <c r="S138" s="16" t="str">
        <f>IFERROR(__xludf.DUMMYFUNCTION("IF(OR(ISBLANK($G138), IFERROR(INDEX(GOOGLEFINANCE($C138, ""price"", WORKDAY(INT($B138), 20)), 2, 2), """")=""""), """", IF($D138=""LONG"", (IFERROR(INDEX(GOOGLEFINANCE($C138, ""price"", WORKDAY(INT($B138), 20)), 2, 2), """")-$G138)/$G138, ($G138-IFERROR(I"&amp;"NDEX(GOOGLEFINANCE($C138, ""price"", WORKDAY(INT($B138), 20)), 2, 2), """"))/$G138))"),"")</f>
        <v/>
      </c>
      <c r="T138" s="10" t="s">
        <v>3005</v>
      </c>
      <c r="U138" s="10" t="s">
        <v>704</v>
      </c>
      <c r="V138" s="10" t="s">
        <v>3006</v>
      </c>
      <c r="W138" s="10" t="s">
        <v>51</v>
      </c>
      <c r="X138" s="10" t="s">
        <v>1885</v>
      </c>
    </row>
    <row r="139">
      <c r="A139" s="9">
        <f t="shared" si="1"/>
        <v>138</v>
      </c>
      <c r="B139" s="11">
        <v>46219.6678125</v>
      </c>
      <c r="C139" s="10" t="s">
        <v>1226</v>
      </c>
      <c r="D139" s="10" t="s">
        <v>36</v>
      </c>
      <c r="E139" s="10" t="s">
        <v>37</v>
      </c>
      <c r="F139" s="13">
        <v>2.0</v>
      </c>
      <c r="G139" s="14">
        <v>239.64</v>
      </c>
      <c r="H139" s="10" t="s">
        <v>3007</v>
      </c>
      <c r="I139" s="10">
        <v>94.8</v>
      </c>
      <c r="O139" s="15">
        <f>IFERROR(__xludf.DUMMYFUNCTION("IF(ISBLANK($C139), """", GOOGLEFINANCE($C139, ""price""))"),232.47)</f>
        <v>232.47</v>
      </c>
      <c r="P139" s="16">
        <f t="shared" si="2"/>
        <v>-0.02991987982</v>
      </c>
      <c r="Q139" s="16">
        <f>IFERROR(__xludf.DUMMYFUNCTION("IF(OR(ISBLANK($G139), IFERROR(INDEX(GOOGLEFINANCE($C139, ""price"", WORKDAY(INT($B139), 1)), 2, 2), """")=""""), """", IF($D139=""LONG"", (IFERROR(INDEX(GOOGLEFINANCE($C139, ""price"", WORKDAY(INT($B139), 1)), 2, 2), """")-$G139)/$G139, ($G139-IFERROR(IND"&amp;"EX(GOOGLEFINANCE($C139, ""price"", WORKDAY(INT($B139), 1)), 2, 2), """"))/$G139))"),-0.01235186112502078)</f>
        <v>-0.01235186113</v>
      </c>
      <c r="R139" s="16">
        <f>IFERROR(__xludf.DUMMYFUNCTION("IF(OR(ISBLANK($G139), IFERROR(INDEX(GOOGLEFINANCE($C139, ""price"", WORKDAY(INT($B139), 5)), 2, 2), """")=""""), """", IF($D139=""LONG"", (IFERROR(INDEX(GOOGLEFINANCE($C139, ""price"", WORKDAY(INT($B139), 5)), 2, 2), """")-$G139)/$G139, ($G139-IFERROR(IND"&amp;"EX(GOOGLEFINANCE($C139, ""price"", WORKDAY(INT($B139), 5)), 2, 2), """"))/$G139))"),-0.039183775663495186)</f>
        <v>-0.03918377566</v>
      </c>
      <c r="S139" s="16" t="str">
        <f>IFERROR(__xludf.DUMMYFUNCTION("IF(OR(ISBLANK($G139), IFERROR(INDEX(GOOGLEFINANCE($C139, ""price"", WORKDAY(INT($B139), 20)), 2, 2), """")=""""), """", IF($D139=""LONG"", (IFERROR(INDEX(GOOGLEFINANCE($C139, ""price"", WORKDAY(INT($B139), 20)), 2, 2), """")-$G139)/$G139, ($G139-IFERROR(I"&amp;"NDEX(GOOGLEFINANCE($C139, ""price"", WORKDAY(INT($B139), 20)), 2, 2), """"))/$G139))"),"")</f>
        <v/>
      </c>
      <c r="T139" s="10" t="s">
        <v>3010</v>
      </c>
      <c r="U139" s="10" t="s">
        <v>492</v>
      </c>
      <c r="V139" s="10" t="s">
        <v>493</v>
      </c>
      <c r="W139" s="10" t="s">
        <v>51</v>
      </c>
      <c r="X139" s="10" t="s">
        <v>492</v>
      </c>
    </row>
    <row r="140">
      <c r="A140" s="9">
        <f t="shared" si="1"/>
        <v>139</v>
      </c>
      <c r="B140" s="11">
        <v>46219.66783564815</v>
      </c>
      <c r="C140" s="10" t="s">
        <v>77</v>
      </c>
      <c r="D140" s="10" t="s">
        <v>36</v>
      </c>
      <c r="E140" s="10" t="s">
        <v>37</v>
      </c>
      <c r="F140" s="13">
        <v>2.0</v>
      </c>
      <c r="G140" s="14">
        <v>113.09</v>
      </c>
      <c r="H140" s="10" t="s">
        <v>3011</v>
      </c>
      <c r="I140" s="10">
        <v>78.8</v>
      </c>
      <c r="O140" s="15">
        <f>IFERROR(__xludf.DUMMYFUNCTION("IF(ISBLANK($C140), """", GOOGLEFINANCE($C140, ""price""))"),108.27)</f>
        <v>108.27</v>
      </c>
      <c r="P140" s="16">
        <f t="shared" si="2"/>
        <v>-0.04262092139</v>
      </c>
      <c r="Q140" s="16">
        <f>IFERROR(__xludf.DUMMYFUNCTION("IF(OR(ISBLANK($G140), IFERROR(INDEX(GOOGLEFINANCE($C140, ""price"", WORKDAY(INT($B140), 1)), 2, 2), """")=""""), """", IF($D140=""LONG"", (IFERROR(INDEX(GOOGLEFINANCE($C140, ""price"", WORKDAY(INT($B140), 1)), 2, 2), """")-$G140)/$G140, ($G140-IFERROR(IND"&amp;"EX(GOOGLEFINANCE($C140, ""price"", WORKDAY(INT($B140), 1)), 2, 2), """"))/$G140))"),-0.01361747280926701)</f>
        <v>-0.01361747281</v>
      </c>
      <c r="R140" s="16">
        <f>IFERROR(__xludf.DUMMYFUNCTION("IF(OR(ISBLANK($G140), IFERROR(INDEX(GOOGLEFINANCE($C140, ""price"", WORKDAY(INT($B140), 5)), 2, 2), """")=""""), """", IF($D140=""LONG"", (IFERROR(INDEX(GOOGLEFINANCE($C140, ""price"", WORKDAY(INT($B140), 5)), 2, 2), """")-$G140)/$G140, ($G140-IFERROR(IND"&amp;"EX(GOOGLEFINANCE($C140, ""price"", WORKDAY(INT($B140), 5)), 2, 2), """"))/$G140))"),0.0015916526660181502)</f>
        <v>0.001591652666</v>
      </c>
      <c r="S140" s="16" t="str">
        <f>IFERROR(__xludf.DUMMYFUNCTION("IF(OR(ISBLANK($G140), IFERROR(INDEX(GOOGLEFINANCE($C140, ""price"", WORKDAY(INT($B140), 20)), 2, 2), """")=""""), """", IF($D140=""LONG"", (IFERROR(INDEX(GOOGLEFINANCE($C140, ""price"", WORKDAY(INT($B140), 20)), 2, 2), """")-$G140)/$G140, ($G140-IFERROR(I"&amp;"NDEX(GOOGLEFINANCE($C140, ""price"", WORKDAY(INT($B140), 20)), 2, 2), """"))/$G140))"),"")</f>
        <v/>
      </c>
      <c r="T140" s="10" t="s">
        <v>3014</v>
      </c>
      <c r="U140" s="10" t="s">
        <v>850</v>
      </c>
      <c r="V140" s="10" t="s">
        <v>3015</v>
      </c>
      <c r="W140" s="10" t="s">
        <v>51</v>
      </c>
      <c r="X140" s="10" t="s">
        <v>2282</v>
      </c>
    </row>
    <row r="141">
      <c r="A141" s="9">
        <f t="shared" si="1"/>
        <v>140</v>
      </c>
      <c r="B141" s="11">
        <v>46219.667650462965</v>
      </c>
      <c r="C141" s="10" t="s">
        <v>568</v>
      </c>
      <c r="D141" s="10" t="s">
        <v>119</v>
      </c>
      <c r="E141" s="10" t="s">
        <v>120</v>
      </c>
      <c r="F141" s="13">
        <v>4.0</v>
      </c>
      <c r="G141" s="14">
        <v>58.53</v>
      </c>
      <c r="H141" s="10" t="s">
        <v>3016</v>
      </c>
      <c r="I141" s="10">
        <v>10.0</v>
      </c>
      <c r="O141" s="15">
        <f>IFERROR(__xludf.DUMMYFUNCTION("IF(ISBLANK($C141), """", GOOGLEFINANCE($C141, ""price""))"),68.18)</f>
        <v>68.18</v>
      </c>
      <c r="P141" s="16">
        <f t="shared" si="2"/>
        <v>-0.1648727148</v>
      </c>
      <c r="Q141" s="16">
        <f>IFERROR(__xludf.DUMMYFUNCTION("IF(OR(ISBLANK($G141), IFERROR(INDEX(GOOGLEFINANCE($C141, ""price"", WORKDAY(INT($B141), 1)), 2, 2), """")=""""), """", IF($D141=""LONG"", (IFERROR(INDEX(GOOGLEFINANCE($C141, ""price"", WORKDAY(INT($B141), 1)), 2, 2), """")-$G141)/$G141, ($G141-IFERROR(IND"&amp;"EX(GOOGLEFINANCE($C141, ""price"", WORKDAY(INT($B141), 1)), 2, 2), """"))/$G141))"),0.002562788313685265)</f>
        <v>0.002562788314</v>
      </c>
      <c r="R141" s="16">
        <f>IFERROR(__xludf.DUMMYFUNCTION("IF(OR(ISBLANK($G141), IFERROR(INDEX(GOOGLEFINANCE($C141, ""price"", WORKDAY(INT($B141), 5)), 2, 2), """")=""""), """", IF($D141=""LONG"", (IFERROR(INDEX(GOOGLEFINANCE($C141, ""price"", WORKDAY(INT($B141), 5)), 2, 2), """")-$G141)/$G141, ($G141-IFERROR(IND"&amp;"EX(GOOGLEFINANCE($C141, ""price"", WORKDAY(INT($B141), 5)), 2, 2), """"))/$G141))"),-0.08491371946010591)</f>
        <v>-0.08491371946</v>
      </c>
      <c r="S141" s="16" t="str">
        <f>IFERROR(__xludf.DUMMYFUNCTION("IF(OR(ISBLANK($G141), IFERROR(INDEX(GOOGLEFINANCE($C141, ""price"", WORKDAY(INT($B141), 20)), 2, 2), """")=""""), """", IF($D141=""LONG"", (IFERROR(INDEX(GOOGLEFINANCE($C141, ""price"", WORKDAY(INT($B141), 20)), 2, 2), """")-$G141)/$G141, ($G141-IFERROR(I"&amp;"NDEX(GOOGLEFINANCE($C141, ""price"", WORKDAY(INT($B141), 20)), 2, 2), """"))/$G141))"),"")</f>
        <v/>
      </c>
      <c r="T141" s="10" t="s">
        <v>3019</v>
      </c>
      <c r="U141" s="10" t="s">
        <v>492</v>
      </c>
      <c r="V141" s="10" t="s">
        <v>493</v>
      </c>
      <c r="W141" s="10" t="s">
        <v>51</v>
      </c>
      <c r="X141" s="10" t="s">
        <v>492</v>
      </c>
    </row>
    <row r="142">
      <c r="A142" s="9">
        <f t="shared" si="1"/>
        <v>141</v>
      </c>
      <c r="B142" s="11">
        <v>46219.66783564815</v>
      </c>
      <c r="C142" s="10" t="s">
        <v>123</v>
      </c>
      <c r="D142" s="10" t="s">
        <v>36</v>
      </c>
      <c r="E142" s="10" t="s">
        <v>133</v>
      </c>
      <c r="F142" s="13">
        <v>2.0</v>
      </c>
      <c r="G142" s="14">
        <v>18.58</v>
      </c>
      <c r="H142" s="10" t="s">
        <v>3020</v>
      </c>
      <c r="I142" s="10">
        <v>91.1</v>
      </c>
      <c r="O142" s="15">
        <f>IFERROR(__xludf.DUMMYFUNCTION("IF(ISBLANK($C142), """", GOOGLEFINANCE($C142, ""price""))"),17.36)</f>
        <v>17.36</v>
      </c>
      <c r="P142" s="16">
        <f t="shared" si="2"/>
        <v>-0.06566200215</v>
      </c>
      <c r="Q142" s="16">
        <f>IFERROR(__xludf.DUMMYFUNCTION("IF(OR(ISBLANK($G142), IFERROR(INDEX(GOOGLEFINANCE($C142, ""price"", WORKDAY(INT($B142), 1)), 2, 2), """")=""""), """", IF($D142=""LONG"", (IFERROR(INDEX(GOOGLEFINANCE($C142, ""price"", WORKDAY(INT($B142), 1)), 2, 2), """")-$G142)/$G142, ($G142-IFERROR(IND"&amp;"EX(GOOGLEFINANCE($C142, ""price"", WORKDAY(INT($B142), 1)), 2, 2), """"))/$G142))"),-0.01776103336921412)</f>
        <v>-0.01776103337</v>
      </c>
      <c r="R142" s="16">
        <f>IFERROR(__xludf.DUMMYFUNCTION("IF(OR(ISBLANK($G142), IFERROR(INDEX(GOOGLEFINANCE($C142, ""price"", WORKDAY(INT($B142), 5)), 2, 2), """")=""""), """", IF($D142=""LONG"", (IFERROR(INDEX(GOOGLEFINANCE($C142, ""price"", WORKDAY(INT($B142), 5)), 2, 2), """")-$G142)/$G142, ($G142-IFERROR(IND"&amp;"EX(GOOGLEFINANCE($C142, ""price"", WORKDAY(INT($B142), 5)), 2, 2), """"))/$G142))"),-0.0635091496232508)</f>
        <v>-0.06350914962</v>
      </c>
      <c r="S142" s="16" t="str">
        <f>IFERROR(__xludf.DUMMYFUNCTION("IF(OR(ISBLANK($G142), IFERROR(INDEX(GOOGLEFINANCE($C142, ""price"", WORKDAY(INT($B142), 20)), 2, 2), """")=""""), """", IF($D142=""LONG"", (IFERROR(INDEX(GOOGLEFINANCE($C142, ""price"", WORKDAY(INT($B142), 20)), 2, 2), """")-$G142)/$G142, ($G142-IFERROR(I"&amp;"NDEX(GOOGLEFINANCE($C142, ""price"", WORKDAY(INT($B142), 20)), 2, 2), """"))/$G142))"),"")</f>
        <v/>
      </c>
      <c r="T142" s="10" t="s">
        <v>3023</v>
      </c>
      <c r="U142" s="10" t="s">
        <v>984</v>
      </c>
      <c r="V142" s="10" t="s">
        <v>1880</v>
      </c>
      <c r="W142" s="10" t="s">
        <v>51</v>
      </c>
      <c r="X142" s="10" t="s">
        <v>984</v>
      </c>
    </row>
    <row r="143">
      <c r="A143" s="9">
        <f t="shared" si="1"/>
        <v>142</v>
      </c>
      <c r="B143" s="11">
        <v>46219.667592592596</v>
      </c>
      <c r="C143" s="10" t="s">
        <v>76</v>
      </c>
      <c r="D143" s="10" t="s">
        <v>36</v>
      </c>
      <c r="E143" s="10" t="s">
        <v>87</v>
      </c>
      <c r="F143" s="13">
        <v>2.0</v>
      </c>
      <c r="G143" s="14">
        <v>282.89</v>
      </c>
      <c r="H143" s="10" t="s">
        <v>3024</v>
      </c>
      <c r="I143" s="10">
        <v>83.0</v>
      </c>
      <c r="O143" s="15">
        <f>IFERROR(__xludf.DUMMYFUNCTION("IF(ISBLANK($C143), """", GOOGLEFINANCE($C143, ""price""))"),294.7)</f>
        <v>294.7</v>
      </c>
      <c r="P143" s="16">
        <f t="shared" si="2"/>
        <v>0.04174767578</v>
      </c>
      <c r="Q143" s="16">
        <f>IFERROR(__xludf.DUMMYFUNCTION("IF(OR(ISBLANK($G143), IFERROR(INDEX(GOOGLEFINANCE($C143, ""price"", WORKDAY(INT($B143), 1)), 2, 2), """")=""""), """", IF($D143=""LONG"", (IFERROR(INDEX(GOOGLEFINANCE($C143, ""price"", WORKDAY(INT($B143), 1)), 2, 2), """")-$G143)/$G143, ($G143-IFERROR(IND"&amp;"EX(GOOGLEFINANCE($C143, ""price"", WORKDAY(INT($B143), 1)), 2, 2), """"))/$G143))"),-0.024179009508996343)</f>
        <v>-0.02417900951</v>
      </c>
      <c r="R143" s="16">
        <f>IFERROR(__xludf.DUMMYFUNCTION("IF(OR(ISBLANK($G143), IFERROR(INDEX(GOOGLEFINANCE($C143, ""price"", WORKDAY(INT($B143), 5)), 2, 2), """")=""""), """", IF($D143=""LONG"", (IFERROR(INDEX(GOOGLEFINANCE($C143, ""price"", WORKDAY(INT($B143), 5)), 2, 2), """")-$G143)/$G143, ($G143-IFERROR(IND"&amp;"EX(GOOGLEFINANCE($C143, ""price"", WORKDAY(INT($B143), 5)), 2, 2), """"))/$G143))"),-0.02113895860581838)</f>
        <v>-0.02113895861</v>
      </c>
      <c r="S143" s="16" t="str">
        <f>IFERROR(__xludf.DUMMYFUNCTION("IF(OR(ISBLANK($G143), IFERROR(INDEX(GOOGLEFINANCE($C143, ""price"", WORKDAY(INT($B143), 20)), 2, 2), """")=""""), """", IF($D143=""LONG"", (IFERROR(INDEX(GOOGLEFINANCE($C143, ""price"", WORKDAY(INT($B143), 20)), 2, 2), """")-$G143)/$G143, ($G143-IFERROR(I"&amp;"NDEX(GOOGLEFINANCE($C143, ""price"", WORKDAY(INT($B143), 20)), 2, 2), """"))/$G143))"),"")</f>
        <v/>
      </c>
      <c r="T143" s="10" t="s">
        <v>3027</v>
      </c>
      <c r="U143" s="10" t="s">
        <v>492</v>
      </c>
      <c r="V143" s="10" t="s">
        <v>2701</v>
      </c>
      <c r="W143" s="10" t="s">
        <v>51</v>
      </c>
      <c r="X143" s="10" t="s">
        <v>492</v>
      </c>
    </row>
    <row r="144">
      <c r="A144" s="9">
        <f t="shared" si="1"/>
        <v>143</v>
      </c>
      <c r="B144" s="11">
        <v>46219.6674537037</v>
      </c>
      <c r="C144" s="10" t="s">
        <v>243</v>
      </c>
      <c r="D144" s="10" t="s">
        <v>119</v>
      </c>
      <c r="E144" s="10" t="s">
        <v>120</v>
      </c>
      <c r="F144" s="13">
        <v>4.0</v>
      </c>
      <c r="G144" s="14">
        <v>118.83</v>
      </c>
      <c r="H144" s="10" t="s">
        <v>3028</v>
      </c>
      <c r="I144" s="10">
        <v>7.1</v>
      </c>
      <c r="O144" s="15">
        <f>IFERROR(__xludf.DUMMYFUNCTION("IF(ISBLANK($C144), """", GOOGLEFINANCE($C144, ""price""))"),118.55)</f>
        <v>118.55</v>
      </c>
      <c r="P144" s="16">
        <f t="shared" si="2"/>
        <v>0.00235630733</v>
      </c>
      <c r="Q144" s="16">
        <f>IFERROR(__xludf.DUMMYFUNCTION("IF(OR(ISBLANK($G144), IFERROR(INDEX(GOOGLEFINANCE($C144, ""price"", WORKDAY(INT($B144), 1)), 2, 2), """")=""""), """", IF($D144=""LONG"", (IFERROR(INDEX(GOOGLEFINANCE($C144, ""price"", WORKDAY(INT($B144), 1)), 2, 2), """")-$G144)/$G144, ($G144-IFERROR(IND"&amp;"EX(GOOGLEFINANCE($C144, ""price"", WORKDAY(INT($B144), 1)), 2, 2), """"))/$G144))"),-0.011444921316165946)</f>
        <v>-0.01144492132</v>
      </c>
      <c r="R144" s="16">
        <f>IFERROR(__xludf.DUMMYFUNCTION("IF(OR(ISBLANK($G144), IFERROR(INDEX(GOOGLEFINANCE($C144, ""price"", WORKDAY(INT($B144), 5)), 2, 2), """")=""""), """", IF($D144=""LONG"", (IFERROR(INDEX(GOOGLEFINANCE($C144, ""price"", WORKDAY(INT($B144), 5)), 2, 2), """")-$G144)/$G144, ($G144-IFERROR(IND"&amp;"EX(GOOGLEFINANCE($C144, ""price"", WORKDAY(INT($B144), 5)), 2, 2), """"))/$G144))"),0.012286459648236926)</f>
        <v>0.01228645965</v>
      </c>
      <c r="S144" s="16" t="str">
        <f>IFERROR(__xludf.DUMMYFUNCTION("IF(OR(ISBLANK($G144), IFERROR(INDEX(GOOGLEFINANCE($C144, ""price"", WORKDAY(INT($B144), 20)), 2, 2), """")=""""), """", IF($D144=""LONG"", (IFERROR(INDEX(GOOGLEFINANCE($C144, ""price"", WORKDAY(INT($B144), 20)), 2, 2), """")-$G144)/$G144, ($G144-IFERROR(I"&amp;"NDEX(GOOGLEFINANCE($C144, ""price"", WORKDAY(INT($B144), 20)), 2, 2), """"))/$G144))"),"")</f>
        <v/>
      </c>
      <c r="T144" s="10" t="s">
        <v>3031</v>
      </c>
      <c r="U144" s="10" t="s">
        <v>984</v>
      </c>
      <c r="V144" s="10" t="s">
        <v>985</v>
      </c>
      <c r="W144" s="10" t="s">
        <v>51</v>
      </c>
      <c r="X144" s="10" t="s">
        <v>984</v>
      </c>
    </row>
    <row r="145">
      <c r="A145" s="9">
        <f t="shared" si="1"/>
        <v>144</v>
      </c>
      <c r="B145" s="11">
        <v>46219.66769675926</v>
      </c>
      <c r="C145" s="10" t="s">
        <v>1989</v>
      </c>
      <c r="D145" s="10" t="s">
        <v>119</v>
      </c>
      <c r="E145" s="10" t="s">
        <v>120</v>
      </c>
      <c r="F145" s="13">
        <v>4.0</v>
      </c>
      <c r="G145" s="14">
        <v>82.09</v>
      </c>
      <c r="H145" s="10" t="s">
        <v>3034</v>
      </c>
      <c r="I145" s="10">
        <v>12.0</v>
      </c>
      <c r="O145" s="15">
        <f>IFERROR(__xludf.DUMMYFUNCTION("IF(ISBLANK($C145), """", GOOGLEFINANCE($C145, ""price""))"),91.69)</f>
        <v>91.69</v>
      </c>
      <c r="P145" s="16">
        <f t="shared" si="2"/>
        <v>-0.1169448167</v>
      </c>
      <c r="Q145" s="16">
        <f>IFERROR(__xludf.DUMMYFUNCTION("IF(OR(ISBLANK($G145), IFERROR(INDEX(GOOGLEFINANCE($C145, ""price"", WORKDAY(INT($B145), 1)), 2, 2), """")=""""), """", IF($D145=""LONG"", (IFERROR(INDEX(GOOGLEFINANCE($C145, ""price"", WORKDAY(INT($B145), 1)), 2, 2), """")-$G145)/$G145, ($G145-IFERROR(IND"&amp;"EX(GOOGLEFINANCE($C145, ""price"", WORKDAY(INT($B145), 1)), 2, 2), """"))/$G145))"),0.006578145937385872)</f>
        <v>0.006578145937</v>
      </c>
      <c r="R145" s="16">
        <f>IFERROR(__xludf.DUMMYFUNCTION("IF(OR(ISBLANK($G145), IFERROR(INDEX(GOOGLEFINANCE($C145, ""price"", WORKDAY(INT($B145), 5)), 2, 2), """")=""""), """", IF($D145=""LONG"", (IFERROR(INDEX(GOOGLEFINANCE($C145, ""price"", WORKDAY(INT($B145), 5)), 2, 2), """")-$G145)/$G145, ($G145-IFERROR(IND"&amp;"EX(GOOGLEFINANCE($C145, ""price"", WORKDAY(INT($B145), 5)), 2, 2), """"))/$G145))"),-0.0640760141308319)</f>
        <v>-0.06407601413</v>
      </c>
      <c r="S145" s="16" t="str">
        <f>IFERROR(__xludf.DUMMYFUNCTION("IF(OR(ISBLANK($G145), IFERROR(INDEX(GOOGLEFINANCE($C145, ""price"", WORKDAY(INT($B145), 20)), 2, 2), """")=""""), """", IF($D145=""LONG"", (IFERROR(INDEX(GOOGLEFINANCE($C145, ""price"", WORKDAY(INT($B145), 20)), 2, 2), """")-$G145)/$G145, ($G145-IFERROR(I"&amp;"NDEX(GOOGLEFINANCE($C145, ""price"", WORKDAY(INT($B145), 20)), 2, 2), """"))/$G145))"),"")</f>
        <v/>
      </c>
      <c r="T145" s="10" t="s">
        <v>3037</v>
      </c>
      <c r="U145" s="10" t="s">
        <v>984</v>
      </c>
      <c r="V145" s="10" t="s">
        <v>985</v>
      </c>
      <c r="W145" s="10" t="s">
        <v>51</v>
      </c>
      <c r="X145" s="10" t="s">
        <v>984</v>
      </c>
    </row>
    <row r="146">
      <c r="A146" s="9">
        <f t="shared" si="1"/>
        <v>145</v>
      </c>
      <c r="B146" s="11">
        <v>46219.66761574074</v>
      </c>
      <c r="C146" s="10" t="s">
        <v>918</v>
      </c>
      <c r="D146" s="10" t="s">
        <v>36</v>
      </c>
      <c r="E146" s="10" t="s">
        <v>37</v>
      </c>
      <c r="F146" s="13">
        <v>2.0</v>
      </c>
      <c r="G146" s="14">
        <v>337.92</v>
      </c>
      <c r="H146" s="10" t="s">
        <v>3038</v>
      </c>
      <c r="I146" s="10">
        <v>95.2</v>
      </c>
      <c r="O146" s="15">
        <f>IFERROR(__xludf.DUMMYFUNCTION("IF(ISBLANK($C146), """", GOOGLEFINANCE($C146, ""price""))"),386.0)</f>
        <v>386</v>
      </c>
      <c r="P146" s="16">
        <f t="shared" si="2"/>
        <v>0.142282197</v>
      </c>
      <c r="Q146" s="16">
        <f>IFERROR(__xludf.DUMMYFUNCTION("IF(OR(ISBLANK($G146), IFERROR(INDEX(GOOGLEFINANCE($C146, ""price"", WORKDAY(INT($B146), 1)), 2, 2), """")=""""), """", IF($D146=""LONG"", (IFERROR(INDEX(GOOGLEFINANCE($C146, ""price"", WORKDAY(INT($B146), 1)), 2, 2), """")-$G146)/$G146, ($G146-IFERROR(IND"&amp;"EX(GOOGLEFINANCE($C146, ""price"", WORKDAY(INT($B146), 1)), 2, 2), """"))/$G146))"),0.09191524621212122)</f>
        <v>0.09191524621</v>
      </c>
      <c r="R146" s="16">
        <f>IFERROR(__xludf.DUMMYFUNCTION("IF(OR(ISBLANK($G146), IFERROR(INDEX(GOOGLEFINANCE($C146, ""price"", WORKDAY(INT($B146), 5)), 2, 2), """")=""""), """", IF($D146=""LONG"", (IFERROR(INDEX(GOOGLEFINANCE($C146, ""price"", WORKDAY(INT($B146), 5)), 2, 2), """")-$G146)/$G146, ($G146-IFERROR(IND"&amp;"EX(GOOGLEFINANCE($C146, ""price"", WORKDAY(INT($B146), 5)), 2, 2), """"))/$G146))"),0.11378432765151511)</f>
        <v>0.1137843277</v>
      </c>
      <c r="S146" s="16" t="str">
        <f>IFERROR(__xludf.DUMMYFUNCTION("IF(OR(ISBLANK($G146), IFERROR(INDEX(GOOGLEFINANCE($C146, ""price"", WORKDAY(INT($B146), 20)), 2, 2), """")=""""), """", IF($D146=""LONG"", (IFERROR(INDEX(GOOGLEFINANCE($C146, ""price"", WORKDAY(INT($B146), 20)), 2, 2), """")-$G146)/$G146, ($G146-IFERROR(I"&amp;"NDEX(GOOGLEFINANCE($C146, ""price"", WORKDAY(INT($B146), 20)), 2, 2), """"))/$G146))"),"")</f>
        <v/>
      </c>
      <c r="T146" s="10" t="s">
        <v>3041</v>
      </c>
      <c r="U146" s="10" t="s">
        <v>932</v>
      </c>
      <c r="V146" s="10" t="s">
        <v>933</v>
      </c>
      <c r="W146" s="10" t="s">
        <v>51</v>
      </c>
      <c r="X146" s="10" t="s">
        <v>932</v>
      </c>
    </row>
    <row r="147">
      <c r="A147" s="9">
        <f t="shared" si="1"/>
        <v>146</v>
      </c>
      <c r="B147" s="11">
        <v>46219.667662037034</v>
      </c>
      <c r="C147" s="10" t="s">
        <v>386</v>
      </c>
      <c r="D147" s="10" t="s">
        <v>36</v>
      </c>
      <c r="E147" s="10" t="s">
        <v>37</v>
      </c>
      <c r="F147" s="13">
        <v>2.0</v>
      </c>
      <c r="G147" s="14">
        <v>386.58</v>
      </c>
      <c r="H147" s="10" t="s">
        <v>3043</v>
      </c>
      <c r="I147" s="10">
        <v>91.2</v>
      </c>
      <c r="O147" s="15">
        <f>IFERROR(__xludf.DUMMYFUNCTION("IF(ISBLANK($C147), """", GOOGLEFINANCE($C147, ""price""))"),367.24)</f>
        <v>367.24</v>
      </c>
      <c r="P147" s="16">
        <f t="shared" si="2"/>
        <v>-0.05002845465</v>
      </c>
      <c r="Q147" s="16">
        <f>IFERROR(__xludf.DUMMYFUNCTION("IF(OR(ISBLANK($G147), IFERROR(INDEX(GOOGLEFINANCE($C147, ""price"", WORKDAY(INT($B147), 1)), 2, 2), """")=""""), """", IF($D147=""LONG"", (IFERROR(INDEX(GOOGLEFINANCE($C147, ""price"", WORKDAY(INT($B147), 1)), 2, 2), """")-$G147)/$G147, ($G147-IFERROR(IND"&amp;"EX(GOOGLEFINANCE($C147, ""price"", WORKDAY(INT($B147), 1)), 2, 2), """"))/$G147))"),0.034714677427699354)</f>
        <v>0.03471467743</v>
      </c>
      <c r="R147" s="16">
        <f>IFERROR(__xludf.DUMMYFUNCTION("IF(OR(ISBLANK($G147), IFERROR(INDEX(GOOGLEFINANCE($C147, ""price"", WORKDAY(INT($B147), 5)), 2, 2), """")=""""), """", IF($D147=""LONG"", (IFERROR(INDEX(GOOGLEFINANCE($C147, ""price"", WORKDAY(INT($B147), 5)), 2, 2), """")-$G147)/$G147, ($G147-IFERROR(IND"&amp;"EX(GOOGLEFINANCE($C147, ""price"", WORKDAY(INT($B147), 5)), 2, 2), """"))/$G147))"),0.02048735061306849)</f>
        <v>0.02048735061</v>
      </c>
      <c r="S147" s="16" t="str">
        <f>IFERROR(__xludf.DUMMYFUNCTION("IF(OR(ISBLANK($G147), IFERROR(INDEX(GOOGLEFINANCE($C147, ""price"", WORKDAY(INT($B147), 20)), 2, 2), """")=""""), """", IF($D147=""LONG"", (IFERROR(INDEX(GOOGLEFINANCE($C147, ""price"", WORKDAY(INT($B147), 20)), 2, 2), """")-$G147)/$G147, ($G147-IFERROR(I"&amp;"NDEX(GOOGLEFINANCE($C147, ""price"", WORKDAY(INT($B147), 20)), 2, 2), """"))/$G147))"),"")</f>
        <v/>
      </c>
      <c r="T147" s="10" t="s">
        <v>3046</v>
      </c>
      <c r="U147" s="10" t="s">
        <v>507</v>
      </c>
      <c r="V147" s="10" t="s">
        <v>3047</v>
      </c>
      <c r="W147" s="10" t="s">
        <v>51</v>
      </c>
      <c r="X147" s="10" t="s">
        <v>2228</v>
      </c>
    </row>
    <row r="148">
      <c r="A148" s="9">
        <f t="shared" si="1"/>
        <v>147</v>
      </c>
      <c r="B148" s="11">
        <v>46219.66747685185</v>
      </c>
      <c r="C148" s="10" t="s">
        <v>3049</v>
      </c>
      <c r="D148" s="10" t="s">
        <v>36</v>
      </c>
      <c r="E148" s="10" t="s">
        <v>87</v>
      </c>
      <c r="F148" s="13">
        <v>2.0</v>
      </c>
      <c r="G148" s="14">
        <v>189.88</v>
      </c>
      <c r="H148" s="10" t="s">
        <v>3050</v>
      </c>
      <c r="I148" s="10">
        <v>64.3</v>
      </c>
      <c r="O148" s="15">
        <f>IFERROR(__xludf.DUMMYFUNCTION("IF(ISBLANK($C148), """", GOOGLEFINANCE($C148, ""price""))"),188.05)</f>
        <v>188.05</v>
      </c>
      <c r="P148" s="16">
        <f t="shared" si="2"/>
        <v>-0.009637665894</v>
      </c>
      <c r="Q148" s="16">
        <f>IFERROR(__xludf.DUMMYFUNCTION("IF(OR(ISBLANK($G148), IFERROR(INDEX(GOOGLEFINANCE($C148, ""price"", WORKDAY(INT($B148), 1)), 2, 2), """")=""""), """", IF($D148=""LONG"", (IFERROR(INDEX(GOOGLEFINANCE($C148, ""price"", WORKDAY(INT($B148), 1)), 2, 2), """")-$G148)/$G148, ($G148-IFERROR(IND"&amp;"EX(GOOGLEFINANCE($C148, ""price"", WORKDAY(INT($B148), 1)), 2, 2), """"))/$G148))"),0.01632610069517587)</f>
        <v>0.0163261007</v>
      </c>
      <c r="R148" s="16">
        <f>IFERROR(__xludf.DUMMYFUNCTION("IF(OR(ISBLANK($G148), IFERROR(INDEX(GOOGLEFINANCE($C148, ""price"", WORKDAY(INT($B148), 5)), 2, 2), """")=""""), """", IF($D148=""LONG"", (IFERROR(INDEX(GOOGLEFINANCE($C148, ""price"", WORKDAY(INT($B148), 5)), 2, 2), """")-$G148)/$G148, ($G148-IFERROR(IND"&amp;"EX(GOOGLEFINANCE($C148, ""price"", WORKDAY(INT($B148), 5)), 2, 2), """"))/$G148))"),0.006530440278070408)</f>
        <v>0.006530440278</v>
      </c>
      <c r="S148" s="16" t="str">
        <f>IFERROR(__xludf.DUMMYFUNCTION("IF(OR(ISBLANK($G148), IFERROR(INDEX(GOOGLEFINANCE($C148, ""price"", WORKDAY(INT($B148), 20)), 2, 2), """")=""""), """", IF($D148=""LONG"", (IFERROR(INDEX(GOOGLEFINANCE($C148, ""price"", WORKDAY(INT($B148), 20)), 2, 2), """")-$G148)/$G148, ($G148-IFERROR(I"&amp;"NDEX(GOOGLEFINANCE($C148, ""price"", WORKDAY(INT($B148), 20)), 2, 2), """"))/$G148))"),"")</f>
        <v/>
      </c>
      <c r="T148" s="10" t="s">
        <v>3053</v>
      </c>
      <c r="U148" s="10" t="s">
        <v>984</v>
      </c>
      <c r="V148" s="10" t="s">
        <v>985</v>
      </c>
      <c r="W148" s="10" t="s">
        <v>51</v>
      </c>
      <c r="X148" s="10" t="s">
        <v>984</v>
      </c>
    </row>
    <row r="149">
      <c r="A149" s="9">
        <f t="shared" si="1"/>
        <v>148</v>
      </c>
      <c r="B149" s="11">
        <v>46219.66763888889</v>
      </c>
      <c r="C149" s="10" t="s">
        <v>267</v>
      </c>
      <c r="D149" s="10" t="s">
        <v>36</v>
      </c>
      <c r="E149" s="10" t="s">
        <v>37</v>
      </c>
      <c r="F149" s="13">
        <v>2.0</v>
      </c>
      <c r="G149" s="14">
        <v>186.33</v>
      </c>
      <c r="H149" s="10" t="s">
        <v>3054</v>
      </c>
      <c r="I149" s="10">
        <v>97.8</v>
      </c>
      <c r="O149" s="15">
        <f>IFERROR(__xludf.DUMMYFUNCTION("IF(ISBLANK($C149), """", GOOGLEFINANCE($C149, ""price""))"),213.26)</f>
        <v>213.26</v>
      </c>
      <c r="P149" s="16">
        <f t="shared" si="2"/>
        <v>0.1445285247</v>
      </c>
      <c r="Q149" s="16">
        <f>IFERROR(__xludf.DUMMYFUNCTION("IF(OR(ISBLANK($G149), IFERROR(INDEX(GOOGLEFINANCE($C149, ""price"", WORKDAY(INT($B149), 1)), 2, 2), """")=""""), """", IF($D149=""LONG"", (IFERROR(INDEX(GOOGLEFINANCE($C149, ""price"", WORKDAY(INT($B149), 1)), 2, 2), """")-$G149)/$G149, ($G149-IFERROR(IND"&amp;"EX(GOOGLEFINANCE($C149, ""price"", WORKDAY(INT($B149), 1)), 2, 2), """"))/$G149))"),-0.011753340846884699)</f>
        <v>-0.01175334085</v>
      </c>
      <c r="R149" s="16">
        <f>IFERROR(__xludf.DUMMYFUNCTION("IF(OR(ISBLANK($G149), IFERROR(INDEX(GOOGLEFINANCE($C149, ""price"", WORKDAY(INT($B149), 5)), 2, 2), """")=""""), """", IF($D149=""LONG"", (IFERROR(INDEX(GOOGLEFINANCE($C149, ""price"", WORKDAY(INT($B149), 5)), 2, 2), """")-$G149)/$G149, ($G149-IFERROR(IND"&amp;"EX(GOOGLEFINANCE($C149, ""price"", WORKDAY(INT($B149), 5)), 2, 2), """"))/$G149))"),-0.08887457736274353)</f>
        <v>-0.08887457736</v>
      </c>
      <c r="S149" s="16" t="str">
        <f>IFERROR(__xludf.DUMMYFUNCTION("IF(OR(ISBLANK($G149), IFERROR(INDEX(GOOGLEFINANCE($C149, ""price"", WORKDAY(INT($B149), 20)), 2, 2), """")=""""), """", IF($D149=""LONG"", (IFERROR(INDEX(GOOGLEFINANCE($C149, ""price"", WORKDAY(INT($B149), 20)), 2, 2), """")-$G149)/$G149, ($G149-IFERROR(I"&amp;"NDEX(GOOGLEFINANCE($C149, ""price"", WORKDAY(INT($B149), 20)), 2, 2), """"))/$G149))"),"")</f>
        <v/>
      </c>
      <c r="T149" s="10" t="s">
        <v>3057</v>
      </c>
      <c r="U149" s="10" t="s">
        <v>984</v>
      </c>
      <c r="V149" s="10" t="s">
        <v>985</v>
      </c>
      <c r="W149" s="10" t="s">
        <v>51</v>
      </c>
      <c r="X149" s="10" t="s">
        <v>984</v>
      </c>
    </row>
    <row r="150">
      <c r="A150" s="9">
        <f t="shared" si="1"/>
        <v>149</v>
      </c>
      <c r="B150" s="11">
        <v>46219.66784722222</v>
      </c>
      <c r="C150" s="10" t="s">
        <v>392</v>
      </c>
      <c r="D150" s="10" t="s">
        <v>36</v>
      </c>
      <c r="E150" s="10" t="s">
        <v>37</v>
      </c>
      <c r="F150" s="13">
        <v>2.0</v>
      </c>
      <c r="G150" s="14">
        <v>234.09</v>
      </c>
      <c r="H150" s="10" t="s">
        <v>3058</v>
      </c>
      <c r="I150" s="10">
        <v>93.2</v>
      </c>
      <c r="O150" s="15">
        <f>IFERROR(__xludf.DUMMYFUNCTION("IF(ISBLANK($C150), """", GOOGLEFINANCE($C150, ""price""))"),180.67)</f>
        <v>180.67</v>
      </c>
      <c r="P150" s="16">
        <f t="shared" si="2"/>
        <v>-0.228202828</v>
      </c>
      <c r="Q150" s="16">
        <f>IFERROR(__xludf.DUMMYFUNCTION("IF(OR(ISBLANK($G150), IFERROR(INDEX(GOOGLEFINANCE($C150, ""price"", WORKDAY(INT($B150), 1)), 2, 2), """")=""""), """", IF($D150=""LONG"", (IFERROR(INDEX(GOOGLEFINANCE($C150, ""price"", WORKDAY(INT($B150), 1)), 2, 2), """")-$G150)/$G150, ($G150-IFERROR(IND"&amp;"EX(GOOGLEFINANCE($C150, ""price"", WORKDAY(INT($B150), 1)), 2, 2), """"))/$G150))"),0.012302960399846193)</f>
        <v>0.0123029604</v>
      </c>
      <c r="R150" s="16">
        <f>IFERROR(__xludf.DUMMYFUNCTION("IF(OR(ISBLANK($G150), IFERROR(INDEX(GOOGLEFINANCE($C150, ""price"", WORKDAY(INT($B150), 5)), 2, 2), """")=""""), """", IF($D150=""LONG"", (IFERROR(INDEX(GOOGLEFINANCE($C150, ""price"", WORKDAY(INT($B150), 5)), 2, 2), """")-$G150)/$G150, ($G150-IFERROR(IND"&amp;"EX(GOOGLEFINANCE($C150, ""price"", WORKDAY(INT($B150), 5)), 2, 2), """"))/$G150))"),7.689350249904174E-4)</f>
        <v>0.000768935025</v>
      </c>
      <c r="S150" s="16" t="str">
        <f>IFERROR(__xludf.DUMMYFUNCTION("IF(OR(ISBLANK($G150), IFERROR(INDEX(GOOGLEFINANCE($C150, ""price"", WORKDAY(INT($B150), 20)), 2, 2), """")=""""), """", IF($D150=""LONG"", (IFERROR(INDEX(GOOGLEFINANCE($C150, ""price"", WORKDAY(INT($B150), 20)), 2, 2), """")-$G150)/$G150, ($G150-IFERROR(I"&amp;"NDEX(GOOGLEFINANCE($C150, ""price"", WORKDAY(INT($B150), 20)), 2, 2), """"))/$G150))"),"")</f>
        <v/>
      </c>
      <c r="T150" s="10" t="s">
        <v>3061</v>
      </c>
      <c r="U150" s="10" t="s">
        <v>850</v>
      </c>
      <c r="V150" s="10" t="s">
        <v>3062</v>
      </c>
      <c r="W150" s="10" t="s">
        <v>51</v>
      </c>
      <c r="X150" s="10" t="s">
        <v>2282</v>
      </c>
    </row>
    <row r="151">
      <c r="A151" s="9">
        <f t="shared" si="1"/>
        <v>150</v>
      </c>
      <c r="B151" s="11">
        <v>46219.667708333334</v>
      </c>
      <c r="C151" s="10" t="s">
        <v>3063</v>
      </c>
      <c r="D151" s="10" t="s">
        <v>119</v>
      </c>
      <c r="E151" s="10" t="s">
        <v>120</v>
      </c>
      <c r="F151" s="13">
        <v>4.0</v>
      </c>
      <c r="G151" s="14">
        <v>402.29</v>
      </c>
      <c r="H151" s="10" t="s">
        <v>3064</v>
      </c>
      <c r="I151" s="10">
        <v>58.2</v>
      </c>
      <c r="O151" s="15">
        <f>IFERROR(__xludf.DUMMYFUNCTION("IF(ISBLANK($C151), """", GOOGLEFINANCE($C151, ""price""))"),373.71)</f>
        <v>373.71</v>
      </c>
      <c r="P151" s="16">
        <f t="shared" si="2"/>
        <v>0.07104327724</v>
      </c>
      <c r="Q151" s="16">
        <f>IFERROR(__xludf.DUMMYFUNCTION("IF(OR(ISBLANK($G151), IFERROR(INDEX(GOOGLEFINANCE($C151, ""price"", WORKDAY(INT($B151), 1)), 2, 2), """")=""""), """", IF($D151=""LONG"", (IFERROR(INDEX(GOOGLEFINANCE($C151, ""price"", WORKDAY(INT($B151), 1)), 2, 2), """")-$G151)/$G151, ($G151-IFERROR(IND"&amp;"EX(GOOGLEFINANCE($C151, ""price"", WORKDAY(INT($B151), 1)), 2, 2), """"))/$G151))"),0.14136568147356385)</f>
        <v>0.1413656815</v>
      </c>
      <c r="R151" s="16">
        <f>IFERROR(__xludf.DUMMYFUNCTION("IF(OR(ISBLANK($G151), IFERROR(INDEX(GOOGLEFINANCE($C151, ""price"", WORKDAY(INT($B151), 5)), 2, 2), """")=""""), """", IF($D151=""LONG"", (IFERROR(INDEX(GOOGLEFINANCE($C151, ""price"", WORKDAY(INT($B151), 5)), 2, 2), """")-$G151)/$G151, ($G151-IFERROR(IND"&amp;"EX(GOOGLEFINANCE($C151, ""price"", WORKDAY(INT($B151), 5)), 2, 2), """"))/$G151))"),0.1746749857068285)</f>
        <v>0.1746749857</v>
      </c>
      <c r="S151" s="16" t="str">
        <f>IFERROR(__xludf.DUMMYFUNCTION("IF(OR(ISBLANK($G151), IFERROR(INDEX(GOOGLEFINANCE($C151, ""price"", WORKDAY(INT($B151), 20)), 2, 2), """")=""""), """", IF($D151=""LONG"", (IFERROR(INDEX(GOOGLEFINANCE($C151, ""price"", WORKDAY(INT($B151), 20)), 2, 2), """")-$G151)/$G151, ($G151-IFERROR(I"&amp;"NDEX(GOOGLEFINANCE($C151, ""price"", WORKDAY(INT($B151), 20)), 2, 2), """"))/$G151))"),"")</f>
        <v/>
      </c>
      <c r="T151" s="10" t="s">
        <v>3067</v>
      </c>
      <c r="U151" s="10" t="s">
        <v>984</v>
      </c>
      <c r="V151" s="10" t="s">
        <v>1059</v>
      </c>
      <c r="W151" s="10" t="s">
        <v>51</v>
      </c>
      <c r="X151" s="10" t="s">
        <v>984</v>
      </c>
    </row>
    <row r="152">
      <c r="A152" s="9">
        <f t="shared" si="1"/>
        <v>151</v>
      </c>
      <c r="B152" s="11">
        <v>46219.667719907404</v>
      </c>
      <c r="C152" s="10" t="s">
        <v>60</v>
      </c>
      <c r="D152" s="10" t="s">
        <v>36</v>
      </c>
      <c r="E152" s="10" t="s">
        <v>37</v>
      </c>
      <c r="F152" s="13">
        <v>2.0</v>
      </c>
      <c r="G152" s="14">
        <v>44.84</v>
      </c>
      <c r="H152" s="10" t="s">
        <v>3068</v>
      </c>
      <c r="I152" s="10">
        <v>93.7</v>
      </c>
      <c r="O152" s="15">
        <f>IFERROR(__xludf.DUMMYFUNCTION("IF(ISBLANK($C152), """", GOOGLEFINANCE($C152, ""price""))"),47.06)</f>
        <v>47.06</v>
      </c>
      <c r="P152" s="16">
        <f t="shared" si="2"/>
        <v>0.04950936664</v>
      </c>
      <c r="Q152" s="16">
        <f>IFERROR(__xludf.DUMMYFUNCTION("IF(OR(ISBLANK($G152), IFERROR(INDEX(GOOGLEFINANCE($C152, ""price"", WORKDAY(INT($B152), 1)), 2, 2), """")=""""), """", IF($D152=""LONG"", (IFERROR(INDEX(GOOGLEFINANCE($C152, ""price"", WORKDAY(INT($B152), 1)), 2, 2), """")-$G152)/$G152, ($G152-IFERROR(IND"&amp;"EX(GOOGLEFINANCE($C152, ""price"", WORKDAY(INT($B152), 1)), 2, 2), """"))/$G152))"),-0.020071364852810115)</f>
        <v>-0.02007136485</v>
      </c>
      <c r="R152" s="16">
        <f>IFERROR(__xludf.DUMMYFUNCTION("IF(OR(ISBLANK($G152), IFERROR(INDEX(GOOGLEFINANCE($C152, ""price"", WORKDAY(INT($B152), 5)), 2, 2), """")=""""), """", IF($D152=""LONG"", (IFERROR(INDEX(GOOGLEFINANCE($C152, ""price"", WORKDAY(INT($B152), 5)), 2, 2), """")-$G152)/$G152, ($G152-IFERROR(IND"&amp;"EX(GOOGLEFINANCE($C152, ""price"", WORKDAY(INT($B152), 5)), 2, 2), """"))/$G152))"),-0.0492863514719001)</f>
        <v>-0.04928635147</v>
      </c>
      <c r="S152" s="16" t="str">
        <f>IFERROR(__xludf.DUMMYFUNCTION("IF(OR(ISBLANK($G152), IFERROR(INDEX(GOOGLEFINANCE($C152, ""price"", WORKDAY(INT($B152), 20)), 2, 2), """")=""""), """", IF($D152=""LONG"", (IFERROR(INDEX(GOOGLEFINANCE($C152, ""price"", WORKDAY(INT($B152), 20)), 2, 2), """")-$G152)/$G152, ($G152-IFERROR(I"&amp;"NDEX(GOOGLEFINANCE($C152, ""price"", WORKDAY(INT($B152), 20)), 2, 2), """"))/$G152))"),"")</f>
        <v/>
      </c>
      <c r="T152" s="10" t="s">
        <v>3071</v>
      </c>
      <c r="U152" s="10" t="s">
        <v>984</v>
      </c>
      <c r="V152" s="10" t="s">
        <v>1880</v>
      </c>
      <c r="W152" s="10" t="s">
        <v>51</v>
      </c>
      <c r="X152" s="10" t="s">
        <v>984</v>
      </c>
    </row>
    <row r="153">
      <c r="A153" s="9">
        <f t="shared" si="1"/>
        <v>152</v>
      </c>
      <c r="B153" s="11">
        <v>46219.667719907404</v>
      </c>
      <c r="C153" s="10" t="s">
        <v>228</v>
      </c>
      <c r="D153" s="10" t="s">
        <v>36</v>
      </c>
      <c r="E153" s="10" t="s">
        <v>37</v>
      </c>
      <c r="F153" s="13">
        <v>2.0</v>
      </c>
      <c r="G153" s="14">
        <v>69.89</v>
      </c>
      <c r="H153" s="10" t="s">
        <v>1794</v>
      </c>
      <c r="I153" s="10">
        <v>97.2</v>
      </c>
      <c r="O153" s="15">
        <f>IFERROR(__xludf.DUMMYFUNCTION("IF(ISBLANK($C153), """", GOOGLEFINANCE($C153, ""price""))"),72.13)</f>
        <v>72.13</v>
      </c>
      <c r="P153" s="16">
        <f t="shared" si="2"/>
        <v>0.03205036486</v>
      </c>
      <c r="Q153" s="16">
        <f>IFERROR(__xludf.DUMMYFUNCTION("IF(OR(ISBLANK($G153), IFERROR(INDEX(GOOGLEFINANCE($C153, ""price"", WORKDAY(INT($B153), 1)), 2, 2), """")=""""), """", IF($D153=""LONG"", (IFERROR(INDEX(GOOGLEFINANCE($C153, ""price"", WORKDAY(INT($B153), 1)), 2, 2), """")-$G153)/$G153, ($G153-IFERROR(IND"&amp;"EX(GOOGLEFINANCE($C153, ""price"", WORKDAY(INT($B153), 1)), 2, 2), """"))/$G153))"),0.024610101588210028)</f>
        <v>0.02461010159</v>
      </c>
      <c r="R153" s="16">
        <f>IFERROR(__xludf.DUMMYFUNCTION("IF(OR(ISBLANK($G153), IFERROR(INDEX(GOOGLEFINANCE($C153, ""price"", WORKDAY(INT($B153), 5)), 2, 2), """")=""""), """", IF($D153=""LONG"", (IFERROR(INDEX(GOOGLEFINANCE($C153, ""price"", WORKDAY(INT($B153), 5)), 2, 2), """")-$G153)/$G153, ($G153-IFERROR(IND"&amp;"EX(GOOGLEFINANCE($C153, ""price"", WORKDAY(INT($B153), 5)), 2, 2), """"))/$G153))"),0.05065102303619983)</f>
        <v>0.05065102304</v>
      </c>
      <c r="S153" s="16" t="str">
        <f>IFERROR(__xludf.DUMMYFUNCTION("IF(OR(ISBLANK($G153), IFERROR(INDEX(GOOGLEFINANCE($C153, ""price"", WORKDAY(INT($B153), 20)), 2, 2), """")=""""), """", IF($D153=""LONG"", (IFERROR(INDEX(GOOGLEFINANCE($C153, ""price"", WORKDAY(INT($B153), 20)), 2, 2), """")-$G153)/$G153, ($G153-IFERROR(I"&amp;"NDEX(GOOGLEFINANCE($C153, ""price"", WORKDAY(INT($B153), 20)), 2, 2), """"))/$G153))"),"")</f>
        <v/>
      </c>
      <c r="T153" s="10" t="s">
        <v>3078</v>
      </c>
      <c r="U153" s="10" t="s">
        <v>932</v>
      </c>
      <c r="V153" s="10" t="s">
        <v>933</v>
      </c>
      <c r="W153" s="10" t="s">
        <v>51</v>
      </c>
      <c r="X153" s="10" t="s">
        <v>932</v>
      </c>
    </row>
    <row r="154">
      <c r="A154" s="9">
        <f t="shared" si="1"/>
        <v>153</v>
      </c>
      <c r="B154" s="11">
        <v>46219.667604166665</v>
      </c>
      <c r="C154" s="10" t="s">
        <v>280</v>
      </c>
      <c r="D154" s="10" t="s">
        <v>36</v>
      </c>
      <c r="E154" s="10" t="s">
        <v>37</v>
      </c>
      <c r="F154" s="13">
        <v>2.0</v>
      </c>
      <c r="G154" s="14">
        <v>75.75</v>
      </c>
      <c r="H154" s="10" t="s">
        <v>3079</v>
      </c>
      <c r="I154" s="10">
        <v>82.2</v>
      </c>
      <c r="O154" s="15">
        <f>IFERROR(__xludf.DUMMYFUNCTION("IF(ISBLANK($C154), """", GOOGLEFINANCE($C154, ""price""))"),69.52)</f>
        <v>69.52</v>
      </c>
      <c r="P154" s="16">
        <f t="shared" si="2"/>
        <v>-0.08224422442</v>
      </c>
      <c r="Q154" s="16">
        <f>IFERROR(__xludf.DUMMYFUNCTION("IF(OR(ISBLANK($G154), IFERROR(INDEX(GOOGLEFINANCE($C154, ""price"", WORKDAY(INT($B154), 1)), 2, 2), """")=""""), """", IF($D154=""LONG"", (IFERROR(INDEX(GOOGLEFINANCE($C154, ""price"", WORKDAY(INT($B154), 1)), 2, 2), """")-$G154)/$G154, ($G154-IFERROR(IND"&amp;"EX(GOOGLEFINANCE($C154, ""price"", WORKDAY(INT($B154), 1)), 2, 2), """"))/$G154))"),-0.012277227722772368)</f>
        <v>-0.01227722772</v>
      </c>
      <c r="R154" s="16">
        <f>IFERROR(__xludf.DUMMYFUNCTION("IF(OR(ISBLANK($G154), IFERROR(INDEX(GOOGLEFINANCE($C154, ""price"", WORKDAY(INT($B154), 5)), 2, 2), """")=""""), """", IF($D154=""LONG"", (IFERROR(INDEX(GOOGLEFINANCE($C154, ""price"", WORKDAY(INT($B154), 5)), 2, 2), """")-$G154)/$G154, ($G154-IFERROR(IND"&amp;"EX(GOOGLEFINANCE($C154, ""price"", WORKDAY(INT($B154), 5)), 2, 2), """"))/$G154))"),-0.017557755775577534)</f>
        <v>-0.01755775578</v>
      </c>
      <c r="S154" s="16" t="str">
        <f>IFERROR(__xludf.DUMMYFUNCTION("IF(OR(ISBLANK($G154), IFERROR(INDEX(GOOGLEFINANCE($C154, ""price"", WORKDAY(INT($B154), 20)), 2, 2), """")=""""), """", IF($D154=""LONG"", (IFERROR(INDEX(GOOGLEFINANCE($C154, ""price"", WORKDAY(INT($B154), 20)), 2, 2), """")-$G154)/$G154, ($G154-IFERROR(I"&amp;"NDEX(GOOGLEFINANCE($C154, ""price"", WORKDAY(INT($B154), 20)), 2, 2), """"))/$G154))"),"")</f>
        <v/>
      </c>
      <c r="T154" s="10" t="s">
        <v>3083</v>
      </c>
      <c r="U154" s="10" t="s">
        <v>704</v>
      </c>
      <c r="V154" s="10" t="s">
        <v>3084</v>
      </c>
      <c r="W154" s="10" t="s">
        <v>51</v>
      </c>
      <c r="X154" s="10" t="s">
        <v>1885</v>
      </c>
    </row>
    <row r="155">
      <c r="A155" s="9">
        <f t="shared" si="1"/>
        <v>154</v>
      </c>
      <c r="B155" s="11">
        <v>46219.66784722222</v>
      </c>
      <c r="C155" s="10" t="s">
        <v>372</v>
      </c>
      <c r="D155" s="10" t="s">
        <v>119</v>
      </c>
      <c r="E155" s="10" t="s">
        <v>120</v>
      </c>
      <c r="F155" s="13">
        <v>4.0</v>
      </c>
      <c r="G155" s="14">
        <v>135.47</v>
      </c>
      <c r="H155" s="10" t="s">
        <v>3085</v>
      </c>
      <c r="I155" s="10">
        <v>50.0</v>
      </c>
      <c r="O155" s="15">
        <f>IFERROR(__xludf.DUMMYFUNCTION("IF(ISBLANK($C155), """", GOOGLEFINANCE($C155, ""price""))"),133.37)</f>
        <v>133.37</v>
      </c>
      <c r="P155" s="16">
        <f t="shared" si="2"/>
        <v>0.01550158707</v>
      </c>
      <c r="Q155" s="16">
        <f>IFERROR(__xludf.DUMMYFUNCTION("IF(OR(ISBLANK($G155), IFERROR(INDEX(GOOGLEFINANCE($C155, ""price"", WORKDAY(INT($B155), 1)), 2, 2), """")=""""), """", IF($D155=""LONG"", (IFERROR(INDEX(GOOGLEFINANCE($C155, ""price"", WORKDAY(INT($B155), 1)), 2, 2), """")-$G155)/$G155, ($G155-IFERROR(IND"&amp;"EX(GOOGLEFINANCE($C155, ""price"", WORKDAY(INT($B155), 1)), 2, 2), """"))/$G155))"),-0.006495903151989337)</f>
        <v>-0.006495903152</v>
      </c>
      <c r="R155" s="16">
        <f>IFERROR(__xludf.DUMMYFUNCTION("IF(OR(ISBLANK($G155), IFERROR(INDEX(GOOGLEFINANCE($C155, ""price"", WORKDAY(INT($B155), 5)), 2, 2), """")=""""), """", IF($D155=""LONG"", (IFERROR(INDEX(GOOGLEFINANCE($C155, ""price"", WORKDAY(INT($B155), 5)), 2, 2), """")-$G155)/$G155, ($G155-IFERROR(IND"&amp;"EX(GOOGLEFINANCE($C155, ""price"", WORKDAY(INT($B155), 5)), 2, 2), """"))/$G155))"),-0.02354764892596145)</f>
        <v>-0.02354764893</v>
      </c>
      <c r="S155" s="16" t="str">
        <f>IFERROR(__xludf.DUMMYFUNCTION("IF(OR(ISBLANK($G155), IFERROR(INDEX(GOOGLEFINANCE($C155, ""price"", WORKDAY(INT($B155), 20)), 2, 2), """")=""""), """", IF($D155=""LONG"", (IFERROR(INDEX(GOOGLEFINANCE($C155, ""price"", WORKDAY(INT($B155), 20)), 2, 2), """")-$G155)/$G155, ($G155-IFERROR(I"&amp;"NDEX(GOOGLEFINANCE($C155, ""price"", WORKDAY(INT($B155), 20)), 2, 2), """"))/$G155))"),"")</f>
        <v/>
      </c>
      <c r="T155" s="10" t="s">
        <v>3089</v>
      </c>
      <c r="U155" s="10" t="s">
        <v>492</v>
      </c>
      <c r="V155" s="10" t="s">
        <v>493</v>
      </c>
      <c r="W155" s="10" t="s">
        <v>51</v>
      </c>
      <c r="X155" s="10" t="s">
        <v>492</v>
      </c>
    </row>
    <row r="156">
      <c r="A156" s="9">
        <f t="shared" si="1"/>
        <v>155</v>
      </c>
      <c r="B156" s="11">
        <v>46219.667546296296</v>
      </c>
      <c r="C156" s="10" t="s">
        <v>3091</v>
      </c>
      <c r="D156" s="10" t="s">
        <v>119</v>
      </c>
      <c r="E156" s="10" t="s">
        <v>120</v>
      </c>
      <c r="F156" s="13">
        <v>4.0</v>
      </c>
      <c r="G156" s="14">
        <v>30.37</v>
      </c>
      <c r="H156" s="10" t="s">
        <v>3092</v>
      </c>
      <c r="I156" s="10">
        <v>14.3</v>
      </c>
      <c r="O156" s="15">
        <f>IFERROR(__xludf.DUMMYFUNCTION("IF(ISBLANK($C156), """", GOOGLEFINANCE($C156, ""price""))"),29.58)</f>
        <v>29.58</v>
      </c>
      <c r="P156" s="16">
        <f t="shared" si="2"/>
        <v>0.02601251235</v>
      </c>
      <c r="Q156" s="16">
        <f>IFERROR(__xludf.DUMMYFUNCTION("IF(OR(ISBLANK($G156), IFERROR(INDEX(GOOGLEFINANCE($C156, ""price"", WORKDAY(INT($B156), 1)), 2, 2), """")=""""), """", IF($D156=""LONG"", (IFERROR(INDEX(GOOGLEFINANCE($C156, ""price"", WORKDAY(INT($B156), 1)), 2, 2), """")-$G156)/$G156, ($G156-IFERROR(IND"&amp;"EX(GOOGLEFINANCE($C156, ""price"", WORKDAY(INT($B156), 1)), 2, 2), """"))/$G156))"),0.01942706618373394)</f>
        <v>0.01942706618</v>
      </c>
      <c r="R156" s="16">
        <f>IFERROR(__xludf.DUMMYFUNCTION("IF(OR(ISBLANK($G156), IFERROR(INDEX(GOOGLEFINANCE($C156, ""price"", WORKDAY(INT($B156), 5)), 2, 2), """")=""""), """", IF($D156=""LONG"", (IFERROR(INDEX(GOOGLEFINANCE($C156, ""price"", WORKDAY(INT($B156), 5)), 2, 2), """")-$G156)/$G156, ($G156-IFERROR(IND"&amp;"EX(GOOGLEFINANCE($C156, ""price"", WORKDAY(INT($B156), 5)), 2, 2), """"))/$G156))"),0.1063549555482384)</f>
        <v>0.1063549555</v>
      </c>
      <c r="S156" s="16" t="str">
        <f>IFERROR(__xludf.DUMMYFUNCTION("IF(OR(ISBLANK($G156), IFERROR(INDEX(GOOGLEFINANCE($C156, ""price"", WORKDAY(INT($B156), 20)), 2, 2), """")=""""), """", IF($D156=""LONG"", (IFERROR(INDEX(GOOGLEFINANCE($C156, ""price"", WORKDAY(INT($B156), 20)), 2, 2), """")-$G156)/$G156, ($G156-IFERROR(I"&amp;"NDEX(GOOGLEFINANCE($C156, ""price"", WORKDAY(INT($B156), 20)), 2, 2), """"))/$G156))"),"")</f>
        <v/>
      </c>
      <c r="T156" s="10" t="s">
        <v>3095</v>
      </c>
      <c r="U156" s="10" t="s">
        <v>984</v>
      </c>
      <c r="V156" s="10" t="s">
        <v>985</v>
      </c>
      <c r="W156" s="10" t="s">
        <v>51</v>
      </c>
      <c r="X156" s="10" t="s">
        <v>984</v>
      </c>
    </row>
    <row r="157">
      <c r="A157" s="9">
        <f t="shared" si="1"/>
        <v>156</v>
      </c>
      <c r="B157" s="11">
        <v>46219.66778935185</v>
      </c>
      <c r="C157" s="10" t="s">
        <v>331</v>
      </c>
      <c r="D157" s="10" t="s">
        <v>36</v>
      </c>
      <c r="E157" s="10" t="s">
        <v>37</v>
      </c>
      <c r="F157" s="13">
        <v>2.0</v>
      </c>
      <c r="G157" s="14">
        <v>255.14</v>
      </c>
      <c r="H157" s="10" t="s">
        <v>3096</v>
      </c>
      <c r="I157" s="10">
        <v>93.8</v>
      </c>
      <c r="O157" s="15">
        <f>IFERROR(__xludf.DUMMYFUNCTION("IF(ISBLANK($C157), """", GOOGLEFINANCE($C157, ""price""))"),252.76)</f>
        <v>252.76</v>
      </c>
      <c r="P157" s="16">
        <f t="shared" si="2"/>
        <v>-0.009328211962</v>
      </c>
      <c r="Q157" s="16">
        <f>IFERROR(__xludf.DUMMYFUNCTION("IF(OR(ISBLANK($G157), IFERROR(INDEX(GOOGLEFINANCE($C157, ""price"", WORKDAY(INT($B157), 1)), 2, 2), """")=""""), """", IF($D157=""LONG"", (IFERROR(INDEX(GOOGLEFINANCE($C157, ""price"", WORKDAY(INT($B157), 1)), 2, 2), """")-$G157)/$G157, ($G157-IFERROR(IND"&amp;"EX(GOOGLEFINANCE($C157, ""price"", WORKDAY(INT($B157), 1)), 2, 2), """"))/$G157))"),-0.008936270282981785)</f>
        <v>-0.008936270283</v>
      </c>
      <c r="R157" s="16">
        <f>IFERROR(__xludf.DUMMYFUNCTION("IF(OR(ISBLANK($G157), IFERROR(INDEX(GOOGLEFINANCE($C157, ""price"", WORKDAY(INT($B157), 5)), 2, 2), """")=""""), """", IF($D157=""LONG"", (IFERROR(INDEX(GOOGLEFINANCE($C157, ""price"", WORKDAY(INT($B157), 5)), 2, 2), """")-$G157)/$G157, ($G157-IFERROR(IND"&amp;"EX(GOOGLEFINANCE($C157, ""price"", WORKDAY(INT($B157), 5)), 2, 2), """"))/$G157))"),-0.02304617072979539)</f>
        <v>-0.02304617073</v>
      </c>
      <c r="S157" s="16" t="str">
        <f>IFERROR(__xludf.DUMMYFUNCTION("IF(OR(ISBLANK($G157), IFERROR(INDEX(GOOGLEFINANCE($C157, ""price"", WORKDAY(INT($B157), 20)), 2, 2), """")=""""), """", IF($D157=""LONG"", (IFERROR(INDEX(GOOGLEFINANCE($C157, ""price"", WORKDAY(INT($B157), 20)), 2, 2), """")-$G157)/$G157, ($G157-IFERROR(I"&amp;"NDEX(GOOGLEFINANCE($C157, ""price"", WORKDAY(INT($B157), 20)), 2, 2), """"))/$G157))"),"")</f>
        <v/>
      </c>
      <c r="T157" s="10" t="s">
        <v>3101</v>
      </c>
      <c r="U157" s="10" t="s">
        <v>984</v>
      </c>
      <c r="V157" s="10" t="s">
        <v>1880</v>
      </c>
      <c r="W157" s="10" t="s">
        <v>51</v>
      </c>
      <c r="X157" s="10" t="s">
        <v>984</v>
      </c>
    </row>
    <row r="158">
      <c r="A158" s="9">
        <f t="shared" si="1"/>
        <v>157</v>
      </c>
      <c r="B158" s="11">
        <v>46219.667858796296</v>
      </c>
      <c r="C158" s="10" t="s">
        <v>269</v>
      </c>
      <c r="D158" s="10" t="s">
        <v>36</v>
      </c>
      <c r="E158" s="10" t="s">
        <v>133</v>
      </c>
      <c r="F158" s="13">
        <v>2.0</v>
      </c>
      <c r="G158" s="14">
        <v>185.64</v>
      </c>
      <c r="H158" s="10" t="s">
        <v>3102</v>
      </c>
      <c r="I158" s="10">
        <v>78.4</v>
      </c>
      <c r="O158" s="15">
        <f>IFERROR(__xludf.DUMMYFUNCTION("IF(ISBLANK($C158), """", GOOGLEFINANCE($C158, ""price""))"),184.92)</f>
        <v>184.92</v>
      </c>
      <c r="P158" s="16">
        <f t="shared" si="2"/>
        <v>-0.003878474467</v>
      </c>
      <c r="Q158" s="16">
        <f>IFERROR(__xludf.DUMMYFUNCTION("IF(OR(ISBLANK($G158), IFERROR(INDEX(GOOGLEFINANCE($C158, ""price"", WORKDAY(INT($B158), 1)), 2, 2), """")=""""), """", IF($D158=""LONG"", (IFERROR(INDEX(GOOGLEFINANCE($C158, ""price"", WORKDAY(INT($B158), 1)), 2, 2), """")-$G158)/$G158, ($G158-IFERROR(IND"&amp;"EX(GOOGLEFINANCE($C158, ""price"", WORKDAY(INT($B158), 1)), 2, 2), """"))/$G158))"),-0.016914458090928605)</f>
        <v>-0.01691445809</v>
      </c>
      <c r="R158" s="16">
        <f>IFERROR(__xludf.DUMMYFUNCTION("IF(OR(ISBLANK($G158), IFERROR(INDEX(GOOGLEFINANCE($C158, ""price"", WORKDAY(INT($B158), 5)), 2, 2), """")=""""), """", IF($D158=""LONG"", (IFERROR(INDEX(GOOGLEFINANCE($C158, ""price"", WORKDAY(INT($B158), 5)), 2, 2), """")-$G158)/$G158, ($G158-IFERROR(IND"&amp;"EX(GOOGLEFINANCE($C158, ""price"", WORKDAY(INT($B158), 5)), 2, 2), """"))/$G158))"),-0.007703081232492881)</f>
        <v>-0.007703081232</v>
      </c>
      <c r="S158" s="16" t="str">
        <f>IFERROR(__xludf.DUMMYFUNCTION("IF(OR(ISBLANK($G158), IFERROR(INDEX(GOOGLEFINANCE($C158, ""price"", WORKDAY(INT($B158), 20)), 2, 2), """")=""""), """", IF($D158=""LONG"", (IFERROR(INDEX(GOOGLEFINANCE($C158, ""price"", WORKDAY(INT($B158), 20)), 2, 2), """")-$G158)/$G158, ($G158-IFERROR(I"&amp;"NDEX(GOOGLEFINANCE($C158, ""price"", WORKDAY(INT($B158), 20)), 2, 2), """"))/$G158))"),"")</f>
        <v/>
      </c>
      <c r="T158" s="10" t="s">
        <v>3106</v>
      </c>
      <c r="U158" s="10" t="s">
        <v>545</v>
      </c>
      <c r="V158" s="10" t="s">
        <v>3107</v>
      </c>
      <c r="W158" s="10" t="s">
        <v>51</v>
      </c>
      <c r="X158" s="10" t="s">
        <v>545</v>
      </c>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10" t="s">
        <v>17</v>
      </c>
      <c r="V1" s="10" t="s">
        <v>19</v>
      </c>
      <c r="W1" s="10" t="s">
        <v>21</v>
      </c>
      <c r="X1" s="10" t="s">
        <v>474</v>
      </c>
    </row>
    <row r="2">
      <c r="A2" s="9">
        <f t="shared" ref="A2:A149" si="1">ROW()-1</f>
        <v>1</v>
      </c>
      <c r="B2" s="11">
        <v>46220.667395833334</v>
      </c>
      <c r="C2" s="10" t="s">
        <v>95</v>
      </c>
      <c r="D2" s="10" t="s">
        <v>36</v>
      </c>
      <c r="E2" s="10" t="s">
        <v>37</v>
      </c>
      <c r="F2" s="13">
        <v>2.0</v>
      </c>
      <c r="G2" s="14">
        <v>180.22</v>
      </c>
      <c r="H2" s="10" t="s">
        <v>2590</v>
      </c>
      <c r="I2" s="10">
        <v>91.1</v>
      </c>
      <c r="O2" s="15">
        <f>IFERROR(__xludf.DUMMYFUNCTION("IF(ISBLANK($C2), """", GOOGLEFINANCE($C2, ""price""))"),181.77)</f>
        <v>181.77</v>
      </c>
      <c r="P2" s="16">
        <f t="shared" ref="P2:P149" si="2">IF(OR(ISBLANK($G2), ISBLANK($O2)), "", IF($D2="LONG", ($O2-$G2)/$G2, ($G2-$O2)/$G2))</f>
        <v>0.008600599268</v>
      </c>
      <c r="Q2" s="16">
        <f>IFERROR(__xludf.DUMMYFUNCTION("IF(OR(ISBLANK($G2), IFERROR(INDEX(GOOGLEFINANCE($C2, ""price"", WORKDAY(INT($B2), 1)), 2, 2), """")=""""), """", IF($D2=""LONG"", (IFERROR(INDEX(GOOGLEFINANCE($C2, ""price"", WORKDAY(INT($B2), 1)), 2, 2), """")-$G2)/$G2, ($G2-IFERROR(INDEX(GOOGLEFINANCE($"&amp;"C2, ""price"", WORKDAY(INT($B2), 1)), 2, 2), """"))/$G2))"),0.0035512151814449827)</f>
        <v>0.003551215181</v>
      </c>
      <c r="R2" s="16">
        <f>IFERROR(__xludf.DUMMYFUNCTION("IF(OR(ISBLANK($G2), IFERROR(INDEX(GOOGLEFINANCE($C2, ""price"", WORKDAY(INT($B2), 5)), 2, 2), """")=""""), """", IF($D2=""LONG"", (IFERROR(INDEX(GOOGLEFINANCE($C2, ""price"", WORKDAY(INT($B2), 5)), 2, 2), """")-$G2)/$G2, ($G2-IFERROR(INDEX(GOOGLEFINANCE($"&amp;"C2, ""price"", WORKDAY(INT($B2), 5)), 2, 2), """"))/$G2))"),-0.01653534568860276)</f>
        <v>-0.01653534569</v>
      </c>
      <c r="S2" s="16" t="str">
        <f>IFERROR(__xludf.DUMMYFUNCTION("IF(OR(ISBLANK($G2), IFERROR(INDEX(GOOGLEFINANCE($C2, ""price"", WORKDAY(INT($B2), 20)), 2, 2), """")=""""), """", IF($D2=""LONG"", (IFERROR(INDEX(GOOGLEFINANCE($C2, ""price"", WORKDAY(INT($B2), 20)), 2, 2), """")-$G2)/$G2, ($G2-IFERROR(INDEX(GOOGLEFINANCE"&amp;"($C2, ""price"", WORKDAY(INT($B2), 20)), 2, 2), """"))/$G2))"),"")</f>
        <v/>
      </c>
      <c r="T2" s="10" t="s">
        <v>2596</v>
      </c>
      <c r="U2" s="10" t="s">
        <v>886</v>
      </c>
      <c r="V2" s="10" t="s">
        <v>2597</v>
      </c>
      <c r="W2" s="10" t="s">
        <v>51</v>
      </c>
      <c r="X2" s="10" t="s">
        <v>886</v>
      </c>
    </row>
    <row r="3">
      <c r="A3" s="9">
        <f t="shared" si="1"/>
        <v>2</v>
      </c>
      <c r="B3" s="11">
        <v>46220.66748842593</v>
      </c>
      <c r="C3" s="10" t="s">
        <v>185</v>
      </c>
      <c r="D3" s="10" t="s">
        <v>36</v>
      </c>
      <c r="E3" s="10" t="s">
        <v>37</v>
      </c>
      <c r="F3" s="13">
        <v>2.0</v>
      </c>
      <c r="G3" s="14">
        <v>78.65</v>
      </c>
      <c r="H3" s="10" t="s">
        <v>2599</v>
      </c>
      <c r="I3" s="10">
        <v>91.5</v>
      </c>
      <c r="O3" s="15">
        <f>IFERROR(__xludf.DUMMYFUNCTION("IF(ISBLANK($C3), """", GOOGLEFINANCE($C3, ""price""))"),75.47)</f>
        <v>75.47</v>
      </c>
      <c r="P3" s="16">
        <f t="shared" si="2"/>
        <v>-0.04043229498</v>
      </c>
      <c r="Q3" s="16">
        <f>IFERROR(__xludf.DUMMYFUNCTION("IF(OR(ISBLANK($G3), IFERROR(INDEX(GOOGLEFINANCE($C3, ""price"", WORKDAY(INT($B3), 1)), 2, 2), """")=""""), """", IF($D3=""LONG"", (IFERROR(INDEX(GOOGLEFINANCE($C3, ""price"", WORKDAY(INT($B3), 1)), 2, 2), """")-$G3)/$G3, ($G3-IFERROR(INDEX(GOOGLEFINANCE($"&amp;"C3, ""price"", WORKDAY(INT($B3), 1)), 2, 2), """"))/$G3))"),-0.014748887476160339)</f>
        <v>-0.01474888748</v>
      </c>
      <c r="R3" s="16">
        <f>IFERROR(__xludf.DUMMYFUNCTION("IF(OR(ISBLANK($G3), IFERROR(INDEX(GOOGLEFINANCE($C3, ""price"", WORKDAY(INT($B3), 5)), 2, 2), """")=""""), """", IF($D3=""LONG"", (IFERROR(INDEX(GOOGLEFINANCE($C3, ""price"", WORKDAY(INT($B3), 5)), 2, 2), """")-$G3)/$G3, ($G3-IFERROR(INDEX(GOOGLEFINANCE($"&amp;"C3, ""price"", WORKDAY(INT($B3), 5)), 2, 2), """"))/$G3))"),0.007883026064844123)</f>
        <v>0.007883026065</v>
      </c>
      <c r="S3" s="16" t="str">
        <f>IFERROR(__xludf.DUMMYFUNCTION("IF(OR(ISBLANK($G3), IFERROR(INDEX(GOOGLEFINANCE($C3, ""price"", WORKDAY(INT($B3), 20)), 2, 2), """")=""""), """", IF($D3=""LONG"", (IFERROR(INDEX(GOOGLEFINANCE($C3, ""price"", WORKDAY(INT($B3), 20)), 2, 2), """")-$G3)/$G3, ($G3-IFERROR(INDEX(GOOGLEFINANCE"&amp;"($C3, ""price"", WORKDAY(INT($B3), 20)), 2, 2), """"))/$G3))"),"")</f>
        <v/>
      </c>
      <c r="T3" s="10" t="s">
        <v>2602</v>
      </c>
      <c r="U3" s="10" t="s">
        <v>492</v>
      </c>
      <c r="V3" s="10" t="s">
        <v>493</v>
      </c>
      <c r="W3" s="10" t="s">
        <v>51</v>
      </c>
      <c r="X3" s="10" t="s">
        <v>492</v>
      </c>
    </row>
    <row r="4">
      <c r="A4" s="9">
        <f t="shared" si="1"/>
        <v>3</v>
      </c>
      <c r="B4" s="11">
        <v>46220.66738425926</v>
      </c>
      <c r="C4" s="10" t="s">
        <v>444</v>
      </c>
      <c r="D4" s="10" t="s">
        <v>36</v>
      </c>
      <c r="E4" s="10" t="s">
        <v>37</v>
      </c>
      <c r="F4" s="13">
        <v>2.0</v>
      </c>
      <c r="G4" s="14">
        <v>355.38</v>
      </c>
      <c r="H4" s="10" t="s">
        <v>2604</v>
      </c>
      <c r="I4" s="10">
        <v>95.6</v>
      </c>
      <c r="O4" s="15">
        <f>IFERROR(__xludf.DUMMYFUNCTION("IF(ISBLANK($C4), """", GOOGLEFINANCE($C4, ""price""))"),342.6)</f>
        <v>342.6</v>
      </c>
      <c r="P4" s="16">
        <f t="shared" si="2"/>
        <v>-0.03596150599</v>
      </c>
      <c r="Q4" s="16">
        <f>IFERROR(__xludf.DUMMYFUNCTION("IF(OR(ISBLANK($G4), IFERROR(INDEX(GOOGLEFINANCE($C4, ""price"", WORKDAY(INT($B4), 1)), 2, 2), """")=""""), """", IF($D4=""LONG"", (IFERROR(INDEX(GOOGLEFINANCE($C4, ""price"", WORKDAY(INT($B4), 1)), 2, 2), """")-$G4)/$G4, ($G4-IFERROR(INDEX(GOOGLEFINANCE($"&amp;"C4, ""price"", WORKDAY(INT($B4), 1)), 2, 2), """"))/$G4))"),-0.009707918284653016)</f>
        <v>-0.009707918285</v>
      </c>
      <c r="R4" s="16">
        <f>IFERROR(__xludf.DUMMYFUNCTION("IF(OR(ISBLANK($G4), IFERROR(INDEX(GOOGLEFINANCE($C4, ""price"", WORKDAY(INT($B4), 5)), 2, 2), """")=""""), """", IF($D4=""LONG"", (IFERROR(INDEX(GOOGLEFINANCE($C4, ""price"", WORKDAY(INT($B4), 5)), 2, 2), """")-$G4)/$G4, ($G4-IFERROR(INDEX(GOOGLEFINANCE($"&amp;"C4, ""price"", WORKDAY(INT($B4), 5)), 2, 2), """"))/$G4))"),-0.08219370814339574)</f>
        <v>-0.08219370814</v>
      </c>
      <c r="S4" s="16" t="str">
        <f>IFERROR(__xludf.DUMMYFUNCTION("IF(OR(ISBLANK($G4), IFERROR(INDEX(GOOGLEFINANCE($C4, ""price"", WORKDAY(INT($B4), 20)), 2, 2), """")=""""), """", IF($D4=""LONG"", (IFERROR(INDEX(GOOGLEFINANCE($C4, ""price"", WORKDAY(INT($B4), 20)), 2, 2), """")-$G4)/$G4, ($G4-IFERROR(INDEX(GOOGLEFINANCE"&amp;"($C4, ""price"", WORKDAY(INT($B4), 20)), 2, 2), """"))/$G4))"),"")</f>
        <v/>
      </c>
      <c r="T4" s="10" t="s">
        <v>2606</v>
      </c>
      <c r="U4" s="10" t="s">
        <v>492</v>
      </c>
      <c r="V4" s="10" t="s">
        <v>493</v>
      </c>
      <c r="W4" s="10" t="s">
        <v>51</v>
      </c>
      <c r="X4" s="10" t="s">
        <v>492</v>
      </c>
    </row>
    <row r="5">
      <c r="A5" s="9">
        <f t="shared" si="1"/>
        <v>4</v>
      </c>
      <c r="B5" s="11">
        <v>46220.667395833334</v>
      </c>
      <c r="C5" s="10" t="s">
        <v>600</v>
      </c>
      <c r="D5" s="10" t="s">
        <v>36</v>
      </c>
      <c r="E5" s="10" t="s">
        <v>37</v>
      </c>
      <c r="F5" s="13">
        <v>2.0</v>
      </c>
      <c r="G5" s="14">
        <v>224.35</v>
      </c>
      <c r="H5" s="10" t="s">
        <v>2607</v>
      </c>
      <c r="I5" s="10">
        <v>95.8</v>
      </c>
      <c r="O5" s="15">
        <f>IFERROR(__xludf.DUMMYFUNCTION("IF(ISBLANK($C5), """", GOOGLEFINANCE($C5, ""price""))"),265.51)</f>
        <v>265.51</v>
      </c>
      <c r="P5" s="16">
        <f t="shared" si="2"/>
        <v>0.1834633385</v>
      </c>
      <c r="Q5" s="16">
        <f>IFERROR(__xludf.DUMMYFUNCTION("IF(OR(ISBLANK($G5), IFERROR(INDEX(GOOGLEFINANCE($C5, ""price"", WORKDAY(INT($B5), 1)), 2, 2), """")=""""), """", IF($D5=""LONG"", (IFERROR(INDEX(GOOGLEFINANCE($C5, ""price"", WORKDAY(INT($B5), 1)), 2, 2), """")-$G5)/$G5, ($G5-IFERROR(INDEX(GOOGLEFINANCE($"&amp;"C5, ""price"", WORKDAY(INT($B5), 1)), 2, 2), """"))/$G5))"),-0.02072654334744821)</f>
        <v>-0.02072654335</v>
      </c>
      <c r="R5" s="16">
        <f>IFERROR(__xludf.DUMMYFUNCTION("IF(OR(ISBLANK($G5), IFERROR(INDEX(GOOGLEFINANCE($C5, ""price"", WORKDAY(INT($B5), 5)), 2, 2), """")=""""), """", IF($D5=""LONG"", (IFERROR(INDEX(GOOGLEFINANCE($C5, ""price"", WORKDAY(INT($B5), 5)), 2, 2), """")-$G5)/$G5, ($G5-IFERROR(INDEX(GOOGLEFINANCE($"&amp;"C5, ""price"", WORKDAY(INT($B5), 5)), 2, 2), """"))/$G5))"),0.009939826164475233)</f>
        <v>0.009939826164</v>
      </c>
      <c r="S5" s="16" t="str">
        <f>IFERROR(__xludf.DUMMYFUNCTION("IF(OR(ISBLANK($G5), IFERROR(INDEX(GOOGLEFINANCE($C5, ""price"", WORKDAY(INT($B5), 20)), 2, 2), """")=""""), """", IF($D5=""LONG"", (IFERROR(INDEX(GOOGLEFINANCE($C5, ""price"", WORKDAY(INT($B5), 20)), 2, 2), """")-$G5)/$G5, ($G5-IFERROR(INDEX(GOOGLEFINANCE"&amp;"($C5, ""price"", WORKDAY(INT($B5), 20)), 2, 2), """"))/$G5))"),"")</f>
        <v/>
      </c>
      <c r="T5" s="10" t="s">
        <v>2612</v>
      </c>
      <c r="U5" s="10" t="s">
        <v>492</v>
      </c>
      <c r="V5" s="10" t="s">
        <v>493</v>
      </c>
      <c r="W5" s="10" t="s">
        <v>51</v>
      </c>
      <c r="X5" s="10" t="s">
        <v>492</v>
      </c>
    </row>
    <row r="6">
      <c r="A6" s="9">
        <f t="shared" si="1"/>
        <v>5</v>
      </c>
      <c r="B6" s="11">
        <v>46220.66740740741</v>
      </c>
      <c r="C6" s="10" t="s">
        <v>295</v>
      </c>
      <c r="D6" s="10" t="s">
        <v>119</v>
      </c>
      <c r="E6" s="10" t="s">
        <v>120</v>
      </c>
      <c r="F6" s="13">
        <v>4.0</v>
      </c>
      <c r="G6" s="14">
        <v>1310.86</v>
      </c>
      <c r="H6" s="10" t="s">
        <v>2613</v>
      </c>
      <c r="I6" s="10">
        <v>5.3</v>
      </c>
      <c r="O6" s="15">
        <f>IFERROR(__xludf.DUMMYFUNCTION("IF(ISBLANK($C6), """", GOOGLEFINANCE($C6, ""price""))"),1359.08)</f>
        <v>1359.08</v>
      </c>
      <c r="P6" s="16">
        <f t="shared" si="2"/>
        <v>-0.03678501137</v>
      </c>
      <c r="Q6" s="16">
        <f>IFERROR(__xludf.DUMMYFUNCTION("IF(OR(ISBLANK($G6), IFERROR(INDEX(GOOGLEFINANCE($C6, ""price"", WORKDAY(INT($B6), 1)), 2, 2), """")=""""), """", IF($D6=""LONG"", (IFERROR(INDEX(GOOGLEFINANCE($C6, ""price"", WORKDAY(INT($B6), 1)), 2, 2), """")-$G6)/$G6, ($G6-IFERROR(INDEX(GOOGLEFINANCE($"&amp;"C6, ""price"", WORKDAY(INT($B6), 1)), 2, 2), """"))/$G6))"),-0.013685672001586787)</f>
        <v>-0.013685672</v>
      </c>
      <c r="R6" s="16">
        <f>IFERROR(__xludf.DUMMYFUNCTION("IF(OR(ISBLANK($G6), IFERROR(INDEX(GOOGLEFINANCE($C6, ""price"", WORKDAY(INT($B6), 5)), 2, 2), """")=""""), """", IF($D6=""LONG"", (IFERROR(INDEX(GOOGLEFINANCE($C6, ""price"", WORKDAY(INT($B6), 5)), 2, 2), """")-$G6)/$G6, ($G6-IFERROR(INDEX(GOOGLEFINANCE($"&amp;"C6, ""price"", WORKDAY(INT($B6), 5)), 2, 2), """"))/$G6))"),-0.01750759043681251)</f>
        <v>-0.01750759044</v>
      </c>
      <c r="S6" s="16" t="str">
        <f>IFERROR(__xludf.DUMMYFUNCTION("IF(OR(ISBLANK($G6), IFERROR(INDEX(GOOGLEFINANCE($C6, ""price"", WORKDAY(INT($B6), 20)), 2, 2), """")=""""), """", IF($D6=""LONG"", (IFERROR(INDEX(GOOGLEFINANCE($C6, ""price"", WORKDAY(INT($B6), 20)), 2, 2), """")-$G6)/$G6, ($G6-IFERROR(INDEX(GOOGLEFINANCE"&amp;"($C6, ""price"", WORKDAY(INT($B6), 20)), 2, 2), """"))/$G6))"),"")</f>
        <v/>
      </c>
      <c r="T6" s="10" t="s">
        <v>2620</v>
      </c>
      <c r="U6" s="10" t="s">
        <v>984</v>
      </c>
      <c r="V6" s="10" t="s">
        <v>985</v>
      </c>
      <c r="W6" s="10" t="s">
        <v>51</v>
      </c>
      <c r="X6" s="10" t="s">
        <v>984</v>
      </c>
    </row>
    <row r="7">
      <c r="A7" s="9">
        <f t="shared" si="1"/>
        <v>6</v>
      </c>
      <c r="B7" s="11">
        <v>46220.66737268519</v>
      </c>
      <c r="C7" s="10" t="s">
        <v>129</v>
      </c>
      <c r="D7" s="10" t="s">
        <v>119</v>
      </c>
      <c r="E7" s="10" t="s">
        <v>120</v>
      </c>
      <c r="F7" s="13">
        <v>4.0</v>
      </c>
      <c r="G7" s="14">
        <v>55.95</v>
      </c>
      <c r="H7" s="10" t="s">
        <v>2622</v>
      </c>
      <c r="I7" s="10">
        <v>3.9</v>
      </c>
      <c r="O7" s="15">
        <f>IFERROR(__xludf.DUMMYFUNCTION("IF(ISBLANK($C7), """", GOOGLEFINANCE($C7, ""price""))"),62.75)</f>
        <v>62.75</v>
      </c>
      <c r="P7" s="16">
        <f t="shared" si="2"/>
        <v>-0.1215370867</v>
      </c>
      <c r="Q7" s="16">
        <f>IFERROR(__xludf.DUMMYFUNCTION("IF(OR(ISBLANK($G7), IFERROR(INDEX(GOOGLEFINANCE($C7, ""price"", WORKDAY(INT($B7), 1)), 2, 2), """")=""""), """", IF($D7=""LONG"", (IFERROR(INDEX(GOOGLEFINANCE($C7, ""price"", WORKDAY(INT($B7), 1)), 2, 2), """")-$G7)/$G7, ($G7-IFERROR(INDEX(GOOGLEFINANCE($"&amp;"C7, ""price"", WORKDAY(INT($B7), 1)), 2, 2), """"))/$G7))"),0.01429848078641652)</f>
        <v>0.01429848079</v>
      </c>
      <c r="R7" s="16">
        <f>IFERROR(__xludf.DUMMYFUNCTION("IF(OR(ISBLANK($G7), IFERROR(INDEX(GOOGLEFINANCE($C7, ""price"", WORKDAY(INT($B7), 5)), 2, 2), """")=""""), """", IF($D7=""LONG"", (IFERROR(INDEX(GOOGLEFINANCE($C7, ""price"", WORKDAY(INT($B7), 5)), 2, 2), """")-$G7)/$G7, ($G7-IFERROR(INDEX(GOOGLEFINANCE($"&amp;"C7, ""price"", WORKDAY(INT($B7), 5)), 2, 2), """"))/$G7))"),-0.023235031277926668)</f>
        <v>-0.02323503128</v>
      </c>
      <c r="S7" s="16" t="str">
        <f>IFERROR(__xludf.DUMMYFUNCTION("IF(OR(ISBLANK($G7), IFERROR(INDEX(GOOGLEFINANCE($C7, ""price"", WORKDAY(INT($B7), 20)), 2, 2), """")=""""), """", IF($D7=""LONG"", (IFERROR(INDEX(GOOGLEFINANCE($C7, ""price"", WORKDAY(INT($B7), 20)), 2, 2), """")-$G7)/$G7, ($G7-IFERROR(INDEX(GOOGLEFINANCE"&amp;"($C7, ""price"", WORKDAY(INT($B7), 20)), 2, 2), """"))/$G7))"),"")</f>
        <v/>
      </c>
      <c r="T7" s="10" t="s">
        <v>2624</v>
      </c>
      <c r="U7" s="10" t="s">
        <v>984</v>
      </c>
      <c r="V7" s="10" t="s">
        <v>1059</v>
      </c>
      <c r="W7" s="10" t="s">
        <v>51</v>
      </c>
      <c r="X7" s="10" t="s">
        <v>984</v>
      </c>
    </row>
    <row r="8">
      <c r="A8" s="9">
        <f t="shared" si="1"/>
        <v>7</v>
      </c>
      <c r="B8" s="11">
        <v>46220.66741898148</v>
      </c>
      <c r="C8" s="10" t="s">
        <v>1672</v>
      </c>
      <c r="D8" s="10" t="s">
        <v>36</v>
      </c>
      <c r="E8" s="10" t="s">
        <v>37</v>
      </c>
      <c r="F8" s="13">
        <v>2.0</v>
      </c>
      <c r="G8" s="14">
        <v>101.36</v>
      </c>
      <c r="H8" s="10" t="s">
        <v>1427</v>
      </c>
      <c r="I8" s="10">
        <v>95.5</v>
      </c>
      <c r="O8" s="15">
        <f>IFERROR(__xludf.DUMMYFUNCTION("IF(ISBLANK($C8), """", GOOGLEFINANCE($C8, ""price""))"),99.29)</f>
        <v>99.29</v>
      </c>
      <c r="P8" s="16">
        <f t="shared" si="2"/>
        <v>-0.0204222573</v>
      </c>
      <c r="Q8" s="16">
        <f>IFERROR(__xludf.DUMMYFUNCTION("IF(OR(ISBLANK($G8), IFERROR(INDEX(GOOGLEFINANCE($C8, ""price"", WORKDAY(INT($B8), 1)), 2, 2), """")=""""), """", IF($D8=""LONG"", (IFERROR(INDEX(GOOGLEFINANCE($C8, ""price"", WORKDAY(INT($B8), 1)), 2, 2), """")-$G8)/$G8, ($G8-IFERROR(INDEX(GOOGLEFINANCE($"&amp;"C8, ""price"", WORKDAY(INT($B8), 1)), 2, 2), """"))/$G8))"),0.004636937647987361)</f>
        <v>0.004636937648</v>
      </c>
      <c r="R8" s="16">
        <f>IFERROR(__xludf.DUMMYFUNCTION("IF(OR(ISBLANK($G8), IFERROR(INDEX(GOOGLEFINANCE($C8, ""price"", WORKDAY(INT($B8), 5)), 2, 2), """")=""""), """", IF($D8=""LONG"", (IFERROR(INDEX(GOOGLEFINANCE($C8, ""price"", WORKDAY(INT($B8), 5)), 2, 2), """")-$G8)/$G8, ($G8-IFERROR(INDEX(GOOGLEFINANCE($"&amp;"C8, ""price"", WORKDAY(INT($B8), 5)), 2, 2), """"))/$G8))"),0.01973164956590371)</f>
        <v>0.01973164957</v>
      </c>
      <c r="S8" s="16" t="str">
        <f>IFERROR(__xludf.DUMMYFUNCTION("IF(OR(ISBLANK($G8), IFERROR(INDEX(GOOGLEFINANCE($C8, ""price"", WORKDAY(INT($B8), 20)), 2, 2), """")=""""), """", IF($D8=""LONG"", (IFERROR(INDEX(GOOGLEFINANCE($C8, ""price"", WORKDAY(INT($B8), 20)), 2, 2), """")-$G8)/$G8, ($G8-IFERROR(INDEX(GOOGLEFINANCE"&amp;"($C8, ""price"", WORKDAY(INT($B8), 20)), 2, 2), """"))/$G8))"),"")</f>
        <v/>
      </c>
      <c r="T8" s="10" t="s">
        <v>2628</v>
      </c>
      <c r="U8" s="10" t="s">
        <v>492</v>
      </c>
      <c r="V8" s="10" t="s">
        <v>493</v>
      </c>
      <c r="W8" s="10" t="s">
        <v>51</v>
      </c>
      <c r="X8" s="10" t="s">
        <v>492</v>
      </c>
    </row>
    <row r="9">
      <c r="A9" s="9">
        <f t="shared" si="1"/>
        <v>8</v>
      </c>
      <c r="B9" s="11">
        <v>46220.667604166665</v>
      </c>
      <c r="C9" s="10" t="s">
        <v>52</v>
      </c>
      <c r="D9" s="10" t="s">
        <v>36</v>
      </c>
      <c r="E9" s="10" t="s">
        <v>37</v>
      </c>
      <c r="F9" s="13">
        <v>2.0</v>
      </c>
      <c r="G9" s="14">
        <v>117.24</v>
      </c>
      <c r="H9" s="10" t="s">
        <v>2630</v>
      </c>
      <c r="I9" s="10">
        <v>95.0</v>
      </c>
      <c r="O9" s="15">
        <f>IFERROR(__xludf.DUMMYFUNCTION("IF(ISBLANK($C9), """", GOOGLEFINANCE($C9, ""price""))"),118.38)</f>
        <v>118.38</v>
      </c>
      <c r="P9" s="16">
        <f t="shared" si="2"/>
        <v>0.009723643808</v>
      </c>
      <c r="Q9" s="16">
        <f>IFERROR(__xludf.DUMMYFUNCTION("IF(OR(ISBLANK($G9), IFERROR(INDEX(GOOGLEFINANCE($C9, ""price"", WORKDAY(INT($B9), 1)), 2, 2), """")=""""), """", IF($D9=""LONG"", (IFERROR(INDEX(GOOGLEFINANCE($C9, ""price"", WORKDAY(INT($B9), 1)), 2, 2), """")-$G9)/$G9, ($G9-IFERROR(INDEX(GOOGLEFINANCE($"&amp;"C9, ""price"", WORKDAY(INT($B9), 1)), 2, 2), """"))/$G9))"),-0.013561924257932356)</f>
        <v>-0.01356192426</v>
      </c>
      <c r="R9" s="16">
        <f>IFERROR(__xludf.DUMMYFUNCTION("IF(OR(ISBLANK($G9), IFERROR(INDEX(GOOGLEFINANCE($C9, ""price"", WORKDAY(INT($B9), 5)), 2, 2), """")=""""), """", IF($D9=""LONG"", (IFERROR(INDEX(GOOGLEFINANCE($C9, ""price"", WORKDAY(INT($B9), 5)), 2, 2), """")-$G9)/$G9, ($G9-IFERROR(INDEX(GOOGLEFINANCE($"&amp;"C9, ""price"", WORKDAY(INT($B9), 5)), 2, 2), """"))/$G9))"),0.003667690208120154)</f>
        <v>0.003667690208</v>
      </c>
      <c r="S9" s="16" t="str">
        <f>IFERROR(__xludf.DUMMYFUNCTION("IF(OR(ISBLANK($G9), IFERROR(INDEX(GOOGLEFINANCE($C9, ""price"", WORKDAY(INT($B9), 20)), 2, 2), """")=""""), """", IF($D9=""LONG"", (IFERROR(INDEX(GOOGLEFINANCE($C9, ""price"", WORKDAY(INT($B9), 20)), 2, 2), """")-$G9)/$G9, ($G9-IFERROR(INDEX(GOOGLEFINANCE"&amp;"($C9, ""price"", WORKDAY(INT($B9), 20)), 2, 2), """"))/$G9))"),"")</f>
        <v/>
      </c>
      <c r="T9" s="10" t="s">
        <v>2635</v>
      </c>
      <c r="U9" s="10" t="s">
        <v>984</v>
      </c>
      <c r="V9" s="10" t="s">
        <v>933</v>
      </c>
      <c r="W9" s="10" t="s">
        <v>51</v>
      </c>
      <c r="X9" s="10" t="s">
        <v>984</v>
      </c>
    </row>
    <row r="10">
      <c r="A10" s="9">
        <f t="shared" si="1"/>
        <v>9</v>
      </c>
      <c r="B10" s="11">
        <v>46220.667395833334</v>
      </c>
      <c r="C10" s="10" t="s">
        <v>204</v>
      </c>
      <c r="D10" s="10" t="s">
        <v>36</v>
      </c>
      <c r="E10" s="10" t="s">
        <v>37</v>
      </c>
      <c r="F10" s="13">
        <v>2.0</v>
      </c>
      <c r="G10" s="14">
        <v>358.17</v>
      </c>
      <c r="H10" s="10" t="s">
        <v>2639</v>
      </c>
      <c r="I10" s="10">
        <v>91.5</v>
      </c>
      <c r="O10" s="15">
        <f>IFERROR(__xludf.DUMMYFUNCTION("IF(ISBLANK($C10), """", GOOGLEFINANCE($C10, ""price""))"),348.6)</f>
        <v>348.6</v>
      </c>
      <c r="P10" s="16">
        <f t="shared" si="2"/>
        <v>-0.02671915571</v>
      </c>
      <c r="Q10" s="16">
        <f>IFERROR(__xludf.DUMMYFUNCTION("IF(OR(ISBLANK($G10), IFERROR(INDEX(GOOGLEFINANCE($C10, ""price"", WORKDAY(INT($B10), 1)), 2, 2), """")=""""), """", IF($D10=""LONG"", (IFERROR(INDEX(GOOGLEFINANCE($C10, ""price"", WORKDAY(INT($B10), 1)), 2, 2), """")-$G10)/$G10, ($G10-IFERROR(INDEX(GOOGLE"&amp;"FINANCE($C10, ""price"", WORKDAY(INT($B10), 1)), 2, 2), """"))/$G10))"),-0.01633302621660112)</f>
        <v>-0.01633302622</v>
      </c>
      <c r="R10" s="16">
        <f>IFERROR(__xludf.DUMMYFUNCTION("IF(OR(ISBLANK($G10), IFERROR(INDEX(GOOGLEFINANCE($C10, ""price"", WORKDAY(INT($B10), 5)), 2, 2), """")=""""), """", IF($D10=""LONG"", (IFERROR(INDEX(GOOGLEFINANCE($C10, ""price"", WORKDAY(INT($B10), 5)), 2, 2), """")-$G10)/$G10, ($G10-IFERROR(INDEX(GOOGLE"&amp;"FINANCE($C10, ""price"", WORKDAY(INT($B10), 5)), 2, 2), """"))/$G10))"),-0.08367534969427932)</f>
        <v>-0.08367534969</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2641</v>
      </c>
      <c r="U10" s="10" t="s">
        <v>492</v>
      </c>
      <c r="V10" s="10" t="s">
        <v>493</v>
      </c>
      <c r="W10" s="10" t="s">
        <v>51</v>
      </c>
      <c r="X10" s="10" t="s">
        <v>492</v>
      </c>
    </row>
    <row r="11">
      <c r="A11" s="9">
        <f t="shared" si="1"/>
        <v>10</v>
      </c>
      <c r="B11" s="11">
        <v>46220.66737268519</v>
      </c>
      <c r="C11" s="10" t="s">
        <v>342</v>
      </c>
      <c r="D11" s="10" t="s">
        <v>36</v>
      </c>
      <c r="E11" s="10" t="s">
        <v>37</v>
      </c>
      <c r="F11" s="13">
        <v>2.0</v>
      </c>
      <c r="G11" s="14">
        <v>61.3</v>
      </c>
      <c r="H11" s="10" t="s">
        <v>2643</v>
      </c>
      <c r="I11" s="10">
        <v>83.6</v>
      </c>
      <c r="O11" s="15">
        <f>IFERROR(__xludf.DUMMYFUNCTION("IF(ISBLANK($C11), """", GOOGLEFINANCE($C11, ""price""))"),63.0)</f>
        <v>63</v>
      </c>
      <c r="P11" s="16">
        <f t="shared" si="2"/>
        <v>0.0277324633</v>
      </c>
      <c r="Q11" s="16">
        <f>IFERROR(__xludf.DUMMYFUNCTION("IF(OR(ISBLANK($G11), IFERROR(INDEX(GOOGLEFINANCE($C11, ""price"", WORKDAY(INT($B11), 1)), 2, 2), """")=""""), """", IF($D11=""LONG"", (IFERROR(INDEX(GOOGLEFINANCE($C11, ""price"", WORKDAY(INT($B11), 1)), 2, 2), """")-$G11)/$G11, ($G11-IFERROR(INDEX(GOOGLE"&amp;"FINANCE($C11, ""price"", WORKDAY(INT($B11), 1)), 2, 2), """"))/$G11))"),-0.014355628058727496)</f>
        <v>-0.01435562806</v>
      </c>
      <c r="R11" s="16">
        <f>IFERROR(__xludf.DUMMYFUNCTION("IF(OR(ISBLANK($G11), IFERROR(INDEX(GOOGLEFINANCE($C11, ""price"", WORKDAY(INT($B11), 5)), 2, 2), """")=""""), """", IF($D11=""LONG"", (IFERROR(INDEX(GOOGLEFINANCE($C11, ""price"", WORKDAY(INT($B11), 5)), 2, 2), """")-$G11)/$G11, ($G11-IFERROR(INDEX(GOOGLE"&amp;"FINANCE($C11, ""price"", WORKDAY(INT($B11), 5)), 2, 2), """"))/$G11))"),0.012234910277324634)</f>
        <v>0.01223491028</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2648</v>
      </c>
      <c r="U11" s="10" t="s">
        <v>886</v>
      </c>
      <c r="V11" s="10" t="s">
        <v>2649</v>
      </c>
      <c r="W11" s="10" t="s">
        <v>51</v>
      </c>
      <c r="X11" s="10" t="s">
        <v>886</v>
      </c>
    </row>
    <row r="12">
      <c r="A12" s="9">
        <f t="shared" si="1"/>
        <v>11</v>
      </c>
      <c r="B12" s="11">
        <v>46220.66736111111</v>
      </c>
      <c r="C12" s="10" t="s">
        <v>69</v>
      </c>
      <c r="D12" s="10" t="s">
        <v>36</v>
      </c>
      <c r="E12" s="10" t="s">
        <v>37</v>
      </c>
      <c r="F12" s="13">
        <v>2.0</v>
      </c>
      <c r="G12" s="14">
        <v>253.04</v>
      </c>
      <c r="H12" s="10" t="s">
        <v>2651</v>
      </c>
      <c r="I12" s="10">
        <v>94.7</v>
      </c>
      <c r="O12" s="15">
        <f>IFERROR(__xludf.DUMMYFUNCTION("IF(ISBLANK($C12), """", GOOGLEFINANCE($C12, ""price""))"),256.98)</f>
        <v>256.98</v>
      </c>
      <c r="P12" s="16">
        <f t="shared" si="2"/>
        <v>0.01557066077</v>
      </c>
      <c r="Q12" s="16">
        <f>IFERROR(__xludf.DUMMYFUNCTION("IF(OR(ISBLANK($G12), IFERROR(INDEX(GOOGLEFINANCE($C12, ""price"", WORKDAY(INT($B12), 1)), 2, 2), """")=""""), """", IF($D12=""LONG"", (IFERROR(INDEX(GOOGLEFINANCE($C12, ""price"", WORKDAY(INT($B12), 1)), 2, 2), """")-$G12)/$G12, ($G12-IFERROR(INDEX(GOOGLE"&amp;"FINANCE($C12, ""price"", WORKDAY(INT($B12), 1)), 2, 2), """"))/$G12))"),-0.016677205184950993)</f>
        <v>-0.01667720518</v>
      </c>
      <c r="R12" s="16">
        <f>IFERROR(__xludf.DUMMYFUNCTION("IF(OR(ISBLANK($G12), IFERROR(INDEX(GOOGLEFINANCE($C12, ""price"", WORKDAY(INT($B12), 5)), 2, 2), """")=""""), """", IF($D12=""LONG"", (IFERROR(INDEX(GOOGLEFINANCE($C12, ""price"", WORKDAY(INT($B12), 5)), 2, 2), """")-$G12)/$G12, ($G12-IFERROR(INDEX(GOOGLE"&amp;"FINANCE($C12, ""price"", WORKDAY(INT($B12), 5)), 2, 2), """"))/$G12))"),0.040942143534618974)</f>
        <v>0.04094214353</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2656</v>
      </c>
      <c r="U12" s="10" t="s">
        <v>704</v>
      </c>
      <c r="V12" s="10" t="s">
        <v>2657</v>
      </c>
      <c r="W12" s="10" t="s">
        <v>51</v>
      </c>
      <c r="X12" s="10" t="s">
        <v>704</v>
      </c>
    </row>
    <row r="13">
      <c r="A13" s="9">
        <f t="shared" si="1"/>
        <v>12</v>
      </c>
      <c r="B13" s="11">
        <v>46220.66736111111</v>
      </c>
      <c r="C13" s="10" t="s">
        <v>386</v>
      </c>
      <c r="D13" s="10" t="s">
        <v>36</v>
      </c>
      <c r="E13" s="10" t="s">
        <v>37</v>
      </c>
      <c r="F13" s="13">
        <v>2.0</v>
      </c>
      <c r="G13" s="14">
        <v>399.98</v>
      </c>
      <c r="H13" s="10" t="s">
        <v>2658</v>
      </c>
      <c r="I13" s="10">
        <v>91.5</v>
      </c>
      <c r="O13" s="15">
        <f>IFERROR(__xludf.DUMMYFUNCTION("IF(ISBLANK($C13), """", GOOGLEFINANCE($C13, ""price""))"),367.24)</f>
        <v>367.24</v>
      </c>
      <c r="P13" s="16">
        <f t="shared" si="2"/>
        <v>-0.0818540927</v>
      </c>
      <c r="Q13" s="16">
        <f>IFERROR(__xludf.DUMMYFUNCTION("IF(OR(ISBLANK($G13), IFERROR(INDEX(GOOGLEFINANCE($C13, ""price"", WORKDAY(INT($B13), 1)), 2, 2), """")=""""), """", IF($D13=""LONG"", (IFERROR(INDEX(GOOGLEFINANCE($C13, ""price"", WORKDAY(INT($B13), 1)), 2, 2), """")-$G13)/$G13, ($G13-IFERROR(INDEX(GOOGLE"&amp;"FINANCE($C13, ""price"", WORKDAY(INT($B13), 1)), 2, 2), """"))/$G13))"),-0.00445022251112563)</f>
        <v>-0.004450222511</v>
      </c>
      <c r="R13" s="16">
        <f>IFERROR(__xludf.DUMMYFUNCTION("IF(OR(ISBLANK($G13), IFERROR(INDEX(GOOGLEFINANCE($C13, ""price"", WORKDAY(INT($B13), 5)), 2, 2), """")=""""), """", IF($D13=""LONG"", (IFERROR(INDEX(GOOGLEFINANCE($C13, ""price"", WORKDAY(INT($B13), 5)), 2, 2), """")-$G13)/$G13, ($G13-IFERROR(INDEX(GOOGLE"&amp;"FINANCE($C13, ""price"", WORKDAY(INT($B13), 5)), 2, 2), """"))/$G13))"),-0.026651332566628393)</f>
        <v>-0.02665133257</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2664</v>
      </c>
      <c r="U13" s="10" t="s">
        <v>507</v>
      </c>
      <c r="V13" s="10" t="s">
        <v>2665</v>
      </c>
      <c r="W13" s="10" t="s">
        <v>51</v>
      </c>
      <c r="X13" s="10" t="s">
        <v>507</v>
      </c>
    </row>
    <row r="14">
      <c r="A14" s="9">
        <f t="shared" si="1"/>
        <v>13</v>
      </c>
      <c r="B14" s="11">
        <v>46220.66744212963</v>
      </c>
      <c r="C14" s="10" t="s">
        <v>209</v>
      </c>
      <c r="D14" s="10" t="s">
        <v>119</v>
      </c>
      <c r="E14" s="10" t="s">
        <v>120</v>
      </c>
      <c r="F14" s="13">
        <v>4.0</v>
      </c>
      <c r="G14" s="14">
        <v>68.86</v>
      </c>
      <c r="H14" s="10" t="s">
        <v>2666</v>
      </c>
      <c r="I14" s="10">
        <v>50.4</v>
      </c>
      <c r="O14" s="15">
        <f>IFERROR(__xludf.DUMMYFUNCTION("IF(ISBLANK($C14), """", GOOGLEFINANCE($C14, ""price""))"),73.69)</f>
        <v>73.69</v>
      </c>
      <c r="P14" s="16">
        <f t="shared" si="2"/>
        <v>-0.07014231775</v>
      </c>
      <c r="Q14" s="16">
        <f>IFERROR(__xludf.DUMMYFUNCTION("IF(OR(ISBLANK($G14), IFERROR(INDEX(GOOGLEFINANCE($C14, ""price"", WORKDAY(INT($B14), 1)), 2, 2), """")=""""), """", IF($D14=""LONG"", (IFERROR(INDEX(GOOGLEFINANCE($C14, ""price"", WORKDAY(INT($B14), 1)), 2, 2), """")-$G14)/$G14, ($G14-IFERROR(INDEX(GOOGLE"&amp;"FINANCE($C14, ""price"", WORKDAY(INT($B14), 1)), 2, 2), """"))/$G14))"),0.018297995933778757)</f>
        <v>0.01829799593</v>
      </c>
      <c r="R14" s="16">
        <f>IFERROR(__xludf.DUMMYFUNCTION("IF(OR(ISBLANK($G14), IFERROR(INDEX(GOOGLEFINANCE($C14, ""price"", WORKDAY(INT($B14), 5)), 2, 2), """")=""""), """", IF($D14=""LONG"", (IFERROR(INDEX(GOOGLEFINANCE($C14, ""price"", WORKDAY(INT($B14), 5)), 2, 2), """")-$G14)/$G14, ($G14-IFERROR(INDEX(GOOGLE"&amp;"FINANCE($C14, ""price"", WORKDAY(INT($B14), 5)), 2, 2), """"))/$G14))"),-0.017862329363926868)</f>
        <v>-0.01786232936</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2670</v>
      </c>
      <c r="U14" s="10" t="s">
        <v>492</v>
      </c>
      <c r="V14" s="10" t="s">
        <v>493</v>
      </c>
      <c r="W14" s="10" t="s">
        <v>51</v>
      </c>
      <c r="X14" s="10" t="s">
        <v>492</v>
      </c>
    </row>
    <row r="15">
      <c r="A15" s="9">
        <f t="shared" si="1"/>
        <v>14</v>
      </c>
      <c r="B15" s="11">
        <v>46220.66746527778</v>
      </c>
      <c r="C15" s="10" t="s">
        <v>104</v>
      </c>
      <c r="D15" s="10" t="s">
        <v>36</v>
      </c>
      <c r="E15" s="10" t="s">
        <v>37</v>
      </c>
      <c r="F15" s="13">
        <v>2.0</v>
      </c>
      <c r="G15" s="14">
        <v>125.79</v>
      </c>
      <c r="H15" s="10" t="s">
        <v>2672</v>
      </c>
      <c r="I15" s="10">
        <v>95.4</v>
      </c>
      <c r="O15" s="15">
        <f>IFERROR(__xludf.DUMMYFUNCTION("IF(ISBLANK($C15), """", GOOGLEFINANCE($C15, ""price""))"),127.45)</f>
        <v>127.45</v>
      </c>
      <c r="P15" s="16">
        <f t="shared" si="2"/>
        <v>0.0131965975</v>
      </c>
      <c r="Q15" s="16">
        <f>IFERROR(__xludf.DUMMYFUNCTION("IF(OR(ISBLANK($G15), IFERROR(INDEX(GOOGLEFINANCE($C15, ""price"", WORKDAY(INT($B15), 1)), 2, 2), """")=""""), """", IF($D15=""LONG"", (IFERROR(INDEX(GOOGLEFINANCE($C15, ""price"", WORKDAY(INT($B15), 1)), 2, 2), """")-$G15)/$G15, ($G15-IFERROR(INDEX(GOOGLE"&amp;"FINANCE($C15, ""price"", WORKDAY(INT($B15), 1)), 2, 2), """"))/$G15))"),-0.008267747833691122)</f>
        <v>-0.008267747834</v>
      </c>
      <c r="R15" s="16">
        <f>IFERROR(__xludf.DUMMYFUNCTION("IF(OR(ISBLANK($G15), IFERROR(INDEX(GOOGLEFINANCE($C15, ""price"", WORKDAY(INT($B15), 5)), 2, 2), """")=""""), """", IF($D15=""LONG"", (IFERROR(INDEX(GOOGLEFINANCE($C15, ""price"", WORKDAY(INT($B15), 5)), 2, 2), """")-$G15)/$G15, ($G15-IFERROR(INDEX(GOOGLE"&amp;"FINANCE($C15, ""price"", WORKDAY(INT($B15), 5)), 2, 2), """"))/$G15))"),-0.06804992447730346)</f>
        <v>-0.06804992448</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2676</v>
      </c>
      <c r="U15" s="10" t="s">
        <v>492</v>
      </c>
      <c r="V15" s="10" t="s">
        <v>493</v>
      </c>
      <c r="W15" s="10" t="s">
        <v>51</v>
      </c>
      <c r="X15" s="10" t="s">
        <v>492</v>
      </c>
    </row>
    <row r="16">
      <c r="A16" s="9">
        <f t="shared" si="1"/>
        <v>15</v>
      </c>
      <c r="B16" s="11">
        <v>46220.66746527778</v>
      </c>
      <c r="C16" s="10" t="s">
        <v>179</v>
      </c>
      <c r="D16" s="10" t="s">
        <v>119</v>
      </c>
      <c r="E16" s="10" t="s">
        <v>120</v>
      </c>
      <c r="F16" s="13">
        <v>4.0</v>
      </c>
      <c r="G16" s="14">
        <v>27.6</v>
      </c>
      <c r="H16" s="10" t="s">
        <v>2679</v>
      </c>
      <c r="I16" s="10">
        <v>16.3</v>
      </c>
      <c r="O16" s="15">
        <f>IFERROR(__xludf.DUMMYFUNCTION("IF(ISBLANK($C16), """", GOOGLEFINANCE($C16, ""price""))"),29.01)</f>
        <v>29.01</v>
      </c>
      <c r="P16" s="16">
        <f t="shared" si="2"/>
        <v>-0.05108695652</v>
      </c>
      <c r="Q16" s="16">
        <f>IFERROR(__xludf.DUMMYFUNCTION("IF(OR(ISBLANK($G16), IFERROR(INDEX(GOOGLEFINANCE($C16, ""price"", WORKDAY(INT($B16), 1)), 2, 2), """")=""""), """", IF($D16=""LONG"", (IFERROR(INDEX(GOOGLEFINANCE($C16, ""price"", WORKDAY(INT($B16), 1)), 2, 2), """")-$G16)/$G16, ($G16-IFERROR(INDEX(GOOGLE"&amp;"FINANCE($C16, ""price"", WORKDAY(INT($B16), 1)), 2, 2), """"))/$G16))"),0.00398550724637692)</f>
        <v>0.003985507246</v>
      </c>
      <c r="R16" s="16">
        <f>IFERROR(__xludf.DUMMYFUNCTION("IF(OR(ISBLANK($G16), IFERROR(INDEX(GOOGLEFINANCE($C16, ""price"", WORKDAY(INT($B16), 5)), 2, 2), """")=""""), """", IF($D16=""LONG"", (IFERROR(INDEX(GOOGLEFINANCE($C16, ""price"", WORKDAY(INT($B16), 5)), 2, 2), """")-$G16)/$G16, ($G16-IFERROR(INDEX(GOOGLE"&amp;"FINANCE($C16, ""price"", WORKDAY(INT($B16), 5)), 2, 2), """"))/$G16))"),-0.012318840579710139)</f>
        <v>-0.01231884058</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2681</v>
      </c>
      <c r="U16" s="10" t="s">
        <v>615</v>
      </c>
      <c r="V16" s="10" t="s">
        <v>2682</v>
      </c>
      <c r="W16" s="10" t="s">
        <v>51</v>
      </c>
      <c r="X16" s="10" t="s">
        <v>615</v>
      </c>
    </row>
    <row r="17">
      <c r="A17" s="9">
        <f t="shared" si="1"/>
        <v>16</v>
      </c>
      <c r="B17" s="11">
        <v>46220.6674537037</v>
      </c>
      <c r="C17" s="10" t="s">
        <v>114</v>
      </c>
      <c r="D17" s="10" t="s">
        <v>36</v>
      </c>
      <c r="E17" s="10" t="s">
        <v>37</v>
      </c>
      <c r="F17" s="13">
        <v>2.0</v>
      </c>
      <c r="G17" s="14">
        <v>228.57</v>
      </c>
      <c r="H17" s="10" t="s">
        <v>2684</v>
      </c>
      <c r="I17" s="10">
        <v>96.6</v>
      </c>
      <c r="O17" s="15">
        <f>IFERROR(__xludf.DUMMYFUNCTION("IF(ISBLANK($C17), """", GOOGLEFINANCE($C17, ""price""))"),237.66)</f>
        <v>237.66</v>
      </c>
      <c r="P17" s="16">
        <f t="shared" si="2"/>
        <v>0.03976899856</v>
      </c>
      <c r="Q17" s="16">
        <f>IFERROR(__xludf.DUMMYFUNCTION("IF(OR(ISBLANK($G17), IFERROR(INDEX(GOOGLEFINANCE($C17, ""price"", WORKDAY(INT($B17), 1)), 2, 2), """")=""""), """", IF($D17=""LONG"", (IFERROR(INDEX(GOOGLEFINANCE($C17, ""price"", WORKDAY(INT($B17), 1)), 2, 2), """")-$G17)/$G17, ($G17-IFERROR(INDEX(GOOGLE"&amp;"FINANCE($C17, ""price"", WORKDAY(INT($B17), 1)), 2, 2), """"))/$G17))"),-0.012337577109856907)</f>
        <v>-0.01233757711</v>
      </c>
      <c r="R17" s="16">
        <f>IFERROR(__xludf.DUMMYFUNCTION("IF(OR(ISBLANK($G17), IFERROR(INDEX(GOOGLEFINANCE($C17, ""price"", WORKDAY(INT($B17), 5)), 2, 2), """")=""""), """", IF($D17=""LONG"", (IFERROR(INDEX(GOOGLEFINANCE($C17, ""price"", WORKDAY(INT($B17), 5)), 2, 2), """")-$G17)/$G17, ($G17-IFERROR(INDEX(GOOGLE"&amp;"FINANCE($C17, ""price"", WORKDAY(INT($B17), 5)), 2, 2), """"))/$G17))"),-0.002362514765717251)</f>
        <v>-0.002362514766</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2687</v>
      </c>
      <c r="U17" s="10" t="s">
        <v>492</v>
      </c>
      <c r="V17" s="10" t="s">
        <v>493</v>
      </c>
      <c r="W17" s="10" t="s">
        <v>51</v>
      </c>
      <c r="X17" s="10" t="s">
        <v>492</v>
      </c>
    </row>
    <row r="18">
      <c r="A18" s="9">
        <f t="shared" si="1"/>
        <v>17</v>
      </c>
      <c r="B18" s="11">
        <v>46220.66748842593</v>
      </c>
      <c r="C18" s="10" t="s">
        <v>331</v>
      </c>
      <c r="D18" s="10" t="s">
        <v>36</v>
      </c>
      <c r="E18" s="10" t="s">
        <v>37</v>
      </c>
      <c r="F18" s="13">
        <v>2.0</v>
      </c>
      <c r="G18" s="14">
        <v>252.84</v>
      </c>
      <c r="H18" s="10" t="s">
        <v>2694</v>
      </c>
      <c r="I18" s="10">
        <v>93.9</v>
      </c>
      <c r="O18" s="15">
        <f>IFERROR(__xludf.DUMMYFUNCTION("IF(ISBLANK($C18), """", GOOGLEFINANCE($C18, ""price""))"),252.76)</f>
        <v>252.76</v>
      </c>
      <c r="P18" s="16">
        <f t="shared" si="2"/>
        <v>-0.000316405632</v>
      </c>
      <c r="Q18" s="16">
        <f>IFERROR(__xludf.DUMMYFUNCTION("IF(OR(ISBLANK($G18), IFERROR(INDEX(GOOGLEFINANCE($C18, ""price"", WORKDAY(INT($B18), 1)), 2, 2), """")=""""), """", IF($D18=""LONG"", (IFERROR(INDEX(GOOGLEFINANCE($C18, ""price"", WORKDAY(INT($B18), 1)), 2, 2), """")-$G18)/$G18, ($G18-IFERROR(INDEX(GOOGLE"&amp;"FINANCE($C18, ""price"", WORKDAY(INT($B18), 1)), 2, 2), """"))/$G18))"),-0.010678690080683503)</f>
        <v>-0.01067869008</v>
      </c>
      <c r="R18" s="16">
        <f>IFERROR(__xludf.DUMMYFUNCTION("IF(OR(ISBLANK($G18), IFERROR(INDEX(GOOGLEFINANCE($C18, ""price"", WORKDAY(INT($B18), 5)), 2, 2), """")=""""), """", IF($D18=""LONG"", (IFERROR(INDEX(GOOGLEFINANCE($C18, ""price"", WORKDAY(INT($B18), 5)), 2, 2), """")-$G18)/$G18, ($G18-IFERROR(INDEX(GOOGLE"&amp;"FINANCE($C18, ""price"", WORKDAY(INT($B18), 5)), 2, 2), """"))/$G18))"),-0.007316880240468258)</f>
        <v>-0.00731688024</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2699</v>
      </c>
      <c r="U18" s="10" t="s">
        <v>492</v>
      </c>
      <c r="V18" s="10" t="s">
        <v>493</v>
      </c>
      <c r="W18" s="10" t="s">
        <v>51</v>
      </c>
      <c r="X18" s="10" t="s">
        <v>492</v>
      </c>
    </row>
    <row r="19">
      <c r="A19" s="9">
        <f t="shared" si="1"/>
        <v>18</v>
      </c>
      <c r="B19" s="11">
        <v>46220.6674537037</v>
      </c>
      <c r="C19" s="10" t="s">
        <v>348</v>
      </c>
      <c r="D19" s="10" t="s">
        <v>36</v>
      </c>
      <c r="E19" s="10" t="s">
        <v>37</v>
      </c>
      <c r="F19" s="13">
        <v>2.0</v>
      </c>
      <c r="G19" s="14">
        <v>267.4</v>
      </c>
      <c r="H19" s="10" t="s">
        <v>2703</v>
      </c>
      <c r="I19" s="10">
        <v>96.4</v>
      </c>
      <c r="O19" s="15">
        <f>IFERROR(__xludf.DUMMYFUNCTION("IF(ISBLANK($C19), """", GOOGLEFINANCE($C19, ""price""))"),364.24)</f>
        <v>364.24</v>
      </c>
      <c r="P19" s="16">
        <f t="shared" si="2"/>
        <v>0.3621540763</v>
      </c>
      <c r="Q19" s="16">
        <f>IFERROR(__xludf.DUMMYFUNCTION("IF(OR(ISBLANK($G19), IFERROR(INDEX(GOOGLEFINANCE($C19, ""price"", WORKDAY(INT($B19), 1)), 2, 2), """")=""""), """", IF($D19=""LONG"", (IFERROR(INDEX(GOOGLEFINANCE($C19, ""price"", WORKDAY(INT($B19), 1)), 2, 2), """")-$G19)/$G19, ($G19-IFERROR(INDEX(GOOGLE"&amp;"FINANCE($C19, ""price"", WORKDAY(INT($B19), 1)), 2, 2), """"))/$G19))"),-0.010134629768137546)</f>
        <v>-0.01013462977</v>
      </c>
      <c r="R19" s="16">
        <f>IFERROR(__xludf.DUMMYFUNCTION("IF(OR(ISBLANK($G19), IFERROR(INDEX(GOOGLEFINANCE($C19, ""price"", WORKDAY(INT($B19), 5)), 2, 2), """")=""""), """", IF($D19=""LONG"", (IFERROR(INDEX(GOOGLEFINANCE($C19, ""price"", WORKDAY(INT($B19), 5)), 2, 2), """")-$G19)/$G19, ($G19-IFERROR(INDEX(GOOGLE"&amp;"FINANCE($C19, ""price"", WORKDAY(INT($B19), 5)), 2, 2), """"))/$G19))"),-0.027973074046372334)</f>
        <v>-0.02797307405</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2705</v>
      </c>
      <c r="U19" s="10" t="s">
        <v>507</v>
      </c>
      <c r="V19" s="10" t="s">
        <v>2707</v>
      </c>
      <c r="W19" s="10" t="s">
        <v>51</v>
      </c>
      <c r="X19" s="10" t="s">
        <v>507</v>
      </c>
    </row>
    <row r="20">
      <c r="A20" s="9">
        <f t="shared" si="1"/>
        <v>19</v>
      </c>
      <c r="B20" s="11">
        <v>46220.6675</v>
      </c>
      <c r="C20" s="10" t="s">
        <v>170</v>
      </c>
      <c r="D20" s="10" t="s">
        <v>36</v>
      </c>
      <c r="E20" s="10" t="s">
        <v>37</v>
      </c>
      <c r="F20" s="13">
        <v>2.0</v>
      </c>
      <c r="G20" s="14">
        <v>71.04</v>
      </c>
      <c r="H20" s="10" t="s">
        <v>2708</v>
      </c>
      <c r="I20" s="10">
        <v>90.9</v>
      </c>
      <c r="O20" s="15">
        <f>IFERROR(__xludf.DUMMYFUNCTION("IF(ISBLANK($C20), """", GOOGLEFINANCE($C20, ""price""))"),66.8)</f>
        <v>66.8</v>
      </c>
      <c r="P20" s="16">
        <f t="shared" si="2"/>
        <v>-0.05968468468</v>
      </c>
      <c r="Q20" s="16">
        <f>IFERROR(__xludf.DUMMYFUNCTION("IF(OR(ISBLANK($G20), IFERROR(INDEX(GOOGLEFINANCE($C20, ""price"", WORKDAY(INT($B20), 1)), 2, 2), """")=""""), """", IF($D20=""LONG"", (IFERROR(INDEX(GOOGLEFINANCE($C20, ""price"", WORKDAY(INT($B20), 1)), 2, 2), """")-$G20)/$G20, ($G20-IFERROR(INDEX(GOOGLE"&amp;"FINANCE($C20, ""price"", WORKDAY(INT($B20), 1)), 2, 2), """"))/$G20))"),-0.009572072072072167)</f>
        <v>-0.009572072072</v>
      </c>
      <c r="R20" s="16">
        <f>IFERROR(__xludf.DUMMYFUNCTION("IF(OR(ISBLANK($G20), IFERROR(INDEX(GOOGLEFINANCE($C20, ""price"", WORKDAY(INT($B20), 5)), 2, 2), """")=""""), """", IF($D20=""LONG"", (IFERROR(INDEX(GOOGLEFINANCE($C20, ""price"", WORKDAY(INT($B20), 5)), 2, 2), """")-$G20)/$G20, ($G20-IFERROR(INDEX(GOOGLE"&amp;"FINANCE($C20, ""price"", WORKDAY(INT($B20), 5)), 2, 2), """"))/$G20))"),8.445945945944265E-4)</f>
        <v>0.0008445945946</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2713</v>
      </c>
      <c r="U20" s="10" t="s">
        <v>984</v>
      </c>
      <c r="V20" s="10" t="s">
        <v>2714</v>
      </c>
      <c r="W20" s="10" t="s">
        <v>51</v>
      </c>
      <c r="X20" s="10" t="s">
        <v>984</v>
      </c>
    </row>
    <row r="21">
      <c r="A21" s="9">
        <f t="shared" si="1"/>
        <v>20</v>
      </c>
      <c r="B21" s="11">
        <v>46220.66753472222</v>
      </c>
      <c r="C21" s="10" t="s">
        <v>374</v>
      </c>
      <c r="D21" s="10" t="s">
        <v>36</v>
      </c>
      <c r="E21" s="10" t="s">
        <v>37</v>
      </c>
      <c r="F21" s="13">
        <v>2.0</v>
      </c>
      <c r="G21" s="14">
        <v>71.71</v>
      </c>
      <c r="H21" s="10" t="s">
        <v>2716</v>
      </c>
      <c r="I21" s="10">
        <v>96.0</v>
      </c>
      <c r="O21" s="15">
        <f>IFERROR(__xludf.DUMMYFUNCTION("IF(ISBLANK($C21), """", GOOGLEFINANCE($C21, ""price""))"),73.32)</f>
        <v>73.32</v>
      </c>
      <c r="P21" s="16">
        <f t="shared" si="2"/>
        <v>0.02245154093</v>
      </c>
      <c r="Q21" s="16">
        <f>IFERROR(__xludf.DUMMYFUNCTION("IF(OR(ISBLANK($G21), IFERROR(INDEX(GOOGLEFINANCE($C21, ""price"", WORKDAY(INT($B21), 1)), 2, 2), """")=""""), """", IF($D21=""LONG"", (IFERROR(INDEX(GOOGLEFINANCE($C21, ""price"", WORKDAY(INT($B21), 1)), 2, 2), """")-$G21)/$G21, ($G21-IFERROR(INDEX(GOOGLE"&amp;"FINANCE($C21, ""price"", WORKDAY(INT($B21), 1)), 2, 2), """"))/$G21))"),-0.0016734067772973134)</f>
        <v>-0.001673406777</v>
      </c>
      <c r="R21" s="16">
        <f>IFERROR(__xludf.DUMMYFUNCTION("IF(OR(ISBLANK($G21), IFERROR(INDEX(GOOGLEFINANCE($C21, ""price"", WORKDAY(INT($B21), 5)), 2, 2), """")=""""), """", IF($D21=""LONG"", (IFERROR(INDEX(GOOGLEFINANCE($C21, ""price"", WORKDAY(INT($B21), 5)), 2, 2), """")-$G21)/$G21, ($G21-IFERROR(INDEX(GOOGLE"&amp;"FINANCE($C21, ""price"", WORKDAY(INT($B21), 5)), 2, 2), """"))/$G21))"),-0.01952307906847011)</f>
        <v>-0.01952307907</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2719</v>
      </c>
      <c r="U21" s="10" t="s">
        <v>492</v>
      </c>
      <c r="V21" s="10" t="s">
        <v>493</v>
      </c>
      <c r="W21" s="10" t="s">
        <v>51</v>
      </c>
      <c r="X21" s="10" t="s">
        <v>492</v>
      </c>
    </row>
    <row r="22">
      <c r="A22" s="9">
        <f t="shared" si="1"/>
        <v>21</v>
      </c>
      <c r="B22" s="11">
        <v>46220.6675</v>
      </c>
      <c r="C22" s="10" t="s">
        <v>269</v>
      </c>
      <c r="D22" s="10" t="s">
        <v>36</v>
      </c>
      <c r="E22" s="10" t="s">
        <v>37</v>
      </c>
      <c r="F22" s="13">
        <v>2.0</v>
      </c>
      <c r="G22" s="14">
        <v>182.56</v>
      </c>
      <c r="H22" s="10" t="s">
        <v>2720</v>
      </c>
      <c r="I22" s="10">
        <v>88.9</v>
      </c>
      <c r="O22" s="15">
        <f>IFERROR(__xludf.DUMMYFUNCTION("IF(ISBLANK($C22), """", GOOGLEFINANCE($C22, ""price""))"),184.92)</f>
        <v>184.92</v>
      </c>
      <c r="P22" s="16">
        <f t="shared" si="2"/>
        <v>0.01292725679</v>
      </c>
      <c r="Q22" s="16">
        <f>IFERROR(__xludf.DUMMYFUNCTION("IF(OR(ISBLANK($G22), IFERROR(INDEX(GOOGLEFINANCE($C22, ""price"", WORKDAY(INT($B22), 1)), 2, 2), """")=""""), """", IF($D22=""LONG"", (IFERROR(INDEX(GOOGLEFINANCE($C22, ""price"", WORKDAY(INT($B22), 1)), 2, 2), """")-$G22)/$G22, ($G22-IFERROR(INDEX(GOOGLE"&amp;"FINANCE($C22, ""price"", WORKDAY(INT($B22), 1)), 2, 2), """"))/$G22))"),1.0955302366350915E-4)</f>
        <v>0.0001095530237</v>
      </c>
      <c r="R22" s="16">
        <f>IFERROR(__xludf.DUMMYFUNCTION("IF(OR(ISBLANK($G22), IFERROR(INDEX(GOOGLEFINANCE($C22, ""price"", WORKDAY(INT($B22), 5)), 2, 2), """")=""""), """", IF($D22=""LONG"", (IFERROR(INDEX(GOOGLEFINANCE($C22, ""price"", WORKDAY(INT($B22), 5)), 2, 2), """")-$G22)/$G22, ($G22-IFERROR(INDEX(GOOGLE"&amp;"FINANCE($C22, ""price"", WORKDAY(INT($B22), 5)), 2, 2), """"))/$G22))"),0.015556529360210361)</f>
        <v>0.01555652936</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2724</v>
      </c>
      <c r="U22" s="10" t="s">
        <v>886</v>
      </c>
      <c r="V22" s="10" t="s">
        <v>2725</v>
      </c>
      <c r="W22" s="10" t="s">
        <v>51</v>
      </c>
      <c r="X22" s="10" t="s">
        <v>886</v>
      </c>
    </row>
    <row r="23">
      <c r="A23" s="9">
        <f t="shared" si="1"/>
        <v>22</v>
      </c>
      <c r="B23" s="11">
        <v>46220.66753472222</v>
      </c>
      <c r="C23" s="10" t="s">
        <v>117</v>
      </c>
      <c r="D23" s="10" t="s">
        <v>36</v>
      </c>
      <c r="E23" s="10" t="s">
        <v>37</v>
      </c>
      <c r="F23" s="13">
        <v>2.0</v>
      </c>
      <c r="G23" s="14">
        <v>23.54</v>
      </c>
      <c r="H23" s="10" t="s">
        <v>2727</v>
      </c>
      <c r="I23" s="10">
        <v>92.0</v>
      </c>
      <c r="O23" s="15">
        <f>IFERROR(__xludf.DUMMYFUNCTION("IF(ISBLANK($C23), """", GOOGLEFINANCE($C23, ""price""))"),22.66)</f>
        <v>22.66</v>
      </c>
      <c r="P23" s="16">
        <f t="shared" si="2"/>
        <v>-0.03738317757</v>
      </c>
      <c r="Q23" s="16">
        <f>IFERROR(__xludf.DUMMYFUNCTION("IF(OR(ISBLANK($G23), IFERROR(INDEX(GOOGLEFINANCE($C23, ""price"", WORKDAY(INT($B23), 1)), 2, 2), """")=""""), """", IF($D23=""LONG"", (IFERROR(INDEX(GOOGLEFINANCE($C23, ""price"", WORKDAY(INT($B23), 1)), 2, 2), """")-$G23)/$G23, ($G23-IFERROR(INDEX(GOOGLE"&amp;"FINANCE($C23, ""price"", WORKDAY(INT($B23), 1)), 2, 2), """"))/$G23))"),-0.009345794392523317)</f>
        <v>-0.009345794393</v>
      </c>
      <c r="R23" s="16">
        <f>IFERROR(__xludf.DUMMYFUNCTION("IF(OR(ISBLANK($G23), IFERROR(INDEX(GOOGLEFINANCE($C23, ""price"", WORKDAY(INT($B23), 5)), 2, 2), """")=""""), """", IF($D23=""LONG"", (IFERROR(INDEX(GOOGLEFINANCE($C23, ""price"", WORKDAY(INT($B23), 5)), 2, 2), """")-$G23)/$G23, ($G23-IFERROR(INDEX(GOOGLE"&amp;"FINANCE($C23, ""price"", WORKDAY(INT($B23), 5)), 2, 2), """"))/$G23))"),-0.037807986406117274)</f>
        <v>-0.03780798641</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2730</v>
      </c>
      <c r="U23" s="10" t="s">
        <v>984</v>
      </c>
      <c r="V23" s="10" t="s">
        <v>933</v>
      </c>
      <c r="W23" s="10" t="s">
        <v>51</v>
      </c>
      <c r="X23" s="10" t="s">
        <v>984</v>
      </c>
    </row>
    <row r="24">
      <c r="A24" s="9">
        <f t="shared" si="1"/>
        <v>23</v>
      </c>
      <c r="B24" s="11">
        <v>46220.6674537037</v>
      </c>
      <c r="C24" s="10" t="s">
        <v>303</v>
      </c>
      <c r="D24" s="10" t="s">
        <v>36</v>
      </c>
      <c r="E24" s="10" t="s">
        <v>133</v>
      </c>
      <c r="F24" s="13">
        <v>2.0</v>
      </c>
      <c r="G24" s="14">
        <v>107.46</v>
      </c>
      <c r="H24" s="10" t="s">
        <v>2731</v>
      </c>
      <c r="I24" s="10">
        <v>84.7</v>
      </c>
      <c r="O24" s="15">
        <f>IFERROR(__xludf.DUMMYFUNCTION("IF(ISBLANK($C24), """", GOOGLEFINANCE($C24, ""price""))"),96.22)</f>
        <v>96.22</v>
      </c>
      <c r="P24" s="16">
        <f t="shared" si="2"/>
        <v>-0.1045970594</v>
      </c>
      <c r="Q24" s="16">
        <f>IFERROR(__xludf.DUMMYFUNCTION("IF(OR(ISBLANK($G24), IFERROR(INDEX(GOOGLEFINANCE($C24, ""price"", WORKDAY(INT($B24), 1)), 2, 2), """")=""""), """", IF($D24=""LONG"", (IFERROR(INDEX(GOOGLEFINANCE($C24, ""price"", WORKDAY(INT($B24), 1)), 2, 2), """")-$G24)/$G24, ($G24-IFERROR(INDEX(GOOGLE"&amp;"FINANCE($C24, ""price"", WORKDAY(INT($B24), 1)), 2, 2), """"))/$G24))"),0.0013958682300391372)</f>
        <v>0.00139586823</v>
      </c>
      <c r="R24" s="16">
        <f>IFERROR(__xludf.DUMMYFUNCTION("IF(OR(ISBLANK($G24), IFERROR(INDEX(GOOGLEFINANCE($C24, ""price"", WORKDAY(INT($B24), 5)), 2, 2), """")=""""), """", IF($D24=""LONG"", (IFERROR(INDEX(GOOGLEFINANCE($C24, ""price"", WORKDAY(INT($B24), 5)), 2, 2), """")-$G24)/$G24, ($G24-IFERROR(INDEX(GOOGLE"&amp;"FINANCE($C24, ""price"", WORKDAY(INT($B24), 5)), 2, 2), """"))/$G24))"),0.0026056206960729683)</f>
        <v>0.002605620696</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2734</v>
      </c>
      <c r="U24" s="10" t="s">
        <v>492</v>
      </c>
      <c r="V24" s="10" t="s">
        <v>493</v>
      </c>
      <c r="W24" s="10" t="s">
        <v>51</v>
      </c>
      <c r="X24" s="10" t="s">
        <v>492</v>
      </c>
    </row>
    <row r="25">
      <c r="A25" s="9">
        <f t="shared" si="1"/>
        <v>24</v>
      </c>
      <c r="B25" s="11">
        <v>46220.66755787037</v>
      </c>
      <c r="C25" s="10" t="s">
        <v>2735</v>
      </c>
      <c r="D25" s="10" t="s">
        <v>119</v>
      </c>
      <c r="E25" s="10" t="s">
        <v>120</v>
      </c>
      <c r="F25" s="13">
        <v>4.0</v>
      </c>
      <c r="G25" s="14">
        <v>8.74</v>
      </c>
      <c r="H25" s="10" t="s">
        <v>2736</v>
      </c>
      <c r="I25" s="10">
        <v>9.2</v>
      </c>
      <c r="O25" s="15">
        <f>IFERROR(__xludf.DUMMYFUNCTION("IF(ISBLANK($C25), """", GOOGLEFINANCE($C25, ""price""))"),9.06)</f>
        <v>9.06</v>
      </c>
      <c r="P25" s="16">
        <f t="shared" si="2"/>
        <v>-0.03661327231</v>
      </c>
      <c r="Q25" s="16">
        <f>IFERROR(__xludf.DUMMYFUNCTION("IF(OR(ISBLANK($G25), IFERROR(INDEX(GOOGLEFINANCE($C25, ""price"", WORKDAY(INT($B25), 1)), 2, 2), """")=""""), """", IF($D25=""LONG"", (IFERROR(INDEX(GOOGLEFINANCE($C25, ""price"", WORKDAY(INT($B25), 1)), 2, 2), """")-$G25)/$G25, ($G25-IFERROR(INDEX(GOOGLE"&amp;"FINANCE($C25, ""price"", WORKDAY(INT($B25), 1)), 2, 2), """"))/$G25))"),0.0194508009153318)</f>
        <v>0.01945080092</v>
      </c>
      <c r="R25" s="16">
        <f>IFERROR(__xludf.DUMMYFUNCTION("IF(OR(ISBLANK($G25), IFERROR(INDEX(GOOGLEFINANCE($C25, ""price"", WORKDAY(INT($B25), 5)), 2, 2), """")=""""), """", IF($D25=""LONG"", (IFERROR(INDEX(GOOGLEFINANCE($C25, ""price"", WORKDAY(INT($B25), 5)), 2, 2), """")-$G25)/$G25, ($G25-IFERROR(INDEX(GOOGLE"&amp;"FINANCE($C25, ""price"", WORKDAY(INT($B25), 5)), 2, 2), """"))/$G25))"),0.06064073226544615)</f>
        <v>0.06064073227</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2739</v>
      </c>
      <c r="U25" s="10" t="s">
        <v>984</v>
      </c>
      <c r="V25" s="10" t="s">
        <v>2714</v>
      </c>
      <c r="W25" s="10" t="s">
        <v>51</v>
      </c>
      <c r="X25" s="10" t="s">
        <v>984</v>
      </c>
    </row>
    <row r="26">
      <c r="A26" s="9">
        <f t="shared" si="1"/>
        <v>25</v>
      </c>
      <c r="B26" s="11">
        <v>46220.66756944444</v>
      </c>
      <c r="C26" s="10" t="s">
        <v>41</v>
      </c>
      <c r="D26" s="10" t="s">
        <v>36</v>
      </c>
      <c r="E26" s="10" t="s">
        <v>37</v>
      </c>
      <c r="F26" s="13">
        <v>2.0</v>
      </c>
      <c r="G26" s="14">
        <v>184.77</v>
      </c>
      <c r="H26" s="10" t="s">
        <v>2740</v>
      </c>
      <c r="I26" s="10">
        <v>76.0</v>
      </c>
      <c r="O26" s="15">
        <f>IFERROR(__xludf.DUMMYFUNCTION("IF(ISBLANK($C26), """", GOOGLEFINANCE($C26, ""price""))"),186.02)</f>
        <v>186.02</v>
      </c>
      <c r="P26" s="16">
        <f t="shared" si="2"/>
        <v>0.006765167506</v>
      </c>
      <c r="Q26" s="16">
        <f>IFERROR(__xludf.DUMMYFUNCTION("IF(OR(ISBLANK($G26), IFERROR(INDEX(GOOGLEFINANCE($C26, ""price"", WORKDAY(INT($B26), 1)), 2, 2), """")=""""), """", IF($D26=""LONG"", (IFERROR(INDEX(GOOGLEFINANCE($C26, ""price"", WORKDAY(INT($B26), 1)), 2, 2), """")-$G26)/$G26, ($G26-IFERROR(INDEX(GOOGLE"&amp;"FINANCE($C26, ""price"", WORKDAY(INT($B26), 1)), 2, 2), """"))/$G26))"),-0.0028143096823077893)</f>
        <v>-0.002814309682</v>
      </c>
      <c r="R26" s="16">
        <f>IFERROR(__xludf.DUMMYFUNCTION("IF(OR(ISBLANK($G26), IFERROR(INDEX(GOOGLEFINANCE($C26, ""price"", WORKDAY(INT($B26), 5)), 2, 2), """")=""""), """", IF($D26=""LONG"", (IFERROR(INDEX(GOOGLEFINANCE($C26, ""price"", WORKDAY(INT($B26), 5)), 2, 2), """")-$G26)/$G26, ($G26-IFERROR(INDEX(GOOGLE"&amp;"FINANCE($C26, ""price"", WORKDAY(INT($B26), 5)), 2, 2), """"))/$G26))"),-0.06110299291010456)</f>
        <v>-0.06110299291</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2743</v>
      </c>
      <c r="U26" s="10" t="s">
        <v>615</v>
      </c>
      <c r="V26" s="10" t="s">
        <v>2744</v>
      </c>
      <c r="W26" s="10" t="s">
        <v>51</v>
      </c>
      <c r="X26" s="10" t="s">
        <v>615</v>
      </c>
    </row>
    <row r="27">
      <c r="A27" s="9">
        <f t="shared" si="1"/>
        <v>26</v>
      </c>
      <c r="B27" s="11">
        <v>46220.66752314815</v>
      </c>
      <c r="C27" s="10" t="s">
        <v>145</v>
      </c>
      <c r="D27" s="10" t="s">
        <v>36</v>
      </c>
      <c r="E27" s="10" t="s">
        <v>133</v>
      </c>
      <c r="F27" s="13">
        <v>2.0</v>
      </c>
      <c r="G27" s="14">
        <v>597.13</v>
      </c>
      <c r="H27" s="10" t="s">
        <v>2747</v>
      </c>
      <c r="I27" s="10">
        <v>84.2</v>
      </c>
      <c r="O27" s="15">
        <f>IFERROR(__xludf.DUMMYFUNCTION("IF(ISBLANK($C27), """", GOOGLEFINANCE($C27, ""price""))"),614.84)</f>
        <v>614.84</v>
      </c>
      <c r="P27" s="16">
        <f t="shared" si="2"/>
        <v>0.02965853332</v>
      </c>
      <c r="Q27" s="16">
        <f>IFERROR(__xludf.DUMMYFUNCTION("IF(OR(ISBLANK($G27), IFERROR(INDEX(GOOGLEFINANCE($C27, ""price"", WORKDAY(INT($B27), 1)), 2, 2), """")=""""), """", IF($D27=""LONG"", (IFERROR(INDEX(GOOGLEFINANCE($C27, ""price"", WORKDAY(INT($B27), 1)), 2, 2), """")-$G27)/$G27, ($G27-IFERROR(INDEX(GOOGLE"&amp;"FINANCE($C27, ""price"", WORKDAY(INT($B27), 1)), 2, 2), """"))/$G27))"),-0.01863915730242995)</f>
        <v>-0.0186391573</v>
      </c>
      <c r="R27" s="16">
        <f>IFERROR(__xludf.DUMMYFUNCTION("IF(OR(ISBLANK($G27), IFERROR(INDEX(GOOGLEFINANCE($C27, ""price"", WORKDAY(INT($B27), 5)), 2, 2), """")=""""), """", IF($D27=""LONG"", (IFERROR(INDEX(GOOGLEFINANCE($C27, ""price"", WORKDAY(INT($B27), 5)), 2, 2), """")-$G27)/$G27, ($G27-IFERROR(INDEX(GOOGLE"&amp;"FINANCE($C27, ""price"", WORKDAY(INT($B27), 5)), 2, 2), """"))/$G27))"),0.051965233701204046)</f>
        <v>0.0519652337</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2749</v>
      </c>
      <c r="U27" s="10" t="s">
        <v>492</v>
      </c>
      <c r="V27" s="10" t="s">
        <v>493</v>
      </c>
      <c r="W27" s="10" t="s">
        <v>51</v>
      </c>
      <c r="X27" s="10" t="s">
        <v>492</v>
      </c>
    </row>
    <row r="28">
      <c r="A28" s="9">
        <f t="shared" si="1"/>
        <v>27</v>
      </c>
      <c r="B28" s="11">
        <v>46220.66795138889</v>
      </c>
      <c r="C28" s="10" t="s">
        <v>2750</v>
      </c>
      <c r="D28" s="10" t="s">
        <v>36</v>
      </c>
      <c r="E28" s="10" t="s">
        <v>37</v>
      </c>
      <c r="F28" s="13">
        <v>2.0</v>
      </c>
      <c r="G28" s="14">
        <v>81.75</v>
      </c>
      <c r="H28" s="10" t="s">
        <v>2751</v>
      </c>
      <c r="I28" s="10">
        <v>92.6</v>
      </c>
      <c r="O28" s="15">
        <f>IFERROR(__xludf.DUMMYFUNCTION("IF(ISBLANK($C28), """", GOOGLEFINANCE($C28, ""price""))"),82.51)</f>
        <v>82.51</v>
      </c>
      <c r="P28" s="16">
        <f t="shared" si="2"/>
        <v>0.009296636086</v>
      </c>
      <c r="Q28" s="16">
        <f>IFERROR(__xludf.DUMMYFUNCTION("IF(OR(ISBLANK($G28), IFERROR(INDEX(GOOGLEFINANCE($C28, ""price"", WORKDAY(INT($B28), 1)), 2, 2), """")=""""), """", IF($D28=""LONG"", (IFERROR(INDEX(GOOGLEFINANCE($C28, ""price"", WORKDAY(INT($B28), 1)), 2, 2), """")-$G28)/$G28, ($G28-IFERROR(INDEX(GOOGLE"&amp;"FINANCE($C28, ""price"", WORKDAY(INT($B28), 1)), 2, 2), """"))/$G28))"),0.007584097859327273)</f>
        <v>0.007584097859</v>
      </c>
      <c r="R28" s="16">
        <f>IFERROR(__xludf.DUMMYFUNCTION("IF(OR(ISBLANK($G28), IFERROR(INDEX(GOOGLEFINANCE($C28, ""price"", WORKDAY(INT($B28), 5)), 2, 2), """")=""""), """", IF($D28=""LONG"", (IFERROR(INDEX(GOOGLEFINANCE($C28, ""price"", WORKDAY(INT($B28), 5)), 2, 2), """")-$G28)/$G28, ($G28-IFERROR(INDEX(GOOGLE"&amp;"FINANCE($C28, ""price"", WORKDAY(INT($B28), 5)), 2, 2), """"))/$G28))"),-0.02556574923547405)</f>
        <v>-0.02556574924</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2754</v>
      </c>
      <c r="U28" s="10" t="s">
        <v>984</v>
      </c>
      <c r="V28" s="10" t="s">
        <v>2714</v>
      </c>
      <c r="W28" s="10" t="s">
        <v>51</v>
      </c>
      <c r="X28" s="10" t="s">
        <v>984</v>
      </c>
    </row>
    <row r="29">
      <c r="A29" s="9">
        <f t="shared" si="1"/>
        <v>28</v>
      </c>
      <c r="B29" s="11">
        <v>46220.66751157407</v>
      </c>
      <c r="C29" s="10" t="s">
        <v>110</v>
      </c>
      <c r="D29" s="10" t="s">
        <v>36</v>
      </c>
      <c r="E29" s="10" t="s">
        <v>37</v>
      </c>
      <c r="F29" s="13">
        <v>2.0</v>
      </c>
      <c r="G29" s="14">
        <v>208.06</v>
      </c>
      <c r="H29" s="10" t="s">
        <v>2755</v>
      </c>
      <c r="I29" s="10">
        <v>96.8</v>
      </c>
      <c r="O29" s="15">
        <f>IFERROR(__xludf.DUMMYFUNCTION("IF(ISBLANK($C29), """", GOOGLEFINANCE($C29, ""price""))"),220.0)</f>
        <v>220</v>
      </c>
      <c r="P29" s="16">
        <f t="shared" si="2"/>
        <v>0.05738729213</v>
      </c>
      <c r="Q29" s="16">
        <f>IFERROR(__xludf.DUMMYFUNCTION("IF(OR(ISBLANK($G29), IFERROR(INDEX(GOOGLEFINANCE($C29, ""price"", WORKDAY(INT($B29), 1)), 2, 2), """")=""""), """", IF($D29=""LONG"", (IFERROR(INDEX(GOOGLEFINANCE($C29, ""price"", WORKDAY(INT($B29), 1)), 2, 2), """")-$G29)/$G29, ($G29-IFERROR(INDEX(GOOGLE"&amp;"FINANCE($C29, ""price"", WORKDAY(INT($B29), 1)), 2, 2), """"))/$G29))"),-0.006200134576564415)</f>
        <v>-0.006200134577</v>
      </c>
      <c r="R29" s="16">
        <f>IFERROR(__xludf.DUMMYFUNCTION("IF(OR(ISBLANK($G29), IFERROR(INDEX(GOOGLEFINANCE($C29, ""price"", WORKDAY(INT($B29), 5)), 2, 2), """")=""""), """", IF($D29=""LONG"", (IFERROR(INDEX(GOOGLEFINANCE($C29, ""price"", WORKDAY(INT($B29), 5)), 2, 2), """")-$G29)/$G29, ($G29-IFERROR(INDEX(GOOGLE"&amp;"FINANCE($C29, ""price"", WORKDAY(INT($B29), 5)), 2, 2), """"))/$G29))"),-0.02508891665865615)</f>
        <v>-0.02508891666</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2758</v>
      </c>
      <c r="U29" s="10" t="s">
        <v>984</v>
      </c>
      <c r="V29" s="10" t="s">
        <v>985</v>
      </c>
      <c r="W29" s="10" t="s">
        <v>51</v>
      </c>
      <c r="X29" s="10" t="s">
        <v>984</v>
      </c>
    </row>
    <row r="30">
      <c r="A30" s="9">
        <f t="shared" si="1"/>
        <v>29</v>
      </c>
      <c r="B30" s="11">
        <v>46220.667592592596</v>
      </c>
      <c r="C30" s="10" t="s">
        <v>618</v>
      </c>
      <c r="D30" s="10" t="s">
        <v>36</v>
      </c>
      <c r="E30" s="10" t="s">
        <v>37</v>
      </c>
      <c r="F30" s="13">
        <v>2.0</v>
      </c>
      <c r="G30" s="14">
        <v>227.14</v>
      </c>
      <c r="H30" s="10" t="s">
        <v>2759</v>
      </c>
      <c r="I30" s="10">
        <v>97.4</v>
      </c>
      <c r="O30" s="15">
        <f>IFERROR(__xludf.DUMMYFUNCTION("IF(ISBLANK($C30), """", GOOGLEFINANCE($C30, ""price""))"),254.06)</f>
        <v>254.06</v>
      </c>
      <c r="P30" s="16">
        <f t="shared" si="2"/>
        <v>0.1185172141</v>
      </c>
      <c r="Q30" s="16">
        <f>IFERROR(__xludf.DUMMYFUNCTION("IF(OR(ISBLANK($G30), IFERROR(INDEX(GOOGLEFINANCE($C30, ""price"", WORKDAY(INT($B30), 1)), 2, 2), """")=""""), """", IF($D30=""LONG"", (IFERROR(INDEX(GOOGLEFINANCE($C30, ""price"", WORKDAY(INT($B30), 1)), 2, 2), """")-$G30)/$G30, ($G30-IFERROR(INDEX(GOOGLE"&amp;"FINANCE($C30, ""price"", WORKDAY(INT($B30), 1)), 2, 2), """"))/$G30))"),-0.009377476446244587)</f>
        <v>-0.009377476446</v>
      </c>
      <c r="R30" s="16">
        <f>IFERROR(__xludf.DUMMYFUNCTION("IF(OR(ISBLANK($G30), IFERROR(INDEX(GOOGLEFINANCE($C30, ""price"", WORKDAY(INT($B30), 5)), 2, 2), """")=""""), """", IF($D30=""LONG"", (IFERROR(INDEX(GOOGLEFINANCE($C30, ""price"", WORKDAY(INT($B30), 5)), 2, 2), """")-$G30)/$G30, ($G30-IFERROR(INDEX(GOOGLE"&amp;"FINANCE($C30, ""price"", WORKDAY(INT($B30), 5)), 2, 2), """"))/$G30))"),-0.015805230254468502)</f>
        <v>-0.01580523025</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2762</v>
      </c>
      <c r="U30" s="10" t="s">
        <v>492</v>
      </c>
      <c r="V30" s="10" t="s">
        <v>493</v>
      </c>
      <c r="W30" s="10" t="s">
        <v>51</v>
      </c>
      <c r="X30" s="10" t="s">
        <v>492</v>
      </c>
    </row>
    <row r="31">
      <c r="A31" s="9">
        <f t="shared" si="1"/>
        <v>30</v>
      </c>
      <c r="B31" s="11">
        <v>46220.66758101852</v>
      </c>
      <c r="C31" s="10" t="s">
        <v>757</v>
      </c>
      <c r="D31" s="10" t="s">
        <v>119</v>
      </c>
      <c r="E31" s="10" t="s">
        <v>120</v>
      </c>
      <c r="F31" s="13">
        <v>4.0</v>
      </c>
      <c r="G31" s="14">
        <v>123.78</v>
      </c>
      <c r="H31" s="10" t="s">
        <v>2763</v>
      </c>
      <c r="I31" s="10">
        <v>13.7</v>
      </c>
      <c r="O31" s="15">
        <f>IFERROR(__xludf.DUMMYFUNCTION("IF(ISBLANK($C31), """", GOOGLEFINANCE($C31, ""price""))"),121.96)</f>
        <v>121.96</v>
      </c>
      <c r="P31" s="16">
        <f t="shared" si="2"/>
        <v>0.01470350622</v>
      </c>
      <c r="Q31" s="16">
        <f>IFERROR(__xludf.DUMMYFUNCTION("IF(OR(ISBLANK($G31), IFERROR(INDEX(GOOGLEFINANCE($C31, ""price"", WORKDAY(INT($B31), 1)), 2, 2), """")=""""), """", IF($D31=""LONG"", (IFERROR(INDEX(GOOGLEFINANCE($C31, ""price"", WORKDAY(INT($B31), 1)), 2, 2), """")-$G31)/$G31, ($G31-IFERROR(INDEX(GOOGLE"&amp;"FINANCE($C31, ""price"", WORKDAY(INT($B31), 1)), 2, 2), """"))/$G31))"),-0.0036354823073194605)</f>
        <v>-0.003635482307</v>
      </c>
      <c r="R31" s="16">
        <f>IFERROR(__xludf.DUMMYFUNCTION("IF(OR(ISBLANK($G31), IFERROR(INDEX(GOOGLEFINANCE($C31, ""price"", WORKDAY(INT($B31), 5)), 2, 2), """")=""""), """", IF($D31=""LONG"", (IFERROR(INDEX(GOOGLEFINANCE($C31, ""price"", WORKDAY(INT($B31), 5)), 2, 2), """")-$G31)/$G31, ($G31-IFERROR(INDEX(GOOGLE"&amp;"FINANCE($C31, ""price"", WORKDAY(INT($B31), 5)), 2, 2), """"))/$G31))"),-0.03659718856034901)</f>
        <v>-0.03659718856</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2764</v>
      </c>
      <c r="U31" s="10" t="s">
        <v>492</v>
      </c>
      <c r="V31" s="10" t="s">
        <v>493</v>
      </c>
      <c r="W31" s="10" t="s">
        <v>51</v>
      </c>
      <c r="X31" s="10" t="s">
        <v>492</v>
      </c>
    </row>
    <row r="32">
      <c r="A32" s="9">
        <f t="shared" si="1"/>
        <v>31</v>
      </c>
      <c r="B32" s="11">
        <v>46220.66737268519</v>
      </c>
      <c r="C32" s="10" t="s">
        <v>746</v>
      </c>
      <c r="D32" s="10" t="s">
        <v>119</v>
      </c>
      <c r="E32" s="10" t="s">
        <v>120</v>
      </c>
      <c r="F32" s="13">
        <v>4.0</v>
      </c>
      <c r="G32" s="14">
        <v>170.02</v>
      </c>
      <c r="H32" s="10" t="s">
        <v>2765</v>
      </c>
      <c r="I32" s="10">
        <v>10.1</v>
      </c>
      <c r="O32" s="15">
        <f>IFERROR(__xludf.DUMMYFUNCTION("IF(ISBLANK($C32), """", GOOGLEFINANCE($C32, ""price""))"),171.2)</f>
        <v>171.2</v>
      </c>
      <c r="P32" s="16">
        <f t="shared" si="2"/>
        <v>-0.006940359958</v>
      </c>
      <c r="Q32" s="16">
        <f>IFERROR(__xludf.DUMMYFUNCTION("IF(OR(ISBLANK($G32), IFERROR(INDEX(GOOGLEFINANCE($C32, ""price"", WORKDAY(INT($B32), 1)), 2, 2), """")=""""), """", IF($D32=""LONG"", (IFERROR(INDEX(GOOGLEFINANCE($C32, ""price"", WORKDAY(INT($B32), 1)), 2, 2), """")-$G32)/$G32, ($G32-IFERROR(INDEX(GOOGLE"&amp;"FINANCE($C32, ""price"", WORKDAY(INT($B32), 1)), 2, 2), """"))/$G32))"),0.01740971650394076)</f>
        <v>0.0174097165</v>
      </c>
      <c r="R32" s="16">
        <f>IFERROR(__xludf.DUMMYFUNCTION("IF(OR(ISBLANK($G32), IFERROR(INDEX(GOOGLEFINANCE($C32, ""price"", WORKDAY(INT($B32), 5)), 2, 2), """")=""""), """", IF($D32=""LONG"", (IFERROR(INDEX(GOOGLEFINANCE($C32, ""price"", WORKDAY(INT($B32), 5)), 2, 2), """")-$G32)/$G32, ($G32-IFERROR(INDEX(GOOGLE"&amp;"FINANCE($C32, ""price"", WORKDAY(INT($B32), 5)), 2, 2), """"))/$G32))"),0.019703564286554655)</f>
        <v>0.01970356429</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2768</v>
      </c>
      <c r="U32" s="10" t="s">
        <v>492</v>
      </c>
      <c r="V32" s="10" t="s">
        <v>493</v>
      </c>
      <c r="W32" s="10" t="s">
        <v>51</v>
      </c>
      <c r="X32" s="10" t="s">
        <v>492</v>
      </c>
    </row>
    <row r="33">
      <c r="A33" s="9">
        <f t="shared" si="1"/>
        <v>32</v>
      </c>
      <c r="B33" s="11">
        <v>46220.66762731481</v>
      </c>
      <c r="C33" s="10" t="s">
        <v>173</v>
      </c>
      <c r="D33" s="10" t="s">
        <v>36</v>
      </c>
      <c r="E33" s="10" t="s">
        <v>37</v>
      </c>
      <c r="F33" s="13">
        <v>2.0</v>
      </c>
      <c r="G33" s="14">
        <v>87.53</v>
      </c>
      <c r="H33" s="10" t="s">
        <v>2769</v>
      </c>
      <c r="I33" s="10">
        <v>93.2</v>
      </c>
      <c r="O33" s="15">
        <f>IFERROR(__xludf.DUMMYFUNCTION("IF(ISBLANK($C33), """", GOOGLEFINANCE($C33, ""price""))"),87.59)</f>
        <v>87.59</v>
      </c>
      <c r="P33" s="16">
        <f t="shared" si="2"/>
        <v>0.0006854792643</v>
      </c>
      <c r="Q33" s="16">
        <f>IFERROR(__xludf.DUMMYFUNCTION("IF(OR(ISBLANK($G33), IFERROR(INDEX(GOOGLEFINANCE($C33, ""price"", WORKDAY(INT($B33), 1)), 2, 2), """")=""""), """", IF($D33=""LONG"", (IFERROR(INDEX(GOOGLEFINANCE($C33, ""price"", WORKDAY(INT($B33), 1)), 2, 2), """")-$G33)/$G33, ($G33-IFERROR(INDEX(GOOGLE"&amp;"FINANCE($C33, ""price"", WORKDAY(INT($B33), 1)), 2, 2), """"))/$G33))"),-0.01370958528504516)</f>
        <v>-0.01370958529</v>
      </c>
      <c r="R33" s="16">
        <f>IFERROR(__xludf.DUMMYFUNCTION("IF(OR(ISBLANK($G33), IFERROR(INDEX(GOOGLEFINANCE($C33, ""price"", WORKDAY(INT($B33), 5)), 2, 2), """")=""""), """", IF($D33=""LONG"", (IFERROR(INDEX(GOOGLEFINANCE($C33, ""price"", WORKDAY(INT($B33), 5)), 2, 2), """")-$G33)/$G33, ($G33-IFERROR(INDEX(GOOGLE"&amp;"FINANCE($C33, ""price"", WORKDAY(INT($B33), 5)), 2, 2), """"))/$G33))"),-0.013938078373129199)</f>
        <v>-0.01393807837</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2772</v>
      </c>
      <c r="U33" s="10" t="s">
        <v>984</v>
      </c>
      <c r="V33" s="10" t="s">
        <v>933</v>
      </c>
      <c r="W33" s="10" t="s">
        <v>51</v>
      </c>
      <c r="X33" s="10" t="s">
        <v>984</v>
      </c>
    </row>
    <row r="34">
      <c r="A34" s="9">
        <f t="shared" si="1"/>
        <v>33</v>
      </c>
      <c r="B34" s="11">
        <v>46220.66747685185</v>
      </c>
      <c r="C34" s="10" t="s">
        <v>347</v>
      </c>
      <c r="D34" s="10" t="s">
        <v>36</v>
      </c>
      <c r="E34" s="10" t="s">
        <v>37</v>
      </c>
      <c r="F34" s="13">
        <v>2.0</v>
      </c>
      <c r="G34" s="14">
        <v>283.58</v>
      </c>
      <c r="H34" s="10" t="s">
        <v>2773</v>
      </c>
      <c r="I34" s="10">
        <v>92.1</v>
      </c>
      <c r="O34" s="15">
        <f>IFERROR(__xludf.DUMMYFUNCTION("IF(ISBLANK($C34), """", GOOGLEFINANCE($C34, ""price""))"),316.53)</f>
        <v>316.53</v>
      </c>
      <c r="P34" s="16">
        <f t="shared" si="2"/>
        <v>0.1161929614</v>
      </c>
      <c r="Q34" s="16">
        <f>IFERROR(__xludf.DUMMYFUNCTION("IF(OR(ISBLANK($G34), IFERROR(INDEX(GOOGLEFINANCE($C34, ""price"", WORKDAY(INT($B34), 1)), 2, 2), """")=""""), """", IF($D34=""LONG"", (IFERROR(INDEX(GOOGLEFINANCE($C34, ""price"", WORKDAY(INT($B34), 1)), 2, 2), """")-$G34)/$G34, ($G34-IFERROR(INDEX(GOOGLE"&amp;"FINANCE($C34, ""price"", WORKDAY(INT($B34), 1)), 2, 2), """"))/$G34))"),-0.007405317723393631)</f>
        <v>-0.007405317723</v>
      </c>
      <c r="R34" s="16">
        <f>IFERROR(__xludf.DUMMYFUNCTION("IF(OR(ISBLANK($G34), IFERROR(INDEX(GOOGLEFINANCE($C34, ""price"", WORKDAY(INT($B34), 5)), 2, 2), """")=""""), """", IF($D34=""LONG"", (IFERROR(INDEX(GOOGLEFINANCE($C34, ""price"", WORKDAY(INT($B34), 5)), 2, 2), """")-$G34)/$G34, ($G34-IFERROR(INDEX(GOOGLE"&amp;"FINANCE($C34, ""price"", WORKDAY(INT($B34), 5)), 2, 2), """"))/$G34))"),0.046512447986458844)</f>
        <v>0.04651244799</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2776</v>
      </c>
      <c r="U34" s="10" t="s">
        <v>492</v>
      </c>
      <c r="V34" s="10" t="s">
        <v>493</v>
      </c>
      <c r="W34" s="10" t="s">
        <v>51</v>
      </c>
      <c r="X34" s="10" t="s">
        <v>492</v>
      </c>
    </row>
    <row r="35">
      <c r="A35" s="9">
        <f t="shared" si="1"/>
        <v>34</v>
      </c>
      <c r="B35" s="11">
        <v>46220.66758101852</v>
      </c>
      <c r="C35" s="10" t="s">
        <v>108</v>
      </c>
      <c r="D35" s="10" t="s">
        <v>36</v>
      </c>
      <c r="E35" s="10" t="s">
        <v>37</v>
      </c>
      <c r="F35" s="13">
        <v>2.0</v>
      </c>
      <c r="G35" s="14">
        <v>125.96</v>
      </c>
      <c r="H35" s="10" t="s">
        <v>2777</v>
      </c>
      <c r="I35" s="10">
        <v>95.6</v>
      </c>
      <c r="O35" s="15">
        <f>IFERROR(__xludf.DUMMYFUNCTION("IF(ISBLANK($C35), """", GOOGLEFINANCE($C35, ""price""))"),129.68)</f>
        <v>129.68</v>
      </c>
      <c r="P35" s="16">
        <f t="shared" si="2"/>
        <v>0.02953318514</v>
      </c>
      <c r="Q35" s="16">
        <f>IFERROR(__xludf.DUMMYFUNCTION("IF(OR(ISBLANK($G35), IFERROR(INDEX(GOOGLEFINANCE($C35, ""price"", WORKDAY(INT($B35), 1)), 2, 2), """")=""""), """", IF($D35=""LONG"", (IFERROR(INDEX(GOOGLEFINANCE($C35, ""price"", WORKDAY(INT($B35), 1)), 2, 2), """")-$G35)/$G35, ($G35-IFERROR(INDEX(GOOGLE"&amp;"FINANCE($C35, ""price"", WORKDAY(INT($B35), 1)), 2, 2), """"))/$G35))"),0.0033343918704350725)</f>
        <v>0.00333439187</v>
      </c>
      <c r="R35" s="16">
        <f>IFERROR(__xludf.DUMMYFUNCTION("IF(OR(ISBLANK($G35), IFERROR(INDEX(GOOGLEFINANCE($C35, ""price"", WORKDAY(INT($B35), 5)), 2, 2), """")=""""), """", IF($D35=""LONG"", (IFERROR(INDEX(GOOGLEFINANCE($C35, ""price"", WORKDAY(INT($B35), 5)), 2, 2), """")-$G35)/$G35, ($G35-IFERROR(INDEX(GOOGLE"&amp;"FINANCE($C35, ""price"", WORKDAY(INT($B35), 5)), 2, 2), """"))/$G35))"),-0.04374404572880272)</f>
        <v>-0.04374404573</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2780</v>
      </c>
      <c r="U35" s="10" t="s">
        <v>984</v>
      </c>
      <c r="V35" s="10" t="s">
        <v>933</v>
      </c>
      <c r="W35" s="10" t="s">
        <v>51</v>
      </c>
      <c r="X35" s="10" t="s">
        <v>984</v>
      </c>
    </row>
    <row r="36">
      <c r="A36" s="9">
        <f t="shared" si="1"/>
        <v>35</v>
      </c>
      <c r="B36" s="11">
        <v>46220.667592592596</v>
      </c>
      <c r="C36" s="10" t="s">
        <v>1022</v>
      </c>
      <c r="D36" s="10" t="s">
        <v>119</v>
      </c>
      <c r="E36" s="10" t="s">
        <v>120</v>
      </c>
      <c r="F36" s="13">
        <v>4.0</v>
      </c>
      <c r="G36" s="14">
        <v>35.22</v>
      </c>
      <c r="H36" s="10" t="s">
        <v>2781</v>
      </c>
      <c r="I36" s="10">
        <v>1.3</v>
      </c>
      <c r="O36" s="15">
        <f>IFERROR(__xludf.DUMMYFUNCTION("IF(ISBLANK($C36), """", GOOGLEFINANCE($C36, ""price""))"),32.51)</f>
        <v>32.51</v>
      </c>
      <c r="P36" s="16">
        <f t="shared" si="2"/>
        <v>0.07694491766</v>
      </c>
      <c r="Q36" s="16">
        <f>IFERROR(__xludf.DUMMYFUNCTION("IF(OR(ISBLANK($G36), IFERROR(INDEX(GOOGLEFINANCE($C36, ""price"", WORKDAY(INT($B36), 1)), 2, 2), """")=""""), """", IF($D36=""LONG"", (IFERROR(INDEX(GOOGLEFINANCE($C36, ""price"", WORKDAY(INT($B36), 1)), 2, 2), """")-$G36)/$G36, ($G36-IFERROR(INDEX(GOOGLE"&amp;"FINANCE($C36, ""price"", WORKDAY(INT($B36), 1)), 2, 2), """"))/$G36))"),0.0031232254400908412)</f>
        <v>0.00312322544</v>
      </c>
      <c r="R36" s="16">
        <f>IFERROR(__xludf.DUMMYFUNCTION("IF(OR(ISBLANK($G36), IFERROR(INDEX(GOOGLEFINANCE($C36, ""price"", WORKDAY(INT($B36), 5)), 2, 2), """")=""""), """", IF($D36=""LONG"", (IFERROR(INDEX(GOOGLEFINANCE($C36, ""price"", WORKDAY(INT($B36), 5)), 2, 2), """")-$G36)/$G36, ($G36-IFERROR(INDEX(GOOGLE"&amp;"FINANCE($C36, ""price"", WORKDAY(INT($B36), 5)), 2, 2), """"))/$G36))"),0.05281090289608176)</f>
        <v>0.0528109029</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2784</v>
      </c>
      <c r="U36" s="10" t="s">
        <v>984</v>
      </c>
      <c r="V36" s="10" t="s">
        <v>2785</v>
      </c>
      <c r="W36" s="10" t="s">
        <v>51</v>
      </c>
      <c r="X36" s="10" t="s">
        <v>984</v>
      </c>
    </row>
    <row r="37">
      <c r="A37" s="9">
        <f t="shared" si="1"/>
        <v>36</v>
      </c>
      <c r="B37" s="11">
        <v>46220.66761574074</v>
      </c>
      <c r="C37" s="10" t="s">
        <v>1198</v>
      </c>
      <c r="D37" s="10" t="s">
        <v>36</v>
      </c>
      <c r="E37" s="10" t="s">
        <v>37</v>
      </c>
      <c r="F37" s="13">
        <v>2.0</v>
      </c>
      <c r="G37" s="14">
        <v>352.16</v>
      </c>
      <c r="H37" s="10" t="s">
        <v>2786</v>
      </c>
      <c r="I37" s="10">
        <v>95.3</v>
      </c>
      <c r="O37" s="15">
        <f>IFERROR(__xludf.DUMMYFUNCTION("IF(ISBLANK($C37), """", GOOGLEFINANCE($C37, ""price""))"),354.03)</f>
        <v>354.03</v>
      </c>
      <c r="P37" s="16">
        <f t="shared" si="2"/>
        <v>0.005310086324</v>
      </c>
      <c r="Q37" s="16">
        <f>IFERROR(__xludf.DUMMYFUNCTION("IF(OR(ISBLANK($G37), IFERROR(INDEX(GOOGLEFINANCE($C37, ""price"", WORKDAY(INT($B37), 1)), 2, 2), """")=""""), """", IF($D37=""LONG"", (IFERROR(INDEX(GOOGLEFINANCE($C37, ""price"", WORKDAY(INT($B37), 1)), 2, 2), """")-$G37)/$G37, ($G37-IFERROR(INDEX(GOOGLE"&amp;"FINANCE($C37, ""price"", WORKDAY(INT($B37), 1)), 2, 2), """"))/$G37))"),0.0010506587914582794)</f>
        <v>0.001050658791</v>
      </c>
      <c r="R37" s="16">
        <f>IFERROR(__xludf.DUMMYFUNCTION("IF(OR(ISBLANK($G37), IFERROR(INDEX(GOOGLEFINANCE($C37, ""price"", WORKDAY(INT($B37), 5)), 2, 2), """")=""""), """", IF($D37=""LONG"", (IFERROR(INDEX(GOOGLEFINANCE($C37, ""price"", WORKDAY(INT($B37), 5)), 2, 2), """")-$G37)/$G37, ($G37-IFERROR(INDEX(GOOGLE"&amp;"FINANCE($C37, ""price"", WORKDAY(INT($B37), 5)), 2, 2), """"))/$G37))"),0.021552703316674166)</f>
        <v>0.02155270332</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2791</v>
      </c>
      <c r="U37" s="10" t="s">
        <v>704</v>
      </c>
      <c r="V37" s="10" t="s">
        <v>2792</v>
      </c>
      <c r="W37" s="10" t="s">
        <v>51</v>
      </c>
      <c r="X37" s="10" t="s">
        <v>704</v>
      </c>
    </row>
    <row r="38">
      <c r="A38" s="9">
        <f t="shared" si="1"/>
        <v>37</v>
      </c>
      <c r="B38" s="11">
        <v>46220.66752314815</v>
      </c>
      <c r="C38" s="10" t="s">
        <v>2793</v>
      </c>
      <c r="D38" s="10" t="s">
        <v>36</v>
      </c>
      <c r="E38" s="10" t="s">
        <v>37</v>
      </c>
      <c r="F38" s="13">
        <v>2.0</v>
      </c>
      <c r="G38" s="14">
        <v>48.54</v>
      </c>
      <c r="H38" s="10" t="s">
        <v>2795</v>
      </c>
      <c r="I38" s="10">
        <v>84.1</v>
      </c>
      <c r="O38" s="15">
        <f>IFERROR(__xludf.DUMMYFUNCTION("IF(ISBLANK($C38), """", GOOGLEFINANCE($C38, ""price""))"),47.37)</f>
        <v>47.37</v>
      </c>
      <c r="P38" s="16">
        <f t="shared" si="2"/>
        <v>-0.02410383189</v>
      </c>
      <c r="Q38" s="16">
        <f>IFERROR(__xludf.DUMMYFUNCTION("IF(OR(ISBLANK($G38), IFERROR(INDEX(GOOGLEFINANCE($C38, ""price"", WORKDAY(INT($B38), 1)), 2, 2), """")=""""), """", IF($D38=""LONG"", (IFERROR(INDEX(GOOGLEFINANCE($C38, ""price"", WORKDAY(INT($B38), 1)), 2, 2), """")-$G38)/$G38, ($G38-IFERROR(INDEX(GOOGLE"&amp;"FINANCE($C38, ""price"", WORKDAY(INT($B38), 1)), 2, 2), """"))/$G38))"),0.0)</f>
        <v>0</v>
      </c>
      <c r="R38" s="16">
        <f>IFERROR(__xludf.DUMMYFUNCTION("IF(OR(ISBLANK($G38), IFERROR(INDEX(GOOGLEFINANCE($C38, ""price"", WORKDAY(INT($B38), 5)), 2, 2), """")=""""), """", IF($D38=""LONG"", (IFERROR(INDEX(GOOGLEFINANCE($C38, ""price"", WORKDAY(INT($B38), 5)), 2, 2), """")-$G38)/$G38, ($G38-IFERROR(INDEX(GOOGLE"&amp;"FINANCE($C38, ""price"", WORKDAY(INT($B38), 5)), 2, 2), """"))/$G38))"),0.02843016069221266)</f>
        <v>0.02843016069</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2797</v>
      </c>
      <c r="U38" s="10" t="s">
        <v>492</v>
      </c>
      <c r="V38" s="10" t="s">
        <v>493</v>
      </c>
      <c r="W38" s="10" t="s">
        <v>51</v>
      </c>
      <c r="X38" s="10" t="s">
        <v>492</v>
      </c>
    </row>
    <row r="39">
      <c r="A39" s="9">
        <f t="shared" si="1"/>
        <v>38</v>
      </c>
      <c r="B39" s="11">
        <v>46220.66737268519</v>
      </c>
      <c r="C39" s="10" t="s">
        <v>228</v>
      </c>
      <c r="D39" s="10" t="s">
        <v>36</v>
      </c>
      <c r="E39" s="10" t="s">
        <v>37</v>
      </c>
      <c r="F39" s="13">
        <v>2.0</v>
      </c>
      <c r="G39" s="14">
        <v>71.64</v>
      </c>
      <c r="H39" s="10" t="s">
        <v>2798</v>
      </c>
      <c r="I39" s="10">
        <v>96.9</v>
      </c>
      <c r="O39" s="15">
        <f>IFERROR(__xludf.DUMMYFUNCTION("IF(ISBLANK($C39), """", GOOGLEFINANCE($C39, ""price""))"),72.13)</f>
        <v>72.13</v>
      </c>
      <c r="P39" s="16">
        <f t="shared" si="2"/>
        <v>0.006839754327</v>
      </c>
      <c r="Q39" s="16">
        <f>IFERROR(__xludf.DUMMYFUNCTION("IF(OR(ISBLANK($G39), IFERROR(INDEX(GOOGLEFINANCE($C39, ""price"", WORKDAY(INT($B39), 1)), 2, 2), """")=""""), """", IF($D39=""LONG"", (IFERROR(INDEX(GOOGLEFINANCE($C39, ""price"", WORKDAY(INT($B39), 1)), 2, 2), """")-$G39)/$G39, ($G39-IFERROR(INDEX(GOOGLE"&amp;"FINANCE($C39, ""price"", WORKDAY(INT($B39), 1)), 2, 2), """"))/$G39))"),0.015214963707426067)</f>
        <v>0.01521496371</v>
      </c>
      <c r="R39" s="16">
        <f>IFERROR(__xludf.DUMMYFUNCTION("IF(OR(ISBLANK($G39), IFERROR(INDEX(GOOGLEFINANCE($C39, ""price"", WORKDAY(INT($B39), 5)), 2, 2), """")=""""), """", IF($D39=""LONG"", (IFERROR(INDEX(GOOGLEFINANCE($C39, ""price"", WORKDAY(INT($B39), 5)), 2, 2), """")-$G39)/$G39, ($G39-IFERROR(INDEX(GOOGLE"&amp;"FINANCE($C39, ""price"", WORKDAY(INT($B39), 5)), 2, 2), """"))/$G39))"),0.053322166387492924)</f>
        <v>0.05332216639</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2801</v>
      </c>
      <c r="U39" s="10" t="s">
        <v>615</v>
      </c>
      <c r="V39" s="10" t="s">
        <v>2803</v>
      </c>
      <c r="W39" s="10" t="s">
        <v>51</v>
      </c>
      <c r="X39" s="10" t="s">
        <v>615</v>
      </c>
    </row>
    <row r="40">
      <c r="A40" s="9">
        <f t="shared" si="1"/>
        <v>39</v>
      </c>
      <c r="B40" s="11">
        <v>46220.66755787037</v>
      </c>
      <c r="C40" s="10" t="s">
        <v>1255</v>
      </c>
      <c r="D40" s="10" t="s">
        <v>36</v>
      </c>
      <c r="E40" s="10" t="s">
        <v>37</v>
      </c>
      <c r="F40" s="13">
        <v>2.0</v>
      </c>
      <c r="G40" s="14">
        <v>77.64</v>
      </c>
      <c r="H40" s="10" t="s">
        <v>2804</v>
      </c>
      <c r="I40" s="10">
        <v>87.7</v>
      </c>
      <c r="O40" s="15">
        <f>IFERROR(__xludf.DUMMYFUNCTION("IF(ISBLANK($C40), """", GOOGLEFINANCE($C40, ""price""))"),67.23)</f>
        <v>67.23</v>
      </c>
      <c r="P40" s="16">
        <f t="shared" si="2"/>
        <v>-0.1340803709</v>
      </c>
      <c r="Q40" s="16">
        <f>IFERROR(__xludf.DUMMYFUNCTION("IF(OR(ISBLANK($G40), IFERROR(INDEX(GOOGLEFINANCE($C40, ""price"", WORKDAY(INT($B40), 1)), 2, 2), """")=""""), """", IF($D40=""LONG"", (IFERROR(INDEX(GOOGLEFINANCE($C40, ""price"", WORKDAY(INT($B40), 1)), 2, 2), """")-$G40)/$G40, ($G40-IFERROR(INDEX(GOOGLE"&amp;"FINANCE($C40, ""price"", WORKDAY(INT($B40), 1)), 2, 2), """"))/$G40))"),-0.0050231839258114445)</f>
        <v>-0.005023183926</v>
      </c>
      <c r="R40" s="16">
        <f>IFERROR(__xludf.DUMMYFUNCTION("IF(OR(ISBLANK($G40), IFERROR(INDEX(GOOGLEFINANCE($C40, ""price"", WORKDAY(INT($B40), 5)), 2, 2), """")=""""), """", IF($D40=""LONG"", (IFERROR(INDEX(GOOGLEFINANCE($C40, ""price"", WORKDAY(INT($B40), 5)), 2, 2), """")-$G40)/$G40, ($G40-IFERROR(INDEX(GOOGLE"&amp;"FINANCE($C40, ""price"", WORKDAY(INT($B40), 5)), 2, 2), """"))/$G40))"),0.027176713034518282)</f>
        <v>0.02717671303</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2806</v>
      </c>
      <c r="U40" s="10" t="s">
        <v>492</v>
      </c>
      <c r="V40" s="10" t="s">
        <v>493</v>
      </c>
      <c r="W40" s="10" t="s">
        <v>51</v>
      </c>
      <c r="X40" s="10" t="s">
        <v>492</v>
      </c>
    </row>
    <row r="41">
      <c r="A41" s="9">
        <f t="shared" si="1"/>
        <v>40</v>
      </c>
      <c r="B41" s="11">
        <v>46220.66763888889</v>
      </c>
      <c r="C41" s="10" t="s">
        <v>845</v>
      </c>
      <c r="D41" s="10" t="s">
        <v>119</v>
      </c>
      <c r="E41" s="10" t="s">
        <v>120</v>
      </c>
      <c r="F41" s="13">
        <v>4.0</v>
      </c>
      <c r="G41" s="14">
        <v>235.34</v>
      </c>
      <c r="H41" s="10" t="s">
        <v>2808</v>
      </c>
      <c r="I41" s="10">
        <v>5.5</v>
      </c>
      <c r="O41" s="15">
        <f>IFERROR(__xludf.DUMMYFUNCTION("IF(ISBLANK($C41), """", GOOGLEFINANCE($C41, ""price""))"),261.48)</f>
        <v>261.48</v>
      </c>
      <c r="P41" s="16">
        <f t="shared" si="2"/>
        <v>-0.1110733407</v>
      </c>
      <c r="Q41" s="16">
        <f>IFERROR(__xludf.DUMMYFUNCTION("IF(OR(ISBLANK($G41), IFERROR(INDEX(GOOGLEFINANCE($C41, ""price"", WORKDAY(INT($B41), 1)), 2, 2), """")=""""), """", IF($D41=""LONG"", (IFERROR(INDEX(GOOGLEFINANCE($C41, ""price"", WORKDAY(INT($B41), 1)), 2, 2), """")-$G41)/$G41, ($G41-IFERROR(INDEX(GOOGLE"&amp;"FINANCE($C41, ""price"", WORKDAY(INT($B41), 1)), 2, 2), """"))/$G41))"),0.020608481346137478)</f>
        <v>0.02060848135</v>
      </c>
      <c r="R41" s="16">
        <f>IFERROR(__xludf.DUMMYFUNCTION("IF(OR(ISBLANK($G41), IFERROR(INDEX(GOOGLEFINANCE($C41, ""price"", WORKDAY(INT($B41), 5)), 2, 2), """")=""""), """", IF($D41=""LONG"", (IFERROR(INDEX(GOOGLEFINANCE($C41, ""price"", WORKDAY(INT($B41), 5)), 2, 2), """")-$G41)/$G41, ($G41-IFERROR(INDEX(GOOGLE"&amp;"FINANCE($C41, ""price"", WORKDAY(INT($B41), 5)), 2, 2), """"))/$G41))"),-0.05001274751423477)</f>
        <v>-0.05001274751</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2811</v>
      </c>
      <c r="U41" s="10" t="s">
        <v>525</v>
      </c>
      <c r="V41" s="10" t="s">
        <v>2813</v>
      </c>
      <c r="W41" s="10" t="s">
        <v>51</v>
      </c>
      <c r="X41" s="10" t="s">
        <v>525</v>
      </c>
    </row>
    <row r="42">
      <c r="A42" s="9">
        <f t="shared" si="1"/>
        <v>41</v>
      </c>
      <c r="B42" s="11">
        <v>46220.66737268519</v>
      </c>
      <c r="C42" s="10" t="s">
        <v>1762</v>
      </c>
      <c r="D42" s="10" t="s">
        <v>36</v>
      </c>
      <c r="E42" s="10" t="s">
        <v>133</v>
      </c>
      <c r="F42" s="13">
        <v>2.0</v>
      </c>
      <c r="G42" s="14">
        <v>208.42</v>
      </c>
      <c r="H42" s="10" t="s">
        <v>2814</v>
      </c>
      <c r="I42" s="10">
        <v>59.2</v>
      </c>
      <c r="O42" s="15">
        <f>IFERROR(__xludf.DUMMYFUNCTION("IF(ISBLANK($C42), """", GOOGLEFINANCE($C42, ""price""))"),146.66)</f>
        <v>146.66</v>
      </c>
      <c r="P42" s="16">
        <f t="shared" si="2"/>
        <v>-0.2963247289</v>
      </c>
      <c r="Q42" s="16">
        <f>IFERROR(__xludf.DUMMYFUNCTION("IF(OR(ISBLANK($G42), IFERROR(INDEX(GOOGLEFINANCE($C42, ""price"", WORKDAY(INT($B42), 1)), 2, 2), """")=""""), """", IF($D42=""LONG"", (IFERROR(INDEX(GOOGLEFINANCE($C42, ""price"", WORKDAY(INT($B42), 1)), 2, 2), """")-$G42)/$G42, ($G42-IFERROR(INDEX(GOOGLE"&amp;"FINANCE($C42, ""price"", WORKDAY(INT($B42), 1)), 2, 2), """"))/$G42))"),-0.012570770559447155)</f>
        <v>-0.01257077056</v>
      </c>
      <c r="R42" s="16">
        <f>IFERROR(__xludf.DUMMYFUNCTION("IF(OR(ISBLANK($G42), IFERROR(INDEX(GOOGLEFINANCE($C42, ""price"", WORKDAY(INT($B42), 5)), 2, 2), """")=""""), """", IF($D42=""LONG"", (IFERROR(INDEX(GOOGLEFINANCE($C42, ""price"", WORKDAY(INT($B42), 5)), 2, 2), """")-$G42)/$G42, ($G42-IFERROR(INDEX(GOOGLE"&amp;"FINANCE($C42, ""price"", WORKDAY(INT($B42), 5)), 2, 2), """"))/$G42))"),-0.10512426830438537)</f>
        <v>-0.1051242683</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2817</v>
      </c>
      <c r="U42" s="10" t="s">
        <v>722</v>
      </c>
      <c r="V42" s="10" t="s">
        <v>2818</v>
      </c>
      <c r="W42" s="10" t="s">
        <v>51</v>
      </c>
      <c r="X42" s="10" t="s">
        <v>722</v>
      </c>
    </row>
    <row r="43">
      <c r="A43" s="9">
        <f t="shared" si="1"/>
        <v>42</v>
      </c>
      <c r="B43" s="11">
        <v>46220.66736111111</v>
      </c>
      <c r="C43" s="10" t="s">
        <v>2229</v>
      </c>
      <c r="D43" s="10" t="s">
        <v>36</v>
      </c>
      <c r="E43" s="10" t="s">
        <v>133</v>
      </c>
      <c r="F43" s="13">
        <v>2.0</v>
      </c>
      <c r="G43" s="14">
        <v>122.8</v>
      </c>
      <c r="H43" s="10" t="s">
        <v>2819</v>
      </c>
      <c r="I43" s="10">
        <v>93.3</v>
      </c>
      <c r="O43" s="15">
        <f>IFERROR(__xludf.DUMMYFUNCTION("IF(ISBLANK($C43), """", GOOGLEFINANCE($C43, ""price""))"),120.76)</f>
        <v>120.76</v>
      </c>
      <c r="P43" s="16">
        <f t="shared" si="2"/>
        <v>-0.01661237785</v>
      </c>
      <c r="Q43" s="16">
        <f>IFERROR(__xludf.DUMMYFUNCTION("IF(OR(ISBLANK($G43), IFERROR(INDEX(GOOGLEFINANCE($C43, ""price"", WORKDAY(INT($B43), 1)), 2, 2), """")=""""), """", IF($D43=""LONG"", (IFERROR(INDEX(GOOGLEFINANCE($C43, ""price"", WORKDAY(INT($B43), 1)), 2, 2), """")-$G43)/$G43, ($G43-IFERROR(INDEX(GOOGLE"&amp;"FINANCE($C43, ""price"", WORKDAY(INT($B43), 1)), 2, 2), """"))/$G43))"),-0.017752442996742612)</f>
        <v>-0.017752443</v>
      </c>
      <c r="R43" s="16">
        <f>IFERROR(__xludf.DUMMYFUNCTION("IF(OR(ISBLANK($G43), IFERROR(INDEX(GOOGLEFINANCE($C43, ""price"", WORKDAY(INT($B43), 5)), 2, 2), """")=""""), """", IF($D43=""LONG"", (IFERROR(INDEX(GOOGLEFINANCE($C43, ""price"", WORKDAY(INT($B43), 5)), 2, 2), """")-$G43)/$G43, ($G43-IFERROR(INDEX(GOOGLE"&amp;"FINANCE($C43, ""price"", WORKDAY(INT($B43), 5)), 2, 2), """"))/$G43))"),-0.024837133550488576)</f>
        <v>-0.02483713355</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2822</v>
      </c>
      <c r="U43" s="10" t="s">
        <v>492</v>
      </c>
      <c r="V43" s="10" t="s">
        <v>493</v>
      </c>
      <c r="W43" s="10" t="s">
        <v>51</v>
      </c>
      <c r="X43" s="10" t="s">
        <v>492</v>
      </c>
    </row>
    <row r="44">
      <c r="A44" s="9">
        <f t="shared" si="1"/>
        <v>43</v>
      </c>
      <c r="B44" s="11">
        <v>46220.6674537037</v>
      </c>
      <c r="C44" s="10" t="s">
        <v>238</v>
      </c>
      <c r="D44" s="10" t="s">
        <v>36</v>
      </c>
      <c r="E44" s="10" t="s">
        <v>37</v>
      </c>
      <c r="F44" s="13">
        <v>2.0</v>
      </c>
      <c r="G44" s="14">
        <v>228.4</v>
      </c>
      <c r="H44" s="10" t="s">
        <v>2824</v>
      </c>
      <c r="I44" s="10">
        <v>87.3</v>
      </c>
      <c r="O44" s="15">
        <f>IFERROR(__xludf.DUMMYFUNCTION("IF(ISBLANK($C44), """", GOOGLEFINANCE($C44, ""price""))"),246.89)</f>
        <v>246.89</v>
      </c>
      <c r="P44" s="16">
        <f t="shared" si="2"/>
        <v>0.08095446585</v>
      </c>
      <c r="Q44" s="16">
        <f>IFERROR(__xludf.DUMMYFUNCTION("IF(OR(ISBLANK($G44), IFERROR(INDEX(GOOGLEFINANCE($C44, ""price"", WORKDAY(INT($B44), 1)), 2, 2), """")=""""), """", IF($D44=""LONG"", (IFERROR(INDEX(GOOGLEFINANCE($C44, ""price"", WORKDAY(INT($B44), 1)), 2, 2), """")-$G44)/$G44, ($G44-IFERROR(INDEX(GOOGLE"&amp;"FINANCE($C44, ""price"", WORKDAY(INT($B44), 1)), 2, 2), """"))/$G44))"),-0.02215411558669003)</f>
        <v>-0.02215411559</v>
      </c>
      <c r="R44" s="16">
        <f>IFERROR(__xludf.DUMMYFUNCTION("IF(OR(ISBLANK($G44), IFERROR(INDEX(GOOGLEFINANCE($C44, ""price"", WORKDAY(INT($B44), 5)), 2, 2), """")=""""), """", IF($D44=""LONG"", (IFERROR(INDEX(GOOGLEFINANCE($C44, ""price"", WORKDAY(INT($B44), 5)), 2, 2), """")-$G44)/$G44, ($G44-IFERROR(INDEX(GOOGLE"&amp;"FINANCE($C44, ""price"", WORKDAY(INT($B44), 5)), 2, 2), """"))/$G44))"),-0.007267950963222402)</f>
        <v>-0.007267950963</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2826</v>
      </c>
      <c r="U44" s="10" t="s">
        <v>722</v>
      </c>
      <c r="V44" s="10" t="s">
        <v>2827</v>
      </c>
      <c r="W44" s="10" t="s">
        <v>51</v>
      </c>
      <c r="X44" s="10" t="s">
        <v>722</v>
      </c>
    </row>
    <row r="45">
      <c r="A45" s="9">
        <f t="shared" si="1"/>
        <v>44</v>
      </c>
      <c r="B45" s="11">
        <v>46220.66763888889</v>
      </c>
      <c r="C45" s="10" t="s">
        <v>310</v>
      </c>
      <c r="D45" s="10" t="s">
        <v>36</v>
      </c>
      <c r="E45" s="10" t="s">
        <v>37</v>
      </c>
      <c r="F45" s="13">
        <v>2.0</v>
      </c>
      <c r="G45" s="14">
        <v>206.28</v>
      </c>
      <c r="H45" s="10" t="s">
        <v>2017</v>
      </c>
      <c r="I45" s="10">
        <v>93.3</v>
      </c>
      <c r="O45" s="15">
        <f>IFERROR(__xludf.DUMMYFUNCTION("IF(ISBLANK($C45), """", GOOGLEFINANCE($C45, ""price""))"),232.43)</f>
        <v>232.43</v>
      </c>
      <c r="P45" s="16">
        <f t="shared" si="2"/>
        <v>0.1267694396</v>
      </c>
      <c r="Q45" s="16">
        <f>IFERROR(__xludf.DUMMYFUNCTION("IF(OR(ISBLANK($G45), IFERROR(INDEX(GOOGLEFINANCE($C45, ""price"", WORKDAY(INT($B45), 1)), 2, 2), """")=""""), """", IF($D45=""LONG"", (IFERROR(INDEX(GOOGLEFINANCE($C45, ""price"", WORKDAY(INT($B45), 1)), 2, 2), """")-$G45)/$G45, ($G45-IFERROR(INDEX(GOOGLE"&amp;"FINANCE($C45, ""price"", WORKDAY(INT($B45), 1)), 2, 2), """"))/$G45))"),-0.011537715726197379)</f>
        <v>-0.01153771573</v>
      </c>
      <c r="R45" s="16">
        <f>IFERROR(__xludf.DUMMYFUNCTION("IF(OR(ISBLANK($G45), IFERROR(INDEX(GOOGLEFINANCE($C45, ""price"", WORKDAY(INT($B45), 5)), 2, 2), """")=""""), """", IF($D45=""LONG"", (IFERROR(INDEX(GOOGLEFINANCE($C45, ""price"", WORKDAY(INT($B45), 5)), 2, 2), """")-$G45)/$G45, ($G45-IFERROR(INDEX(GOOGLE"&amp;"FINANCE($C45, ""price"", WORKDAY(INT($B45), 5)), 2, 2), """"))/$G45))"),0.008580570098894756)</f>
        <v>0.008580570099</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2829</v>
      </c>
      <c r="U45" s="10" t="s">
        <v>492</v>
      </c>
      <c r="V45" s="10" t="s">
        <v>493</v>
      </c>
      <c r="W45" s="10" t="s">
        <v>51</v>
      </c>
      <c r="X45" s="10" t="s">
        <v>492</v>
      </c>
    </row>
    <row r="46">
      <c r="A46" s="9">
        <f t="shared" si="1"/>
        <v>45</v>
      </c>
      <c r="B46" s="11">
        <v>46220.667604166665</v>
      </c>
      <c r="C46" s="10" t="s">
        <v>63</v>
      </c>
      <c r="D46" s="10" t="s">
        <v>36</v>
      </c>
      <c r="E46" s="10" t="s">
        <v>133</v>
      </c>
      <c r="F46" s="13">
        <v>2.0</v>
      </c>
      <c r="G46" s="14">
        <v>157.15</v>
      </c>
      <c r="H46" s="10" t="s">
        <v>2832</v>
      </c>
      <c r="I46" s="10">
        <v>83.9</v>
      </c>
      <c r="O46" s="15">
        <f>IFERROR(__xludf.DUMMYFUNCTION("IF(ISBLANK($C46), """", GOOGLEFINANCE($C46, ""price""))"),158.82)</f>
        <v>158.82</v>
      </c>
      <c r="P46" s="16">
        <f t="shared" si="2"/>
        <v>0.01062678969</v>
      </c>
      <c r="Q46" s="16">
        <f>IFERROR(__xludf.DUMMYFUNCTION("IF(OR(ISBLANK($G46), IFERROR(INDEX(GOOGLEFINANCE($C46, ""price"", WORKDAY(INT($B46), 1)), 2, 2), """")=""""), """", IF($D46=""LONG"", (IFERROR(INDEX(GOOGLEFINANCE($C46, ""price"", WORKDAY(INT($B46), 1)), 2, 2), """")-$G46)/$G46, ($G46-IFERROR(INDEX(GOOGLE"&amp;"FINANCE($C46, ""price"", WORKDAY(INT($B46), 1)), 2, 2), """"))/$G46))"),-0.0013999363665287868)</f>
        <v>-0.001399936367</v>
      </c>
      <c r="R46" s="16">
        <f>IFERROR(__xludf.DUMMYFUNCTION("IF(OR(ISBLANK($G46), IFERROR(INDEX(GOOGLEFINANCE($C46, ""price"", WORKDAY(INT($B46), 5)), 2, 2), """")=""""), """", IF($D46=""LONG"", (IFERROR(INDEX(GOOGLEFINANCE($C46, ""price"", WORKDAY(INT($B46), 5)), 2, 2), """")-$G46)/$G46, ($G46-IFERROR(INDEX(GOOGLE"&amp;"FINANCE($C46, ""price"", WORKDAY(INT($B46), 5)), 2, 2), """"))/$G46))"),0.011199490932230294)</f>
        <v>0.01119949093</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2834</v>
      </c>
      <c r="U46" s="10" t="s">
        <v>492</v>
      </c>
      <c r="V46" s="10" t="s">
        <v>493</v>
      </c>
      <c r="W46" s="10" t="s">
        <v>51</v>
      </c>
      <c r="X46" s="10" t="s">
        <v>492</v>
      </c>
    </row>
    <row r="47">
      <c r="A47" s="9">
        <f t="shared" si="1"/>
        <v>46</v>
      </c>
      <c r="B47" s="11">
        <v>46220.66761574074</v>
      </c>
      <c r="C47" s="10" t="s">
        <v>379</v>
      </c>
      <c r="D47" s="10" t="s">
        <v>36</v>
      </c>
      <c r="E47" s="10" t="s">
        <v>37</v>
      </c>
      <c r="F47" s="13">
        <v>2.0</v>
      </c>
      <c r="G47" s="14">
        <v>50.74</v>
      </c>
      <c r="H47" s="10" t="s">
        <v>2835</v>
      </c>
      <c r="I47" s="10">
        <v>75.1</v>
      </c>
      <c r="O47" s="15">
        <f>IFERROR(__xludf.DUMMYFUNCTION("IF(ISBLANK($C47), """", GOOGLEFINANCE($C47, ""price""))"),50.7)</f>
        <v>50.7</v>
      </c>
      <c r="P47" s="16">
        <f t="shared" si="2"/>
        <v>-0.0007883326764</v>
      </c>
      <c r="Q47" s="16">
        <f>IFERROR(__xludf.DUMMYFUNCTION("IF(OR(ISBLANK($G47), IFERROR(INDEX(GOOGLEFINANCE($C47, ""price"", WORKDAY(INT($B47), 1)), 2, 2), """")=""""), """", IF($D47=""LONG"", (IFERROR(INDEX(GOOGLEFINANCE($C47, ""price"", WORKDAY(INT($B47), 1)), 2, 2), """")-$G47)/$G47, ($G47-IFERROR(INDEX(GOOGLE"&amp;"FINANCE($C47, ""price"", WORKDAY(INT($B47), 1)), 2, 2), """"))/$G47))"),-0.012416239653133673)</f>
        <v>-0.01241623965</v>
      </c>
      <c r="R47" s="16">
        <f>IFERROR(__xludf.DUMMYFUNCTION("IF(OR(ISBLANK($G47), IFERROR(INDEX(GOOGLEFINANCE($C47, ""price"", WORKDAY(INT($B47), 5)), 2, 2), """")=""""), """", IF($D47=""LONG"", (IFERROR(INDEX(GOOGLEFINANCE($C47, ""price"", WORKDAY(INT($B47), 5)), 2, 2), """")-$G47)/$G47, ($G47-IFERROR(INDEX(GOOGLE"&amp;"FINANCE($C47, ""price"", WORKDAY(INT($B47), 5)), 2, 2), """"))/$G47))"),0.04907370910524231)</f>
        <v>0.04907370911</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2839</v>
      </c>
      <c r="U47" s="10" t="s">
        <v>492</v>
      </c>
      <c r="V47" s="10" t="s">
        <v>493</v>
      </c>
      <c r="W47" s="10" t="s">
        <v>51</v>
      </c>
      <c r="X47" s="10" t="s">
        <v>492</v>
      </c>
    </row>
    <row r="48">
      <c r="A48" s="9">
        <f t="shared" si="1"/>
        <v>47</v>
      </c>
      <c r="B48" s="11">
        <v>46220.66737268519</v>
      </c>
      <c r="C48" s="10" t="s">
        <v>60</v>
      </c>
      <c r="D48" s="10" t="s">
        <v>36</v>
      </c>
      <c r="E48" s="10" t="s">
        <v>1892</v>
      </c>
      <c r="F48" s="13">
        <v>2.0</v>
      </c>
      <c r="G48" s="14">
        <v>43.94</v>
      </c>
      <c r="H48" s="10" t="s">
        <v>2840</v>
      </c>
      <c r="I48" s="10">
        <v>94.0</v>
      </c>
      <c r="O48" s="15">
        <f>IFERROR(__xludf.DUMMYFUNCTION("IF(ISBLANK($C48), """", GOOGLEFINANCE($C48, ""price""))"),47.06)</f>
        <v>47.06</v>
      </c>
      <c r="P48" s="16">
        <f t="shared" si="2"/>
        <v>0.07100591716</v>
      </c>
      <c r="Q48" s="16">
        <f>IFERROR(__xludf.DUMMYFUNCTION("IF(OR(ISBLANK($G48), IFERROR(INDEX(GOOGLEFINANCE($C48, ""price"", WORKDAY(INT($B48), 1)), 2, 2), """")=""""), """", IF($D48=""LONG"", (IFERROR(INDEX(GOOGLEFINANCE($C48, ""price"", WORKDAY(INT($B48), 1)), 2, 2), """")-$G48)/$G48, ($G48-IFERROR(INDEX(GOOGLE"&amp;"FINANCE($C48, ""price"", WORKDAY(INT($B48), 1)), 2, 2), """"))/$G48))"),-0.01615839781520257)</f>
        <v>-0.01615839782</v>
      </c>
      <c r="R48" s="16">
        <f>IFERROR(__xludf.DUMMYFUNCTION("IF(OR(ISBLANK($G48), IFERROR(INDEX(GOOGLEFINANCE($C48, ""price"", WORKDAY(INT($B48), 5)), 2, 2), """")=""""), """", IF($D48=""LONG"", (IFERROR(INDEX(GOOGLEFINANCE($C48, ""price"", WORKDAY(INT($B48), 5)), 2, 2), """")-$G48)/$G48, ($G48-IFERROR(INDEX(GOOGLE"&amp;"FINANCE($C48, ""price"", WORKDAY(INT($B48), 5)), 2, 2), """"))/$G48))"),0.013654984069185286)</f>
        <v>0.01365498407</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2841</v>
      </c>
      <c r="U48" s="10" t="s">
        <v>492</v>
      </c>
      <c r="V48" s="10" t="s">
        <v>493</v>
      </c>
      <c r="W48" s="10" t="s">
        <v>51</v>
      </c>
      <c r="X48" s="10" t="s">
        <v>492</v>
      </c>
    </row>
    <row r="49">
      <c r="A49" s="9">
        <f t="shared" si="1"/>
        <v>48</v>
      </c>
      <c r="B49" s="11">
        <v>46220.66748842593</v>
      </c>
      <c r="C49" s="10" t="s">
        <v>312</v>
      </c>
      <c r="D49" s="10" t="s">
        <v>36</v>
      </c>
      <c r="E49" s="10" t="s">
        <v>37</v>
      </c>
      <c r="F49" s="13">
        <v>2.0</v>
      </c>
      <c r="G49" s="14">
        <v>14.78</v>
      </c>
      <c r="H49" s="10" t="s">
        <v>2843</v>
      </c>
      <c r="I49" s="10">
        <v>87.5</v>
      </c>
      <c r="O49" s="15">
        <f>IFERROR(__xludf.DUMMYFUNCTION("IF(ISBLANK($C49), """", GOOGLEFINANCE($C49, ""price""))"),14.7)</f>
        <v>14.7</v>
      </c>
      <c r="P49" s="16">
        <f t="shared" si="2"/>
        <v>-0.005412719892</v>
      </c>
      <c r="Q49" s="16">
        <f>IFERROR(__xludf.DUMMYFUNCTION("IF(OR(ISBLANK($G49), IFERROR(INDEX(GOOGLEFINANCE($C49, ""price"", WORKDAY(INT($B49), 1)), 2, 2), """")=""""), """", IF($D49=""LONG"", (IFERROR(INDEX(GOOGLEFINANCE($C49, ""price"", WORKDAY(INT($B49), 1)), 2, 2), """")-$G49)/$G49, ($G49-IFERROR(INDEX(GOOGLE"&amp;"FINANCE($C49, ""price"", WORKDAY(INT($B49), 1)), 2, 2), """"))/$G49))"),0.001353179972936492)</f>
        <v>0.001353179973</v>
      </c>
      <c r="R49" s="16">
        <f>IFERROR(__xludf.DUMMYFUNCTION("IF(OR(ISBLANK($G49), IFERROR(INDEX(GOOGLEFINANCE($C49, ""price"", WORKDAY(INT($B49), 5)), 2, 2), """")=""""), """", IF($D49=""LONG"", (IFERROR(INDEX(GOOGLEFINANCE($C49, ""price"", WORKDAY(INT($B49), 5)), 2, 2), """")-$G49)/$G49, ($G49-IFERROR(INDEX(GOOGLE"&amp;"FINANCE($C49, ""price"", WORKDAY(INT($B49), 5)), 2, 2), """"))/$G49))"),0.004059539918809235)</f>
        <v>0.004059539919</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2845</v>
      </c>
      <c r="U49" s="10" t="s">
        <v>984</v>
      </c>
      <c r="V49" s="10" t="s">
        <v>2714</v>
      </c>
      <c r="W49" s="10" t="s">
        <v>51</v>
      </c>
      <c r="X49" s="10" t="s">
        <v>984</v>
      </c>
    </row>
    <row r="50">
      <c r="A50" s="9">
        <f t="shared" si="1"/>
        <v>49</v>
      </c>
      <c r="B50" s="11">
        <v>46220.66756944444</v>
      </c>
      <c r="C50" s="10" t="s">
        <v>431</v>
      </c>
      <c r="D50" s="10" t="s">
        <v>119</v>
      </c>
      <c r="E50" s="10" t="s">
        <v>120</v>
      </c>
      <c r="F50" s="13">
        <v>4.0</v>
      </c>
      <c r="G50" s="14">
        <v>147.4</v>
      </c>
      <c r="H50" s="10" t="s">
        <v>2847</v>
      </c>
      <c r="I50" s="10">
        <v>9.5</v>
      </c>
      <c r="O50" s="15">
        <f>IFERROR(__xludf.DUMMYFUNCTION("IF(ISBLANK($C50), """", GOOGLEFINANCE($C50, ""price""))"),154.84)</f>
        <v>154.84</v>
      </c>
      <c r="P50" s="16">
        <f t="shared" si="2"/>
        <v>-0.05047489824</v>
      </c>
      <c r="Q50" s="16">
        <f>IFERROR(__xludf.DUMMYFUNCTION("IF(OR(ISBLANK($G50), IFERROR(INDEX(GOOGLEFINANCE($C50, ""price"", WORKDAY(INT($B50), 1)), 2, 2), """")=""""), """", IF($D50=""LONG"", (IFERROR(INDEX(GOOGLEFINANCE($C50, ""price"", WORKDAY(INT($B50), 1)), 2, 2), """")-$G50)/$G50, ($G50-IFERROR(INDEX(GOOGLE"&amp;"FINANCE($C50, ""price"", WORKDAY(INT($B50), 1)), 2, 2), """"))/$G50))"),-0.006512890094979701)</f>
        <v>-0.006512890095</v>
      </c>
      <c r="R50" s="16">
        <f>IFERROR(__xludf.DUMMYFUNCTION("IF(OR(ISBLANK($G50), IFERROR(INDEX(GOOGLEFINANCE($C50, ""price"", WORKDAY(INT($B50), 5)), 2, 2), """")=""""), """", IF($D50=""LONG"", (IFERROR(INDEX(GOOGLEFINANCE($C50, ""price"", WORKDAY(INT($B50), 5)), 2, 2), """")-$G50)/$G50, ($G50-IFERROR(INDEX(GOOGLE"&amp;"FINANCE($C50, ""price"", WORKDAY(INT($B50), 5)), 2, 2), """"))/$G50))"),-0.06472184531886019)</f>
        <v>-0.06472184532</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2849</v>
      </c>
      <c r="U50" s="10" t="s">
        <v>984</v>
      </c>
      <c r="V50" s="10" t="s">
        <v>985</v>
      </c>
      <c r="W50" s="10" t="s">
        <v>51</v>
      </c>
      <c r="X50" s="10" t="s">
        <v>984</v>
      </c>
    </row>
    <row r="51">
      <c r="A51" s="9">
        <f t="shared" si="1"/>
        <v>50</v>
      </c>
      <c r="B51" s="11">
        <v>46220.66741898148</v>
      </c>
      <c r="C51" s="10" t="s">
        <v>232</v>
      </c>
      <c r="D51" s="10" t="s">
        <v>119</v>
      </c>
      <c r="E51" s="10" t="s">
        <v>120</v>
      </c>
      <c r="F51" s="13">
        <v>4.0</v>
      </c>
      <c r="G51" s="14">
        <v>79.17</v>
      </c>
      <c r="H51" s="10" t="s">
        <v>2850</v>
      </c>
      <c r="I51" s="10">
        <v>9.8</v>
      </c>
      <c r="O51" s="15">
        <f>IFERROR(__xludf.DUMMYFUNCTION("IF(ISBLANK($C51), """", GOOGLEFINANCE($C51, ""price""))"),74.92)</f>
        <v>74.92</v>
      </c>
      <c r="P51" s="16">
        <f t="shared" si="2"/>
        <v>0.05368195023</v>
      </c>
      <c r="Q51" s="16">
        <f>IFERROR(__xludf.DUMMYFUNCTION("IF(OR(ISBLANK($G51), IFERROR(INDEX(GOOGLEFINANCE($C51, ""price"", WORKDAY(INT($B51), 1)), 2, 2), """")=""""), """", IF($D51=""LONG"", (IFERROR(INDEX(GOOGLEFINANCE($C51, ""price"", WORKDAY(INT($B51), 1)), 2, 2), """")-$G51)/$G51, ($G51-IFERROR(INDEX(GOOGLE"&amp;"FINANCE($C51, ""price"", WORKDAY(INT($B51), 1)), 2, 2), """"))/$G51))"),0.012504736642667613)</f>
        <v>0.01250473664</v>
      </c>
      <c r="R51" s="16">
        <f>IFERROR(__xludf.DUMMYFUNCTION("IF(OR(ISBLANK($G51), IFERROR(INDEX(GOOGLEFINANCE($C51, ""price"", WORKDAY(INT($B51), 5)), 2, 2), """")=""""), """", IF($D51=""LONG"", (IFERROR(INDEX(GOOGLEFINANCE($C51, ""price"", WORKDAY(INT($B51), 5)), 2, 2), """")-$G51)/$G51, ($G51-IFERROR(INDEX(GOOGLE"&amp;"FINANCE($C51, ""price"", WORKDAY(INT($B51), 5)), 2, 2), """"))/$G51))"),0.053934571175950435)</f>
        <v>0.05393457118</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2854</v>
      </c>
      <c r="U51" s="10" t="s">
        <v>984</v>
      </c>
      <c r="V51" s="10" t="s">
        <v>933</v>
      </c>
      <c r="W51" s="10" t="s">
        <v>51</v>
      </c>
      <c r="X51" s="10" t="s">
        <v>984</v>
      </c>
    </row>
    <row r="52">
      <c r="A52" s="9">
        <f t="shared" si="1"/>
        <v>51</v>
      </c>
      <c r="B52" s="11">
        <v>46220.66743055556</v>
      </c>
      <c r="C52" s="10" t="s">
        <v>212</v>
      </c>
      <c r="D52" s="10" t="s">
        <v>119</v>
      </c>
      <c r="E52" s="10" t="s">
        <v>120</v>
      </c>
      <c r="F52" s="13">
        <v>4.0</v>
      </c>
      <c r="G52" s="14">
        <v>114.23</v>
      </c>
      <c r="H52" s="10" t="s">
        <v>2855</v>
      </c>
      <c r="I52" s="10">
        <v>5.2</v>
      </c>
      <c r="O52" s="15">
        <f>IFERROR(__xludf.DUMMYFUNCTION("IF(ISBLANK($C52), """", GOOGLEFINANCE($C52, ""price""))"),112.07)</f>
        <v>112.07</v>
      </c>
      <c r="P52" s="16">
        <f t="shared" si="2"/>
        <v>0.01890921824</v>
      </c>
      <c r="Q52" s="16">
        <f>IFERROR(__xludf.DUMMYFUNCTION("IF(OR(ISBLANK($G52), IFERROR(INDEX(GOOGLEFINANCE($C52, ""price"", WORKDAY(INT($B52), 1)), 2, 2), """")=""""), """", IF($D52=""LONG"", (IFERROR(INDEX(GOOGLEFINANCE($C52, ""price"", WORKDAY(INT($B52), 1)), 2, 2), """")-$G52)/$G52, ($G52-IFERROR(INDEX(GOOGLE"&amp;"FINANCE($C52, ""price"", WORKDAY(INT($B52), 1)), 2, 2), """"))/$G52))"),0.01777116344217807)</f>
        <v>0.01777116344</v>
      </c>
      <c r="R52" s="16">
        <f>IFERROR(__xludf.DUMMYFUNCTION("IF(OR(ISBLANK($G52), IFERROR(INDEX(GOOGLEFINANCE($C52, ""price"", WORKDAY(INT($B52), 5)), 2, 2), """")=""""), """", IF($D52=""LONG"", (IFERROR(INDEX(GOOGLEFINANCE($C52, ""price"", WORKDAY(INT($B52), 5)), 2, 2), """")-$G52)/$G52, ($G52-IFERROR(INDEX(GOOGLE"&amp;"FINANCE($C52, ""price"", WORKDAY(INT($B52), 5)), 2, 2), """"))/$G52))"),0.04167031427821067)</f>
        <v>0.04167031428</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2860</v>
      </c>
      <c r="U52" s="10" t="s">
        <v>984</v>
      </c>
      <c r="V52" s="10" t="s">
        <v>985</v>
      </c>
      <c r="W52" s="10" t="s">
        <v>51</v>
      </c>
      <c r="X52" s="10" t="s">
        <v>984</v>
      </c>
    </row>
    <row r="53">
      <c r="A53" s="9">
        <f t="shared" si="1"/>
        <v>52</v>
      </c>
      <c r="B53" s="11">
        <v>46220.667395833334</v>
      </c>
      <c r="C53" s="10" t="s">
        <v>272</v>
      </c>
      <c r="D53" s="10" t="s">
        <v>36</v>
      </c>
      <c r="E53" s="10" t="s">
        <v>37</v>
      </c>
      <c r="F53" s="13">
        <v>2.0</v>
      </c>
      <c r="G53" s="14">
        <v>341.23</v>
      </c>
      <c r="H53" s="10" t="s">
        <v>2862</v>
      </c>
      <c r="I53" s="10">
        <v>93.6</v>
      </c>
      <c r="O53" s="15">
        <f>IFERROR(__xludf.DUMMYFUNCTION("IF(ISBLANK($C53), """", GOOGLEFINANCE($C53, ""price""))"),356.3)</f>
        <v>356.3</v>
      </c>
      <c r="P53" s="16">
        <f t="shared" si="2"/>
        <v>0.04416376051</v>
      </c>
      <c r="Q53" s="16">
        <f>IFERROR(__xludf.DUMMYFUNCTION("IF(OR(ISBLANK($G53), IFERROR(INDEX(GOOGLEFINANCE($C53, ""price"", WORKDAY(INT($B53), 1)), 2, 2), """")=""""), """", IF($D53=""LONG"", (IFERROR(INDEX(GOOGLEFINANCE($C53, ""price"", WORKDAY(INT($B53), 1)), 2, 2), """")-$G53)/$G53, ($G53-IFERROR(INDEX(GOOGLE"&amp;"FINANCE($C53, ""price"", WORKDAY(INT($B53), 1)), 2, 2), """"))/$G53))"),-0.0069161562582422806)</f>
        <v>-0.006916156258</v>
      </c>
      <c r="R53" s="16">
        <f>IFERROR(__xludf.DUMMYFUNCTION("IF(OR(ISBLANK($G53), IFERROR(INDEX(GOOGLEFINANCE($C53, ""price"", WORKDAY(INT($B53), 5)), 2, 2), """")=""""), """", IF($D53=""LONG"", (IFERROR(INDEX(GOOGLEFINANCE($C53, ""price"", WORKDAY(INT($B53), 5)), 2, 2), """")-$G53)/$G53, ($G53-IFERROR(INDEX(GOOGLE"&amp;"FINANCE($C53, ""price"", WORKDAY(INT($B53), 5)), 2, 2), """"))/$G53))"),0.03510828473463635)</f>
        <v>0.03510828473</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2864</v>
      </c>
      <c r="U53" s="10" t="s">
        <v>2865</v>
      </c>
      <c r="V53" s="10" t="s">
        <v>2866</v>
      </c>
      <c r="W53" s="10" t="s">
        <v>51</v>
      </c>
      <c r="X53" s="10" t="s">
        <v>2865</v>
      </c>
    </row>
    <row r="54">
      <c r="A54" s="9">
        <f t="shared" si="1"/>
        <v>53</v>
      </c>
      <c r="B54" s="11">
        <v>46220.6674537037</v>
      </c>
      <c r="C54" s="10" t="s">
        <v>55</v>
      </c>
      <c r="D54" s="10" t="s">
        <v>36</v>
      </c>
      <c r="E54" s="10" t="s">
        <v>37</v>
      </c>
      <c r="F54" s="13">
        <v>2.0</v>
      </c>
      <c r="G54" s="14">
        <v>1178.55</v>
      </c>
      <c r="H54" s="10" t="s">
        <v>2868</v>
      </c>
      <c r="I54" s="10">
        <v>90.7</v>
      </c>
      <c r="O54" s="15">
        <f>IFERROR(__xludf.DUMMYFUNCTION("IF(ISBLANK($C54), """", GOOGLEFINANCE($C54, ""price""))"),1191.94)</f>
        <v>1191.94</v>
      </c>
      <c r="P54" s="16">
        <f t="shared" si="2"/>
        <v>0.01136141869</v>
      </c>
      <c r="Q54" s="16">
        <f>IFERROR(__xludf.DUMMYFUNCTION("IF(OR(ISBLANK($G54), IFERROR(INDEX(GOOGLEFINANCE($C54, ""price"", WORKDAY(INT($B54), 1)), 2, 2), """")=""""), """", IF($D54=""LONG"", (IFERROR(INDEX(GOOGLEFINANCE($C54, ""price"", WORKDAY(INT($B54), 1)), 2, 2), """")-$G54)/$G54, ($G54-IFERROR(INDEX(GOOGLE"&amp;"FINANCE($C54, ""price"", WORKDAY(INT($B54), 1)), 2, 2), """"))/$G54))"),-0.026855033727885846)</f>
        <v>-0.02685503373</v>
      </c>
      <c r="R54" s="16">
        <f>IFERROR(__xludf.DUMMYFUNCTION("IF(OR(ISBLANK($G54), IFERROR(INDEX(GOOGLEFINANCE($C54, ""price"", WORKDAY(INT($B54), 5)), 2, 2), """")=""""), """", IF($D54=""LONG"", (IFERROR(INDEX(GOOGLEFINANCE($C54, ""price"", WORKDAY(INT($B54), 5)), 2, 2), """")-$G54)/$G54, ($G54-IFERROR(INDEX(GOOGLE"&amp;"FINANCE($C54, ""price"", WORKDAY(INT($B54), 5)), 2, 2), """"))/$G54))"),0.014831784820330082)</f>
        <v>0.01483178482</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2870</v>
      </c>
      <c r="U54" s="10" t="s">
        <v>984</v>
      </c>
      <c r="V54" s="10" t="s">
        <v>933</v>
      </c>
      <c r="W54" s="10" t="s">
        <v>51</v>
      </c>
      <c r="X54" s="10" t="s">
        <v>984</v>
      </c>
    </row>
    <row r="55">
      <c r="A55" s="9">
        <f t="shared" si="1"/>
        <v>54</v>
      </c>
      <c r="B55" s="11">
        <v>46220.66746527778</v>
      </c>
      <c r="C55" s="10" t="s">
        <v>442</v>
      </c>
      <c r="D55" s="10" t="s">
        <v>36</v>
      </c>
      <c r="E55" s="10" t="s">
        <v>37</v>
      </c>
      <c r="F55" s="13">
        <v>2.0</v>
      </c>
      <c r="G55" s="14">
        <v>510.5</v>
      </c>
      <c r="H55" s="10" t="s">
        <v>2871</v>
      </c>
      <c r="I55" s="10">
        <v>98.4</v>
      </c>
      <c r="O55" s="15">
        <f>IFERROR(__xludf.DUMMYFUNCTION("IF(ISBLANK($C55), """", GOOGLEFINANCE($C55, ""price""))"),522.46)</f>
        <v>522.46</v>
      </c>
      <c r="P55" s="16">
        <f t="shared" si="2"/>
        <v>0.02342801175</v>
      </c>
      <c r="Q55" s="16">
        <f>IFERROR(__xludf.DUMMYFUNCTION("IF(OR(ISBLANK($G55), IFERROR(INDEX(GOOGLEFINANCE($C55, ""price"", WORKDAY(INT($B55), 1)), 2, 2), """")=""""), """", IF($D55=""LONG"", (IFERROR(INDEX(GOOGLEFINANCE($C55, ""price"", WORKDAY(INT($B55), 1)), 2, 2), """")-$G55)/$G55, ($G55-IFERROR(INDEX(GOOGLE"&amp;"FINANCE($C55, ""price"", WORKDAY(INT($B55), 1)), 2, 2), """"))/$G55))"),0.033261508325171434)</f>
        <v>0.03326150833</v>
      </c>
      <c r="R55" s="16">
        <f>IFERROR(__xludf.DUMMYFUNCTION("IF(OR(ISBLANK($G55), IFERROR(INDEX(GOOGLEFINANCE($C55, ""price"", WORKDAY(INT($B55), 5)), 2, 2), """")=""""), """", IF($D55=""LONG"", (IFERROR(INDEX(GOOGLEFINANCE($C55, ""price"", WORKDAY(INT($B55), 5)), 2, 2), """")-$G55)/$G55, ($G55-IFERROR(INDEX(GOOGLE"&amp;"FINANCE($C55, ""price"", WORKDAY(INT($B55), 5)), 2, 2), """"))/$G55))"),-0.015984329089128356)</f>
        <v>-0.01598432909</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2874</v>
      </c>
      <c r="U55" s="10" t="s">
        <v>492</v>
      </c>
      <c r="V55" s="10" t="s">
        <v>493</v>
      </c>
      <c r="W55" s="10" t="s">
        <v>51</v>
      </c>
      <c r="X55" s="10" t="s">
        <v>492</v>
      </c>
    </row>
    <row r="56">
      <c r="A56" s="9">
        <f t="shared" si="1"/>
        <v>55</v>
      </c>
      <c r="B56" s="11">
        <v>46220.66751157407</v>
      </c>
      <c r="C56" s="10" t="s">
        <v>257</v>
      </c>
      <c r="D56" s="10" t="s">
        <v>36</v>
      </c>
      <c r="E56" s="10" t="s">
        <v>37</v>
      </c>
      <c r="F56" s="13">
        <v>2.0</v>
      </c>
      <c r="G56" s="14">
        <v>69.82</v>
      </c>
      <c r="H56" s="10" t="s">
        <v>2875</v>
      </c>
      <c r="I56" s="10">
        <v>94.1</v>
      </c>
      <c r="O56" s="15">
        <f>IFERROR(__xludf.DUMMYFUNCTION("IF(ISBLANK($C56), """", GOOGLEFINANCE($C56, ""price""))"),68.81)</f>
        <v>68.81</v>
      </c>
      <c r="P56" s="16">
        <f t="shared" si="2"/>
        <v>-0.01446576912</v>
      </c>
      <c r="Q56" s="16">
        <f>IFERROR(__xludf.DUMMYFUNCTION("IF(OR(ISBLANK($G56), IFERROR(INDEX(GOOGLEFINANCE($C56, ""price"", WORKDAY(INT($B56), 1)), 2, 2), """")=""""), """", IF($D56=""LONG"", (IFERROR(INDEX(GOOGLEFINANCE($C56, ""price"", WORKDAY(INT($B56), 1)), 2, 2), """")-$G56)/$G56, ($G56-IFERROR(INDEX(GOOGLE"&amp;"FINANCE($C56, ""price"", WORKDAY(INT($B56), 1)), 2, 2), """"))/$G56))"),-0.027499283872815635)</f>
        <v>-0.02749928387</v>
      </c>
      <c r="R56" s="16">
        <f>IFERROR(__xludf.DUMMYFUNCTION("IF(OR(ISBLANK($G56), IFERROR(INDEX(GOOGLEFINANCE($C56, ""price"", WORKDAY(INT($B56), 5)), 2, 2), """")=""""), """", IF($D56=""LONG"", (IFERROR(INDEX(GOOGLEFINANCE($C56, ""price"", WORKDAY(INT($B56), 5)), 2, 2), """")-$G56)/$G56, ($G56-IFERROR(INDEX(GOOGLE"&amp;"FINANCE($C56, ""price"", WORKDAY(INT($B56), 5)), 2, 2), """"))/$G56))"),-0.010169006015468258)</f>
        <v>-0.01016900602</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2878</v>
      </c>
      <c r="U56" s="10" t="s">
        <v>492</v>
      </c>
      <c r="V56" s="10" t="s">
        <v>493</v>
      </c>
      <c r="W56" s="10" t="s">
        <v>51</v>
      </c>
      <c r="X56" s="10" t="s">
        <v>492</v>
      </c>
    </row>
    <row r="57">
      <c r="A57" s="9">
        <f t="shared" si="1"/>
        <v>56</v>
      </c>
      <c r="B57" s="11">
        <v>46220.667766203704</v>
      </c>
      <c r="C57" s="10" t="s">
        <v>80</v>
      </c>
      <c r="D57" s="10" t="s">
        <v>36</v>
      </c>
      <c r="E57" s="10" t="s">
        <v>37</v>
      </c>
      <c r="F57" s="13">
        <v>2.0</v>
      </c>
      <c r="G57" s="14">
        <v>254.59</v>
      </c>
      <c r="H57" s="10" t="s">
        <v>2879</v>
      </c>
      <c r="I57" s="10">
        <v>89.7</v>
      </c>
      <c r="O57" s="15">
        <f>IFERROR(__xludf.DUMMYFUNCTION("IF(ISBLANK($C57), """", GOOGLEFINANCE($C57, ""price""))"),243.87)</f>
        <v>243.87</v>
      </c>
      <c r="P57" s="16">
        <f t="shared" si="2"/>
        <v>-0.042106917</v>
      </c>
      <c r="Q57" s="16">
        <f>IFERROR(__xludf.DUMMYFUNCTION("IF(OR(ISBLANK($G57), IFERROR(INDEX(GOOGLEFINANCE($C57, ""price"", WORKDAY(INT($B57), 1)), 2, 2), """")=""""), """", IF($D57=""LONG"", (IFERROR(INDEX(GOOGLEFINANCE($C57, ""price"", WORKDAY(INT($B57), 1)), 2, 2), """")-$G57)/$G57, ($G57-IFERROR(INDEX(GOOGLE"&amp;"FINANCE($C57, ""price"", WORKDAY(INT($B57), 1)), 2, 2), """"))/$G57))"),-0.004752739699124113)</f>
        <v>-0.004752739699</v>
      </c>
      <c r="R57" s="16">
        <f>IFERROR(__xludf.DUMMYFUNCTION("IF(OR(ISBLANK($G57), IFERROR(INDEX(GOOGLEFINANCE($C57, ""price"", WORKDAY(INT($B57), 5)), 2, 2), """")=""""), """", IF($D57=""LONG"", (IFERROR(INDEX(GOOGLEFINANCE($C57, ""price"", WORKDAY(INT($B57), 5)), 2, 2), """")-$G57)/$G57, ($G57-IFERROR(INDEX(GOOGLE"&amp;"FINANCE($C57, ""price"", WORKDAY(INT($B57), 5)), 2, 2), """"))/$G57))"),0.018736006913075965)</f>
        <v>0.01873600691</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2882</v>
      </c>
      <c r="U57" s="10" t="s">
        <v>492</v>
      </c>
      <c r="V57" s="10" t="s">
        <v>493</v>
      </c>
      <c r="W57" s="10" t="s">
        <v>51</v>
      </c>
      <c r="X57" s="10" t="s">
        <v>492</v>
      </c>
    </row>
    <row r="58">
      <c r="A58" s="9">
        <f t="shared" si="1"/>
        <v>57</v>
      </c>
      <c r="B58" s="11">
        <v>46220.667766203704</v>
      </c>
      <c r="C58" s="10" t="s">
        <v>123</v>
      </c>
      <c r="D58" s="10" t="s">
        <v>36</v>
      </c>
      <c r="E58" s="10" t="s">
        <v>37</v>
      </c>
      <c r="F58" s="13">
        <v>2.0</v>
      </c>
      <c r="G58" s="14">
        <v>18.26</v>
      </c>
      <c r="H58" s="10" t="s">
        <v>2884</v>
      </c>
      <c r="I58" s="10">
        <v>93.2</v>
      </c>
      <c r="O58" s="15">
        <f>IFERROR(__xludf.DUMMYFUNCTION("IF(ISBLANK($C58), """", GOOGLEFINANCE($C58, ""price""))"),17.36)</f>
        <v>17.36</v>
      </c>
      <c r="P58" s="16">
        <f t="shared" si="2"/>
        <v>-0.04928806134</v>
      </c>
      <c r="Q58" s="16">
        <f>IFERROR(__xludf.DUMMYFUNCTION("IF(OR(ISBLANK($G58), IFERROR(INDEX(GOOGLEFINANCE($C58, ""price"", WORKDAY(INT($B58), 1)), 2, 2), """")=""""), """", IF($D58=""LONG"", (IFERROR(INDEX(GOOGLEFINANCE($C58, ""price"", WORKDAY(INT($B58), 1)), 2, 2), """")-$G58)/$G58, ($G58-IFERROR(INDEX(GOOGLE"&amp;"FINANCE($C58, ""price"", WORKDAY(INT($B58), 1)), 2, 2), """"))/$G58))"),-0.010952902519167734)</f>
        <v>-0.01095290252</v>
      </c>
      <c r="R58" s="16">
        <f>IFERROR(__xludf.DUMMYFUNCTION("IF(OR(ISBLANK($G58), IFERROR(INDEX(GOOGLEFINANCE($C58, ""price"", WORKDAY(INT($B58), 5)), 2, 2), """")=""""), """", IF($D58=""LONG"", (IFERROR(INDEX(GOOGLEFINANCE($C58, ""price"", WORKDAY(INT($B58), 5)), 2, 2), """")-$G58)/$G58, ($G58-IFERROR(INDEX(GOOGLE"&amp;"FINANCE($C58, ""price"", WORKDAY(INT($B58), 5)), 2, 2), """"))/$G58))"),-0.04928806133625422)</f>
        <v>-0.04928806134</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2886</v>
      </c>
      <c r="U58" s="10" t="s">
        <v>492</v>
      </c>
      <c r="V58" s="10" t="s">
        <v>493</v>
      </c>
      <c r="W58" s="10" t="s">
        <v>51</v>
      </c>
      <c r="X58" s="10" t="s">
        <v>492</v>
      </c>
    </row>
    <row r="59">
      <c r="A59" s="9">
        <f t="shared" si="1"/>
        <v>58</v>
      </c>
      <c r="B59" s="11">
        <v>46220.667662037034</v>
      </c>
      <c r="C59" s="10" t="s">
        <v>770</v>
      </c>
      <c r="D59" s="10" t="s">
        <v>36</v>
      </c>
      <c r="E59" s="10" t="s">
        <v>37</v>
      </c>
      <c r="F59" s="13">
        <v>2.0</v>
      </c>
      <c r="G59" s="14">
        <v>74.29</v>
      </c>
      <c r="H59" s="10" t="s">
        <v>2888</v>
      </c>
      <c r="I59" s="10">
        <v>92.6</v>
      </c>
      <c r="O59" s="15">
        <f>IFERROR(__xludf.DUMMYFUNCTION("IF(ISBLANK($C59), """", GOOGLEFINANCE($C59, ""price""))"),72.51)</f>
        <v>72.51</v>
      </c>
      <c r="P59" s="16">
        <f t="shared" si="2"/>
        <v>-0.02396015614</v>
      </c>
      <c r="Q59" s="16">
        <f>IFERROR(__xludf.DUMMYFUNCTION("IF(OR(ISBLANK($G59), IFERROR(INDEX(GOOGLEFINANCE($C59, ""price"", WORKDAY(INT($B59), 1)), 2, 2), """")=""""), """", IF($D59=""LONG"", (IFERROR(INDEX(GOOGLEFINANCE($C59, ""price"", WORKDAY(INT($B59), 1)), 2, 2), """")-$G59)/$G59, ($G59-IFERROR(INDEX(GOOGLE"&amp;"FINANCE($C59, ""price"", WORKDAY(INT($B59), 1)), 2, 2), """"))/$G59))"),-0.021402611387804592)</f>
        <v>-0.02140261139</v>
      </c>
      <c r="R59" s="16">
        <f>IFERROR(__xludf.DUMMYFUNCTION("IF(OR(ISBLANK($G59), IFERROR(INDEX(GOOGLEFINANCE($C59, ""price"", WORKDAY(INT($B59), 5)), 2, 2), """")=""""), """", IF($D59=""LONG"", (IFERROR(INDEX(GOOGLEFINANCE($C59, ""price"", WORKDAY(INT($B59), 5)), 2, 2), """")-$G59)/$G59, ($G59-IFERROR(INDEX(GOOGLE"&amp;"FINANCE($C59, ""price"", WORKDAY(INT($B59), 5)), 2, 2), """"))/$G59))"),-0.019248889487145062)</f>
        <v>-0.01924888949</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2891</v>
      </c>
      <c r="U59" s="10" t="s">
        <v>492</v>
      </c>
      <c r="V59" s="10" t="s">
        <v>493</v>
      </c>
      <c r="W59" s="10" t="s">
        <v>51</v>
      </c>
      <c r="X59" s="10" t="s">
        <v>492</v>
      </c>
    </row>
    <row r="60">
      <c r="A60" s="9">
        <f t="shared" si="1"/>
        <v>59</v>
      </c>
      <c r="B60" s="11">
        <v>46220.66773148148</v>
      </c>
      <c r="C60" s="10" t="s">
        <v>148</v>
      </c>
      <c r="D60" s="10" t="s">
        <v>36</v>
      </c>
      <c r="E60" s="10" t="s">
        <v>133</v>
      </c>
      <c r="F60" s="13">
        <v>2.0</v>
      </c>
      <c r="G60" s="14">
        <v>203.74</v>
      </c>
      <c r="H60" s="10" t="s">
        <v>2893</v>
      </c>
      <c r="I60" s="10">
        <v>85.8</v>
      </c>
      <c r="O60" s="15">
        <f>IFERROR(__xludf.DUMMYFUNCTION("IF(ISBLANK($C60), """", GOOGLEFINANCE($C60, ""price""))"),199.98)</f>
        <v>199.98</v>
      </c>
      <c r="P60" s="16">
        <f t="shared" si="2"/>
        <v>-0.01845489349</v>
      </c>
      <c r="Q60" s="16">
        <f>IFERROR(__xludf.DUMMYFUNCTION("IF(OR(ISBLANK($G60), IFERROR(INDEX(GOOGLEFINANCE($C60, ""price"", WORKDAY(INT($B60), 1)), 2, 2), """")=""""), """", IF($D60=""LONG"", (IFERROR(INDEX(GOOGLEFINANCE($C60, ""price"", WORKDAY(INT($B60), 1)), 2, 2), """")-$G60)/$G60, ($G60-IFERROR(INDEX(GOOGLE"&amp;"FINANCE($C60, ""price"", WORKDAY(INT($B60), 1)), 2, 2), """"))/$G60))"),-0.012908609011485203)</f>
        <v>-0.01290860901</v>
      </c>
      <c r="R60" s="16">
        <f>IFERROR(__xludf.DUMMYFUNCTION("IF(OR(ISBLANK($G60), IFERROR(INDEX(GOOGLEFINANCE($C60, ""price"", WORKDAY(INT($B60), 5)), 2, 2), """")=""""), """", IF($D60=""LONG"", (IFERROR(INDEX(GOOGLEFINANCE($C60, ""price"", WORKDAY(INT($B60), 5)), 2, 2), """")-$G60)/$G60, ($G60-IFERROR(INDEX(GOOGLE"&amp;"FINANCE($C60, ""price"", WORKDAY(INT($B60), 5)), 2, 2), """"))/$G60))"),-0.0600765681751252)</f>
        <v>-0.06007656818</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2896</v>
      </c>
      <c r="U60" s="10" t="s">
        <v>984</v>
      </c>
      <c r="V60" s="10" t="s">
        <v>985</v>
      </c>
      <c r="W60" s="10" t="s">
        <v>51</v>
      </c>
      <c r="X60" s="10" t="s">
        <v>984</v>
      </c>
    </row>
    <row r="61">
      <c r="A61" s="9">
        <f t="shared" si="1"/>
        <v>60</v>
      </c>
      <c r="B61" s="11">
        <v>46220.66755787037</v>
      </c>
      <c r="C61" s="10" t="s">
        <v>422</v>
      </c>
      <c r="D61" s="10" t="s">
        <v>119</v>
      </c>
      <c r="E61" s="10" t="s">
        <v>120</v>
      </c>
      <c r="F61" s="13">
        <v>4.0</v>
      </c>
      <c r="G61" s="14">
        <v>247.28</v>
      </c>
      <c r="H61" s="10" t="s">
        <v>2897</v>
      </c>
      <c r="I61" s="10">
        <v>18.9</v>
      </c>
      <c r="O61" s="15">
        <f>IFERROR(__xludf.DUMMYFUNCTION("IF(ISBLANK($C61), """", GOOGLEFINANCE($C61, ""price""))"),272.26)</f>
        <v>272.26</v>
      </c>
      <c r="P61" s="16">
        <f t="shared" si="2"/>
        <v>-0.1010190877</v>
      </c>
      <c r="Q61" s="16">
        <f>IFERROR(__xludf.DUMMYFUNCTION("IF(OR(ISBLANK($G61), IFERROR(INDEX(GOOGLEFINANCE($C61, ""price"", WORKDAY(INT($B61), 1)), 2, 2), """")=""""), """", IF($D61=""LONG"", (IFERROR(INDEX(GOOGLEFINANCE($C61, ""price"", WORKDAY(INT($B61), 1)), 2, 2), """")-$G61)/$G61, ($G61-IFERROR(INDEX(GOOGLE"&amp;"FINANCE($C61, ""price"", WORKDAY(INT($B61), 1)), 2, 2), """"))/$G61))"),-0.010959236493044354)</f>
        <v>-0.01095923649</v>
      </c>
      <c r="R61" s="16">
        <f>IFERROR(__xludf.DUMMYFUNCTION("IF(OR(ISBLANK($G61), IFERROR(INDEX(GOOGLEFINANCE($C61, ""price"", WORKDAY(INT($B61), 5)), 2, 2), """")=""""), """", IF($D61=""LONG"", (IFERROR(INDEX(GOOGLEFINANCE($C61, ""price"", WORKDAY(INT($B61), 5)), 2, 2), """")-$G61)/$G61, ($G61-IFERROR(INDEX(GOOGLE"&amp;"FINANCE($C61, ""price"", WORKDAY(INT($B61), 5)), 2, 2), """"))/$G61))"),0.06134746036881263)</f>
        <v>0.06134746037</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2899</v>
      </c>
      <c r="U61" s="10" t="s">
        <v>492</v>
      </c>
      <c r="V61" s="10" t="s">
        <v>493</v>
      </c>
      <c r="W61" s="10" t="s">
        <v>51</v>
      </c>
      <c r="X61" s="10" t="s">
        <v>492</v>
      </c>
    </row>
    <row r="62">
      <c r="A62" s="9">
        <f t="shared" si="1"/>
        <v>61</v>
      </c>
      <c r="B62" s="11">
        <v>46220.66769675926</v>
      </c>
      <c r="C62" s="10" t="s">
        <v>408</v>
      </c>
      <c r="D62" s="10" t="s">
        <v>36</v>
      </c>
      <c r="E62" s="10" t="s">
        <v>37</v>
      </c>
      <c r="F62" s="13">
        <v>2.0</v>
      </c>
      <c r="G62" s="14">
        <v>249.2</v>
      </c>
      <c r="H62" s="10" t="s">
        <v>2901</v>
      </c>
      <c r="I62" s="10">
        <v>91.1</v>
      </c>
      <c r="O62" s="15">
        <f>IFERROR(__xludf.DUMMYFUNCTION("IF(ISBLANK($C62), """", GOOGLEFINANCE($C62, ""price""))"),250.14)</f>
        <v>250.14</v>
      </c>
      <c r="P62" s="16">
        <f t="shared" si="2"/>
        <v>0.003772070626</v>
      </c>
      <c r="Q62" s="16">
        <f>IFERROR(__xludf.DUMMYFUNCTION("IF(OR(ISBLANK($G62), IFERROR(INDEX(GOOGLEFINANCE($C62, ""price"", WORKDAY(INT($B62), 1)), 2, 2), """")=""""), """", IF($D62=""LONG"", (IFERROR(INDEX(GOOGLEFINANCE($C62, ""price"", WORKDAY(INT($B62), 1)), 2, 2), """")-$G62)/$G62, ($G62-IFERROR(INDEX(GOOGLE"&amp;"FINANCE($C62, ""price"", WORKDAY(INT($B62), 1)), 2, 2), """"))/$G62))"),9.63081861958303E-4)</f>
        <v>0.000963081862</v>
      </c>
      <c r="R62" s="16">
        <f>IFERROR(__xludf.DUMMYFUNCTION("IF(OR(ISBLANK($G62), IFERROR(INDEX(GOOGLEFINANCE($C62, ""price"", WORKDAY(INT($B62), 5)), 2, 2), """")=""""), """", IF($D62=""LONG"", (IFERROR(INDEX(GOOGLEFINANCE($C62, ""price"", WORKDAY(INT($B62), 5)), 2, 2), """")-$G62)/$G62, ($G62-IFERROR(INDEX(GOOGLE"&amp;"FINANCE($C62, ""price"", WORKDAY(INT($B62), 5)), 2, 2), """"))/$G62))"),0.0016051364365971337)</f>
        <v>0.001605136437</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2902</v>
      </c>
      <c r="U62" s="10" t="s">
        <v>492</v>
      </c>
      <c r="V62" s="10" t="s">
        <v>493</v>
      </c>
      <c r="W62" s="10" t="s">
        <v>51</v>
      </c>
      <c r="X62" s="10" t="s">
        <v>492</v>
      </c>
    </row>
    <row r="63">
      <c r="A63" s="9">
        <f t="shared" si="1"/>
        <v>62</v>
      </c>
      <c r="B63" s="11">
        <v>46220.667708333334</v>
      </c>
      <c r="C63" s="10" t="s">
        <v>98</v>
      </c>
      <c r="D63" s="10" t="s">
        <v>36</v>
      </c>
      <c r="E63" s="10" t="s">
        <v>1892</v>
      </c>
      <c r="F63" s="13">
        <v>2.0</v>
      </c>
      <c r="G63" s="14">
        <v>31.66</v>
      </c>
      <c r="H63" s="10" t="s">
        <v>2903</v>
      </c>
      <c r="I63" s="10">
        <v>90.6</v>
      </c>
      <c r="O63" s="15">
        <f>IFERROR(__xludf.DUMMYFUNCTION("IF(ISBLANK($C63), """", GOOGLEFINANCE($C63, ""price""))"),31.39)</f>
        <v>31.39</v>
      </c>
      <c r="P63" s="16">
        <f t="shared" si="2"/>
        <v>-0.008528111181</v>
      </c>
      <c r="Q63" s="16">
        <f>IFERROR(__xludf.DUMMYFUNCTION("IF(OR(ISBLANK($G63), IFERROR(INDEX(GOOGLEFINANCE($C63, ""price"", WORKDAY(INT($B63), 1)), 2, 2), """")=""""), """", IF($D63=""LONG"", (IFERROR(INDEX(GOOGLEFINANCE($C63, ""price"", WORKDAY(INT($B63), 1)), 2, 2), """")-$G63)/$G63, ($G63-IFERROR(INDEX(GOOGLE"&amp;"FINANCE($C63, ""price"", WORKDAY(INT($B63), 1)), 2, 2), """"))/$G63))"),-0.0173720783322805)</f>
        <v>-0.01737207833</v>
      </c>
      <c r="R63" s="16">
        <f>IFERROR(__xludf.DUMMYFUNCTION("IF(OR(ISBLANK($G63), IFERROR(INDEX(GOOGLEFINANCE($C63, ""price"", WORKDAY(INT($B63), 5)), 2, 2), """")=""""), """", IF($D63=""LONG"", (IFERROR(INDEX(GOOGLEFINANCE($C63, ""price"", WORKDAY(INT($B63), 5)), 2, 2), """")-$G63)/$G63, ($G63-IFERROR(INDEX(GOOGLE"&amp;"FINANCE($C63, ""price"", WORKDAY(INT($B63), 5)), 2, 2), """"))/$G63))"),-0.025268477574226175)</f>
        <v>-0.02526847757</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2907</v>
      </c>
      <c r="U63" s="10" t="s">
        <v>984</v>
      </c>
      <c r="V63" s="10" t="s">
        <v>2714</v>
      </c>
      <c r="W63" s="10" t="s">
        <v>51</v>
      </c>
      <c r="X63" s="10" t="s">
        <v>984</v>
      </c>
    </row>
    <row r="64">
      <c r="A64" s="9">
        <f t="shared" si="1"/>
        <v>63</v>
      </c>
      <c r="B64" s="11">
        <v>46220.66758101852</v>
      </c>
      <c r="C64" s="10" t="s">
        <v>397</v>
      </c>
      <c r="D64" s="10" t="s">
        <v>36</v>
      </c>
      <c r="E64" s="10" t="s">
        <v>37</v>
      </c>
      <c r="F64" s="13">
        <v>2.0</v>
      </c>
      <c r="G64" s="14">
        <v>268.72</v>
      </c>
      <c r="H64" s="10" t="s">
        <v>2908</v>
      </c>
      <c r="I64" s="10">
        <v>90.8</v>
      </c>
      <c r="O64" s="15">
        <f>IFERROR(__xludf.DUMMYFUNCTION("IF(ISBLANK($C64), """", GOOGLEFINANCE($C64, ""price""))"),306.57)</f>
        <v>306.57</v>
      </c>
      <c r="P64" s="16">
        <f t="shared" si="2"/>
        <v>0.1408529324</v>
      </c>
      <c r="Q64" s="16">
        <f>IFERROR(__xludf.DUMMYFUNCTION("IF(OR(ISBLANK($G64), IFERROR(INDEX(GOOGLEFINANCE($C64, ""price"", WORKDAY(INT($B64), 1)), 2, 2), """")=""""), """", IF($D64=""LONG"", (IFERROR(INDEX(GOOGLEFINANCE($C64, ""price"", WORKDAY(INT($B64), 1)), 2, 2), """")-$G64)/$G64, ($G64-IFERROR(INDEX(GOOGLE"&amp;"FINANCE($C64, ""price"", WORKDAY(INT($B64), 1)), 2, 2), """"))/$G64))"),-0.013545698124441957)</f>
        <v>-0.01354569812</v>
      </c>
      <c r="R64" s="16">
        <f>IFERROR(__xludf.DUMMYFUNCTION("IF(OR(ISBLANK($G64), IFERROR(INDEX(GOOGLEFINANCE($C64, ""price"", WORKDAY(INT($B64), 5)), 2, 2), """")=""""), """", IF($D64=""LONG"", (IFERROR(INDEX(GOOGLEFINANCE($C64, ""price"", WORKDAY(INT($B64), 5)), 2, 2), """")-$G64)/$G64, ($G64-IFERROR(INDEX(GOOGLE"&amp;"FINANCE($C64, ""price"", WORKDAY(INT($B64), 5)), 2, 2), """"))/$G64))"),-0.032673414706758074)</f>
        <v>-0.03267341471</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2912</v>
      </c>
      <c r="U64" s="10" t="s">
        <v>886</v>
      </c>
      <c r="V64" s="10" t="s">
        <v>2913</v>
      </c>
      <c r="W64" s="10" t="s">
        <v>51</v>
      </c>
      <c r="X64" s="10" t="s">
        <v>886</v>
      </c>
    </row>
    <row r="65">
      <c r="A65" s="9">
        <f t="shared" si="1"/>
        <v>64</v>
      </c>
      <c r="B65" s="11">
        <v>46220.66752314815</v>
      </c>
      <c r="C65" s="10" t="s">
        <v>1216</v>
      </c>
      <c r="D65" s="10" t="s">
        <v>36</v>
      </c>
      <c r="E65" s="10" t="s">
        <v>37</v>
      </c>
      <c r="F65" s="13">
        <v>2.0</v>
      </c>
      <c r="G65" s="14">
        <v>79.94</v>
      </c>
      <c r="H65" s="10" t="s">
        <v>2914</v>
      </c>
      <c r="I65" s="10">
        <v>91.3</v>
      </c>
      <c r="O65" s="15">
        <f>IFERROR(__xludf.DUMMYFUNCTION("IF(ISBLANK($C65), """", GOOGLEFINANCE($C65, ""price""))"),79.02)</f>
        <v>79.02</v>
      </c>
      <c r="P65" s="16">
        <f t="shared" si="2"/>
        <v>-0.01150863147</v>
      </c>
      <c r="Q65" s="16">
        <f>IFERROR(__xludf.DUMMYFUNCTION("IF(OR(ISBLANK($G65), IFERROR(INDEX(GOOGLEFINANCE($C65, ""price"", WORKDAY(INT($B65), 1)), 2, 2), """")=""""), """", IF($D65=""LONG"", (IFERROR(INDEX(GOOGLEFINANCE($C65, ""price"", WORKDAY(INT($B65), 1)), 2, 2), """")-$G65)/$G65, ($G65-IFERROR(INDEX(GOOGLE"&amp;"FINANCE($C65, ""price"", WORKDAY(INT($B65), 1)), 2, 2), """"))/$G65))"),-0.0081310983237427)</f>
        <v>-0.008131098324</v>
      </c>
      <c r="R65" s="16">
        <f>IFERROR(__xludf.DUMMYFUNCTION("IF(OR(ISBLANK($G65), IFERROR(INDEX(GOOGLEFINANCE($C65, ""price"", WORKDAY(INT($B65), 5)), 2, 2), """")=""""), """", IF($D65=""LONG"", (IFERROR(INDEX(GOOGLEFINANCE($C65, ""price"", WORKDAY(INT($B65), 5)), 2, 2), """")-$G65)/$G65, ($G65-IFERROR(INDEX(GOOGLE"&amp;"FINANCE($C65, ""price"", WORKDAY(INT($B65), 5)), 2, 2), """"))/$G65))"),-0.034901175881911335)</f>
        <v>-0.03490117588</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2916</v>
      </c>
      <c r="U65" s="10" t="s">
        <v>886</v>
      </c>
      <c r="V65" s="10" t="s">
        <v>2917</v>
      </c>
      <c r="W65" s="10" t="s">
        <v>51</v>
      </c>
      <c r="X65" s="10" t="s">
        <v>886</v>
      </c>
    </row>
    <row r="66">
      <c r="A66" s="9">
        <f t="shared" si="1"/>
        <v>65</v>
      </c>
      <c r="B66" s="11">
        <v>46220.66763888889</v>
      </c>
      <c r="C66" s="10" t="s">
        <v>158</v>
      </c>
      <c r="D66" s="10" t="s">
        <v>36</v>
      </c>
      <c r="E66" s="10" t="s">
        <v>37</v>
      </c>
      <c r="F66" s="13">
        <v>2.0</v>
      </c>
      <c r="G66" s="14">
        <v>74.6</v>
      </c>
      <c r="H66" s="10" t="s">
        <v>2919</v>
      </c>
      <c r="I66" s="10">
        <v>95.4</v>
      </c>
      <c r="O66" s="15">
        <f>IFERROR(__xludf.DUMMYFUNCTION("IF(ISBLANK($C66), """", GOOGLEFINANCE($C66, ""price""))"),72.06)</f>
        <v>72.06</v>
      </c>
      <c r="P66" s="16">
        <f t="shared" si="2"/>
        <v>-0.03404825737</v>
      </c>
      <c r="Q66" s="16">
        <f>IFERROR(__xludf.DUMMYFUNCTION("IF(OR(ISBLANK($G66), IFERROR(INDEX(GOOGLEFINANCE($C66, ""price"", WORKDAY(INT($B66), 1)), 2, 2), """")=""""), """", IF($D66=""LONG"", (IFERROR(INDEX(GOOGLEFINANCE($C66, ""price"", WORKDAY(INT($B66), 1)), 2, 2), """")-$G66)/$G66, ($G66-IFERROR(INDEX(GOOGLE"&amp;"FINANCE($C66, ""price"", WORKDAY(INT($B66), 1)), 2, 2), """"))/$G66))"),-0.007372654155495941)</f>
        <v>-0.007372654155</v>
      </c>
      <c r="R66" s="16">
        <f>IFERROR(__xludf.DUMMYFUNCTION("IF(OR(ISBLANK($G66), IFERROR(INDEX(GOOGLEFINANCE($C66, ""price"", WORKDAY(INT($B66), 5)), 2, 2), """")=""""), """", IF($D66=""LONG"", (IFERROR(INDEX(GOOGLEFINANCE($C66, ""price"", WORKDAY(INT($B66), 5)), 2, 2), """")-$G66)/$G66, ($G66-IFERROR(INDEX(GOOGLE"&amp;"FINANCE($C66, ""price"", WORKDAY(INT($B66), 5)), 2, 2), """"))/$G66))"),0.00415549597855231)</f>
        <v>0.004155495979</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2920</v>
      </c>
      <c r="U66" s="10" t="s">
        <v>492</v>
      </c>
      <c r="V66" s="10" t="s">
        <v>493</v>
      </c>
      <c r="W66" s="10" t="s">
        <v>51</v>
      </c>
      <c r="X66" s="10" t="s">
        <v>492</v>
      </c>
    </row>
    <row r="67">
      <c r="A67" s="9">
        <f t="shared" si="1"/>
        <v>66</v>
      </c>
      <c r="B67" s="11">
        <v>46220.66783564815</v>
      </c>
      <c r="C67" s="10" t="s">
        <v>2921</v>
      </c>
      <c r="D67" s="10" t="s">
        <v>36</v>
      </c>
      <c r="E67" s="10" t="s">
        <v>87</v>
      </c>
      <c r="F67" s="13">
        <v>2.0</v>
      </c>
      <c r="G67" s="14">
        <v>233.8</v>
      </c>
      <c r="H67" s="10" t="s">
        <v>2923</v>
      </c>
      <c r="I67" s="10">
        <v>80.6</v>
      </c>
      <c r="O67" s="15">
        <f>IFERROR(__xludf.DUMMYFUNCTION("IF(ISBLANK($C67), """", GOOGLEFINANCE($C67, ""price""))"),211.41)</f>
        <v>211.41</v>
      </c>
      <c r="P67" s="16">
        <f t="shared" si="2"/>
        <v>-0.09576561163</v>
      </c>
      <c r="Q67" s="16">
        <f>IFERROR(__xludf.DUMMYFUNCTION("IF(OR(ISBLANK($G67), IFERROR(INDEX(GOOGLEFINANCE($C67, ""price"", WORKDAY(INT($B67), 1)), 2, 2), """")=""""), """", IF($D67=""LONG"", (IFERROR(INDEX(GOOGLEFINANCE($C67, ""price"", WORKDAY(INT($B67), 1)), 2, 2), """")-$G67)/$G67, ($G67-IFERROR(INDEX(GOOGLE"&amp;"FINANCE($C67, ""price"", WORKDAY(INT($B67), 1)), 2, 2), """"))/$G67))"),-0.008725406330196837)</f>
        <v>-0.00872540633</v>
      </c>
      <c r="R67" s="16">
        <f>IFERROR(__xludf.DUMMYFUNCTION("IF(OR(ISBLANK($G67), IFERROR(INDEX(GOOGLEFINANCE($C67, ""price"", WORKDAY(INT($B67), 5)), 2, 2), """")=""""), """", IF($D67=""LONG"", (IFERROR(INDEX(GOOGLEFINANCE($C67, ""price"", WORKDAY(INT($B67), 5)), 2, 2), """")-$G67)/$G67, ($G67-IFERROR(INDEX(GOOGLE"&amp;"FINANCE($C67, ""price"", WORKDAY(INT($B67), 5)), 2, 2), """"))/$G67))"),-0.003464499572284013)</f>
        <v>-0.003464499572</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2926</v>
      </c>
      <c r="U67" s="10" t="s">
        <v>492</v>
      </c>
      <c r="V67" s="10" t="s">
        <v>493</v>
      </c>
      <c r="W67" s="10" t="s">
        <v>51</v>
      </c>
      <c r="X67" s="10" t="s">
        <v>492</v>
      </c>
    </row>
    <row r="68">
      <c r="A68" s="9">
        <f t="shared" si="1"/>
        <v>67</v>
      </c>
      <c r="B68" s="11">
        <v>46220.6678125</v>
      </c>
      <c r="C68" s="10" t="s">
        <v>358</v>
      </c>
      <c r="D68" s="10" t="s">
        <v>119</v>
      </c>
      <c r="E68" s="10" t="s">
        <v>120</v>
      </c>
      <c r="F68" s="13">
        <v>4.0</v>
      </c>
      <c r="G68" s="14">
        <v>46.99</v>
      </c>
      <c r="H68" s="10" t="s">
        <v>2927</v>
      </c>
      <c r="I68" s="10">
        <v>4.8</v>
      </c>
      <c r="O68" s="15">
        <f>IFERROR(__xludf.DUMMYFUNCTION("IF(ISBLANK($C68), """", GOOGLEFINANCE($C68, ""price""))"),51.54)</f>
        <v>51.54</v>
      </c>
      <c r="P68" s="16">
        <f t="shared" si="2"/>
        <v>-0.09682911258</v>
      </c>
      <c r="Q68" s="16">
        <f>IFERROR(__xludf.DUMMYFUNCTION("IF(OR(ISBLANK($G68), IFERROR(INDEX(GOOGLEFINANCE($C68, ""price"", WORKDAY(INT($B68), 1)), 2, 2), """")=""""), """", IF($D68=""LONG"", (IFERROR(INDEX(GOOGLEFINANCE($C68, ""price"", WORKDAY(INT($B68), 1)), 2, 2), """")-$G68)/$G68, ($G68-IFERROR(INDEX(GOOGLE"&amp;"FINANCE($C68, ""price"", WORKDAY(INT($B68), 1)), 2, 2), """"))/$G68))"),0.01276867418599705)</f>
        <v>0.01276867419</v>
      </c>
      <c r="R68" s="16">
        <f>IFERROR(__xludf.DUMMYFUNCTION("IF(OR(ISBLANK($G68), IFERROR(INDEX(GOOGLEFINANCE($C68, ""price"", WORKDAY(INT($B68), 5)), 2, 2), """")=""""), """", IF($D68=""LONG"", (IFERROR(INDEX(GOOGLEFINANCE($C68, ""price"", WORKDAY(INT($B68), 5)), 2, 2), """")-$G68)/$G68, ($G68-IFERROR(INDEX(GOOGLE"&amp;"FINANCE($C68, ""price"", WORKDAY(INT($B68), 5)), 2, 2), """"))/$G68))"),-0.11555650138327303)</f>
        <v>-0.1155565014</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2930</v>
      </c>
      <c r="U68" s="10" t="s">
        <v>984</v>
      </c>
      <c r="V68" s="10" t="s">
        <v>1059</v>
      </c>
      <c r="W68" s="10" t="s">
        <v>51</v>
      </c>
      <c r="X68" s="10" t="s">
        <v>984</v>
      </c>
    </row>
    <row r="69">
      <c r="A69" s="9">
        <f t="shared" si="1"/>
        <v>68</v>
      </c>
      <c r="B69" s="11">
        <v>46220.66784722222</v>
      </c>
      <c r="C69" s="10" t="s">
        <v>260</v>
      </c>
      <c r="D69" s="10" t="s">
        <v>36</v>
      </c>
      <c r="E69" s="10" t="s">
        <v>37</v>
      </c>
      <c r="F69" s="13">
        <v>2.0</v>
      </c>
      <c r="G69" s="14">
        <v>99.96</v>
      </c>
      <c r="H69" s="10" t="s">
        <v>368</v>
      </c>
      <c r="I69" s="10">
        <v>93.7</v>
      </c>
      <c r="O69" s="15">
        <f>IFERROR(__xludf.DUMMYFUNCTION("IF(ISBLANK($C69), """", GOOGLEFINANCE($C69, ""price""))"),90.71)</f>
        <v>90.71</v>
      </c>
      <c r="P69" s="16">
        <f t="shared" si="2"/>
        <v>-0.09253701481</v>
      </c>
      <c r="Q69" s="16">
        <f>IFERROR(__xludf.DUMMYFUNCTION("IF(OR(ISBLANK($G69), IFERROR(INDEX(GOOGLEFINANCE($C69, ""price"", WORKDAY(INT($B69), 1)), 2, 2), """")=""""), """", IF($D69=""LONG"", (IFERROR(INDEX(GOOGLEFINANCE($C69, ""price"", WORKDAY(INT($B69), 1)), 2, 2), """")-$G69)/$G69, ($G69-IFERROR(INDEX(GOOGLE"&amp;"FINANCE($C69, ""price"", WORKDAY(INT($B69), 1)), 2, 2), """"))/$G69))"),-0.006802721088435301)</f>
        <v>-0.006802721088</v>
      </c>
      <c r="R69" s="16">
        <f>IFERROR(__xludf.DUMMYFUNCTION("IF(OR(ISBLANK($G69), IFERROR(INDEX(GOOGLEFINANCE($C69, ""price"", WORKDAY(INT($B69), 5)), 2, 2), """")=""""), """", IF($D69=""LONG"", (IFERROR(INDEX(GOOGLEFINANCE($C69, ""price"", WORKDAY(INT($B69), 5)), 2, 2), """")-$G69)/$G69, ($G69-IFERROR(INDEX(GOOGLE"&amp;"FINANCE($C69, ""price"", WORKDAY(INT($B69), 5)), 2, 2), """"))/$G69))"),-0.05052020808323327)</f>
        <v>-0.05052020808</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2933</v>
      </c>
      <c r="U69" s="10" t="s">
        <v>492</v>
      </c>
      <c r="V69" s="10" t="s">
        <v>493</v>
      </c>
      <c r="W69" s="10" t="s">
        <v>51</v>
      </c>
      <c r="X69" s="10" t="s">
        <v>492</v>
      </c>
    </row>
    <row r="70">
      <c r="A70" s="9">
        <f t="shared" si="1"/>
        <v>69</v>
      </c>
      <c r="B70" s="11">
        <v>46220.66758101852</v>
      </c>
      <c r="C70" s="10" t="s">
        <v>392</v>
      </c>
      <c r="D70" s="10" t="s">
        <v>36</v>
      </c>
      <c r="E70" s="10" t="s">
        <v>37</v>
      </c>
      <c r="F70" s="13">
        <v>2.0</v>
      </c>
      <c r="G70" s="14">
        <v>236.98</v>
      </c>
      <c r="H70" s="10" t="s">
        <v>2934</v>
      </c>
      <c r="I70" s="10">
        <v>91.7</v>
      </c>
      <c r="O70" s="15">
        <f>IFERROR(__xludf.DUMMYFUNCTION("IF(ISBLANK($C70), """", GOOGLEFINANCE($C70, ""price""))"),180.67)</f>
        <v>180.67</v>
      </c>
      <c r="P70" s="16">
        <f t="shared" si="2"/>
        <v>-0.2376149886</v>
      </c>
      <c r="Q70" s="16">
        <f>IFERROR(__xludf.DUMMYFUNCTION("IF(OR(ISBLANK($G70), IFERROR(INDEX(GOOGLEFINANCE($C70, ""price"", WORKDAY(INT($B70), 1)), 2, 2), """")=""""), """", IF($D70=""LONG"", (IFERROR(INDEX(GOOGLEFINANCE($C70, ""price"", WORKDAY(INT($B70), 1)), 2, 2), """")-$G70)/$G70, ($G70-IFERROR(INDEX(GOOGLE"&amp;"FINANCE($C70, ""price"", WORKDAY(INT($B70), 1)), 2, 2), """"))/$G70))"),-0.012152924297409046)</f>
        <v>-0.0121529243</v>
      </c>
      <c r="R70" s="16">
        <f>IFERROR(__xludf.DUMMYFUNCTION("IF(OR(ISBLANK($G70), IFERROR(INDEX(GOOGLEFINANCE($C70, ""price"", WORKDAY(INT($B70), 5)), 2, 2), """")=""""), """", IF($D70=""LONG"", (IFERROR(INDEX(GOOGLEFINANCE($C70, ""price"", WORKDAY(INT($B70), 5)), 2, 2), """")-$G70)/$G70, ($G70-IFERROR(INDEX(GOOGLE"&amp;"FINANCE($C70, ""price"", WORKDAY(INT($B70), 5)), 2, 2), """"))/$G70))"),-0.00649843868680898)</f>
        <v>-0.006498438687</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2937</v>
      </c>
      <c r="U70" s="10" t="s">
        <v>507</v>
      </c>
      <c r="V70" s="10" t="s">
        <v>2938</v>
      </c>
      <c r="W70" s="10" t="s">
        <v>51</v>
      </c>
      <c r="X70" s="10" t="s">
        <v>507</v>
      </c>
    </row>
    <row r="71">
      <c r="A71" s="9">
        <f t="shared" si="1"/>
        <v>70</v>
      </c>
      <c r="B71" s="11">
        <v>46220.667546296296</v>
      </c>
      <c r="C71" s="10" t="s">
        <v>191</v>
      </c>
      <c r="D71" s="10" t="s">
        <v>36</v>
      </c>
      <c r="E71" s="10" t="s">
        <v>37</v>
      </c>
      <c r="F71" s="13">
        <v>2.0</v>
      </c>
      <c r="G71" s="14">
        <v>22.61</v>
      </c>
      <c r="H71" s="10" t="s">
        <v>2348</v>
      </c>
      <c r="I71" s="10">
        <v>96.4</v>
      </c>
      <c r="O71" s="15">
        <f>IFERROR(__xludf.DUMMYFUNCTION("IF(ISBLANK($C71), """", GOOGLEFINANCE($C71, ""price""))"),27.01)</f>
        <v>27.01</v>
      </c>
      <c r="P71" s="16">
        <f t="shared" si="2"/>
        <v>0.1946041575</v>
      </c>
      <c r="Q71" s="16">
        <f>IFERROR(__xludf.DUMMYFUNCTION("IF(OR(ISBLANK($G71), IFERROR(INDEX(GOOGLEFINANCE($C71, ""price"", WORKDAY(INT($B71), 1)), 2, 2), """")=""""), """", IF($D71=""LONG"", (IFERROR(INDEX(GOOGLEFINANCE($C71, ""price"", WORKDAY(INT($B71), 1)), 2, 2), """")-$G71)/$G71, ($G71-IFERROR(INDEX(GOOGLE"&amp;"FINANCE($C71, ""price"", WORKDAY(INT($B71), 1)), 2, 2), """"))/$G71))"),-0.02388323750552849)</f>
        <v>-0.02388323751</v>
      </c>
      <c r="R71" s="16">
        <f>IFERROR(__xludf.DUMMYFUNCTION("IF(OR(ISBLANK($G71), IFERROR(INDEX(GOOGLEFINANCE($C71, ""price"", WORKDAY(INT($B71), 5)), 2, 2), """")=""""), """", IF($D71=""LONG"", (IFERROR(INDEX(GOOGLEFINANCE($C71, ""price"", WORKDAY(INT($B71), 5)), 2, 2), """")-$G71)/$G71, ($G71-IFERROR(INDEX(GOOGLE"&amp;"FINANCE($C71, ""price"", WORKDAY(INT($B71), 5)), 2, 2), """"))/$G71))"),-0.009287925696594465)</f>
        <v>-0.009287925697</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2943</v>
      </c>
      <c r="U71" s="10" t="s">
        <v>507</v>
      </c>
      <c r="V71" s="10" t="s">
        <v>2944</v>
      </c>
      <c r="W71" s="10" t="s">
        <v>51</v>
      </c>
      <c r="X71" s="10" t="s">
        <v>507</v>
      </c>
    </row>
    <row r="72">
      <c r="A72" s="9">
        <f t="shared" si="1"/>
        <v>71</v>
      </c>
      <c r="B72" s="11">
        <v>46220.66756944444</v>
      </c>
      <c r="C72" s="10" t="s">
        <v>367</v>
      </c>
      <c r="D72" s="10" t="s">
        <v>36</v>
      </c>
      <c r="E72" s="10" t="s">
        <v>37</v>
      </c>
      <c r="F72" s="13">
        <v>2.0</v>
      </c>
      <c r="G72" s="14">
        <v>107.74</v>
      </c>
      <c r="H72" s="10" t="s">
        <v>2945</v>
      </c>
      <c r="I72" s="10">
        <v>95.8</v>
      </c>
      <c r="O72" s="15">
        <f>IFERROR(__xludf.DUMMYFUNCTION("IF(ISBLANK($C72), """", GOOGLEFINANCE($C72, ""price""))"),100.82)</f>
        <v>100.82</v>
      </c>
      <c r="P72" s="16">
        <f t="shared" si="2"/>
        <v>-0.06422869872</v>
      </c>
      <c r="Q72" s="16">
        <f>IFERROR(__xludf.DUMMYFUNCTION("IF(OR(ISBLANK($G72), IFERROR(INDEX(GOOGLEFINANCE($C72, ""price"", WORKDAY(INT($B72), 1)), 2, 2), """")=""""), """", IF($D72=""LONG"", (IFERROR(INDEX(GOOGLEFINANCE($C72, ""price"", WORKDAY(INT($B72), 1)), 2, 2), """")-$G72)/$G72, ($G72-IFERROR(INDEX(GOOGLE"&amp;"FINANCE($C72, ""price"", WORKDAY(INT($B72), 1)), 2, 2), """"))/$G72))"),-0.013365509560051957)</f>
        <v>-0.01336550956</v>
      </c>
      <c r="R72" s="16">
        <f>IFERROR(__xludf.DUMMYFUNCTION("IF(OR(ISBLANK($G72), IFERROR(INDEX(GOOGLEFINANCE($C72, ""price"", WORKDAY(INT($B72), 5)), 2, 2), """")=""""), """", IF($D72=""LONG"", (IFERROR(INDEX(GOOGLEFINANCE($C72, ""price"", WORKDAY(INT($B72), 5)), 2, 2), """")-$G72)/$G72, ($G72-IFERROR(INDEX(GOOGLE"&amp;"FINANCE($C72, ""price"", WORKDAY(INT($B72), 5)), 2, 2), """"))/$G72))"),-0.015593094486727238)</f>
        <v>-0.01559309449</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2948</v>
      </c>
      <c r="U72" s="10" t="s">
        <v>492</v>
      </c>
      <c r="V72" s="10" t="s">
        <v>493</v>
      </c>
      <c r="W72" s="10" t="s">
        <v>51</v>
      </c>
      <c r="X72" s="10" t="s">
        <v>492</v>
      </c>
    </row>
    <row r="73">
      <c r="A73" s="9">
        <f t="shared" si="1"/>
        <v>72</v>
      </c>
      <c r="B73" s="11">
        <v>46220.667858796296</v>
      </c>
      <c r="C73" s="10" t="s">
        <v>1183</v>
      </c>
      <c r="D73" s="10" t="s">
        <v>36</v>
      </c>
      <c r="E73" s="10" t="s">
        <v>37</v>
      </c>
      <c r="F73" s="13">
        <v>2.0</v>
      </c>
      <c r="G73" s="14">
        <v>184.7</v>
      </c>
      <c r="H73" s="10" t="s">
        <v>2949</v>
      </c>
      <c r="I73" s="10">
        <v>90.7</v>
      </c>
      <c r="O73" s="15">
        <f>IFERROR(__xludf.DUMMYFUNCTION("IF(ISBLANK($C73), """", GOOGLEFINANCE($C73, ""price""))"),184.14)</f>
        <v>184.14</v>
      </c>
      <c r="P73" s="16">
        <f t="shared" si="2"/>
        <v>-0.003031943692</v>
      </c>
      <c r="Q73" s="16">
        <f>IFERROR(__xludf.DUMMYFUNCTION("IF(OR(ISBLANK($G73), IFERROR(INDEX(GOOGLEFINANCE($C73, ""price"", WORKDAY(INT($B73), 1)), 2, 2), """")=""""), """", IF($D73=""LONG"", (IFERROR(INDEX(GOOGLEFINANCE($C73, ""price"", WORKDAY(INT($B73), 1)), 2, 2), """")-$G73)/$G73, ($G73-IFERROR(INDEX(GOOGLE"&amp;"FINANCE($C73, ""price"", WORKDAY(INT($B73), 1)), 2, 2), """"))/$G73))"),-0.010395235517054617)</f>
        <v>-0.01039523552</v>
      </c>
      <c r="R73" s="16">
        <f>IFERROR(__xludf.DUMMYFUNCTION("IF(OR(ISBLANK($G73), IFERROR(INDEX(GOOGLEFINANCE($C73, ""price"", WORKDAY(INT($B73), 5)), 2, 2), """")=""""), """", IF($D73=""LONG"", (IFERROR(INDEX(GOOGLEFINANCE($C73, ""price"", WORKDAY(INT($B73), 5)), 2, 2), """")-$G73)/$G73, ($G73-IFERROR(INDEX(GOOGLE"&amp;"FINANCE($C73, ""price"", WORKDAY(INT($B73), 5)), 2, 2), """"))/$G73))"),-0.02263129399025435)</f>
        <v>-0.02263129399</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2952</v>
      </c>
      <c r="U73" s="10" t="s">
        <v>492</v>
      </c>
      <c r="V73" s="10" t="s">
        <v>493</v>
      </c>
      <c r="W73" s="10" t="s">
        <v>51</v>
      </c>
      <c r="X73" s="10" t="s">
        <v>492</v>
      </c>
    </row>
    <row r="74">
      <c r="A74" s="9">
        <f t="shared" si="1"/>
        <v>73</v>
      </c>
      <c r="B74" s="11">
        <v>46220.6678125</v>
      </c>
      <c r="C74" s="10" t="s">
        <v>76</v>
      </c>
      <c r="D74" s="10" t="s">
        <v>36</v>
      </c>
      <c r="E74" s="10" t="s">
        <v>37</v>
      </c>
      <c r="F74" s="13">
        <v>2.0</v>
      </c>
      <c r="G74" s="14">
        <v>276.03</v>
      </c>
      <c r="H74" s="10" t="s">
        <v>2953</v>
      </c>
      <c r="I74" s="10">
        <v>94.2</v>
      </c>
      <c r="O74" s="15">
        <f>IFERROR(__xludf.DUMMYFUNCTION("IF(ISBLANK($C74), """", GOOGLEFINANCE($C74, ""price""))"),294.7)</f>
        <v>294.7</v>
      </c>
      <c r="P74" s="16">
        <f t="shared" si="2"/>
        <v>0.06763757563</v>
      </c>
      <c r="Q74" s="16">
        <f>IFERROR(__xludf.DUMMYFUNCTION("IF(OR(ISBLANK($G74), IFERROR(INDEX(GOOGLEFINANCE($C74, ""price"", WORKDAY(INT($B74), 1)), 2, 2), """")=""""), """", IF($D74=""LONG"", (IFERROR(INDEX(GOOGLEFINANCE($C74, ""price"", WORKDAY(INT($B74), 1)), 2, 2), """")-$G74)/$G74, ($G74-IFERROR(INDEX(GOOGLE"&amp;"FINANCE($C74, ""price"", WORKDAY(INT($B74), 1)), 2, 2), """"))/$G74))"),-0.015722928667173768)</f>
        <v>-0.01572292867</v>
      </c>
      <c r="R74" s="16">
        <f>IFERROR(__xludf.DUMMYFUNCTION("IF(OR(ISBLANK($G74), IFERROR(INDEX(GOOGLEFINANCE($C74, ""price"", WORKDAY(INT($B74), 5)), 2, 2), """")=""""), """", IF($D74=""LONG"", (IFERROR(INDEX(GOOGLEFINANCE($C74, ""price"", WORKDAY(INT($B74), 5)), 2, 2), """")-$G74)/$G74, ($G74-IFERROR(INDEX(GOOGLE"&amp;"FINANCE($C74, ""price"", WORKDAY(INT($B74), 5)), 2, 2), """"))/$G74))"),0.025323334420171754)</f>
        <v>0.02532333442</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2956</v>
      </c>
      <c r="U74" s="10" t="s">
        <v>984</v>
      </c>
      <c r="V74" s="10" t="s">
        <v>2785</v>
      </c>
      <c r="W74" s="10" t="s">
        <v>51</v>
      </c>
      <c r="X74" s="10" t="s">
        <v>984</v>
      </c>
    </row>
    <row r="75">
      <c r="A75" s="9">
        <f t="shared" si="1"/>
        <v>74</v>
      </c>
      <c r="B75" s="11">
        <v>46220.66784722222</v>
      </c>
      <c r="C75" s="10" t="s">
        <v>1171</v>
      </c>
      <c r="D75" s="10" t="s">
        <v>36</v>
      </c>
      <c r="E75" s="10" t="s">
        <v>133</v>
      </c>
      <c r="F75" s="13">
        <v>2.0</v>
      </c>
      <c r="G75" s="14">
        <v>243.31</v>
      </c>
      <c r="H75" s="10" t="s">
        <v>2957</v>
      </c>
      <c r="I75" s="10">
        <v>80.4</v>
      </c>
      <c r="O75" s="15">
        <f>IFERROR(__xludf.DUMMYFUNCTION("IF(ISBLANK($C75), """", GOOGLEFINANCE($C75, ""price""))"),236.0)</f>
        <v>236</v>
      </c>
      <c r="P75" s="16">
        <f t="shared" si="2"/>
        <v>-0.03004397682</v>
      </c>
      <c r="Q75" s="16">
        <f>IFERROR(__xludf.DUMMYFUNCTION("IF(OR(ISBLANK($G75), IFERROR(INDEX(GOOGLEFINANCE($C75, ""price"", WORKDAY(INT($B75), 1)), 2, 2), """")=""""), """", IF($D75=""LONG"", (IFERROR(INDEX(GOOGLEFINANCE($C75, ""price"", WORKDAY(INT($B75), 1)), 2, 2), """")-$G75)/$G75, ($G75-IFERROR(INDEX(GOOGLE"&amp;"FINANCE($C75, ""price"", WORKDAY(INT($B75), 1)), 2, 2), """"))/$G75))"),0.00628827421807571)</f>
        <v>0.006288274218</v>
      </c>
      <c r="R75" s="16">
        <f>IFERROR(__xludf.DUMMYFUNCTION("IF(OR(ISBLANK($G75), IFERROR(INDEX(GOOGLEFINANCE($C75, ""price"", WORKDAY(INT($B75), 5)), 2, 2), """")=""""), """", IF($D75=""LONG"", (IFERROR(INDEX(GOOGLEFINANCE($C75, ""price"", WORKDAY(INT($B75), 5)), 2, 2), """")-$G75)/$G75, ($G75-IFERROR(INDEX(GOOGLE"&amp;"FINANCE($C75, ""price"", WORKDAY(INT($B75), 5)), 2, 2), """"))/$G75))"),0.03600345238584518)</f>
        <v>0.03600345239</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2960</v>
      </c>
      <c r="U75" s="10" t="s">
        <v>984</v>
      </c>
      <c r="V75" s="10" t="s">
        <v>1059</v>
      </c>
      <c r="W75" s="10" t="s">
        <v>51</v>
      </c>
      <c r="X75" s="10" t="s">
        <v>984</v>
      </c>
    </row>
    <row r="76">
      <c r="A76" s="9">
        <f t="shared" si="1"/>
        <v>75</v>
      </c>
      <c r="B76" s="11">
        <v>46220.66768518519</v>
      </c>
      <c r="C76" s="10" t="s">
        <v>279</v>
      </c>
      <c r="D76" s="10" t="s">
        <v>36</v>
      </c>
      <c r="E76" s="10" t="s">
        <v>133</v>
      </c>
      <c r="F76" s="13">
        <v>2.0</v>
      </c>
      <c r="G76" s="14">
        <v>76.65</v>
      </c>
      <c r="H76" s="10" t="s">
        <v>2961</v>
      </c>
      <c r="I76" s="10">
        <v>87.4</v>
      </c>
      <c r="O76" s="15">
        <f>IFERROR(__xludf.DUMMYFUNCTION("IF(ISBLANK($C76), """", GOOGLEFINANCE($C76, ""price""))"),83.02)</f>
        <v>83.02</v>
      </c>
      <c r="P76" s="16">
        <f t="shared" si="2"/>
        <v>0.08310502283</v>
      </c>
      <c r="Q76" s="16">
        <f>IFERROR(__xludf.DUMMYFUNCTION("IF(OR(ISBLANK($G76), IFERROR(INDEX(GOOGLEFINANCE($C76, ""price"", WORKDAY(INT($B76), 1)), 2, 2), """")=""""), """", IF($D76=""LONG"", (IFERROR(INDEX(GOOGLEFINANCE($C76, ""price"", WORKDAY(INT($B76), 1)), 2, 2), """")-$G76)/$G76, ($G76-IFERROR(INDEX(GOOGLE"&amp;"FINANCE($C76, ""price"", WORKDAY(INT($B76), 1)), 2, 2), """"))/$G76))"),-0.012524461839530435)</f>
        <v>-0.01252446184</v>
      </c>
      <c r="R76" s="16">
        <f>IFERROR(__xludf.DUMMYFUNCTION("IF(OR(ISBLANK($G76), IFERROR(INDEX(GOOGLEFINANCE($C76, ""price"", WORKDAY(INT($B76), 5)), 2, 2), """")=""""), """", IF($D76=""LONG"", (IFERROR(INDEX(GOOGLEFINANCE($C76, ""price"", WORKDAY(INT($B76), 5)), 2, 2), """")-$G76)/$G76, ($G76-IFERROR(INDEX(GOOGLE"&amp;"FINANCE($C76, ""price"", WORKDAY(INT($B76), 5)), 2, 2), """"))/$G76))"),-0.06666666666666665)</f>
        <v>-0.06666666667</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2964</v>
      </c>
      <c r="U76" s="10" t="s">
        <v>492</v>
      </c>
      <c r="V76" s="10" t="s">
        <v>493</v>
      </c>
      <c r="W76" s="10" t="s">
        <v>51</v>
      </c>
      <c r="X76" s="10" t="s">
        <v>492</v>
      </c>
    </row>
    <row r="77">
      <c r="A77" s="9">
        <f t="shared" si="1"/>
        <v>76</v>
      </c>
      <c r="B77" s="11">
        <v>46220.66762731481</v>
      </c>
      <c r="C77" s="10" t="s">
        <v>154</v>
      </c>
      <c r="D77" s="10" t="s">
        <v>36</v>
      </c>
      <c r="E77" s="10" t="s">
        <v>37</v>
      </c>
      <c r="F77" s="13">
        <v>2.0</v>
      </c>
      <c r="G77" s="14">
        <v>161.59</v>
      </c>
      <c r="H77" s="10" t="s">
        <v>2965</v>
      </c>
      <c r="I77" s="10">
        <v>91.7</v>
      </c>
      <c r="O77" s="15">
        <f>IFERROR(__xludf.DUMMYFUNCTION("IF(ISBLANK($C77), """", GOOGLEFINANCE($C77, ""price""))"),160.11)</f>
        <v>160.11</v>
      </c>
      <c r="P77" s="16">
        <f t="shared" si="2"/>
        <v>-0.00915898261</v>
      </c>
      <c r="Q77" s="16">
        <f>IFERROR(__xludf.DUMMYFUNCTION("IF(OR(ISBLANK($G77), IFERROR(INDEX(GOOGLEFINANCE($C77, ""price"", WORKDAY(INT($B77), 1)), 2, 2), """")=""""), """", IF($D77=""LONG"", (IFERROR(INDEX(GOOGLEFINANCE($C77, ""price"", WORKDAY(INT($B77), 1)), 2, 2), """")-$G77)/$G77, ($G77-IFERROR(INDEX(GOOGLE"&amp;"FINANCE($C77, ""price"", WORKDAY(INT($B77), 1)), 2, 2), """"))/$G77))"),-0.00761185716937923)</f>
        <v>-0.007611857169</v>
      </c>
      <c r="R77" s="16">
        <f>IFERROR(__xludf.DUMMYFUNCTION("IF(OR(ISBLANK($G77), IFERROR(INDEX(GOOGLEFINANCE($C77, ""price"", WORKDAY(INT($B77), 5)), 2, 2), """")=""""), """", IF($D77=""LONG"", (IFERROR(INDEX(GOOGLEFINANCE($C77, ""price"", WORKDAY(INT($B77), 5)), 2, 2), """")-$G77)/$G77, ($G77-IFERROR(INDEX(GOOGLE"&amp;"FINANCE($C77, ""price"", WORKDAY(INT($B77), 5)), 2, 2), """"))/$G77))"),-0.05705798626152608)</f>
        <v>-0.05705798626</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2967</v>
      </c>
      <c r="U77" s="10" t="s">
        <v>507</v>
      </c>
      <c r="V77" s="10" t="s">
        <v>2968</v>
      </c>
      <c r="W77" s="10" t="s">
        <v>51</v>
      </c>
      <c r="X77" s="10" t="s">
        <v>507</v>
      </c>
    </row>
    <row r="78">
      <c r="A78" s="9">
        <f t="shared" si="1"/>
        <v>77</v>
      </c>
      <c r="B78" s="11">
        <v>46220.66763888889</v>
      </c>
      <c r="C78" s="10" t="s">
        <v>72</v>
      </c>
      <c r="D78" s="10" t="s">
        <v>36</v>
      </c>
      <c r="E78" s="10" t="s">
        <v>70</v>
      </c>
      <c r="F78" s="13">
        <v>2.0</v>
      </c>
      <c r="G78" s="14">
        <v>1395.01</v>
      </c>
      <c r="H78" s="10" t="s">
        <v>2970</v>
      </c>
      <c r="I78" s="10">
        <v>85.7</v>
      </c>
      <c r="O78" s="15">
        <f>IFERROR(__xludf.DUMMYFUNCTION("IF(ISBLANK($C78), """", GOOGLEFINANCE($C78, ""price""))"),1282.58)</f>
        <v>1282.58</v>
      </c>
      <c r="P78" s="16">
        <f t="shared" si="2"/>
        <v>-0.08059440434</v>
      </c>
      <c r="Q78" s="16">
        <f>IFERROR(__xludf.DUMMYFUNCTION("IF(OR(ISBLANK($G78), IFERROR(INDEX(GOOGLEFINANCE($C78, ""price"", WORKDAY(INT($B78), 1)), 2, 2), """")=""""), """", IF($D78=""LONG"", (IFERROR(INDEX(GOOGLEFINANCE($C78, ""price"", WORKDAY(INT($B78), 1)), 2, 2), """")-$G78)/$G78, ($G78-IFERROR(INDEX(GOOGLE"&amp;"FINANCE($C78, ""price"", WORKDAY(INT($B78), 1)), 2, 2), """"))/$G78))"),-0.017053641192536228)</f>
        <v>-0.01705364119</v>
      </c>
      <c r="R78" s="16">
        <f>IFERROR(__xludf.DUMMYFUNCTION("IF(OR(ISBLANK($G78), IFERROR(INDEX(GOOGLEFINANCE($C78, ""price"", WORKDAY(INT($B78), 5)), 2, 2), """")=""""), """", IF($D78=""LONG"", (IFERROR(INDEX(GOOGLEFINANCE($C78, ""price"", WORKDAY(INT($B78), 5)), 2, 2), """")-$G78)/$G78, ($G78-IFERROR(INDEX(GOOGLE"&amp;"FINANCE($C78, ""price"", WORKDAY(INT($B78), 5)), 2, 2), """"))/$G78))"),-0.008895993577107034)</f>
        <v>-0.008895993577</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2973</v>
      </c>
      <c r="U78" s="10" t="s">
        <v>984</v>
      </c>
      <c r="V78" s="10" t="s">
        <v>2714</v>
      </c>
      <c r="W78" s="10" t="s">
        <v>51</v>
      </c>
      <c r="X78" s="10" t="s">
        <v>984</v>
      </c>
    </row>
    <row r="79">
      <c r="A79" s="9">
        <f t="shared" si="1"/>
        <v>78</v>
      </c>
      <c r="B79" s="11">
        <v>46220.66784722222</v>
      </c>
      <c r="C79" s="10" t="s">
        <v>1507</v>
      </c>
      <c r="D79" s="10" t="s">
        <v>36</v>
      </c>
      <c r="E79" s="10" t="s">
        <v>133</v>
      </c>
      <c r="F79" s="13">
        <v>2.0</v>
      </c>
      <c r="G79" s="14">
        <v>77.78</v>
      </c>
      <c r="H79" s="10" t="s">
        <v>2974</v>
      </c>
      <c r="I79" s="10">
        <v>95.5</v>
      </c>
      <c r="O79" s="15">
        <f>IFERROR(__xludf.DUMMYFUNCTION("IF(ISBLANK($C79), """", GOOGLEFINANCE($C79, ""price""))"),87.69)</f>
        <v>87.69</v>
      </c>
      <c r="P79" s="16">
        <f t="shared" si="2"/>
        <v>0.1274106454</v>
      </c>
      <c r="Q79" s="16">
        <f>IFERROR(__xludf.DUMMYFUNCTION("IF(OR(ISBLANK($G79), IFERROR(INDEX(GOOGLEFINANCE($C79, ""price"", WORKDAY(INT($B79), 1)), 2, 2), """")=""""), """", IF($D79=""LONG"", (IFERROR(INDEX(GOOGLEFINANCE($C79, ""price"", WORKDAY(INT($B79), 1)), 2, 2), """")-$G79)/$G79, ($G79-IFERROR(INDEX(GOOGLE"&amp;"FINANCE($C79, ""price"", WORKDAY(INT($B79), 1)), 2, 2), """"))/$G79))"),0.05901259964001033)</f>
        <v>0.05901259964</v>
      </c>
      <c r="R79" s="16">
        <f>IFERROR(__xludf.DUMMYFUNCTION("IF(OR(ISBLANK($G79), IFERROR(INDEX(GOOGLEFINANCE($C79, ""price"", WORKDAY(INT($B79), 5)), 2, 2), """")=""""), """", IF($D79=""LONG"", (IFERROR(INDEX(GOOGLEFINANCE($C79, ""price"", WORKDAY(INT($B79), 5)), 2, 2), """")-$G79)/$G79, ($G79-IFERROR(INDEX(GOOGLE"&amp;"FINANCE($C79, ""price"", WORKDAY(INT($B79), 5)), 2, 2), """"))/$G79))"),0.04037027513499615)</f>
        <v>0.04037027513</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2977</v>
      </c>
      <c r="U79" s="10" t="s">
        <v>984</v>
      </c>
      <c r="V79" s="10" t="s">
        <v>985</v>
      </c>
      <c r="W79" s="10" t="s">
        <v>51</v>
      </c>
      <c r="X79" s="10" t="s">
        <v>984</v>
      </c>
    </row>
    <row r="80">
      <c r="A80" s="9">
        <f t="shared" si="1"/>
        <v>79</v>
      </c>
      <c r="B80" s="11">
        <v>46220.667650462965</v>
      </c>
      <c r="C80" s="10" t="s">
        <v>226</v>
      </c>
      <c r="D80" s="10" t="s">
        <v>36</v>
      </c>
      <c r="E80" s="10" t="s">
        <v>37</v>
      </c>
      <c r="F80" s="13">
        <v>2.0</v>
      </c>
      <c r="G80" s="14">
        <v>22.51</v>
      </c>
      <c r="H80" s="10" t="s">
        <v>2978</v>
      </c>
      <c r="I80" s="10">
        <v>83.3</v>
      </c>
      <c r="O80" s="15">
        <f>IFERROR(__xludf.DUMMYFUNCTION("IF(ISBLANK($C80), """", GOOGLEFINANCE($C80, ""price""))"),21.1)</f>
        <v>21.1</v>
      </c>
      <c r="P80" s="16">
        <f t="shared" si="2"/>
        <v>-0.06263882719</v>
      </c>
      <c r="Q80" s="16">
        <f>IFERROR(__xludf.DUMMYFUNCTION("IF(OR(ISBLANK($G80), IFERROR(INDEX(GOOGLEFINANCE($C80, ""price"", WORKDAY(INT($B80), 1)), 2, 2), """")=""""), """", IF($D80=""LONG"", (IFERROR(INDEX(GOOGLEFINANCE($C80, ""price"", WORKDAY(INT($B80), 1)), 2, 2), """")-$G80)/$G80, ($G80-IFERROR(INDEX(GOOGLE"&amp;"FINANCE($C80, ""price"", WORKDAY(INT($B80), 1)), 2, 2), """"))/$G80))"),-0.009773434029320408)</f>
        <v>-0.009773434029</v>
      </c>
      <c r="R80" s="16">
        <f>IFERROR(__xludf.DUMMYFUNCTION("IF(OR(ISBLANK($G80), IFERROR(INDEX(GOOGLEFINANCE($C80, ""price"", WORKDAY(INT($B80), 5)), 2, 2), """")=""""), """", IF($D80=""LONG"", (IFERROR(INDEX(GOOGLEFINANCE($C80, ""price"", WORKDAY(INT($B80), 5)), 2, 2), """")-$G80)/$G80, ($G80-IFERROR(INDEX(GOOGLE"&amp;"FINANCE($C80, ""price"", WORKDAY(INT($B80), 5)), 2, 2), """"))/$G80))"),-0.010661928031985872)</f>
        <v>-0.01066192803</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2981</v>
      </c>
      <c r="U80" s="10" t="s">
        <v>492</v>
      </c>
      <c r="V80" s="10" t="s">
        <v>493</v>
      </c>
      <c r="W80" s="10" t="s">
        <v>51</v>
      </c>
      <c r="X80" s="10" t="s">
        <v>492</v>
      </c>
    </row>
    <row r="81">
      <c r="A81" s="9">
        <f t="shared" si="1"/>
        <v>80</v>
      </c>
      <c r="B81" s="11">
        <v>46220.66762731481</v>
      </c>
      <c r="C81" s="10" t="s">
        <v>731</v>
      </c>
      <c r="D81" s="10" t="s">
        <v>36</v>
      </c>
      <c r="E81" s="10" t="s">
        <v>37</v>
      </c>
      <c r="F81" s="13">
        <v>2.0</v>
      </c>
      <c r="G81" s="14">
        <v>68.99</v>
      </c>
      <c r="H81" s="10" t="s">
        <v>2982</v>
      </c>
      <c r="I81" s="10">
        <v>94.5</v>
      </c>
      <c r="O81" s="15">
        <f>IFERROR(__xludf.DUMMYFUNCTION("IF(ISBLANK($C81), """", GOOGLEFINANCE($C81, ""price""))"),66.7)</f>
        <v>66.7</v>
      </c>
      <c r="P81" s="16">
        <f t="shared" si="2"/>
        <v>-0.03319321641</v>
      </c>
      <c r="Q81" s="16">
        <f>IFERROR(__xludf.DUMMYFUNCTION("IF(OR(ISBLANK($G81), IFERROR(INDEX(GOOGLEFINANCE($C81, ""price"", WORKDAY(INT($B81), 1)), 2, 2), """")=""""), """", IF($D81=""LONG"", (IFERROR(INDEX(GOOGLEFINANCE($C81, ""price"", WORKDAY(INT($B81), 1)), 2, 2), """")-$G81)/$G81, ($G81-IFERROR(INDEX(GOOGLE"&amp;"FINANCE($C81, ""price"", WORKDAY(INT($B81), 1)), 2, 2), """"))/$G81))"),-0.0027540223220756306)</f>
        <v>-0.002754022322</v>
      </c>
      <c r="R81" s="16">
        <f>IFERROR(__xludf.DUMMYFUNCTION("IF(OR(ISBLANK($G81), IFERROR(INDEX(GOOGLEFINANCE($C81, ""price"", WORKDAY(INT($B81), 5)), 2, 2), """")=""""), """", IF($D81=""LONG"", (IFERROR(INDEX(GOOGLEFINANCE($C81, ""price"", WORKDAY(INT($B81), 5)), 2, 2), """")-$G81)/$G81, ($G81-IFERROR(INDEX(GOOGLE"&amp;"FINANCE($C81, ""price"", WORKDAY(INT($B81), 5)), 2, 2), """"))/$G81))"),-0.016379185389186774)</f>
        <v>-0.01637918539</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2984</v>
      </c>
      <c r="U81" s="10" t="s">
        <v>492</v>
      </c>
      <c r="V81" s="10" t="s">
        <v>493</v>
      </c>
      <c r="W81" s="10" t="s">
        <v>51</v>
      </c>
      <c r="X81" s="10" t="s">
        <v>492</v>
      </c>
    </row>
    <row r="82">
      <c r="A82" s="9">
        <f t="shared" si="1"/>
        <v>81</v>
      </c>
      <c r="B82" s="11">
        <v>46220.667662037034</v>
      </c>
      <c r="C82" s="10" t="s">
        <v>248</v>
      </c>
      <c r="D82" s="10" t="s">
        <v>36</v>
      </c>
      <c r="E82" s="10" t="s">
        <v>37</v>
      </c>
      <c r="F82" s="13">
        <v>2.0</v>
      </c>
      <c r="G82" s="14">
        <v>72.39</v>
      </c>
      <c r="H82" s="10" t="s">
        <v>2986</v>
      </c>
      <c r="I82" s="10">
        <v>85.4</v>
      </c>
      <c r="O82" s="15">
        <f>IFERROR(__xludf.DUMMYFUNCTION("IF(ISBLANK($C82), """", GOOGLEFINANCE($C82, ""price""))"),72.43)</f>
        <v>72.43</v>
      </c>
      <c r="P82" s="16">
        <f t="shared" si="2"/>
        <v>0.0005525625086</v>
      </c>
      <c r="Q82" s="16">
        <f>IFERROR(__xludf.DUMMYFUNCTION("IF(OR(ISBLANK($G82), IFERROR(INDEX(GOOGLEFINANCE($C82, ""price"", WORKDAY(INT($B82), 1)), 2, 2), """")=""""), """", IF($D82=""LONG"", (IFERROR(INDEX(GOOGLEFINANCE($C82, ""price"", WORKDAY(INT($B82), 1)), 2, 2), """")-$G82)/$G82, ($G82-IFERROR(INDEX(GOOGLE"&amp;"FINANCE($C82, ""price"", WORKDAY(INT($B82), 1)), 2, 2), """"))/$G82))"),-0.012294515817101817)</f>
        <v>-0.01229451582</v>
      </c>
      <c r="R82" s="16">
        <f>IFERROR(__xludf.DUMMYFUNCTION("IF(OR(ISBLANK($G82), IFERROR(INDEX(GOOGLEFINANCE($C82, ""price"", WORKDAY(INT($B82), 5)), 2, 2), """")=""""), """", IF($D82=""LONG"", (IFERROR(INDEX(GOOGLEFINANCE($C82, ""price"", WORKDAY(INT($B82), 5)), 2, 2), """")-$G82)/$G82, ($G82-IFERROR(INDEX(GOOGLE"&amp;"FINANCE($C82, ""price"", WORKDAY(INT($B82), 5)), 2, 2), """"))/$G82))"),-0.0070451719850808826)</f>
        <v>-0.007045171985</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2987</v>
      </c>
      <c r="U82" s="10" t="s">
        <v>492</v>
      </c>
      <c r="V82" s="10" t="s">
        <v>493</v>
      </c>
      <c r="W82" s="10" t="s">
        <v>51</v>
      </c>
      <c r="X82" s="10" t="s">
        <v>492</v>
      </c>
    </row>
    <row r="83">
      <c r="A83" s="9">
        <f t="shared" si="1"/>
        <v>82</v>
      </c>
      <c r="B83" s="11">
        <v>46220.66767361111</v>
      </c>
      <c r="C83" s="10" t="s">
        <v>351</v>
      </c>
      <c r="D83" s="10" t="s">
        <v>36</v>
      </c>
      <c r="E83" s="10" t="s">
        <v>37</v>
      </c>
      <c r="F83" s="13">
        <v>2.0</v>
      </c>
      <c r="G83" s="14">
        <v>228.67</v>
      </c>
      <c r="H83" s="10" t="s">
        <v>2988</v>
      </c>
      <c r="I83" s="10">
        <v>86.1</v>
      </c>
      <c r="O83" s="15">
        <f>IFERROR(__xludf.DUMMYFUNCTION("IF(ISBLANK($C83), """", GOOGLEFINANCE($C83, ""price""))"),221.83)</f>
        <v>221.83</v>
      </c>
      <c r="P83" s="16">
        <f t="shared" si="2"/>
        <v>-0.02991210041</v>
      </c>
      <c r="Q83" s="16">
        <f>IFERROR(__xludf.DUMMYFUNCTION("IF(OR(ISBLANK($G83), IFERROR(INDEX(GOOGLEFINANCE($C83, ""price"", WORKDAY(INT($B83), 1)), 2, 2), """")=""""), """", IF($D83=""LONG"", (IFERROR(INDEX(GOOGLEFINANCE($C83, ""price"", WORKDAY(INT($B83), 1)), 2, 2), """")-$G83)/$G83, ($G83-IFERROR(INDEX(GOOGLE"&amp;"FINANCE($C83, ""price"", WORKDAY(INT($B83), 1)), 2, 2), """"))/$G83))"),-0.0020990947653823843)</f>
        <v>-0.002099094765</v>
      </c>
      <c r="R83" s="16">
        <f>IFERROR(__xludf.DUMMYFUNCTION("IF(OR(ISBLANK($G83), IFERROR(INDEX(GOOGLEFINANCE($C83, ""price"", WORKDAY(INT($B83), 5)), 2, 2), """")=""""), """", IF($D83=""LONG"", (IFERROR(INDEX(GOOGLEFINANCE($C83, ""price"", WORKDAY(INT($B83), 5)), 2, 2), """")-$G83)/$G83, ($G83-IFERROR(INDEX(GOOGLE"&amp;"FINANCE($C83, ""price"", WORKDAY(INT($B83), 5)), 2, 2), """"))/$G83))"),0.004854156644946927)</f>
        <v>0.004854156645</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2990</v>
      </c>
      <c r="U83" s="10" t="s">
        <v>492</v>
      </c>
      <c r="V83" s="10" t="s">
        <v>493</v>
      </c>
      <c r="W83" s="10" t="s">
        <v>51</v>
      </c>
      <c r="X83" s="10" t="s">
        <v>492</v>
      </c>
    </row>
    <row r="84">
      <c r="A84" s="9">
        <f t="shared" si="1"/>
        <v>83</v>
      </c>
      <c r="B84" s="11">
        <v>46220.66773148148</v>
      </c>
      <c r="C84" s="10" t="s">
        <v>58</v>
      </c>
      <c r="D84" s="10" t="s">
        <v>36</v>
      </c>
      <c r="E84" s="10" t="s">
        <v>37</v>
      </c>
      <c r="F84" s="13">
        <v>2.0</v>
      </c>
      <c r="G84" s="14">
        <v>348.83</v>
      </c>
      <c r="H84" s="10" t="s">
        <v>2991</v>
      </c>
      <c r="I84" s="10">
        <v>93.5</v>
      </c>
      <c r="O84" s="15">
        <f>IFERROR(__xludf.DUMMYFUNCTION("IF(ISBLANK($C84), """", GOOGLEFINANCE($C84, ""price""))"),374.55)</f>
        <v>374.55</v>
      </c>
      <c r="P84" s="16">
        <f t="shared" si="2"/>
        <v>0.07373219047</v>
      </c>
      <c r="Q84" s="16">
        <f>IFERROR(__xludf.DUMMYFUNCTION("IF(OR(ISBLANK($G84), IFERROR(INDEX(GOOGLEFINANCE($C84, ""price"", WORKDAY(INT($B84), 1)), 2, 2), """")=""""), """", IF($D84=""LONG"", (IFERROR(INDEX(GOOGLEFINANCE($C84, ""price"", WORKDAY(INT($B84), 1)), 2, 2), """")-$G84)/$G84, ($G84-IFERROR(INDEX(GOOGLE"&amp;"FINANCE($C84, ""price"", WORKDAY(INT($B84), 1)), 2, 2), """"))/$G84))"),-0.0215864461198864)</f>
        <v>-0.02158644612</v>
      </c>
      <c r="R84" s="16">
        <f>IFERROR(__xludf.DUMMYFUNCTION("IF(OR(ISBLANK($G84), IFERROR(INDEX(GOOGLEFINANCE($C84, ""price"", WORKDAY(INT($B84), 5)), 2, 2), """")=""""), """", IF($D84=""LONG"", (IFERROR(INDEX(GOOGLEFINANCE($C84, ""price"", WORKDAY(INT($B84), 5)), 2, 2), """")-$G84)/$G84, ($G84-IFERROR(INDEX(GOOGLE"&amp;"FINANCE($C84, ""price"", WORKDAY(INT($B84), 5)), 2, 2), """"))/$G84))"),0.014046956970444155)</f>
        <v>0.01404695697</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2994</v>
      </c>
      <c r="U84" s="10" t="s">
        <v>492</v>
      </c>
      <c r="V84" s="10" t="s">
        <v>493</v>
      </c>
      <c r="W84" s="10" t="s">
        <v>51</v>
      </c>
      <c r="X84" s="10" t="s">
        <v>492</v>
      </c>
    </row>
    <row r="85">
      <c r="A85" s="9">
        <f t="shared" si="1"/>
        <v>84</v>
      </c>
      <c r="B85" s="11">
        <v>46220.66769675926</v>
      </c>
      <c r="C85" s="10" t="s">
        <v>99</v>
      </c>
      <c r="D85" s="10" t="s">
        <v>119</v>
      </c>
      <c r="E85" s="10" t="s">
        <v>120</v>
      </c>
      <c r="F85" s="13">
        <v>4.0</v>
      </c>
      <c r="G85" s="14">
        <v>30.91</v>
      </c>
      <c r="H85" s="10" t="s">
        <v>2995</v>
      </c>
      <c r="I85" s="10">
        <v>16.2</v>
      </c>
      <c r="O85" s="15">
        <f>IFERROR(__xludf.DUMMYFUNCTION("IF(ISBLANK($C85), """", GOOGLEFINANCE($C85, ""price""))"),30.37)</f>
        <v>30.37</v>
      </c>
      <c r="P85" s="16">
        <f t="shared" si="2"/>
        <v>0.01747007441</v>
      </c>
      <c r="Q85" s="16">
        <f>IFERROR(__xludf.DUMMYFUNCTION("IF(OR(ISBLANK($G85), IFERROR(INDEX(GOOGLEFINANCE($C85, ""price"", WORKDAY(INT($B85), 1)), 2, 2), """")=""""), """", IF($D85=""LONG"", (IFERROR(INDEX(GOOGLEFINANCE($C85, ""price"", WORKDAY(INT($B85), 1)), 2, 2), """")-$G85)/$G85, ($G85-IFERROR(INDEX(GOOGLE"&amp;"FINANCE($C85, ""price"", WORKDAY(INT($B85), 1)), 2, 2), """"))/$G85))"),0.01520543513426072)</f>
        <v>0.01520543513</v>
      </c>
      <c r="R85" s="16">
        <f>IFERROR(__xludf.DUMMYFUNCTION("IF(OR(ISBLANK($G85), IFERROR(INDEX(GOOGLEFINANCE($C85, ""price"", WORKDAY(INT($B85), 5)), 2, 2), """")=""""), """", IF($D85=""LONG"", (IFERROR(INDEX(GOOGLEFINANCE($C85, ""price"", WORKDAY(INT($B85), 5)), 2, 2), """")-$G85)/$G85, ($G85-IFERROR(INDEX(GOOGLE"&amp;"FINANCE($C85, ""price"", WORKDAY(INT($B85), 5)), 2, 2), """"))/$G85))"),0.03979294726625689)</f>
        <v>0.03979294727</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2998</v>
      </c>
      <c r="U85" s="10" t="s">
        <v>492</v>
      </c>
      <c r="V85" s="10" t="s">
        <v>493</v>
      </c>
      <c r="W85" s="10" t="s">
        <v>51</v>
      </c>
      <c r="X85" s="10" t="s">
        <v>492</v>
      </c>
    </row>
    <row r="86">
      <c r="A86" s="9">
        <f t="shared" si="1"/>
        <v>85</v>
      </c>
      <c r="B86" s="11">
        <v>46220.66775462963</v>
      </c>
      <c r="C86" s="10" t="s">
        <v>258</v>
      </c>
      <c r="D86" s="10" t="s">
        <v>36</v>
      </c>
      <c r="E86" s="10" t="s">
        <v>37</v>
      </c>
      <c r="F86" s="13">
        <v>2.0</v>
      </c>
      <c r="G86" s="14">
        <v>117.37</v>
      </c>
      <c r="H86" s="10" t="s">
        <v>2999</v>
      </c>
      <c r="I86" s="10">
        <v>94.8</v>
      </c>
      <c r="O86" s="15">
        <f>IFERROR(__xludf.DUMMYFUNCTION("IF(ISBLANK($C86), """", GOOGLEFINANCE($C86, ""price""))"),113.62)</f>
        <v>113.62</v>
      </c>
      <c r="P86" s="16">
        <f t="shared" si="2"/>
        <v>-0.03195024282</v>
      </c>
      <c r="Q86" s="16">
        <f>IFERROR(__xludf.DUMMYFUNCTION("IF(OR(ISBLANK($G86), IFERROR(INDEX(GOOGLEFINANCE($C86, ""price"", WORKDAY(INT($B86), 1)), 2, 2), """")=""""), """", IF($D86=""LONG"", (IFERROR(INDEX(GOOGLEFINANCE($C86, ""price"", WORKDAY(INT($B86), 1)), 2, 2), """")-$G86)/$G86, ($G86-IFERROR(INDEX(GOOGLE"&amp;"FINANCE($C86, ""price"", WORKDAY(INT($B86), 1)), 2, 2), """"))/$G86))"),-0.007497656982193146)</f>
        <v>-0.007497656982</v>
      </c>
      <c r="R86" s="16">
        <f>IFERROR(__xludf.DUMMYFUNCTION("IF(OR(ISBLANK($G86), IFERROR(INDEX(GOOGLEFINANCE($C86, ""price"", WORKDAY(INT($B86), 5)), 2, 2), """")=""""), """", IF($D86=""LONG"", (IFERROR(INDEX(GOOGLEFINANCE($C86, ""price"", WORKDAY(INT($B86), 5)), 2, 2), """")-$G86)/$G86, ($G86-IFERROR(INDEX(GOOGLE"&amp;"FINANCE($C86, ""price"", WORKDAY(INT($B86), 5)), 2, 2), """"))/$G86))"),-0.007412456334668182)</f>
        <v>-0.007412456335</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3003</v>
      </c>
      <c r="U86" s="10" t="s">
        <v>492</v>
      </c>
      <c r="V86" s="10" t="s">
        <v>493</v>
      </c>
      <c r="W86" s="10" t="s">
        <v>51</v>
      </c>
      <c r="X86" s="10" t="s">
        <v>492</v>
      </c>
    </row>
    <row r="87">
      <c r="A87" s="9">
        <f t="shared" si="1"/>
        <v>86</v>
      </c>
      <c r="B87" s="11">
        <v>46220.667719907404</v>
      </c>
      <c r="C87" s="10" t="s">
        <v>1989</v>
      </c>
      <c r="D87" s="10" t="s">
        <v>119</v>
      </c>
      <c r="E87" s="10" t="s">
        <v>120</v>
      </c>
      <c r="F87" s="13">
        <v>4.0</v>
      </c>
      <c r="G87" s="14">
        <v>81.57</v>
      </c>
      <c r="H87" s="10" t="s">
        <v>3004</v>
      </c>
      <c r="I87" s="10">
        <v>10.8</v>
      </c>
      <c r="O87" s="15">
        <f>IFERROR(__xludf.DUMMYFUNCTION("IF(ISBLANK($C87), """", GOOGLEFINANCE($C87, ""price""))"),91.69)</f>
        <v>91.69</v>
      </c>
      <c r="P87" s="16">
        <f t="shared" si="2"/>
        <v>-0.1240652201</v>
      </c>
      <c r="Q87" s="16">
        <f>IFERROR(__xludf.DUMMYFUNCTION("IF(OR(ISBLANK($G87), IFERROR(INDEX(GOOGLEFINANCE($C87, ""price"", WORKDAY(INT($B87), 1)), 2, 2), """")=""""), """", IF($D87=""LONG"", (IFERROR(INDEX(GOOGLEFINANCE($C87, ""price"", WORKDAY(INT($B87), 1)), 2, 2), """")-$G87)/$G87, ($G87-IFERROR(INDEX(GOOGLE"&amp;"FINANCE($C87, ""price"", WORKDAY(INT($B87), 1)), 2, 2), """"))/$G87))"),-2.4518818192975644E-4)</f>
        <v>-0.0002451881819</v>
      </c>
      <c r="R87" s="16">
        <f>IFERROR(__xludf.DUMMYFUNCTION("IF(OR(ISBLANK($G87), IFERROR(INDEX(GOOGLEFINANCE($C87, ""price"", WORKDAY(INT($B87), 5)), 2, 2), """")=""""), """", IF($D87=""LONG"", (IFERROR(INDEX(GOOGLEFINANCE($C87, ""price"", WORKDAY(INT($B87), 5)), 2, 2), """")-$G87)/$G87, ($G87-IFERROR(INDEX(GOOGLE"&amp;"FINANCE($C87, ""price"", WORKDAY(INT($B87), 5)), 2, 2), """"))/$G87))"),-0.08851293367659696)</f>
        <v>-0.08851293368</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3008</v>
      </c>
      <c r="U87" s="10" t="s">
        <v>492</v>
      </c>
      <c r="V87" s="10" t="s">
        <v>493</v>
      </c>
      <c r="W87" s="10" t="s">
        <v>51</v>
      </c>
      <c r="X87" s="10" t="s">
        <v>492</v>
      </c>
    </row>
    <row r="88">
      <c r="A88" s="9">
        <f t="shared" si="1"/>
        <v>87</v>
      </c>
      <c r="B88" s="11">
        <v>46220.66787037037</v>
      </c>
      <c r="C88" s="10" t="s">
        <v>383</v>
      </c>
      <c r="D88" s="10" t="s">
        <v>36</v>
      </c>
      <c r="E88" s="10" t="s">
        <v>37</v>
      </c>
      <c r="F88" s="13">
        <v>2.0</v>
      </c>
      <c r="G88" s="14">
        <v>952.87</v>
      </c>
      <c r="H88" s="10" t="s">
        <v>3009</v>
      </c>
      <c r="I88" s="10">
        <v>85.4</v>
      </c>
      <c r="O88" s="15">
        <f>IFERROR(__xludf.DUMMYFUNCTION("IF(ISBLANK($C88), """", GOOGLEFINANCE($C88, ""price""))"),1069.8)</f>
        <v>1069.8</v>
      </c>
      <c r="P88" s="16">
        <f t="shared" si="2"/>
        <v>0.1227134866</v>
      </c>
      <c r="Q88" s="16">
        <f>IFERROR(__xludf.DUMMYFUNCTION("IF(OR(ISBLANK($G88), IFERROR(INDEX(GOOGLEFINANCE($C88, ""price"", WORKDAY(INT($B88), 1)), 2, 2), """")=""""), """", IF($D88=""LONG"", (IFERROR(INDEX(GOOGLEFINANCE($C88, ""price"", WORKDAY(INT($B88), 1)), 2, 2), """")-$G88)/$G88, ($G88-IFERROR(INDEX(GOOGLE"&amp;"FINANCE($C88, ""price"", WORKDAY(INT($B88), 1)), 2, 2), """"))/$G88))"),-0.002182879091586513)</f>
        <v>-0.002182879092</v>
      </c>
      <c r="R88" s="16">
        <f>IFERROR(__xludf.DUMMYFUNCTION("IF(OR(ISBLANK($G88), IFERROR(INDEX(GOOGLEFINANCE($C88, ""price"", WORKDAY(INT($B88), 5)), 2, 2), """")=""""), """", IF($D88=""LONG"", (IFERROR(INDEX(GOOGLEFINANCE($C88, ""price"", WORKDAY(INT($B88), 5)), 2, 2), """")-$G88)/$G88, ($G88-IFERROR(INDEX(GOOGLE"&amp;"FINANCE($C88, ""price"", WORKDAY(INT($B88), 5)), 2, 2), """"))/$G88))"),0.03638481639678021)</f>
        <v>0.0363848164</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3012</v>
      </c>
      <c r="U88" s="10" t="s">
        <v>984</v>
      </c>
      <c r="V88" s="10" t="s">
        <v>933</v>
      </c>
      <c r="W88" s="10" t="s">
        <v>51</v>
      </c>
      <c r="X88" s="10" t="s">
        <v>984</v>
      </c>
    </row>
    <row r="89">
      <c r="A89" s="9">
        <f t="shared" si="1"/>
        <v>88</v>
      </c>
      <c r="B89" s="11">
        <v>46220.66782407407</v>
      </c>
      <c r="C89" s="10" t="s">
        <v>215</v>
      </c>
      <c r="D89" s="10" t="s">
        <v>36</v>
      </c>
      <c r="E89" s="10" t="s">
        <v>37</v>
      </c>
      <c r="F89" s="13">
        <v>2.0</v>
      </c>
      <c r="G89" s="14">
        <v>97.49</v>
      </c>
      <c r="H89" s="10" t="s">
        <v>3013</v>
      </c>
      <c r="I89" s="10">
        <v>82.7</v>
      </c>
      <c r="O89" s="15">
        <f>IFERROR(__xludf.DUMMYFUNCTION("IF(ISBLANK($C89), """", GOOGLEFINANCE($C89, ""price""))"),94.16)</f>
        <v>94.16</v>
      </c>
      <c r="P89" s="16">
        <f t="shared" si="2"/>
        <v>-0.03415734947</v>
      </c>
      <c r="Q89" s="16">
        <f>IFERROR(__xludf.DUMMYFUNCTION("IF(OR(ISBLANK($G89), IFERROR(INDEX(GOOGLEFINANCE($C89, ""price"", WORKDAY(INT($B89), 1)), 2, 2), """")=""""), """", IF($D89=""LONG"", (IFERROR(INDEX(GOOGLEFINANCE($C89, ""price"", WORKDAY(INT($B89), 1)), 2, 2), """")-$G89)/$G89, ($G89-IFERROR(INDEX(GOOGLE"&amp;"FINANCE($C89, ""price"", WORKDAY(INT($B89), 1)), 2, 2), """"))/$G89))"),-0.02092522309980503)</f>
        <v>-0.0209252231</v>
      </c>
      <c r="R89" s="16">
        <f>IFERROR(__xludf.DUMMYFUNCTION("IF(OR(ISBLANK($G89), IFERROR(INDEX(GOOGLEFINANCE($C89, ""price"", WORKDAY(INT($B89), 5)), 2, 2), """")=""""), """", IF($D89=""LONG"", (IFERROR(INDEX(GOOGLEFINANCE($C89, ""price"", WORKDAY(INT($B89), 5)), 2, 2), """")-$G89)/$G89, ($G89-IFERROR(INDEX(GOOGLE"&amp;"FINANCE($C89, ""price"", WORKDAY(INT($B89), 5)), 2, 2), """"))/$G89))"),-0.041029849215304136)</f>
        <v>-0.04102984922</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3017</v>
      </c>
      <c r="U89" s="10" t="s">
        <v>984</v>
      </c>
      <c r="V89" s="10" t="s">
        <v>2785</v>
      </c>
      <c r="W89" s="10" t="s">
        <v>51</v>
      </c>
      <c r="X89" s="10" t="s">
        <v>984</v>
      </c>
    </row>
    <row r="90">
      <c r="A90" s="9">
        <f t="shared" si="1"/>
        <v>89</v>
      </c>
      <c r="B90" s="11">
        <v>46220.66769675926</v>
      </c>
      <c r="C90" s="10" t="s">
        <v>594</v>
      </c>
      <c r="D90" s="10" t="s">
        <v>36</v>
      </c>
      <c r="E90" s="10" t="s">
        <v>37</v>
      </c>
      <c r="F90" s="13">
        <v>2.0</v>
      </c>
      <c r="G90" s="14">
        <v>80.49</v>
      </c>
      <c r="H90" s="10" t="s">
        <v>3018</v>
      </c>
      <c r="I90" s="10">
        <v>97.9</v>
      </c>
      <c r="O90" s="15">
        <f>IFERROR(__xludf.DUMMYFUNCTION("IF(ISBLANK($C90), """", GOOGLEFINANCE($C90, ""price""))"),79.97)</f>
        <v>79.97</v>
      </c>
      <c r="P90" s="16">
        <f t="shared" si="2"/>
        <v>-0.006460429867</v>
      </c>
      <c r="Q90" s="16">
        <f>IFERROR(__xludf.DUMMYFUNCTION("IF(OR(ISBLANK($G90), IFERROR(INDEX(GOOGLEFINANCE($C90, ""price"", WORKDAY(INT($B90), 1)), 2, 2), """")=""""), """", IF($D90=""LONG"", (IFERROR(INDEX(GOOGLEFINANCE($C90, ""price"", WORKDAY(INT($B90), 1)), 2, 2), """")-$G90)/$G90, ($G90-IFERROR(INDEX(GOOGLE"&amp;"FINANCE($C90, ""price"", WORKDAY(INT($B90), 1)), 2, 2), """"))/$G90))"),-0.008572493477450586)</f>
        <v>-0.008572493477</v>
      </c>
      <c r="R90" s="16">
        <f>IFERROR(__xludf.DUMMYFUNCTION("IF(OR(ISBLANK($G90), IFERROR(INDEX(GOOGLEFINANCE($C90, ""price"", WORKDAY(INT($B90), 5)), 2, 2), """")=""""), """", IF($D90=""LONG"", (IFERROR(INDEX(GOOGLEFINANCE($C90, ""price"", WORKDAY(INT($B90), 5)), 2, 2), """")-$G90)/$G90, ($G90-IFERROR(INDEX(GOOGLE"&amp;"FINANCE($C90, ""price"", WORKDAY(INT($B90), 5)), 2, 2), """"))/$G90))"),-0.017766182134426545)</f>
        <v>-0.01776618213</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3021</v>
      </c>
      <c r="U90" s="10" t="s">
        <v>492</v>
      </c>
      <c r="V90" s="10" t="s">
        <v>493</v>
      </c>
      <c r="W90" s="10" t="s">
        <v>51</v>
      </c>
      <c r="X90" s="10" t="s">
        <v>492</v>
      </c>
    </row>
    <row r="91">
      <c r="A91" s="9">
        <f t="shared" si="1"/>
        <v>90</v>
      </c>
      <c r="B91" s="11">
        <v>46220.667708333334</v>
      </c>
      <c r="C91" s="10" t="s">
        <v>434</v>
      </c>
      <c r="D91" s="10" t="s">
        <v>36</v>
      </c>
      <c r="E91" s="10" t="s">
        <v>37</v>
      </c>
      <c r="F91" s="13">
        <v>2.0</v>
      </c>
      <c r="G91" s="14">
        <v>110.15</v>
      </c>
      <c r="H91" s="10" t="s">
        <v>3022</v>
      </c>
      <c r="I91" s="10">
        <v>94.3</v>
      </c>
      <c r="O91" s="15">
        <f>IFERROR(__xludf.DUMMYFUNCTION("IF(ISBLANK($C91), """", GOOGLEFINANCE($C91, ""price""))"),114.24)</f>
        <v>114.24</v>
      </c>
      <c r="P91" s="16">
        <f t="shared" si="2"/>
        <v>0.03713118475</v>
      </c>
      <c r="Q91" s="16">
        <f>IFERROR(__xludf.DUMMYFUNCTION("IF(OR(ISBLANK($G91), IFERROR(INDEX(GOOGLEFINANCE($C91, ""price"", WORKDAY(INT($B91), 1)), 2, 2), """")=""""), """", IF($D91=""LONG"", (IFERROR(INDEX(GOOGLEFINANCE($C91, ""price"", WORKDAY(INT($B91), 1)), 2, 2), """")-$G91)/$G91, ($G91-IFERROR(INDEX(GOOGLE"&amp;"FINANCE($C91, ""price"", WORKDAY(INT($B91), 1)), 2, 2), """"))/$G91))"),-0.03368134362233325)</f>
        <v>-0.03368134362</v>
      </c>
      <c r="R91" s="16">
        <f>IFERROR(__xludf.DUMMYFUNCTION("IF(OR(ISBLANK($G91), IFERROR(INDEX(GOOGLEFINANCE($C91, ""price"", WORKDAY(INT($B91), 5)), 2, 2), """")=""""), """", IF($D91=""LONG"", (IFERROR(INDEX(GOOGLEFINANCE($C91, ""price"", WORKDAY(INT($B91), 5)), 2, 2), """")-$G91)/$G91, ($G91-IFERROR(INDEX(GOOGLE"&amp;"FINANCE($C91, ""price"", WORKDAY(INT($B91), 5)), 2, 2), """"))/$G91))"),0.002905129369042153)</f>
        <v>0.002905129369</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3025</v>
      </c>
      <c r="U91" s="10" t="s">
        <v>492</v>
      </c>
      <c r="V91" s="10" t="s">
        <v>493</v>
      </c>
      <c r="W91" s="10" t="s">
        <v>51</v>
      </c>
      <c r="X91" s="10" t="s">
        <v>492</v>
      </c>
    </row>
    <row r="92">
      <c r="A92" s="9">
        <f t="shared" si="1"/>
        <v>91</v>
      </c>
      <c r="B92" s="11">
        <v>46220.66769675926</v>
      </c>
      <c r="C92" s="10" t="s">
        <v>455</v>
      </c>
      <c r="D92" s="10" t="s">
        <v>36</v>
      </c>
      <c r="E92" s="10" t="s">
        <v>37</v>
      </c>
      <c r="F92" s="13">
        <v>2.0</v>
      </c>
      <c r="G92" s="14">
        <v>108.33</v>
      </c>
      <c r="H92" s="10" t="s">
        <v>3026</v>
      </c>
      <c r="I92" s="10">
        <v>97.7</v>
      </c>
      <c r="O92" s="15">
        <f>IFERROR(__xludf.DUMMYFUNCTION("IF(ISBLANK($C92), """", GOOGLEFINANCE($C92, ""price""))"),108.66)</f>
        <v>108.66</v>
      </c>
      <c r="P92" s="16">
        <f t="shared" si="2"/>
        <v>0.003046247577</v>
      </c>
      <c r="Q92" s="16">
        <f>IFERROR(__xludf.DUMMYFUNCTION("IF(OR(ISBLANK($G92), IFERROR(INDEX(GOOGLEFINANCE($C92, ""price"", WORKDAY(INT($B92), 1)), 2, 2), """")=""""), """", IF($D92=""LONG"", (IFERROR(INDEX(GOOGLEFINANCE($C92, ""price"", WORKDAY(INT($B92), 1)), 2, 2), """")-$G92)/$G92, ($G92-IFERROR(INDEX(GOOGLE"&amp;"FINANCE($C92, ""price"", WORKDAY(INT($B92), 1)), 2, 2), """"))/$G92))"),0.0013846579894766517)</f>
        <v>0.001384657989</v>
      </c>
      <c r="R92" s="16">
        <f>IFERROR(__xludf.DUMMYFUNCTION("IF(OR(ISBLANK($G92), IFERROR(INDEX(GOOGLEFINANCE($C92, ""price"", WORKDAY(INT($B92), 5)), 2, 2), """")=""""), """", IF($D92=""LONG"", (IFERROR(INDEX(GOOGLEFINANCE($C92, ""price"", WORKDAY(INT($B92), 5)), 2, 2), """")-$G92)/$G92, ($G92-IFERROR(INDEX(GOOGLE"&amp;"FINANCE($C92, ""price"", WORKDAY(INT($B92), 5)), 2, 2), """"))/$G92))"),0.012646542970552982)</f>
        <v>0.01264654297</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3029</v>
      </c>
      <c r="U92" s="10" t="s">
        <v>492</v>
      </c>
      <c r="V92" s="10" t="s">
        <v>493</v>
      </c>
      <c r="W92" s="10" t="s">
        <v>51</v>
      </c>
      <c r="X92" s="10" t="s">
        <v>492</v>
      </c>
    </row>
    <row r="93">
      <c r="A93" s="9">
        <f t="shared" si="1"/>
        <v>92</v>
      </c>
      <c r="B93" s="11">
        <v>46220.66777777778</v>
      </c>
      <c r="C93" s="10" t="s">
        <v>273</v>
      </c>
      <c r="D93" s="10" t="s">
        <v>119</v>
      </c>
      <c r="E93" s="10" t="s">
        <v>120</v>
      </c>
      <c r="F93" s="13">
        <v>4.0</v>
      </c>
      <c r="G93" s="14">
        <v>45.33</v>
      </c>
      <c r="H93" s="10" t="s">
        <v>3030</v>
      </c>
      <c r="I93" s="10">
        <v>18.7</v>
      </c>
      <c r="O93" s="15">
        <f>IFERROR(__xludf.DUMMYFUNCTION("IF(ISBLANK($C93), """", GOOGLEFINANCE($C93, ""price""))"),46.11)</f>
        <v>46.11</v>
      </c>
      <c r="P93" s="16">
        <f t="shared" si="2"/>
        <v>-0.01720714758</v>
      </c>
      <c r="Q93" s="16">
        <f>IFERROR(__xludf.DUMMYFUNCTION("IF(OR(ISBLANK($G93), IFERROR(INDEX(GOOGLEFINANCE($C93, ""price"", WORKDAY(INT($B93), 1)), 2, 2), """")=""""), """", IF($D93=""LONG"", (IFERROR(INDEX(GOOGLEFINANCE($C93, ""price"", WORKDAY(INT($B93), 1)), 2, 2), """")-$G93)/$G93, ($G93-IFERROR(INDEX(GOOGLE"&amp;"FINANCE($C93, ""price"", WORKDAY(INT($B93), 1)), 2, 2), """"))/$G93))"),-0.01058901389808083)</f>
        <v>-0.0105890139</v>
      </c>
      <c r="R93" s="16">
        <f>IFERROR(__xludf.DUMMYFUNCTION("IF(OR(ISBLANK($G93), IFERROR(INDEX(GOOGLEFINANCE($C93, ""price"", WORKDAY(INT($B93), 5)), 2, 2), """")=""""), """", IF($D93=""LONG"", (IFERROR(INDEX(GOOGLEFINANCE($C93, ""price"", WORKDAY(INT($B93), 5)), 2, 2), """")-$G93)/$G93, ($G93-IFERROR(INDEX(GOOGLE"&amp;"FINANCE($C93, ""price"", WORKDAY(INT($B93), 5)), 2, 2), """"))/$G93))"),-0.01654533421575116)</f>
        <v>-0.01654533422</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3032</v>
      </c>
      <c r="U93" s="10" t="s">
        <v>492</v>
      </c>
      <c r="V93" s="10" t="s">
        <v>493</v>
      </c>
      <c r="W93" s="10" t="s">
        <v>51</v>
      </c>
      <c r="X93" s="10" t="s">
        <v>492</v>
      </c>
    </row>
    <row r="94">
      <c r="A94" s="9">
        <f t="shared" si="1"/>
        <v>93</v>
      </c>
      <c r="B94" s="11">
        <v>46220.66778935185</v>
      </c>
      <c r="C94" s="10" t="s">
        <v>217</v>
      </c>
      <c r="D94" s="10" t="s">
        <v>36</v>
      </c>
      <c r="E94" s="10" t="s">
        <v>37</v>
      </c>
      <c r="F94" s="13">
        <v>2.0</v>
      </c>
      <c r="G94" s="14">
        <v>368.66</v>
      </c>
      <c r="H94" s="10" t="s">
        <v>3033</v>
      </c>
      <c r="I94" s="10">
        <v>86.9</v>
      </c>
      <c r="O94" s="15">
        <f>IFERROR(__xludf.DUMMYFUNCTION("IF(ISBLANK($C94), """", GOOGLEFINANCE($C94, ""price""))"),399.7)</f>
        <v>399.7</v>
      </c>
      <c r="P94" s="16">
        <f t="shared" si="2"/>
        <v>0.08419682092</v>
      </c>
      <c r="Q94" s="16">
        <f>IFERROR(__xludf.DUMMYFUNCTION("IF(OR(ISBLANK($G94), IFERROR(INDEX(GOOGLEFINANCE($C94, ""price"", WORKDAY(INT($B94), 1)), 2, 2), """")=""""), """", IF($D94=""LONG"", (IFERROR(INDEX(GOOGLEFINANCE($C94, ""price"", WORKDAY(INT($B94), 1)), 2, 2), """")-$G94)/$G94, ($G94-IFERROR(INDEX(GOOGLE"&amp;"FINANCE($C94, ""price"", WORKDAY(INT($B94), 1)), 2, 2), """"))/$G94))"),-0.030163294092117408)</f>
        <v>-0.03016329409</v>
      </c>
      <c r="R94" s="16">
        <f>IFERROR(__xludf.DUMMYFUNCTION("IF(OR(ISBLANK($G94), IFERROR(INDEX(GOOGLEFINANCE($C94, ""price"", WORKDAY(INT($B94), 5)), 2, 2), """")=""""), """", IF($D94=""LONG"", (IFERROR(INDEX(GOOGLEFINANCE($C94, ""price"", WORKDAY(INT($B94), 5)), 2, 2), """")-$G94)/$G94, ($G94-IFERROR(INDEX(GOOGLE"&amp;"FINANCE($C94, ""price"", WORKDAY(INT($B94), 5)), 2, 2), """"))/$G94))"),0.016329409211739764)</f>
        <v>0.01632940921</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3035</v>
      </c>
      <c r="U94" s="10" t="s">
        <v>492</v>
      </c>
      <c r="V94" s="10" t="s">
        <v>493</v>
      </c>
      <c r="W94" s="10" t="s">
        <v>51</v>
      </c>
      <c r="X94" s="10" t="s">
        <v>492</v>
      </c>
    </row>
    <row r="95">
      <c r="A95" s="9">
        <f t="shared" si="1"/>
        <v>94</v>
      </c>
      <c r="B95" s="11">
        <v>46220.6678125</v>
      </c>
      <c r="C95" s="10" t="s">
        <v>161</v>
      </c>
      <c r="D95" s="10" t="s">
        <v>36</v>
      </c>
      <c r="E95" s="10" t="s">
        <v>37</v>
      </c>
      <c r="F95" s="13">
        <v>2.0</v>
      </c>
      <c r="G95" s="14">
        <v>159.87</v>
      </c>
      <c r="H95" s="10" t="s">
        <v>3036</v>
      </c>
      <c r="I95" s="10">
        <v>81.8</v>
      </c>
      <c r="O95" s="15">
        <f>IFERROR(__xludf.DUMMYFUNCTION("IF(ISBLANK($C95), """", GOOGLEFINANCE($C95, ""price""))"),180.71)</f>
        <v>180.71</v>
      </c>
      <c r="P95" s="16">
        <f t="shared" si="2"/>
        <v>0.1303559142</v>
      </c>
      <c r="Q95" s="16">
        <f>IFERROR(__xludf.DUMMYFUNCTION("IF(OR(ISBLANK($G95), IFERROR(INDEX(GOOGLEFINANCE($C95, ""price"", WORKDAY(INT($B95), 1)), 2, 2), """")=""""), """", IF($D95=""LONG"", (IFERROR(INDEX(GOOGLEFINANCE($C95, ""price"", WORKDAY(INT($B95), 1)), 2, 2), """")-$G95)/$G95, ($G95-IFERROR(INDEX(GOOGLE"&amp;"FINANCE($C95, ""price"", WORKDAY(INT($B95), 1)), 2, 2), """"))/$G95))"),-0.0047538625132919924)</f>
        <v>-0.004753862513</v>
      </c>
      <c r="R95" s="16">
        <f>IFERROR(__xludf.DUMMYFUNCTION("IF(OR(ISBLANK($G95), IFERROR(INDEX(GOOGLEFINANCE($C95, ""price"", WORKDAY(INT($B95), 5)), 2, 2), """")=""""), """", IF($D95=""LONG"", (IFERROR(INDEX(GOOGLEFINANCE($C95, ""price"", WORKDAY(INT($B95), 5)), 2, 2), """")-$G95)/$G95, ($G95-IFERROR(INDEX(GOOGLE"&amp;"FINANCE($C95, ""price"", WORKDAY(INT($B95), 5)), 2, 2), """"))/$G95))"),0.07975229874272846)</f>
        <v>0.07975229874</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3039</v>
      </c>
      <c r="U95" s="10" t="s">
        <v>492</v>
      </c>
      <c r="V95" s="10" t="s">
        <v>493</v>
      </c>
      <c r="W95" s="10" t="s">
        <v>51</v>
      </c>
      <c r="X95" s="10" t="s">
        <v>492</v>
      </c>
    </row>
    <row r="96">
      <c r="A96" s="9">
        <f t="shared" si="1"/>
        <v>95</v>
      </c>
      <c r="B96" s="11">
        <v>46220.66756944444</v>
      </c>
      <c r="C96" s="10" t="s">
        <v>323</v>
      </c>
      <c r="D96" s="10" t="s">
        <v>36</v>
      </c>
      <c r="E96" s="10" t="s">
        <v>1892</v>
      </c>
      <c r="F96" s="13">
        <v>2.0</v>
      </c>
      <c r="G96" s="14">
        <v>208.9</v>
      </c>
      <c r="H96" s="10" t="s">
        <v>3040</v>
      </c>
      <c r="I96" s="10">
        <v>74.0</v>
      </c>
      <c r="O96" s="15">
        <f>IFERROR(__xludf.DUMMYFUNCTION("IF(ISBLANK($C96), """", GOOGLEFINANCE($C96, ""price""))"),209.7)</f>
        <v>209.7</v>
      </c>
      <c r="P96" s="16">
        <f t="shared" si="2"/>
        <v>0.003829583533</v>
      </c>
      <c r="Q96" s="16">
        <f>IFERROR(__xludf.DUMMYFUNCTION("IF(OR(ISBLANK($G96), IFERROR(INDEX(GOOGLEFINANCE($C96, ""price"", WORKDAY(INT($B96), 1)), 2, 2), """")=""""), """", IF($D96=""LONG"", (IFERROR(INDEX(GOOGLEFINANCE($C96, ""price"", WORKDAY(INT($B96), 1)), 2, 2), """")-$G96)/$G96, ($G96-IFERROR(INDEX(GOOGLE"&amp;"FINANCE($C96, ""price"", WORKDAY(INT($B96), 1)), 2, 2), """"))/$G96))"),0.001866921972235454)</f>
        <v>0.001866921972</v>
      </c>
      <c r="R96" s="16">
        <f>IFERROR(__xludf.DUMMYFUNCTION("IF(OR(ISBLANK($G96), IFERROR(INDEX(GOOGLEFINANCE($C96, ""price"", WORKDAY(INT($B96), 5)), 2, 2), """")=""""), """", IF($D96=""LONG"", (IFERROR(INDEX(GOOGLEFINANCE($C96, ""price"", WORKDAY(INT($B96), 5)), 2, 2), """")-$G96)/$G96, ($G96-IFERROR(INDEX(GOOGLE"&amp;"FINANCE($C96, ""price"", WORKDAY(INT($B96), 5)), 2, 2), """"))/$G96))"),7.659167065581455E-4)</f>
        <v>0.0007659167066</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3042</v>
      </c>
      <c r="U96" s="10" t="s">
        <v>492</v>
      </c>
      <c r="V96" s="10" t="s">
        <v>493</v>
      </c>
      <c r="W96" s="10" t="s">
        <v>51</v>
      </c>
      <c r="X96" s="10" t="s">
        <v>492</v>
      </c>
    </row>
    <row r="97">
      <c r="A97" s="9">
        <f t="shared" si="1"/>
        <v>96</v>
      </c>
      <c r="B97" s="11">
        <v>46220.667592592596</v>
      </c>
      <c r="C97" s="10" t="s">
        <v>47</v>
      </c>
      <c r="D97" s="10" t="s">
        <v>36</v>
      </c>
      <c r="E97" s="10" t="s">
        <v>37</v>
      </c>
      <c r="F97" s="13">
        <v>2.0</v>
      </c>
      <c r="G97" s="14">
        <v>292.86</v>
      </c>
      <c r="H97" s="10" t="s">
        <v>3044</v>
      </c>
      <c r="I97" s="10">
        <v>95.6</v>
      </c>
      <c r="O97" s="15">
        <f>IFERROR(__xludf.DUMMYFUNCTION("IF(ISBLANK($C97), """", GOOGLEFINANCE($C97, ""price""))"),285.12)</f>
        <v>285.12</v>
      </c>
      <c r="P97" s="16">
        <f t="shared" si="2"/>
        <v>-0.02642901045</v>
      </c>
      <c r="Q97" s="16">
        <f>IFERROR(__xludf.DUMMYFUNCTION("IF(OR(ISBLANK($G97), IFERROR(INDEX(GOOGLEFINANCE($C97, ""price"", WORKDAY(INT($B97), 1)), 2, 2), """")=""""), """", IF($D97=""LONG"", (IFERROR(INDEX(GOOGLEFINANCE($C97, ""price"", WORKDAY(INT($B97), 1)), 2, 2), """")-$G97)/$G97, ($G97-IFERROR(INDEX(GOOGLE"&amp;"FINANCE($C97, ""price"", WORKDAY(INT($B97), 1)), 2, 2), """"))/$G97))"),0.003312162808167624)</f>
        <v>0.003312162808</v>
      </c>
      <c r="R97" s="16">
        <f>IFERROR(__xludf.DUMMYFUNCTION("IF(OR(ISBLANK($G97), IFERROR(INDEX(GOOGLEFINANCE($C97, ""price"", WORKDAY(INT($B97), 5)), 2, 2), """")=""""), """", IF($D97=""LONG"", (IFERROR(INDEX(GOOGLEFINANCE($C97, ""price"", WORKDAY(INT($B97), 5)), 2, 2), """")-$G97)/$G97, ($G97-IFERROR(INDEX(GOOGLE"&amp;"FINANCE($C97, ""price"", WORKDAY(INT($B97), 5)), 2, 2), """"))/$G97))"),0.0020487604998974452)</f>
        <v>0.0020487605</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3045</v>
      </c>
      <c r="U97" s="10" t="s">
        <v>492</v>
      </c>
      <c r="V97" s="10" t="s">
        <v>493</v>
      </c>
      <c r="W97" s="10" t="s">
        <v>51</v>
      </c>
      <c r="X97" s="10" t="s">
        <v>492</v>
      </c>
    </row>
    <row r="98">
      <c r="A98" s="9">
        <f t="shared" si="1"/>
        <v>97</v>
      </c>
      <c r="B98" s="11">
        <v>46220.667858796296</v>
      </c>
      <c r="C98" s="10" t="s">
        <v>556</v>
      </c>
      <c r="D98" s="10" t="s">
        <v>119</v>
      </c>
      <c r="E98" s="10" t="s">
        <v>120</v>
      </c>
      <c r="F98" s="13">
        <v>4.0</v>
      </c>
      <c r="G98" s="14">
        <v>51.63</v>
      </c>
      <c r="H98" s="10" t="s">
        <v>3048</v>
      </c>
      <c r="I98" s="10">
        <v>6.5</v>
      </c>
      <c r="O98" s="15">
        <f>IFERROR(__xludf.DUMMYFUNCTION("IF(ISBLANK($C98), """", GOOGLEFINANCE($C98, ""price""))"),55.37)</f>
        <v>55.37</v>
      </c>
      <c r="P98" s="16">
        <f t="shared" si="2"/>
        <v>-0.07243850475</v>
      </c>
      <c r="Q98" s="16">
        <f>IFERROR(__xludf.DUMMYFUNCTION("IF(OR(ISBLANK($G98), IFERROR(INDEX(GOOGLEFINANCE($C98, ""price"", WORKDAY(INT($B98), 1)), 2, 2), """")=""""), """", IF($D98=""LONG"", (IFERROR(INDEX(GOOGLEFINANCE($C98, ""price"", WORKDAY(INT($B98), 1)), 2, 2), """")-$G98)/$G98, ($G98-IFERROR(INDEX(GOOGLE"&amp;"FINANCE($C98, ""price"", WORKDAY(INT($B98), 1)), 2, 2), """"))/$G98))"),0.0015494867325199573)</f>
        <v>0.001549486733</v>
      </c>
      <c r="R98" s="16">
        <f>IFERROR(__xludf.DUMMYFUNCTION("IF(OR(ISBLANK($G98), IFERROR(INDEX(GOOGLEFINANCE($C98, ""price"", WORKDAY(INT($B98), 5)), 2, 2), """")=""""), """", IF($D98=""LONG"", (IFERROR(INDEX(GOOGLEFINANCE($C98, ""price"", WORKDAY(INT($B98), 5)), 2, 2), """")-$G98)/$G98, ($G98-IFERROR(INDEX(GOOGLE"&amp;"FINANCE($C98, ""price"", WORKDAY(INT($B98), 5)), 2, 2), """"))/$G98))"),0.04299825682742603)</f>
        <v>0.04299825683</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3051</v>
      </c>
      <c r="U98" s="10" t="s">
        <v>984</v>
      </c>
      <c r="V98" s="10" t="s">
        <v>985</v>
      </c>
      <c r="W98" s="10" t="s">
        <v>51</v>
      </c>
      <c r="X98" s="10" t="s">
        <v>984</v>
      </c>
    </row>
    <row r="99">
      <c r="A99" s="9">
        <f t="shared" si="1"/>
        <v>98</v>
      </c>
      <c r="B99" s="11">
        <v>46220.667858796296</v>
      </c>
      <c r="C99" s="10" t="s">
        <v>267</v>
      </c>
      <c r="D99" s="10" t="s">
        <v>36</v>
      </c>
      <c r="E99" s="10" t="s">
        <v>37</v>
      </c>
      <c r="F99" s="13">
        <v>2.0</v>
      </c>
      <c r="G99" s="14">
        <v>184.07</v>
      </c>
      <c r="H99" s="10" t="s">
        <v>3052</v>
      </c>
      <c r="I99" s="10">
        <v>97.6</v>
      </c>
      <c r="O99" s="15">
        <f>IFERROR(__xludf.DUMMYFUNCTION("IF(ISBLANK($C99), """", GOOGLEFINANCE($C99, ""price""))"),213.26)</f>
        <v>213.26</v>
      </c>
      <c r="P99" s="16">
        <f t="shared" si="2"/>
        <v>0.1585809746</v>
      </c>
      <c r="Q99" s="16">
        <f>IFERROR(__xludf.DUMMYFUNCTION("IF(OR(ISBLANK($G99), IFERROR(INDEX(GOOGLEFINANCE($C99, ""price"", WORKDAY(INT($B99), 1)), 2, 2), """")=""""), """", IF($D99=""LONG"", (IFERROR(INDEX(GOOGLEFINANCE($C99, ""price"", WORKDAY(INT($B99), 1)), 2, 2), """")-$G99)/$G99, ($G99-IFERROR(INDEX(GOOGLE"&amp;"FINANCE($C99, ""price"", WORKDAY(INT($B99), 1)), 2, 2), """"))/$G99))"),0.026891943282446987)</f>
        <v>0.02689194328</v>
      </c>
      <c r="R99" s="16">
        <f>IFERROR(__xludf.DUMMYFUNCTION("IF(OR(ISBLANK($G99), IFERROR(INDEX(GOOGLEFINANCE($C99, ""price"", WORKDAY(INT($B99), 5)), 2, 2), """")=""""), """", IF($D99=""LONG"", (IFERROR(INDEX(GOOGLEFINANCE($C99, ""price"", WORKDAY(INT($B99), 5)), 2, 2), """")-$G99)/$G99, ($G99-IFERROR(INDEX(GOOGLE"&amp;"FINANCE($C99, ""price"", WORKDAY(INT($B99), 5)), 2, 2), """"))/$G99))"),-0.0606291084913348)</f>
        <v>-0.06062910849</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3055</v>
      </c>
      <c r="U99" s="10" t="s">
        <v>984</v>
      </c>
      <c r="V99" s="10" t="s">
        <v>985</v>
      </c>
      <c r="W99" s="10" t="s">
        <v>51</v>
      </c>
      <c r="X99" s="10" t="s">
        <v>984</v>
      </c>
    </row>
    <row r="100">
      <c r="A100" s="9">
        <f t="shared" si="1"/>
        <v>99</v>
      </c>
      <c r="B100" s="11">
        <v>46220.66773148148</v>
      </c>
      <c r="C100" s="10" t="s">
        <v>234</v>
      </c>
      <c r="D100" s="10" t="s">
        <v>36</v>
      </c>
      <c r="E100" s="10" t="s">
        <v>37</v>
      </c>
      <c r="F100" s="13">
        <v>2.0</v>
      </c>
      <c r="G100" s="14">
        <v>63.16</v>
      </c>
      <c r="H100" s="10" t="s">
        <v>3056</v>
      </c>
      <c r="I100" s="10">
        <v>92.5</v>
      </c>
      <c r="O100" s="15">
        <f>IFERROR(__xludf.DUMMYFUNCTION("IF(ISBLANK($C100), """", GOOGLEFINANCE($C100, ""price""))"),63.81)</f>
        <v>63.81</v>
      </c>
      <c r="P100" s="16">
        <f t="shared" si="2"/>
        <v>0.01029132362</v>
      </c>
      <c r="Q100" s="16">
        <f>IFERROR(__xludf.DUMMYFUNCTION("IF(OR(ISBLANK($G100), IFERROR(INDEX(GOOGLEFINANCE($C100, ""price"", WORKDAY(INT($B100), 1)), 2, 2), """")=""""), """", IF($D100=""LONG"", (IFERROR(INDEX(GOOGLEFINANCE($C100, ""price"", WORKDAY(INT($B100), 1)), 2, 2), """")-$G100)/$G100, ($G100-IFERROR(IND"&amp;"EX(GOOGLEFINANCE($C100, ""price"", WORKDAY(INT($B100), 1)), 2, 2), """"))/$G100))"),-3.1665611146288825E-4)</f>
        <v>-0.0003166561115</v>
      </c>
      <c r="R100" s="16">
        <f>IFERROR(__xludf.DUMMYFUNCTION("IF(OR(ISBLANK($G100), IFERROR(INDEX(GOOGLEFINANCE($C100, ""price"", WORKDAY(INT($B100), 5)), 2, 2), """")=""""), """", IF($D100=""LONG"", (IFERROR(INDEX(GOOGLEFINANCE($C100, ""price"", WORKDAY(INT($B100), 5)), 2, 2), """")-$G100)/$G100, ($G100-IFERROR(IND"&amp;"EX(GOOGLEFINANCE($C100, ""price"", WORKDAY(INT($B100), 5)), 2, 2), """"))/$G100))"),0.012824572514249562)</f>
        <v>0.01282457251</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3059</v>
      </c>
      <c r="U100" s="10" t="s">
        <v>492</v>
      </c>
      <c r="V100" s="10" t="s">
        <v>493</v>
      </c>
      <c r="W100" s="10" t="s">
        <v>51</v>
      </c>
      <c r="X100" s="10" t="s">
        <v>492</v>
      </c>
    </row>
    <row r="101">
      <c r="A101" s="9">
        <f t="shared" si="1"/>
        <v>100</v>
      </c>
      <c r="B101" s="11">
        <v>46220.66784722222</v>
      </c>
      <c r="C101" s="10" t="s">
        <v>488</v>
      </c>
      <c r="D101" s="10" t="s">
        <v>36</v>
      </c>
      <c r="E101" s="10" t="s">
        <v>37</v>
      </c>
      <c r="F101" s="13">
        <v>2.0</v>
      </c>
      <c r="G101" s="14">
        <v>61.79</v>
      </c>
      <c r="H101" s="10" t="s">
        <v>3060</v>
      </c>
      <c r="I101" s="10">
        <v>96.2</v>
      </c>
      <c r="O101" s="15">
        <f>IFERROR(__xludf.DUMMYFUNCTION("IF(ISBLANK($C101), """", GOOGLEFINANCE($C101, ""price""))"),53.86)</f>
        <v>53.86</v>
      </c>
      <c r="P101" s="16">
        <f t="shared" si="2"/>
        <v>-0.1283379188</v>
      </c>
      <c r="Q101" s="16">
        <f>IFERROR(__xludf.DUMMYFUNCTION("IF(OR(ISBLANK($G101), IFERROR(INDEX(GOOGLEFINANCE($C101, ""price"", WORKDAY(INT($B101), 1)), 2, 2), """")=""""), """", IF($D101=""LONG"", (IFERROR(INDEX(GOOGLEFINANCE($C101, ""price"", WORKDAY(INT($B101), 1)), 2, 2), """")-$G101)/$G101, ($G101-IFERROR(IND"&amp;"EX(GOOGLEFINANCE($C101, ""price"", WORKDAY(INT($B101), 1)), 2, 2), """"))/$G101))"),-0.037222851594109034)</f>
        <v>-0.03722285159</v>
      </c>
      <c r="R101" s="16">
        <f>IFERROR(__xludf.DUMMYFUNCTION("IF(OR(ISBLANK($G101), IFERROR(INDEX(GOOGLEFINANCE($C101, ""price"", WORKDAY(INT($B101), 5)), 2, 2), """")=""""), """", IF($D101=""LONG"", (IFERROR(INDEX(GOOGLEFINANCE($C101, ""price"", WORKDAY(INT($B101), 5)), 2, 2), """")-$G101)/$G101, ($G101-IFERROR(IND"&amp;"EX(GOOGLEFINANCE($C101, ""price"", WORKDAY(INT($B101), 5)), 2, 2), """"))/$G101))"),-0.12493931056805306)</f>
        <v>-0.1249393106</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3065</v>
      </c>
      <c r="U101" s="10" t="s">
        <v>492</v>
      </c>
      <c r="V101" s="10" t="s">
        <v>493</v>
      </c>
      <c r="W101" s="10" t="s">
        <v>51</v>
      </c>
      <c r="X101" s="10" t="s">
        <v>492</v>
      </c>
    </row>
    <row r="102">
      <c r="A102" s="9">
        <f t="shared" si="1"/>
        <v>101</v>
      </c>
      <c r="B102" s="11">
        <v>46220.66774305556</v>
      </c>
      <c r="C102" s="10" t="s">
        <v>66</v>
      </c>
      <c r="D102" s="10" t="s">
        <v>36</v>
      </c>
      <c r="E102" s="10" t="s">
        <v>37</v>
      </c>
      <c r="F102" s="13">
        <v>2.0</v>
      </c>
      <c r="G102" s="14">
        <v>276.81</v>
      </c>
      <c r="H102" s="10" t="s">
        <v>3066</v>
      </c>
      <c r="I102" s="10">
        <v>89.7</v>
      </c>
      <c r="O102" s="15">
        <f>IFERROR(__xludf.DUMMYFUNCTION("IF(ISBLANK($C102), """", GOOGLEFINANCE($C102, ""price""))"),296.4)</f>
        <v>296.4</v>
      </c>
      <c r="P102" s="16">
        <f t="shared" si="2"/>
        <v>0.07077056465</v>
      </c>
      <c r="Q102" s="16">
        <f>IFERROR(__xludf.DUMMYFUNCTION("IF(OR(ISBLANK($G102), IFERROR(INDEX(GOOGLEFINANCE($C102, ""price"", WORKDAY(INT($B102), 1)), 2, 2), """")=""""), """", IF($D102=""LONG"", (IFERROR(INDEX(GOOGLEFINANCE($C102, ""price"", WORKDAY(INT($B102), 1)), 2, 2), """")-$G102)/$G102, ($G102-IFERROR(IND"&amp;"EX(GOOGLEFINANCE($C102, ""price"", WORKDAY(INT($B102), 1)), 2, 2), """"))/$G102))"),-0.004840865575665529)</f>
        <v>-0.004840865576</v>
      </c>
      <c r="R102" s="16">
        <f>IFERROR(__xludf.DUMMYFUNCTION("IF(OR(ISBLANK($G102), IFERROR(INDEX(GOOGLEFINANCE($C102, ""price"", WORKDAY(INT($B102), 5)), 2, 2), """")=""""), """", IF($D102=""LONG"", (IFERROR(INDEX(GOOGLEFINANCE($C102, ""price"", WORKDAY(INT($B102), 5)), 2, 2), """")-$G102)/$G102, ($G102-IFERROR(IND"&amp;"EX(GOOGLEFINANCE($C102, ""price"", WORKDAY(INT($B102), 5)), 2, 2), """"))/$G102))"),4.6963621256455857E-4)</f>
        <v>0.0004696362126</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3069</v>
      </c>
      <c r="U102" s="10" t="s">
        <v>984</v>
      </c>
      <c r="V102" s="10" t="s">
        <v>998</v>
      </c>
      <c r="W102" s="10" t="s">
        <v>51</v>
      </c>
      <c r="X102" s="10" t="s">
        <v>984</v>
      </c>
    </row>
    <row r="103">
      <c r="A103" s="9">
        <f t="shared" si="1"/>
        <v>102</v>
      </c>
      <c r="B103" s="11">
        <v>46220.667395833334</v>
      </c>
      <c r="C103" s="10" t="s">
        <v>499</v>
      </c>
      <c r="D103" s="10" t="s">
        <v>36</v>
      </c>
      <c r="E103" s="10" t="s">
        <v>37</v>
      </c>
      <c r="F103" s="13">
        <v>2.0</v>
      </c>
      <c r="G103" s="14">
        <v>114.42</v>
      </c>
      <c r="H103" s="10" t="s">
        <v>3070</v>
      </c>
      <c r="I103" s="10">
        <v>92.0</v>
      </c>
      <c r="O103" s="15">
        <f>IFERROR(__xludf.DUMMYFUNCTION("IF(ISBLANK($C103), """", GOOGLEFINANCE($C103, ""price""))"),115.98)</f>
        <v>115.98</v>
      </c>
      <c r="P103" s="16">
        <f t="shared" si="2"/>
        <v>0.01363398007</v>
      </c>
      <c r="Q103" s="16">
        <f>IFERROR(__xludf.DUMMYFUNCTION("IF(OR(ISBLANK($G103), IFERROR(INDEX(GOOGLEFINANCE($C103, ""price"", WORKDAY(INT($B103), 1)), 2, 2), """")=""""), """", IF($D103=""LONG"", (IFERROR(INDEX(GOOGLEFINANCE($C103, ""price"", WORKDAY(INT($B103), 1)), 2, 2), """")-$G103)/$G103, ($G103-IFERROR(IND"&amp;"EX(GOOGLEFINANCE($C103, ""price"", WORKDAY(INT($B103), 1)), 2, 2), """"))/$G103))"),0.0014857542387694607)</f>
        <v>0.001485754239</v>
      </c>
      <c r="R103" s="16">
        <f>IFERROR(__xludf.DUMMYFUNCTION("IF(OR(ISBLANK($G103), IFERROR(INDEX(GOOGLEFINANCE($C103, ""price"", WORKDAY(INT($B103), 5)), 2, 2), """")=""""), """", IF($D103=""LONG"", (IFERROR(INDEX(GOOGLEFINANCE($C103, ""price"", WORKDAY(INT($B103), 5)), 2, 2), """")-$G103)/$G103, ($G103-IFERROR(IND"&amp;"EX(GOOGLEFINANCE($C103, ""price"", WORKDAY(INT($B103), 5)), 2, 2), """"))/$G103))"),0.03041426324069222)</f>
        <v>0.03041426324</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3072</v>
      </c>
      <c r="U103" s="10" t="s">
        <v>492</v>
      </c>
      <c r="V103" s="10" t="s">
        <v>493</v>
      </c>
      <c r="W103" s="10" t="s">
        <v>51</v>
      </c>
      <c r="X103" s="10" t="s">
        <v>492</v>
      </c>
    </row>
    <row r="104">
      <c r="A104" s="9">
        <f t="shared" si="1"/>
        <v>103</v>
      </c>
      <c r="B104" s="11">
        <v>46220.667662037034</v>
      </c>
      <c r="C104" s="10" t="s">
        <v>939</v>
      </c>
      <c r="D104" s="10" t="s">
        <v>36</v>
      </c>
      <c r="E104" s="10" t="s">
        <v>37</v>
      </c>
      <c r="F104" s="13">
        <v>2.0</v>
      </c>
      <c r="G104" s="14">
        <v>193.5</v>
      </c>
      <c r="H104" s="10" t="s">
        <v>3073</v>
      </c>
      <c r="I104" s="10">
        <v>93.4</v>
      </c>
      <c r="O104" s="15">
        <f>IFERROR(__xludf.DUMMYFUNCTION("IF(ISBLANK($C104), """", GOOGLEFINANCE($C104, ""price""))"),223.25)</f>
        <v>223.25</v>
      </c>
      <c r="P104" s="16">
        <f t="shared" si="2"/>
        <v>0.15374677</v>
      </c>
      <c r="Q104" s="16">
        <f>IFERROR(__xludf.DUMMYFUNCTION("IF(OR(ISBLANK($G104), IFERROR(INDEX(GOOGLEFINANCE($C104, ""price"", WORKDAY(INT($B104), 1)), 2, 2), """")=""""), """", IF($D104=""LONG"", (IFERROR(INDEX(GOOGLEFINANCE($C104, ""price"", WORKDAY(INT($B104), 1)), 2, 2), """")-$G104)/$G104, ($G104-IFERROR(IND"&amp;"EX(GOOGLEFINANCE($C104, ""price"", WORKDAY(INT($B104), 1)), 2, 2), """"))/$G104))"),0.004857881136950893)</f>
        <v>0.004857881137</v>
      </c>
      <c r="R104" s="16">
        <f>IFERROR(__xludf.DUMMYFUNCTION("IF(OR(ISBLANK($G104), IFERROR(INDEX(GOOGLEFINANCE($C104, ""price"", WORKDAY(INT($B104), 5)), 2, 2), """")=""""), """", IF($D104=""LONG"", (IFERROR(INDEX(GOOGLEFINANCE($C104, ""price"", WORKDAY(INT($B104), 5)), 2, 2), """")-$G104)/$G104, ($G104-IFERROR(IND"&amp;"EX(GOOGLEFINANCE($C104, ""price"", WORKDAY(INT($B104), 5)), 2, 2), """"))/$G104))"),0.09968992248062011)</f>
        <v>0.09968992248</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3074</v>
      </c>
      <c r="U104" s="10" t="s">
        <v>492</v>
      </c>
      <c r="V104" s="10" t="s">
        <v>493</v>
      </c>
      <c r="W104" s="10" t="s">
        <v>51</v>
      </c>
      <c r="X104" s="10" t="s">
        <v>492</v>
      </c>
    </row>
    <row r="105">
      <c r="A105" s="9">
        <f t="shared" si="1"/>
        <v>104</v>
      </c>
      <c r="B105" s="11">
        <v>46220.667905092596</v>
      </c>
      <c r="C105" s="10" t="s">
        <v>94</v>
      </c>
      <c r="D105" s="10" t="s">
        <v>36</v>
      </c>
      <c r="E105" s="10" t="s">
        <v>37</v>
      </c>
      <c r="F105" s="13">
        <v>2.0</v>
      </c>
      <c r="G105" s="14">
        <v>58.01</v>
      </c>
      <c r="H105" s="10" t="s">
        <v>3075</v>
      </c>
      <c r="I105" s="10">
        <v>90.4</v>
      </c>
      <c r="O105" s="15">
        <f>IFERROR(__xludf.DUMMYFUNCTION("IF(ISBLANK($C105), """", GOOGLEFINANCE($C105, ""price""))"),56.96)</f>
        <v>56.96</v>
      </c>
      <c r="P105" s="16">
        <f t="shared" si="2"/>
        <v>-0.01810032753</v>
      </c>
      <c r="Q105" s="16">
        <f>IFERROR(__xludf.DUMMYFUNCTION("IF(OR(ISBLANK($G105), IFERROR(INDEX(GOOGLEFINANCE($C105, ""price"", WORKDAY(INT($B105), 1)), 2, 2), """")=""""), """", IF($D105=""LONG"", (IFERROR(INDEX(GOOGLEFINANCE($C105, ""price"", WORKDAY(INT($B105), 1)), 2, 2), """")-$G105)/$G105, ($G105-IFERROR(IND"&amp;"EX(GOOGLEFINANCE($C105, ""price"", WORKDAY(INT($B105), 1)), 2, 2), """"))/$G105))"),-0.010515428374418195)</f>
        <v>-0.01051542837</v>
      </c>
      <c r="R105" s="16">
        <f>IFERROR(__xludf.DUMMYFUNCTION("IF(OR(ISBLANK($G105), IFERROR(INDEX(GOOGLEFINANCE($C105, ""price"", WORKDAY(INT($B105), 5)), 2, 2), """")=""""), """", IF($D105=""LONG"", (IFERROR(INDEX(GOOGLEFINANCE($C105, ""price"", WORKDAY(INT($B105), 5)), 2, 2), """")-$G105)/$G105, ($G105-IFERROR(IND"&amp;"EX(GOOGLEFINANCE($C105, ""price"", WORKDAY(INT($B105), 5)), 2, 2), """"))/$G105))"),-0.010343044302706455)</f>
        <v>-0.0103430443</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3076</v>
      </c>
      <c r="U105" s="10" t="s">
        <v>492</v>
      </c>
      <c r="V105" s="10" t="s">
        <v>493</v>
      </c>
      <c r="W105" s="10" t="s">
        <v>51</v>
      </c>
      <c r="X105" s="10" t="s">
        <v>492</v>
      </c>
    </row>
    <row r="106">
      <c r="A106" s="9">
        <f t="shared" si="1"/>
        <v>105</v>
      </c>
      <c r="B106" s="11">
        <v>46220.667662037034</v>
      </c>
      <c r="C106" s="10" t="s">
        <v>986</v>
      </c>
      <c r="D106" s="10" t="s">
        <v>119</v>
      </c>
      <c r="E106" s="10" t="s">
        <v>120</v>
      </c>
      <c r="F106" s="13">
        <v>4.0</v>
      </c>
      <c r="G106" s="14">
        <v>233.46</v>
      </c>
      <c r="H106" s="10" t="s">
        <v>3077</v>
      </c>
      <c r="I106" s="10">
        <v>1.7</v>
      </c>
      <c r="O106" s="15">
        <f>IFERROR(__xludf.DUMMYFUNCTION("IF(ISBLANK($C106), """", GOOGLEFINANCE($C106, ""price""))"),254.31)</f>
        <v>254.31</v>
      </c>
      <c r="P106" s="16">
        <f t="shared" si="2"/>
        <v>-0.08930866101</v>
      </c>
      <c r="Q106" s="16">
        <f>IFERROR(__xludf.DUMMYFUNCTION("IF(OR(ISBLANK($G106), IFERROR(INDEX(GOOGLEFINANCE($C106, ""price"", WORKDAY(INT($B106), 1)), 2, 2), """")=""""), """", IF($D106=""LONG"", (IFERROR(INDEX(GOOGLEFINANCE($C106, ""price"", WORKDAY(INT($B106), 1)), 2, 2), """")-$G106)/$G106, ($G106-IFERROR(IND"&amp;"EX(GOOGLEFINANCE($C106, ""price"", WORKDAY(INT($B106), 1)), 2, 2), """"))/$G106))"),-0.009937462520346068)</f>
        <v>-0.00993746252</v>
      </c>
      <c r="R106" s="16">
        <f>IFERROR(__xludf.DUMMYFUNCTION("IF(OR(ISBLANK($G106), IFERROR(INDEX(GOOGLEFINANCE($C106, ""price"", WORKDAY(INT($B106), 5)), 2, 2), """")=""""), """", IF($D106=""LONG"", (IFERROR(INDEX(GOOGLEFINANCE($C106, ""price"", WORKDAY(INT($B106), 5)), 2, 2), """")-$G106)/$G106, ($G106-IFERROR(IND"&amp;"EX(GOOGLEFINANCE($C106, ""price"", WORKDAY(INT($B106), 5)), 2, 2), """"))/$G106))"),-0.023258802364430644)</f>
        <v>-0.02325880236</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3080</v>
      </c>
      <c r="U106" s="10" t="s">
        <v>984</v>
      </c>
      <c r="V106" s="10" t="s">
        <v>1059</v>
      </c>
      <c r="W106" s="10" t="s">
        <v>51</v>
      </c>
      <c r="X106" s="10" t="s">
        <v>984</v>
      </c>
    </row>
    <row r="107">
      <c r="A107" s="9">
        <f t="shared" si="1"/>
        <v>106</v>
      </c>
      <c r="B107" s="11">
        <v>46220.667905092596</v>
      </c>
      <c r="C107" s="10" t="s">
        <v>3081</v>
      </c>
      <c r="D107" s="10" t="s">
        <v>36</v>
      </c>
      <c r="E107" s="10" t="s">
        <v>37</v>
      </c>
      <c r="F107" s="13">
        <v>2.0</v>
      </c>
      <c r="G107" s="14">
        <v>17.32</v>
      </c>
      <c r="H107" s="10" t="s">
        <v>3082</v>
      </c>
      <c r="I107" s="10">
        <v>83.2</v>
      </c>
      <c r="O107" s="15">
        <f>IFERROR(__xludf.DUMMYFUNCTION("IF(ISBLANK($C107), """", GOOGLEFINANCE($C107, ""price""))"),17.0)</f>
        <v>17</v>
      </c>
      <c r="P107" s="16">
        <f t="shared" si="2"/>
        <v>-0.01847575058</v>
      </c>
      <c r="Q107" s="16">
        <f>IFERROR(__xludf.DUMMYFUNCTION("IF(OR(ISBLANK($G107), IFERROR(INDEX(GOOGLEFINANCE($C107, ""price"", WORKDAY(INT($B107), 1)), 2, 2), """")=""""), """", IF($D107=""LONG"", (IFERROR(INDEX(GOOGLEFINANCE($C107, ""price"", WORKDAY(INT($B107), 1)), 2, 2), """")-$G107)/$G107, ($G107-IFERROR(IND"&amp;"EX(GOOGLEFINANCE($C107, ""price"", WORKDAY(INT($B107), 1)), 2, 2), """"))/$G107))"),0.006351039260969944)</f>
        <v>0.006351039261</v>
      </c>
      <c r="R107" s="16">
        <f>IFERROR(__xludf.DUMMYFUNCTION("IF(OR(ISBLANK($G107), IFERROR(INDEX(GOOGLEFINANCE($C107, ""price"", WORKDAY(INT($B107), 5)), 2, 2), """")=""""), """", IF($D107=""LONG"", (IFERROR(INDEX(GOOGLEFINANCE($C107, ""price"", WORKDAY(INT($B107), 5)), 2, 2), """")-$G107)/$G107, ($G107-IFERROR(IND"&amp;"EX(GOOGLEFINANCE($C107, ""price"", WORKDAY(INT($B107), 5)), 2, 2), """"))/$G107))"),0.0306004618937645)</f>
        <v>0.03060046189</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3086</v>
      </c>
      <c r="U107" s="10" t="s">
        <v>984</v>
      </c>
      <c r="V107" s="10" t="s">
        <v>985</v>
      </c>
      <c r="W107" s="10" t="s">
        <v>51</v>
      </c>
      <c r="X107" s="10" t="s">
        <v>984</v>
      </c>
    </row>
    <row r="108">
      <c r="A108" s="9">
        <f t="shared" si="1"/>
        <v>107</v>
      </c>
      <c r="B108" s="11">
        <v>46220.66756944444</v>
      </c>
      <c r="C108" s="10" t="s">
        <v>1327</v>
      </c>
      <c r="D108" s="10" t="s">
        <v>119</v>
      </c>
      <c r="E108" s="10" t="s">
        <v>120</v>
      </c>
      <c r="F108" s="13">
        <v>4.0</v>
      </c>
      <c r="G108" s="14">
        <v>1045.0</v>
      </c>
      <c r="H108" s="10" t="s">
        <v>3087</v>
      </c>
      <c r="I108" s="10">
        <v>16.7</v>
      </c>
      <c r="O108" s="15">
        <f>IFERROR(__xludf.DUMMYFUNCTION("IF(ISBLANK($C108), """", GOOGLEFINANCE($C108, ""price""))"),1162.66)</f>
        <v>1162.66</v>
      </c>
      <c r="P108" s="16">
        <f t="shared" si="2"/>
        <v>-0.1125933014</v>
      </c>
      <c r="Q108" s="16">
        <f>IFERROR(__xludf.DUMMYFUNCTION("IF(OR(ISBLANK($G108), IFERROR(INDEX(GOOGLEFINANCE($C108, ""price"", WORKDAY(INT($B108), 1)), 2, 2), """")=""""), """", IF($D108=""LONG"", (IFERROR(INDEX(GOOGLEFINANCE($C108, ""price"", WORKDAY(INT($B108), 1)), 2, 2), """")-$G108)/$G108, ($G108-IFERROR(IND"&amp;"EX(GOOGLEFINANCE($C108, ""price"", WORKDAY(INT($B108), 1)), 2, 2), """"))/$G108))"),0.030899521531100444)</f>
        <v>0.03089952153</v>
      </c>
      <c r="R108" s="16">
        <f>IFERROR(__xludf.DUMMYFUNCTION("IF(OR(ISBLANK($G108), IFERROR(INDEX(GOOGLEFINANCE($C108, ""price"", WORKDAY(INT($B108), 5)), 2, 2), """")=""""), """", IF($D108=""LONG"", (IFERROR(INDEX(GOOGLEFINANCE($C108, ""price"", WORKDAY(INT($B108), 5)), 2, 2), """")-$G108)/$G108, ($G108-IFERROR(IND"&amp;"EX(GOOGLEFINANCE($C108, ""price"", WORKDAY(INT($B108), 5)), 2, 2), """"))/$G108))"),-0.0924306220095693)</f>
        <v>-0.09243062201</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3088</v>
      </c>
      <c r="U108" s="10" t="s">
        <v>984</v>
      </c>
      <c r="V108" s="10" t="s">
        <v>985</v>
      </c>
      <c r="W108" s="10" t="s">
        <v>51</v>
      </c>
      <c r="X108" s="10" t="s">
        <v>984</v>
      </c>
    </row>
    <row r="109">
      <c r="A109" s="9">
        <f t="shared" si="1"/>
        <v>108</v>
      </c>
      <c r="B109" s="11">
        <v>46220.667708333334</v>
      </c>
      <c r="C109" s="10" t="s">
        <v>264</v>
      </c>
      <c r="D109" s="10" t="s">
        <v>36</v>
      </c>
      <c r="E109" s="10" t="s">
        <v>37</v>
      </c>
      <c r="F109" s="13">
        <v>2.0</v>
      </c>
      <c r="G109" s="14">
        <v>358.59</v>
      </c>
      <c r="H109" s="10" t="s">
        <v>3090</v>
      </c>
      <c r="I109" s="10">
        <v>93.7</v>
      </c>
      <c r="O109" s="15">
        <f>IFERROR(__xludf.DUMMYFUNCTION("IF(ISBLANK($C109), """", GOOGLEFINANCE($C109, ""price""))"),359.49)</f>
        <v>359.49</v>
      </c>
      <c r="P109" s="16">
        <f t="shared" si="2"/>
        <v>0.002509830168</v>
      </c>
      <c r="Q109" s="16">
        <f>IFERROR(__xludf.DUMMYFUNCTION("IF(OR(ISBLANK($G109), IFERROR(INDEX(GOOGLEFINANCE($C109, ""price"", WORKDAY(INT($B109), 1)), 2, 2), """")=""""), """", IF($D109=""LONG"", (IFERROR(INDEX(GOOGLEFINANCE($C109, ""price"", WORKDAY(INT($B109), 1)), 2, 2), """")-$G109)/$G109, ($G109-IFERROR(IND"&amp;"EX(GOOGLEFINANCE($C109, ""price"", WORKDAY(INT($B109), 1)), 2, 2), """"))/$G109))"),-0.027691792855349985)</f>
        <v>-0.02769179286</v>
      </c>
      <c r="R109" s="16">
        <f>IFERROR(__xludf.DUMMYFUNCTION("IF(OR(ISBLANK($G109), IFERROR(INDEX(GOOGLEFINANCE($C109, ""price"", WORKDAY(INT($B109), 5)), 2, 2), """")=""""), """", IF($D109=""LONG"", (IFERROR(INDEX(GOOGLEFINANCE($C109, ""price"", WORKDAY(INT($B109), 5)), 2, 2), """")-$G109)/$G109, ($G109-IFERROR(IND"&amp;"EX(GOOGLEFINANCE($C109, ""price"", WORKDAY(INT($B109), 5)), 2, 2), """"))/$G109))"),-0.09704676650213323)</f>
        <v>-0.0970467665</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3093</v>
      </c>
      <c r="U109" s="10" t="s">
        <v>984</v>
      </c>
      <c r="V109" s="10" t="s">
        <v>2785</v>
      </c>
      <c r="W109" s="10" t="s">
        <v>51</v>
      </c>
      <c r="X109" s="10" t="s">
        <v>984</v>
      </c>
    </row>
    <row r="110">
      <c r="A110" s="9">
        <f t="shared" si="1"/>
        <v>109</v>
      </c>
      <c r="B110" s="11">
        <v>46220.66762731481</v>
      </c>
      <c r="C110" s="10" t="s">
        <v>641</v>
      </c>
      <c r="D110" s="10" t="s">
        <v>36</v>
      </c>
      <c r="E110" s="10" t="s">
        <v>37</v>
      </c>
      <c r="F110" s="13">
        <v>2.0</v>
      </c>
      <c r="G110" s="14">
        <v>62.69</v>
      </c>
      <c r="H110" s="10" t="s">
        <v>3094</v>
      </c>
      <c r="I110" s="10">
        <v>96.8</v>
      </c>
      <c r="O110" s="15">
        <f>IFERROR(__xludf.DUMMYFUNCTION("IF(ISBLANK($C110), """", GOOGLEFINANCE($C110, ""price""))"),63.13)</f>
        <v>63.13</v>
      </c>
      <c r="P110" s="16">
        <f t="shared" si="2"/>
        <v>0.007018663264</v>
      </c>
      <c r="Q110" s="16">
        <f>IFERROR(__xludf.DUMMYFUNCTION("IF(OR(ISBLANK($G110), IFERROR(INDEX(GOOGLEFINANCE($C110, ""price"", WORKDAY(INT($B110), 1)), 2, 2), """")=""""), """", IF($D110=""LONG"", (IFERROR(INDEX(GOOGLEFINANCE($C110, ""price"", WORKDAY(INT($B110), 1)), 2, 2), """")-$G110)/$G110, ($G110-IFERROR(IND"&amp;"EX(GOOGLEFINANCE($C110, ""price"", WORKDAY(INT($B110), 1)), 2, 2), """"))/$G110))"),-0.007018663263678382)</f>
        <v>-0.007018663264</v>
      </c>
      <c r="R110" s="16">
        <f>IFERROR(__xludf.DUMMYFUNCTION("IF(OR(ISBLANK($G110), IFERROR(INDEX(GOOGLEFINANCE($C110, ""price"", WORKDAY(INT($B110), 5)), 2, 2), """")=""""), """", IF($D110=""LONG"", (IFERROR(INDEX(GOOGLEFINANCE($C110, ""price"", WORKDAY(INT($B110), 5)), 2, 2), """")-$G110)/$G110, ($G110-IFERROR(IND"&amp;"EX(GOOGLEFINANCE($C110, ""price"", WORKDAY(INT($B110), 5)), 2, 2), """"))/$G110))"),0.01834423353006868)</f>
        <v>0.01834423353</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3097</v>
      </c>
      <c r="U110" s="10" t="s">
        <v>492</v>
      </c>
      <c r="V110" s="10" t="s">
        <v>493</v>
      </c>
      <c r="W110" s="10" t="s">
        <v>51</v>
      </c>
      <c r="X110" s="10" t="s">
        <v>492</v>
      </c>
    </row>
    <row r="111">
      <c r="A111" s="9">
        <f t="shared" si="1"/>
        <v>110</v>
      </c>
      <c r="B111" s="11">
        <v>46220.66778935185</v>
      </c>
      <c r="C111" s="10" t="s">
        <v>372</v>
      </c>
      <c r="D111" s="10" t="s">
        <v>119</v>
      </c>
      <c r="E111" s="10" t="s">
        <v>120</v>
      </c>
      <c r="F111" s="13">
        <v>4.0</v>
      </c>
      <c r="G111" s="14">
        <v>136.31</v>
      </c>
      <c r="H111" s="10" t="s">
        <v>3098</v>
      </c>
      <c r="I111" s="10">
        <v>50.0</v>
      </c>
      <c r="O111" s="15">
        <f>IFERROR(__xludf.DUMMYFUNCTION("IF(ISBLANK($C111), """", GOOGLEFINANCE($C111, ""price""))"),133.37)</f>
        <v>133.37</v>
      </c>
      <c r="P111" s="16">
        <f t="shared" si="2"/>
        <v>0.0215684836</v>
      </c>
      <c r="Q111" s="16">
        <f>IFERROR(__xludf.DUMMYFUNCTION("IF(OR(ISBLANK($G111), IFERROR(INDEX(GOOGLEFINANCE($C111, ""price"", WORKDAY(INT($B111), 1)), 2, 2), """")=""""), """", IF($D111=""LONG"", (IFERROR(INDEX(GOOGLEFINANCE($C111, ""price"", WORKDAY(INT($B111), 1)), 2, 2), """")-$G111)/$G111, ($G111-IFERROR(IND"&amp;"EX(GOOGLEFINANCE($C111, ""price"", WORKDAY(INT($B111), 1)), 2, 2), """"))/$G111))"),0.012691658719096102)</f>
        <v>0.01269165872</v>
      </c>
      <c r="R111" s="16">
        <f>IFERROR(__xludf.DUMMYFUNCTION("IF(OR(ISBLANK($G111), IFERROR(INDEX(GOOGLEFINANCE($C111, ""price"", WORKDAY(INT($B111), 5)), 2, 2), """")=""""), """", IF($D111=""LONG"", (IFERROR(INDEX(GOOGLEFINANCE($C111, ""price"", WORKDAY(INT($B111), 5)), 2, 2), """")-$G111)/$G111, ($G111-IFERROR(IND"&amp;"EX(GOOGLEFINANCE($C111, ""price"", WORKDAY(INT($B111), 5)), 2, 2), """"))/$G111))"),0.009170273640965447)</f>
        <v>0.009170273641</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3099</v>
      </c>
      <c r="U111" s="10" t="s">
        <v>492</v>
      </c>
      <c r="V111" s="10" t="s">
        <v>493</v>
      </c>
      <c r="W111" s="10" t="s">
        <v>51</v>
      </c>
      <c r="X111" s="10" t="s">
        <v>492</v>
      </c>
    </row>
    <row r="112">
      <c r="A112" s="9">
        <f t="shared" si="1"/>
        <v>111</v>
      </c>
      <c r="B112" s="11">
        <v>46220.66751157407</v>
      </c>
      <c r="C112" s="10" t="s">
        <v>707</v>
      </c>
      <c r="D112" s="10" t="s">
        <v>36</v>
      </c>
      <c r="E112" s="10" t="s">
        <v>37</v>
      </c>
      <c r="F112" s="13">
        <v>2.0</v>
      </c>
      <c r="G112" s="14">
        <v>112.37</v>
      </c>
      <c r="H112" s="10" t="s">
        <v>3100</v>
      </c>
      <c r="I112" s="10">
        <v>95.4</v>
      </c>
      <c r="O112" s="15">
        <f>IFERROR(__xludf.DUMMYFUNCTION("IF(ISBLANK($C112), """", GOOGLEFINANCE($C112, ""price""))"),108.95)</f>
        <v>108.95</v>
      </c>
      <c r="P112" s="16">
        <f t="shared" si="2"/>
        <v>-0.03043516953</v>
      </c>
      <c r="Q112" s="16">
        <f>IFERROR(__xludf.DUMMYFUNCTION("IF(OR(ISBLANK($G112), IFERROR(INDEX(GOOGLEFINANCE($C112, ""price"", WORKDAY(INT($B112), 1)), 2, 2), """")=""""), """", IF($D112=""LONG"", (IFERROR(INDEX(GOOGLEFINANCE($C112, ""price"", WORKDAY(INT($B112), 1)), 2, 2), """")-$G112)/$G112, ($G112-IFERROR(IND"&amp;"EX(GOOGLEFINANCE($C112, ""price"", WORKDAY(INT($B112), 1)), 2, 2), """"))/$G112))"),-0.011746907537599069)</f>
        <v>-0.01174690754</v>
      </c>
      <c r="R112" s="16">
        <f>IFERROR(__xludf.DUMMYFUNCTION("IF(OR(ISBLANK($G112), IFERROR(INDEX(GOOGLEFINANCE($C112, ""price"", WORKDAY(INT($B112), 5)), 2, 2), """")=""""), """", IF($D112=""LONG"", (IFERROR(INDEX(GOOGLEFINANCE($C112, ""price"", WORKDAY(INT($B112), 5)), 2, 2), """")-$G112)/$G112, ($G112-IFERROR(IND"&amp;"EX(GOOGLEFINANCE($C112, ""price"", WORKDAY(INT($B112), 5)), 2, 2), """"))/$G112))"),0.005695470321260127)</f>
        <v>0.005695470321</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3103</v>
      </c>
      <c r="U112" s="10" t="s">
        <v>492</v>
      </c>
      <c r="V112" s="10" t="s">
        <v>493</v>
      </c>
      <c r="W112" s="10" t="s">
        <v>51</v>
      </c>
      <c r="X112" s="10" t="s">
        <v>492</v>
      </c>
    </row>
    <row r="113">
      <c r="A113" s="9">
        <f t="shared" si="1"/>
        <v>112</v>
      </c>
      <c r="B113" s="11">
        <v>46220.667708333334</v>
      </c>
      <c r="C113" s="10" t="s">
        <v>3104</v>
      </c>
      <c r="D113" s="10" t="s">
        <v>36</v>
      </c>
      <c r="E113" s="10" t="s">
        <v>133</v>
      </c>
      <c r="F113" s="13">
        <v>2.0</v>
      </c>
      <c r="G113" s="14">
        <v>168.39</v>
      </c>
      <c r="H113" s="10" t="s">
        <v>3105</v>
      </c>
      <c r="I113" s="10">
        <v>84.9</v>
      </c>
      <c r="O113" s="15">
        <f>IFERROR(__xludf.DUMMYFUNCTION("IF(ISBLANK($C113), """", GOOGLEFINANCE($C113, ""price""))"),179.33)</f>
        <v>179.33</v>
      </c>
      <c r="P113" s="16">
        <f t="shared" si="2"/>
        <v>0.06496822852</v>
      </c>
      <c r="Q113" s="16">
        <f>IFERROR(__xludf.DUMMYFUNCTION("IF(OR(ISBLANK($G113), IFERROR(INDEX(GOOGLEFINANCE($C113, ""price"", WORKDAY(INT($B113), 1)), 2, 2), """")=""""), """", IF($D113=""LONG"", (IFERROR(INDEX(GOOGLEFINANCE($C113, ""price"", WORKDAY(INT($B113), 1)), 2, 2), """")-$G113)/$G113, ($G113-IFERROR(IND"&amp;"EX(GOOGLEFINANCE($C113, ""price"", WORKDAY(INT($B113), 1)), 2, 2), """"))/$G113))"),-4.157016449907547E-4)</f>
        <v>-0.000415701645</v>
      </c>
      <c r="R113" s="16">
        <f>IFERROR(__xludf.DUMMYFUNCTION("IF(OR(ISBLANK($G113), IFERROR(INDEX(GOOGLEFINANCE($C113, ""price"", WORKDAY(INT($B113), 5)), 2, 2), """")=""""), """", IF($D113=""LONG"", (IFERROR(INDEX(GOOGLEFINANCE($C113, ""price"", WORKDAY(INT($B113), 5)), 2, 2), """")-$G113)/$G113, ($G113-IFERROR(IND"&amp;"EX(GOOGLEFINANCE($C113, ""price"", WORKDAY(INT($B113), 5)), 2, 2), """"))/$G113))"),0.0054041213848804864)</f>
        <v>0.005404121385</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3108</v>
      </c>
      <c r="U113" s="10" t="s">
        <v>984</v>
      </c>
      <c r="V113" s="10" t="s">
        <v>2785</v>
      </c>
      <c r="W113" s="10" t="s">
        <v>51</v>
      </c>
      <c r="X113" s="10" t="s">
        <v>984</v>
      </c>
    </row>
    <row r="114">
      <c r="A114" s="9">
        <f t="shared" si="1"/>
        <v>113</v>
      </c>
      <c r="B114" s="11">
        <v>46220.667662037034</v>
      </c>
      <c r="C114" s="10" t="s">
        <v>306</v>
      </c>
      <c r="D114" s="10" t="s">
        <v>119</v>
      </c>
      <c r="E114" s="10" t="s">
        <v>120</v>
      </c>
      <c r="F114" s="13">
        <v>4.0</v>
      </c>
      <c r="G114" s="14">
        <v>91.97</v>
      </c>
      <c r="H114" s="10" t="s">
        <v>3109</v>
      </c>
      <c r="I114" s="10">
        <v>13.3</v>
      </c>
      <c r="O114" s="15">
        <f>IFERROR(__xludf.DUMMYFUNCTION("IF(ISBLANK($C114), """", GOOGLEFINANCE($C114, ""price""))"),87.03)</f>
        <v>87.03</v>
      </c>
      <c r="P114" s="16">
        <f t="shared" si="2"/>
        <v>0.05371316734</v>
      </c>
      <c r="Q114" s="16">
        <f>IFERROR(__xludf.DUMMYFUNCTION("IF(OR(ISBLANK($G114), IFERROR(INDEX(GOOGLEFINANCE($C114, ""price"", WORKDAY(INT($B114), 1)), 2, 2), """")=""""), """", IF($D114=""LONG"", (IFERROR(INDEX(GOOGLEFINANCE($C114, ""price"", WORKDAY(INT($B114), 1)), 2, 2), """")-$G114)/$G114, ($G114-IFERROR(IND"&amp;"EX(GOOGLEFINANCE($C114, ""price"", WORKDAY(INT($B114), 1)), 2, 2), """"))/$G114))"),0.0178319017070784)</f>
        <v>0.01783190171</v>
      </c>
      <c r="R114" s="16">
        <f>IFERROR(__xludf.DUMMYFUNCTION("IF(OR(ISBLANK($G114), IFERROR(INDEX(GOOGLEFINANCE($C114, ""price"", WORKDAY(INT($B114), 5)), 2, 2), """")=""""), """", IF($D114=""LONG"", (IFERROR(INDEX(GOOGLEFINANCE($C114, ""price"", WORKDAY(INT($B114), 5)), 2, 2), """")-$G114)/$G114, ($G114-IFERROR(IND"&amp;"EX(GOOGLEFINANCE($C114, ""price"", WORKDAY(INT($B114), 5)), 2, 2), """"))/$G114))"),0.044471023159726036)</f>
        <v>0.04447102316</v>
      </c>
      <c r="S114" s="16" t="str">
        <f>IFERROR(__xludf.DUMMYFUNCTION("IF(OR(ISBLANK($G114), IFERROR(INDEX(GOOGLEFINANCE($C114, ""price"", WORKDAY(INT($B114), 20)), 2, 2), """")=""""), """", IF($D114=""LONG"", (IFERROR(INDEX(GOOGLEFINANCE($C114, ""price"", WORKDAY(INT($B114), 20)), 2, 2), """")-$G114)/$G114, ($G114-IFERROR(I"&amp;"NDEX(GOOGLEFINANCE($C114, ""price"", WORKDAY(INT($B114), 20)), 2, 2), """"))/$G114))"),"")</f>
        <v/>
      </c>
      <c r="T114" s="10" t="s">
        <v>3110</v>
      </c>
      <c r="U114" s="10" t="s">
        <v>984</v>
      </c>
      <c r="V114" s="10" t="s">
        <v>985</v>
      </c>
      <c r="W114" s="10" t="s">
        <v>51</v>
      </c>
      <c r="X114" s="10" t="s">
        <v>984</v>
      </c>
    </row>
    <row r="115">
      <c r="A115" s="9">
        <f t="shared" si="1"/>
        <v>114</v>
      </c>
      <c r="B115" s="11">
        <v>46220.66746527778</v>
      </c>
      <c r="C115" s="10" t="s">
        <v>86</v>
      </c>
      <c r="D115" s="10" t="s">
        <v>36</v>
      </c>
      <c r="E115" s="10" t="s">
        <v>37</v>
      </c>
      <c r="F115" s="13">
        <v>2.0</v>
      </c>
      <c r="G115" s="14">
        <v>82.24</v>
      </c>
      <c r="H115" s="10" t="s">
        <v>3111</v>
      </c>
      <c r="I115" s="10">
        <v>94.4</v>
      </c>
      <c r="O115" s="15">
        <f>IFERROR(__xludf.DUMMYFUNCTION("IF(ISBLANK($C115), """", GOOGLEFINANCE($C115, ""price""))"),88.24)</f>
        <v>88.24</v>
      </c>
      <c r="P115" s="16">
        <f t="shared" si="2"/>
        <v>0.07295719844</v>
      </c>
      <c r="Q115" s="16">
        <f>IFERROR(__xludf.DUMMYFUNCTION("IF(OR(ISBLANK($G115), IFERROR(INDEX(GOOGLEFINANCE($C115, ""price"", WORKDAY(INT($B115), 1)), 2, 2), """")=""""), """", IF($D115=""LONG"", (IFERROR(INDEX(GOOGLEFINANCE($C115, ""price"", WORKDAY(INT($B115), 1)), 2, 2), """")-$G115)/$G115, ($G115-IFERROR(IND"&amp;"EX(GOOGLEFINANCE($C115, ""price"", WORKDAY(INT($B115), 1)), 2, 2), """"))/$G115))"),-0.025048638132295575)</f>
        <v>-0.02504863813</v>
      </c>
      <c r="R115" s="16">
        <f>IFERROR(__xludf.DUMMYFUNCTION("IF(OR(ISBLANK($G115), IFERROR(INDEX(GOOGLEFINANCE($C115, ""price"", WORKDAY(INT($B115), 5)), 2, 2), """")=""""), """", IF($D115=""LONG"", (IFERROR(INDEX(GOOGLEFINANCE($C115, ""price"", WORKDAY(INT($B115), 5)), 2, 2), """")-$G115)/$G115, ($G115-IFERROR(IND"&amp;"EX(GOOGLEFINANCE($C115, ""price"", WORKDAY(INT($B115), 5)), 2, 2), """"))/$G115))"),0.026264591439688848)</f>
        <v>0.02626459144</v>
      </c>
      <c r="S115" s="16" t="str">
        <f>IFERROR(__xludf.DUMMYFUNCTION("IF(OR(ISBLANK($G115), IFERROR(INDEX(GOOGLEFINANCE($C115, ""price"", WORKDAY(INT($B115), 20)), 2, 2), """")=""""), """", IF($D115=""LONG"", (IFERROR(INDEX(GOOGLEFINANCE($C115, ""price"", WORKDAY(INT($B115), 20)), 2, 2), """")-$G115)/$G115, ($G115-IFERROR(I"&amp;"NDEX(GOOGLEFINANCE($C115, ""price"", WORKDAY(INT($B115), 20)), 2, 2), """"))/$G115))"),"")</f>
        <v/>
      </c>
      <c r="T115" s="10" t="s">
        <v>3112</v>
      </c>
      <c r="U115" s="10" t="s">
        <v>492</v>
      </c>
      <c r="V115" s="10" t="s">
        <v>493</v>
      </c>
      <c r="W115" s="10" t="s">
        <v>51</v>
      </c>
      <c r="X115" s="10" t="s">
        <v>492</v>
      </c>
    </row>
    <row r="116">
      <c r="A116" s="9">
        <f t="shared" si="1"/>
        <v>115</v>
      </c>
      <c r="B116" s="11">
        <v>46220.66787037037</v>
      </c>
      <c r="C116" s="10" t="s">
        <v>223</v>
      </c>
      <c r="D116" s="10" t="s">
        <v>36</v>
      </c>
      <c r="E116" s="10" t="s">
        <v>37</v>
      </c>
      <c r="F116" s="13">
        <v>2.0</v>
      </c>
      <c r="G116" s="14">
        <v>126.08</v>
      </c>
      <c r="H116" s="10" t="s">
        <v>3113</v>
      </c>
      <c r="I116" s="10">
        <v>93.4</v>
      </c>
      <c r="O116" s="15">
        <f>IFERROR(__xludf.DUMMYFUNCTION("IF(ISBLANK($C116), """", GOOGLEFINANCE($C116, ""price""))"),129.55)</f>
        <v>129.55</v>
      </c>
      <c r="P116" s="16">
        <f t="shared" si="2"/>
        <v>0.02752220812</v>
      </c>
      <c r="Q116" s="16">
        <f>IFERROR(__xludf.DUMMYFUNCTION("IF(OR(ISBLANK($G116), IFERROR(INDEX(GOOGLEFINANCE($C116, ""price"", WORKDAY(INT($B116), 1)), 2, 2), """")=""""), """", IF($D116=""LONG"", (IFERROR(INDEX(GOOGLEFINANCE($C116, ""price"", WORKDAY(INT($B116), 1)), 2, 2), """")-$G116)/$G116, ($G116-IFERROR(IND"&amp;"EX(GOOGLEFINANCE($C116, ""price"", WORKDAY(INT($B116), 1)), 2, 2), """"))/$G116))"),-0.02300126903553293)</f>
        <v>-0.02300126904</v>
      </c>
      <c r="R116" s="16">
        <f>IFERROR(__xludf.DUMMYFUNCTION("IF(OR(ISBLANK($G116), IFERROR(INDEX(GOOGLEFINANCE($C116, ""price"", WORKDAY(INT($B116), 5)), 2, 2), """")=""""), """", IF($D116=""LONG"", (IFERROR(INDEX(GOOGLEFINANCE($C116, ""price"", WORKDAY(INT($B116), 5)), 2, 2), """")-$G116)/$G116, ($G116-IFERROR(IND"&amp;"EX(GOOGLEFINANCE($C116, ""price"", WORKDAY(INT($B116), 5)), 2, 2), """"))/$G116))"),0.021177030456852805)</f>
        <v>0.02117703046</v>
      </c>
      <c r="S116" s="16" t="str">
        <f>IFERROR(__xludf.DUMMYFUNCTION("IF(OR(ISBLANK($G116), IFERROR(INDEX(GOOGLEFINANCE($C116, ""price"", WORKDAY(INT($B116), 20)), 2, 2), """")=""""), """", IF($D116=""LONG"", (IFERROR(INDEX(GOOGLEFINANCE($C116, ""price"", WORKDAY(INT($B116), 20)), 2, 2), """")-$G116)/$G116, ($G116-IFERROR(I"&amp;"NDEX(GOOGLEFINANCE($C116, ""price"", WORKDAY(INT($B116), 20)), 2, 2), """"))/$G116))"),"")</f>
        <v/>
      </c>
      <c r="T116" s="10" t="s">
        <v>3114</v>
      </c>
      <c r="U116" s="10" t="s">
        <v>492</v>
      </c>
      <c r="V116" s="10" t="s">
        <v>493</v>
      </c>
      <c r="W116" s="10" t="s">
        <v>51</v>
      </c>
      <c r="X116" s="10" t="s">
        <v>492</v>
      </c>
    </row>
    <row r="117">
      <c r="A117" s="9">
        <f t="shared" si="1"/>
        <v>116</v>
      </c>
      <c r="B117" s="11">
        <v>46220.66784722222</v>
      </c>
      <c r="C117" s="10" t="s">
        <v>505</v>
      </c>
      <c r="D117" s="10" t="s">
        <v>119</v>
      </c>
      <c r="E117" s="10" t="s">
        <v>120</v>
      </c>
      <c r="F117" s="13">
        <v>4.0</v>
      </c>
      <c r="G117" s="14">
        <v>25.05</v>
      </c>
      <c r="H117" s="10" t="s">
        <v>3115</v>
      </c>
      <c r="I117" s="10">
        <v>12.9</v>
      </c>
      <c r="O117" s="15">
        <f>IFERROR(__xludf.DUMMYFUNCTION("IF(ISBLANK($C117), """", GOOGLEFINANCE($C117, ""price""))"),26.2)</f>
        <v>26.2</v>
      </c>
      <c r="P117" s="16">
        <f t="shared" si="2"/>
        <v>-0.04590818363</v>
      </c>
      <c r="Q117" s="16">
        <f>IFERROR(__xludf.DUMMYFUNCTION("IF(OR(ISBLANK($G117), IFERROR(INDEX(GOOGLEFINANCE($C117, ""price"", WORKDAY(INT($B117), 1)), 2, 2), """")=""""), """", IF($D117=""LONG"", (IFERROR(INDEX(GOOGLEFINANCE($C117, ""price"", WORKDAY(INT($B117), 1)), 2, 2), """")-$G117)/$G117, ($G117-IFERROR(IND"&amp;"EX(GOOGLEFINANCE($C117, ""price"", WORKDAY(INT($B117), 1)), 2, 2), """"))/$G117))"),0.011976047904191645)</f>
        <v>0.0119760479</v>
      </c>
      <c r="R117" s="16">
        <f>IFERROR(__xludf.DUMMYFUNCTION("IF(OR(ISBLANK($G117), IFERROR(INDEX(GOOGLEFINANCE($C117, ""price"", WORKDAY(INT($B117), 5)), 2, 2), """")=""""), """", IF($D117=""LONG"", (IFERROR(INDEX(GOOGLEFINANCE($C117, ""price"", WORKDAY(INT($B117), 5)), 2, 2), """")-$G117)/$G117, ($G117-IFERROR(IND"&amp;"EX(GOOGLEFINANCE($C117, ""price"", WORKDAY(INT($B117), 5)), 2, 2), """"))/$G117))"),0.02035928143712581)</f>
        <v>0.02035928144</v>
      </c>
      <c r="S117" s="16" t="str">
        <f>IFERROR(__xludf.DUMMYFUNCTION("IF(OR(ISBLANK($G117), IFERROR(INDEX(GOOGLEFINANCE($C117, ""price"", WORKDAY(INT($B117), 20)), 2, 2), """")=""""), """", IF($D117=""LONG"", (IFERROR(INDEX(GOOGLEFINANCE($C117, ""price"", WORKDAY(INT($B117), 20)), 2, 2), """")-$G117)/$G117, ($G117-IFERROR(I"&amp;"NDEX(GOOGLEFINANCE($C117, ""price"", WORKDAY(INT($B117), 20)), 2, 2), """"))/$G117))"),"")</f>
        <v/>
      </c>
      <c r="T117" s="10" t="s">
        <v>3116</v>
      </c>
      <c r="U117" s="10" t="s">
        <v>984</v>
      </c>
      <c r="V117" s="10" t="s">
        <v>985</v>
      </c>
      <c r="W117" s="10" t="s">
        <v>51</v>
      </c>
      <c r="X117" s="10" t="s">
        <v>984</v>
      </c>
    </row>
    <row r="118">
      <c r="A118" s="9">
        <f t="shared" si="1"/>
        <v>117</v>
      </c>
      <c r="B118" s="11">
        <v>46220.6675</v>
      </c>
      <c r="C118" s="10" t="s">
        <v>1321</v>
      </c>
      <c r="D118" s="10" t="s">
        <v>119</v>
      </c>
      <c r="E118" s="10" t="s">
        <v>120</v>
      </c>
      <c r="F118" s="13">
        <v>4.0</v>
      </c>
      <c r="G118" s="14">
        <v>21.8</v>
      </c>
      <c r="H118" s="10" t="s">
        <v>2897</v>
      </c>
      <c r="I118" s="10">
        <v>21.9</v>
      </c>
      <c r="O118" s="15">
        <f>IFERROR(__xludf.DUMMYFUNCTION("IF(ISBLANK($C118), """", GOOGLEFINANCE($C118, ""price""))"),23.71)</f>
        <v>23.71</v>
      </c>
      <c r="P118" s="16">
        <f t="shared" si="2"/>
        <v>-0.0876146789</v>
      </c>
      <c r="Q118" s="16">
        <f>IFERROR(__xludf.DUMMYFUNCTION("IF(OR(ISBLANK($G118), IFERROR(INDEX(GOOGLEFINANCE($C118, ""price"", WORKDAY(INT($B118), 1)), 2, 2), """")=""""), """", IF($D118=""LONG"", (IFERROR(INDEX(GOOGLEFINANCE($C118, ""price"", WORKDAY(INT($B118), 1)), 2, 2), """")-$G118)/$G118, ($G118-IFERROR(IND"&amp;"EX(GOOGLEFINANCE($C118, ""price"", WORKDAY(INT($B118), 1)), 2, 2), """"))/$G118))"),-0.006880733944954063)</f>
        <v>-0.006880733945</v>
      </c>
      <c r="R118" s="16">
        <f>IFERROR(__xludf.DUMMYFUNCTION("IF(OR(ISBLANK($G118), IFERROR(INDEX(GOOGLEFINANCE($C118, ""price"", WORKDAY(INT($B118), 5)), 2, 2), """")=""""), """", IF($D118=""LONG"", (IFERROR(INDEX(GOOGLEFINANCE($C118, ""price"", WORKDAY(INT($B118), 5)), 2, 2), """")-$G118)/$G118, ($G118-IFERROR(IND"&amp;"EX(GOOGLEFINANCE($C118, ""price"", WORKDAY(INT($B118), 5)), 2, 2), """"))/$G118))"),-0.10688073394495405)</f>
        <v>-0.1068807339</v>
      </c>
      <c r="S118" s="16" t="str">
        <f>IFERROR(__xludf.DUMMYFUNCTION("IF(OR(ISBLANK($G118), IFERROR(INDEX(GOOGLEFINANCE($C118, ""price"", WORKDAY(INT($B118), 20)), 2, 2), """")=""""), """", IF($D118=""LONG"", (IFERROR(INDEX(GOOGLEFINANCE($C118, ""price"", WORKDAY(INT($B118), 20)), 2, 2), """")-$G118)/$G118, ($G118-IFERROR(I"&amp;"NDEX(GOOGLEFINANCE($C118, ""price"", WORKDAY(INT($B118), 20)), 2, 2), """"))/$G118))"),"")</f>
        <v/>
      </c>
      <c r="T118" s="10" t="s">
        <v>3117</v>
      </c>
      <c r="U118" s="10" t="s">
        <v>492</v>
      </c>
      <c r="V118" s="10" t="s">
        <v>493</v>
      </c>
      <c r="W118" s="10" t="s">
        <v>51</v>
      </c>
      <c r="X118" s="10" t="s">
        <v>492</v>
      </c>
    </row>
    <row r="119">
      <c r="A119" s="9">
        <f t="shared" si="1"/>
        <v>118</v>
      </c>
      <c r="B119" s="11">
        <v>46220.66762731481</v>
      </c>
      <c r="C119" s="10" t="s">
        <v>222</v>
      </c>
      <c r="D119" s="10" t="s">
        <v>36</v>
      </c>
      <c r="E119" s="10" t="s">
        <v>37</v>
      </c>
      <c r="F119" s="13">
        <v>2.0</v>
      </c>
      <c r="G119" s="14">
        <v>485.65</v>
      </c>
      <c r="H119" s="10" t="s">
        <v>3118</v>
      </c>
      <c r="I119" s="10">
        <v>90.4</v>
      </c>
      <c r="O119" s="15">
        <f>IFERROR(__xludf.DUMMYFUNCTION("IF(ISBLANK($C119), """", GOOGLEFINANCE($C119, ""price""))"),484.03)</f>
        <v>484.03</v>
      </c>
      <c r="P119" s="16">
        <f t="shared" si="2"/>
        <v>-0.003335735612</v>
      </c>
      <c r="Q119" s="16">
        <f>IFERROR(__xludf.DUMMYFUNCTION("IF(OR(ISBLANK($G119), IFERROR(INDEX(GOOGLEFINANCE($C119, ""price"", WORKDAY(INT($B119), 1)), 2, 2), """")=""""), """", IF($D119=""LONG"", (IFERROR(INDEX(GOOGLEFINANCE($C119, ""price"", WORKDAY(INT($B119), 1)), 2, 2), """")-$G119)/$G119, ($G119-IFERROR(IND"&amp;"EX(GOOGLEFINANCE($C119, ""price"", WORKDAY(INT($B119), 1)), 2, 2), """"))/$G119))"),-0.010604344692679867)</f>
        <v>-0.01060434469</v>
      </c>
      <c r="R119" s="16">
        <f>IFERROR(__xludf.DUMMYFUNCTION("IF(OR(ISBLANK($G119), IFERROR(INDEX(GOOGLEFINANCE($C119, ""price"", WORKDAY(INT($B119), 5)), 2, 2), """")=""""), """", IF($D119=""LONG"", (IFERROR(INDEX(GOOGLEFINANCE($C119, ""price"", WORKDAY(INT($B119), 5)), 2, 2), """")-$G119)/$G119, ($G119-IFERROR(IND"&amp;"EX(GOOGLEFINANCE($C119, ""price"", WORKDAY(INT($B119), 5)), 2, 2), """"))/$G119))"),-0.01706990631112934)</f>
        <v>-0.01706990631</v>
      </c>
      <c r="S119" s="16" t="str">
        <f>IFERROR(__xludf.DUMMYFUNCTION("IF(OR(ISBLANK($G119), IFERROR(INDEX(GOOGLEFINANCE($C119, ""price"", WORKDAY(INT($B119), 20)), 2, 2), """")=""""), """", IF($D119=""LONG"", (IFERROR(INDEX(GOOGLEFINANCE($C119, ""price"", WORKDAY(INT($B119), 20)), 2, 2), """")-$G119)/$G119, ($G119-IFERROR(I"&amp;"NDEX(GOOGLEFINANCE($C119, ""price"", WORKDAY(INT($B119), 20)), 2, 2), """"))/$G119))"),"")</f>
        <v/>
      </c>
      <c r="T119" s="10" t="s">
        <v>3119</v>
      </c>
      <c r="U119" s="10" t="s">
        <v>507</v>
      </c>
      <c r="V119" s="10" t="s">
        <v>3120</v>
      </c>
      <c r="W119" s="10" t="s">
        <v>51</v>
      </c>
      <c r="X119" s="10" t="s">
        <v>507</v>
      </c>
    </row>
    <row r="120">
      <c r="A120" s="9">
        <f t="shared" si="1"/>
        <v>119</v>
      </c>
      <c r="B120" s="11">
        <v>46220.66768518519</v>
      </c>
      <c r="C120" s="10" t="s">
        <v>800</v>
      </c>
      <c r="D120" s="10" t="s">
        <v>36</v>
      </c>
      <c r="E120" s="10" t="s">
        <v>37</v>
      </c>
      <c r="F120" s="13">
        <v>2.0</v>
      </c>
      <c r="G120" s="14">
        <v>307.95</v>
      </c>
      <c r="H120" s="10" t="s">
        <v>3121</v>
      </c>
      <c r="I120" s="10">
        <v>95.9</v>
      </c>
      <c r="O120" s="15">
        <f>IFERROR(__xludf.DUMMYFUNCTION("IF(ISBLANK($C120), """", GOOGLEFINANCE($C120, ""price""))"),325.01)</f>
        <v>325.01</v>
      </c>
      <c r="P120" s="16">
        <f t="shared" si="2"/>
        <v>0.05539860367</v>
      </c>
      <c r="Q120" s="16">
        <f>IFERROR(__xludf.DUMMYFUNCTION("IF(OR(ISBLANK($G120), IFERROR(INDEX(GOOGLEFINANCE($C120, ""price"", WORKDAY(INT($B120), 1)), 2, 2), """")=""""), """", IF($D120=""LONG"", (IFERROR(INDEX(GOOGLEFINANCE($C120, ""price"", WORKDAY(INT($B120), 1)), 2, 2), """")-$G120)/$G120, ($G120-IFERROR(IND"&amp;"EX(GOOGLEFINANCE($C120, ""price"", WORKDAY(INT($B120), 1)), 2, 2), """"))/$G120))"),-0.012859230394544502)</f>
        <v>-0.01285923039</v>
      </c>
      <c r="R120" s="16">
        <f>IFERROR(__xludf.DUMMYFUNCTION("IF(OR(ISBLANK($G120), IFERROR(INDEX(GOOGLEFINANCE($C120, ""price"", WORKDAY(INT($B120), 5)), 2, 2), """")=""""), """", IF($D120=""LONG"", (IFERROR(INDEX(GOOGLEFINANCE($C120, ""price"", WORKDAY(INT($B120), 5)), 2, 2), """")-$G120)/$G120, ($G120-IFERROR(IND"&amp;"EX(GOOGLEFINANCE($C120, ""price"", WORKDAY(INT($B120), 5)), 2, 2), """"))/$G120))"),0.006299723981165767)</f>
        <v>0.006299723981</v>
      </c>
      <c r="S120" s="16" t="str">
        <f>IFERROR(__xludf.DUMMYFUNCTION("IF(OR(ISBLANK($G120), IFERROR(INDEX(GOOGLEFINANCE($C120, ""price"", WORKDAY(INT($B120), 20)), 2, 2), """")=""""), """", IF($D120=""LONG"", (IFERROR(INDEX(GOOGLEFINANCE($C120, ""price"", WORKDAY(INT($B120), 20)), 2, 2), """")-$G120)/$G120, ($G120-IFERROR(I"&amp;"NDEX(GOOGLEFINANCE($C120, ""price"", WORKDAY(INT($B120), 20)), 2, 2), """"))/$G120))"),"")</f>
        <v/>
      </c>
      <c r="T120" s="10" t="s">
        <v>3122</v>
      </c>
      <c r="U120" s="10" t="s">
        <v>984</v>
      </c>
      <c r="V120" s="10" t="s">
        <v>985</v>
      </c>
      <c r="W120" s="10" t="s">
        <v>51</v>
      </c>
      <c r="X120" s="10" t="s">
        <v>984</v>
      </c>
    </row>
    <row r="121">
      <c r="A121" s="9">
        <f t="shared" si="1"/>
        <v>120</v>
      </c>
      <c r="B121" s="11">
        <v>46220.667905092596</v>
      </c>
      <c r="C121" s="10" t="s">
        <v>166</v>
      </c>
      <c r="D121" s="10" t="s">
        <v>36</v>
      </c>
      <c r="E121" s="10" t="s">
        <v>37</v>
      </c>
      <c r="F121" s="13">
        <v>2.0</v>
      </c>
      <c r="G121" s="14">
        <v>126.13</v>
      </c>
      <c r="H121" s="10" t="s">
        <v>3123</v>
      </c>
      <c r="I121" s="10">
        <v>85.3</v>
      </c>
      <c r="O121" s="15">
        <f>IFERROR(__xludf.DUMMYFUNCTION("IF(ISBLANK($C121), """", GOOGLEFINANCE($C121, ""price""))"),132.06)</f>
        <v>132.06</v>
      </c>
      <c r="P121" s="16">
        <f t="shared" si="2"/>
        <v>0.04701498454</v>
      </c>
      <c r="Q121" s="16">
        <f>IFERROR(__xludf.DUMMYFUNCTION("IF(OR(ISBLANK($G121), IFERROR(INDEX(GOOGLEFINANCE($C121, ""price"", WORKDAY(INT($B121), 1)), 2, 2), """")=""""), """", IF($D121=""LONG"", (IFERROR(INDEX(GOOGLEFINANCE($C121, ""price"", WORKDAY(INT($B121), 1)), 2, 2), """")-$G121)/$G121, ($G121-IFERROR(IND"&amp;"EX(GOOGLEFINANCE($C121, ""price"", WORKDAY(INT($B121), 1)), 2, 2), """"))/$G121))"),-0.014270990248156642)</f>
        <v>-0.01427099025</v>
      </c>
      <c r="R121" s="16">
        <f>IFERROR(__xludf.DUMMYFUNCTION("IF(OR(ISBLANK($G121), IFERROR(INDEX(GOOGLEFINANCE($C121, ""price"", WORKDAY(INT($B121), 5)), 2, 2), """")=""""), """", IF($D121=""LONG"", (IFERROR(INDEX(GOOGLEFINANCE($C121, ""price"", WORKDAY(INT($B121), 5)), 2, 2), """")-$G121)/$G121, ($G121-IFERROR(IND"&amp;"EX(GOOGLEFINANCE($C121, ""price"", WORKDAY(INT($B121), 5)), 2, 2), """"))/$G121))"),0.04844208356457634)</f>
        <v>0.04844208356</v>
      </c>
      <c r="S121" s="16" t="str">
        <f>IFERROR(__xludf.DUMMYFUNCTION("IF(OR(ISBLANK($G121), IFERROR(INDEX(GOOGLEFINANCE($C121, ""price"", WORKDAY(INT($B121), 20)), 2, 2), """")=""""), """", IF($D121=""LONG"", (IFERROR(INDEX(GOOGLEFINANCE($C121, ""price"", WORKDAY(INT($B121), 20)), 2, 2), """")-$G121)/$G121, ($G121-IFERROR(I"&amp;"NDEX(GOOGLEFINANCE($C121, ""price"", WORKDAY(INT($B121), 20)), 2, 2), """"))/$G121))"),"")</f>
        <v/>
      </c>
      <c r="T121" s="10" t="s">
        <v>3124</v>
      </c>
      <c r="U121" s="10" t="s">
        <v>984</v>
      </c>
      <c r="V121" s="10" t="s">
        <v>998</v>
      </c>
      <c r="W121" s="10" t="s">
        <v>51</v>
      </c>
      <c r="X121" s="10" t="s">
        <v>984</v>
      </c>
    </row>
    <row r="122">
      <c r="A122" s="9">
        <f t="shared" si="1"/>
        <v>121</v>
      </c>
      <c r="B122" s="11">
        <v>46220.66768518519</v>
      </c>
      <c r="C122" s="10" t="s">
        <v>406</v>
      </c>
      <c r="D122" s="10" t="s">
        <v>36</v>
      </c>
      <c r="E122" s="10" t="s">
        <v>133</v>
      </c>
      <c r="F122" s="13">
        <v>2.0</v>
      </c>
      <c r="G122" s="14">
        <v>180.76</v>
      </c>
      <c r="H122" s="10" t="s">
        <v>3125</v>
      </c>
      <c r="I122" s="10">
        <v>84.7</v>
      </c>
      <c r="O122" s="15">
        <f>IFERROR(__xludf.DUMMYFUNCTION("IF(ISBLANK($C122), """", GOOGLEFINANCE($C122, ""price""))"),179.04)</f>
        <v>179.04</v>
      </c>
      <c r="P122" s="16">
        <f t="shared" si="2"/>
        <v>-0.009515379509</v>
      </c>
      <c r="Q122" s="16">
        <f>IFERROR(__xludf.DUMMYFUNCTION("IF(OR(ISBLANK($G122), IFERROR(INDEX(GOOGLEFINANCE($C122, ""price"", WORKDAY(INT($B122), 1)), 2, 2), """")=""""), """", IF($D122=""LONG"", (IFERROR(INDEX(GOOGLEFINANCE($C122, ""price"", WORKDAY(INT($B122), 1)), 2, 2), """")-$G122)/$G122, ($G122-IFERROR(IND"&amp;"EX(GOOGLEFINANCE($C122, ""price"", WORKDAY(INT($B122), 1)), 2, 2), """"))/$G122))"),-0.0022128789555210075)</f>
        <v>-0.002212878956</v>
      </c>
      <c r="R122" s="16">
        <f>IFERROR(__xludf.DUMMYFUNCTION("IF(OR(ISBLANK($G122), IFERROR(INDEX(GOOGLEFINANCE($C122, ""price"", WORKDAY(INT($B122), 5)), 2, 2), """")=""""), """", IF($D122=""LONG"", (IFERROR(INDEX(GOOGLEFINANCE($C122, ""price"", WORKDAY(INT($B122), 5)), 2, 2), """")-$G122)/$G122, ($G122-IFERROR(IND"&amp;"EX(GOOGLEFINANCE($C122, ""price"", WORKDAY(INT($B122), 5)), 2, 2), """"))/$G122))"),0.01134100464704587)</f>
        <v>0.01134100465</v>
      </c>
      <c r="S122" s="16" t="str">
        <f>IFERROR(__xludf.DUMMYFUNCTION("IF(OR(ISBLANK($G122), IFERROR(INDEX(GOOGLEFINANCE($C122, ""price"", WORKDAY(INT($B122), 20)), 2, 2), """")=""""), """", IF($D122=""LONG"", (IFERROR(INDEX(GOOGLEFINANCE($C122, ""price"", WORKDAY(INT($B122), 20)), 2, 2), """")-$G122)/$G122, ($G122-IFERROR(I"&amp;"NDEX(GOOGLEFINANCE($C122, ""price"", WORKDAY(INT($B122), 20)), 2, 2), """"))/$G122))"),"")</f>
        <v/>
      </c>
      <c r="T122" s="10" t="s">
        <v>3126</v>
      </c>
      <c r="U122" s="10" t="s">
        <v>492</v>
      </c>
      <c r="V122" s="10" t="s">
        <v>493</v>
      </c>
      <c r="W122" s="10" t="s">
        <v>51</v>
      </c>
      <c r="X122" s="10" t="s">
        <v>492</v>
      </c>
    </row>
    <row r="123">
      <c r="A123" s="9">
        <f t="shared" si="1"/>
        <v>122</v>
      </c>
      <c r="B123" s="11">
        <v>46220.66736111111</v>
      </c>
      <c r="C123" s="10" t="s">
        <v>149</v>
      </c>
      <c r="D123" s="10" t="s">
        <v>36</v>
      </c>
      <c r="E123" s="10" t="s">
        <v>37</v>
      </c>
      <c r="F123" s="13">
        <v>2.0</v>
      </c>
      <c r="G123" s="14">
        <v>124.94</v>
      </c>
      <c r="H123" s="10" t="s">
        <v>3127</v>
      </c>
      <c r="I123" s="10">
        <v>95.9</v>
      </c>
      <c r="O123" s="15">
        <f>IFERROR(__xludf.DUMMYFUNCTION("IF(ISBLANK($C123), """", GOOGLEFINANCE($C123, ""price""))"),132.79)</f>
        <v>132.79</v>
      </c>
      <c r="P123" s="16">
        <f t="shared" si="2"/>
        <v>0.06283015848</v>
      </c>
      <c r="Q123" s="16">
        <f>IFERROR(__xludf.DUMMYFUNCTION("IF(OR(ISBLANK($G123), IFERROR(INDEX(GOOGLEFINANCE($C123, ""price"", WORKDAY(INT($B123), 1)), 2, 2), """")=""""), """", IF($D123=""LONG"", (IFERROR(INDEX(GOOGLEFINANCE($C123, ""price"", WORKDAY(INT($B123), 1)), 2, 2), """")-$G123)/$G123, ($G123-IFERROR(IND"&amp;"EX(GOOGLEFINANCE($C123, ""price"", WORKDAY(INT($B123), 1)), 2, 2), """"))/$G123))"),-0.020329758283976245)</f>
        <v>-0.02032975828</v>
      </c>
      <c r="R123" s="16">
        <f>IFERROR(__xludf.DUMMYFUNCTION("IF(OR(ISBLANK($G123), IFERROR(INDEX(GOOGLEFINANCE($C123, ""price"", WORKDAY(INT($B123), 5)), 2, 2), """")=""""), """", IF($D123=""LONG"", (IFERROR(INDEX(GOOGLEFINANCE($C123, ""price"", WORKDAY(INT($B123), 5)), 2, 2), """")-$G123)/$G123, ($G123-IFERROR(IND"&amp;"EX(GOOGLEFINANCE($C123, ""price"", WORKDAY(INT($B123), 5)), 2, 2), """"))/$G123))"),-0.005842804546182199)</f>
        <v>-0.005842804546</v>
      </c>
      <c r="S123" s="16" t="str">
        <f>IFERROR(__xludf.DUMMYFUNCTION("IF(OR(ISBLANK($G123), IFERROR(INDEX(GOOGLEFINANCE($C123, ""price"", WORKDAY(INT($B123), 20)), 2, 2), """")=""""), """", IF($D123=""LONG"", (IFERROR(INDEX(GOOGLEFINANCE($C123, ""price"", WORKDAY(INT($B123), 20)), 2, 2), """")-$G123)/$G123, ($G123-IFERROR(I"&amp;"NDEX(GOOGLEFINANCE($C123, ""price"", WORKDAY(INT($B123), 20)), 2, 2), """"))/$G123))"),"")</f>
        <v/>
      </c>
      <c r="T123" s="10" t="s">
        <v>3128</v>
      </c>
      <c r="U123" s="10" t="s">
        <v>492</v>
      </c>
      <c r="V123" s="10" t="s">
        <v>493</v>
      </c>
      <c r="W123" s="10" t="s">
        <v>51</v>
      </c>
      <c r="X123" s="10" t="s">
        <v>492</v>
      </c>
    </row>
    <row r="124">
      <c r="A124" s="9">
        <f t="shared" si="1"/>
        <v>123</v>
      </c>
      <c r="B124" s="11">
        <v>46220.667719907404</v>
      </c>
      <c r="C124" s="10" t="s">
        <v>471</v>
      </c>
      <c r="D124" s="10" t="s">
        <v>36</v>
      </c>
      <c r="E124" s="10" t="s">
        <v>37</v>
      </c>
      <c r="F124" s="13">
        <v>2.0</v>
      </c>
      <c r="G124" s="14">
        <v>368.52</v>
      </c>
      <c r="H124" s="10" t="s">
        <v>3129</v>
      </c>
      <c r="I124" s="10">
        <v>96.1</v>
      </c>
      <c r="O124" s="15">
        <f>IFERROR(__xludf.DUMMYFUNCTION("IF(ISBLANK($C124), """", GOOGLEFINANCE($C124, ""price""))"),386.92)</f>
        <v>386.92</v>
      </c>
      <c r="P124" s="16">
        <f t="shared" si="2"/>
        <v>0.04992944752</v>
      </c>
      <c r="Q124" s="16">
        <f>IFERROR(__xludf.DUMMYFUNCTION("IF(OR(ISBLANK($G124), IFERROR(INDEX(GOOGLEFINANCE($C124, ""price"", WORKDAY(INT($B124), 1)), 2, 2), """")=""""), """", IF($D124=""LONG"", (IFERROR(INDEX(GOOGLEFINANCE($C124, ""price"", WORKDAY(INT($B124), 1)), 2, 2), """")-$G124)/$G124, ($G124-IFERROR(IND"&amp;"EX(GOOGLEFINANCE($C124, ""price"", WORKDAY(INT($B124), 1)), 2, 2), """"))/$G124))"),0.005644198415282864)</f>
        <v>0.005644198415</v>
      </c>
      <c r="R124" s="16">
        <f>IFERROR(__xludf.DUMMYFUNCTION("IF(OR(ISBLANK($G124), IFERROR(INDEX(GOOGLEFINANCE($C124, ""price"", WORKDAY(INT($B124), 5)), 2, 2), """")=""""), """", IF($D124=""LONG"", (IFERROR(INDEX(GOOGLEFINANCE($C124, ""price"", WORKDAY(INT($B124), 5)), 2, 2), """")-$G124)/$G124, ($G124-IFERROR(IND"&amp;"EX(GOOGLEFINANCE($C124, ""price"", WORKDAY(INT($B124), 5)), 2, 2), """"))/$G124))"),0.04946814284163687)</f>
        <v>0.04946814284</v>
      </c>
      <c r="S124" s="16" t="str">
        <f>IFERROR(__xludf.DUMMYFUNCTION("IF(OR(ISBLANK($G124), IFERROR(INDEX(GOOGLEFINANCE($C124, ""price"", WORKDAY(INT($B124), 20)), 2, 2), """")=""""), """", IF($D124=""LONG"", (IFERROR(INDEX(GOOGLEFINANCE($C124, ""price"", WORKDAY(INT($B124), 20)), 2, 2), """")-$G124)/$G124, ($G124-IFERROR(I"&amp;"NDEX(GOOGLEFINANCE($C124, ""price"", WORKDAY(INT($B124), 20)), 2, 2), """"))/$G124))"),"")</f>
        <v/>
      </c>
      <c r="T124" s="10" t="s">
        <v>3130</v>
      </c>
      <c r="U124" s="10" t="s">
        <v>492</v>
      </c>
      <c r="V124" s="10" t="s">
        <v>493</v>
      </c>
      <c r="W124" s="10" t="s">
        <v>51</v>
      </c>
      <c r="X124" s="10" t="s">
        <v>492</v>
      </c>
    </row>
    <row r="125">
      <c r="A125" s="9">
        <f t="shared" si="1"/>
        <v>124</v>
      </c>
      <c r="B125" s="11">
        <v>46220.66753472222</v>
      </c>
      <c r="C125" s="10" t="s">
        <v>201</v>
      </c>
      <c r="D125" s="10" t="s">
        <v>36</v>
      </c>
      <c r="E125" s="10" t="s">
        <v>133</v>
      </c>
      <c r="F125" s="13">
        <v>2.0</v>
      </c>
      <c r="G125" s="14">
        <v>135.11</v>
      </c>
      <c r="H125" s="10" t="s">
        <v>3131</v>
      </c>
      <c r="I125" s="10">
        <v>96.8</v>
      </c>
      <c r="O125" s="15">
        <f>IFERROR(__xludf.DUMMYFUNCTION("IF(ISBLANK($C125), """", GOOGLEFINANCE($C125, ""price""))"),134.82)</f>
        <v>134.82</v>
      </c>
      <c r="P125" s="16">
        <f t="shared" si="2"/>
        <v>-0.00214639923</v>
      </c>
      <c r="Q125" s="16">
        <f>IFERROR(__xludf.DUMMYFUNCTION("IF(OR(ISBLANK($G125), IFERROR(INDEX(GOOGLEFINANCE($C125, ""price"", WORKDAY(INT($B125), 1)), 2, 2), """")=""""), """", IF($D125=""LONG"", (IFERROR(INDEX(GOOGLEFINANCE($C125, ""price"", WORKDAY(INT($B125), 1)), 2, 2), """")-$G125)/$G125, ($G125-IFERROR(IND"&amp;"EX(GOOGLEFINANCE($C125, ""price"", WORKDAY(INT($B125), 1)), 2, 2), """"))/$G125))"),-0.010806009917844778)</f>
        <v>-0.01080600992</v>
      </c>
      <c r="R125" s="16">
        <f>IFERROR(__xludf.DUMMYFUNCTION("IF(OR(ISBLANK($G125), IFERROR(INDEX(GOOGLEFINANCE($C125, ""price"", WORKDAY(INT($B125), 5)), 2, 2), """")=""""), """", IF($D125=""LONG"", (IFERROR(INDEX(GOOGLEFINANCE($C125, ""price"", WORKDAY(INT($B125), 5)), 2, 2), """")-$G125)/$G125, ($G125-IFERROR(IND"&amp;"EX(GOOGLEFINANCE($C125, ""price"", WORKDAY(INT($B125), 5)), 2, 2), """"))/$G125))"),-0.003330619495226238)</f>
        <v>-0.003330619495</v>
      </c>
      <c r="S125" s="16" t="str">
        <f>IFERROR(__xludf.DUMMYFUNCTION("IF(OR(ISBLANK($G125), IFERROR(INDEX(GOOGLEFINANCE($C125, ""price"", WORKDAY(INT($B125), 20)), 2, 2), """")=""""), """", IF($D125=""LONG"", (IFERROR(INDEX(GOOGLEFINANCE($C125, ""price"", WORKDAY(INT($B125), 20)), 2, 2), """")-$G125)/$G125, ($G125-IFERROR(I"&amp;"NDEX(GOOGLEFINANCE($C125, ""price"", WORKDAY(INT($B125), 20)), 2, 2), """"))/$G125))"),"")</f>
        <v/>
      </c>
      <c r="T125" s="10" t="s">
        <v>3132</v>
      </c>
      <c r="U125" s="10" t="s">
        <v>984</v>
      </c>
      <c r="V125" s="10" t="s">
        <v>985</v>
      </c>
      <c r="W125" s="10" t="s">
        <v>51</v>
      </c>
      <c r="X125" s="10" t="s">
        <v>984</v>
      </c>
    </row>
    <row r="126">
      <c r="A126" s="9">
        <f t="shared" si="1"/>
        <v>125</v>
      </c>
      <c r="B126" s="11">
        <v>46220.667546296296</v>
      </c>
      <c r="C126" s="10" t="s">
        <v>413</v>
      </c>
      <c r="D126" s="10" t="s">
        <v>36</v>
      </c>
      <c r="E126" s="10" t="s">
        <v>37</v>
      </c>
      <c r="F126" s="13">
        <v>2.0</v>
      </c>
      <c r="G126" s="14">
        <v>203.12</v>
      </c>
      <c r="H126" s="10" t="s">
        <v>3133</v>
      </c>
      <c r="I126" s="10">
        <v>94.6</v>
      </c>
      <c r="O126" s="15">
        <f>IFERROR(__xludf.DUMMYFUNCTION("IF(ISBLANK($C126), """", GOOGLEFINANCE($C126, ""price""))"),207.39)</f>
        <v>207.39</v>
      </c>
      <c r="P126" s="16">
        <f t="shared" si="2"/>
        <v>0.02102205593</v>
      </c>
      <c r="Q126" s="16">
        <f>IFERROR(__xludf.DUMMYFUNCTION("IF(OR(ISBLANK($G126), IFERROR(INDEX(GOOGLEFINANCE($C126, ""price"", WORKDAY(INT($B126), 1)), 2, 2), """")=""""), """", IF($D126=""LONG"", (IFERROR(INDEX(GOOGLEFINANCE($C126, ""price"", WORKDAY(INT($B126), 1)), 2, 2), """")-$G126)/$G126, ($G126-IFERROR(IND"&amp;"EX(GOOGLEFINANCE($C126, ""price"", WORKDAY(INT($B126), 1)), 2, 2), """"))/$G126))"),-0.022794407246947593)</f>
        <v>-0.02279440725</v>
      </c>
      <c r="R126" s="16">
        <f>IFERROR(__xludf.DUMMYFUNCTION("IF(OR(ISBLANK($G126), IFERROR(INDEX(GOOGLEFINANCE($C126, ""price"", WORKDAY(INT($B126), 5)), 2, 2), """")=""""), """", IF($D126=""LONG"", (IFERROR(INDEX(GOOGLEFINANCE($C126, ""price"", WORKDAY(INT($B126), 5)), 2, 2), """")-$G126)/$G126, ($G126-IFERROR(IND"&amp;"EX(GOOGLEFINANCE($C126, ""price"", WORKDAY(INT($B126), 5)), 2, 2), """"))/$G126))"),-0.09767625049231983)</f>
        <v>-0.09767625049</v>
      </c>
      <c r="S126" s="16" t="str">
        <f>IFERROR(__xludf.DUMMYFUNCTION("IF(OR(ISBLANK($G126), IFERROR(INDEX(GOOGLEFINANCE($C126, ""price"", WORKDAY(INT($B126), 20)), 2, 2), """")=""""), """", IF($D126=""LONG"", (IFERROR(INDEX(GOOGLEFINANCE($C126, ""price"", WORKDAY(INT($B126), 20)), 2, 2), """")-$G126)/$G126, ($G126-IFERROR(I"&amp;"NDEX(GOOGLEFINANCE($C126, ""price"", WORKDAY(INT($B126), 20)), 2, 2), """"))/$G126))"),"")</f>
        <v/>
      </c>
      <c r="T126" s="10" t="s">
        <v>3134</v>
      </c>
      <c r="U126" s="10" t="s">
        <v>984</v>
      </c>
      <c r="V126" s="10" t="s">
        <v>2785</v>
      </c>
      <c r="W126" s="10" t="s">
        <v>51</v>
      </c>
      <c r="X126" s="10" t="s">
        <v>984</v>
      </c>
    </row>
    <row r="127">
      <c r="A127" s="9">
        <f t="shared" si="1"/>
        <v>126</v>
      </c>
      <c r="B127" s="11">
        <v>46220.66744212963</v>
      </c>
      <c r="C127" s="10" t="s">
        <v>568</v>
      </c>
      <c r="D127" s="10" t="s">
        <v>119</v>
      </c>
      <c r="E127" s="10" t="s">
        <v>120</v>
      </c>
      <c r="F127" s="13">
        <v>4.0</v>
      </c>
      <c r="G127" s="14">
        <v>58.38</v>
      </c>
      <c r="H127" s="10" t="s">
        <v>3135</v>
      </c>
      <c r="I127" s="10">
        <v>9.5</v>
      </c>
      <c r="O127" s="15">
        <f>IFERROR(__xludf.DUMMYFUNCTION("IF(ISBLANK($C127), """", GOOGLEFINANCE($C127, ""price""))"),68.18)</f>
        <v>68.18</v>
      </c>
      <c r="P127" s="16">
        <f t="shared" si="2"/>
        <v>-0.1678657074</v>
      </c>
      <c r="Q127" s="16">
        <f>IFERROR(__xludf.DUMMYFUNCTION("IF(OR(ISBLANK($G127), IFERROR(INDEX(GOOGLEFINANCE($C127, ""price"", WORKDAY(INT($B127), 1)), 2, 2), """")=""""), """", IF($D127=""LONG"", (IFERROR(INDEX(GOOGLEFINANCE($C127, ""price"", WORKDAY(INT($B127), 1)), 2, 2), """")-$G127)/$G127, ($G127-IFERROR(IND"&amp;"EX(GOOGLEFINANCE($C127, ""price"", WORKDAY(INT($B127), 1)), 2, 2), """"))/$G127))"),-0.007022953066118475)</f>
        <v>-0.007022953066</v>
      </c>
      <c r="R127" s="16">
        <f>IFERROR(__xludf.DUMMYFUNCTION("IF(OR(ISBLANK($G127), IFERROR(INDEX(GOOGLEFINANCE($C127, ""price"", WORKDAY(INT($B127), 5)), 2, 2), """")=""""), """", IF($D127=""LONG"", (IFERROR(INDEX(GOOGLEFINANCE($C127, ""price"", WORKDAY(INT($B127), 5)), 2, 2), """")-$G127)/$G127, ($G127-IFERROR(IND"&amp;"EX(GOOGLEFINANCE($C127, ""price"", WORKDAY(INT($B127), 5)), 2, 2), """"))/$G127))"),-0.07228502911956147)</f>
        <v>-0.07228502912</v>
      </c>
      <c r="S127" s="16" t="str">
        <f>IFERROR(__xludf.DUMMYFUNCTION("IF(OR(ISBLANK($G127), IFERROR(INDEX(GOOGLEFINANCE($C127, ""price"", WORKDAY(INT($B127), 20)), 2, 2), """")=""""), """", IF($D127=""LONG"", (IFERROR(INDEX(GOOGLEFINANCE($C127, ""price"", WORKDAY(INT($B127), 20)), 2, 2), """")-$G127)/$G127, ($G127-IFERROR(I"&amp;"NDEX(GOOGLEFINANCE($C127, ""price"", WORKDAY(INT($B127), 20)), 2, 2), """"))/$G127))"),"")</f>
        <v/>
      </c>
      <c r="T127" s="10" t="s">
        <v>3136</v>
      </c>
      <c r="U127" s="10" t="s">
        <v>615</v>
      </c>
      <c r="V127" s="10" t="s">
        <v>3137</v>
      </c>
      <c r="W127" s="10" t="s">
        <v>51</v>
      </c>
      <c r="X127" s="10" t="s">
        <v>615</v>
      </c>
    </row>
    <row r="128">
      <c r="A128" s="9">
        <f t="shared" si="1"/>
        <v>127</v>
      </c>
      <c r="B128" s="11">
        <v>46220.667905092596</v>
      </c>
      <c r="C128" s="10" t="s">
        <v>691</v>
      </c>
      <c r="D128" s="10" t="s">
        <v>36</v>
      </c>
      <c r="E128" s="10" t="s">
        <v>37</v>
      </c>
      <c r="F128" s="13">
        <v>2.0</v>
      </c>
      <c r="G128" s="14">
        <v>29.62</v>
      </c>
      <c r="H128" s="10" t="s">
        <v>3138</v>
      </c>
      <c r="I128" s="10">
        <v>86.3</v>
      </c>
      <c r="O128" s="15">
        <f>IFERROR(__xludf.DUMMYFUNCTION("IF(ISBLANK($C128), """", GOOGLEFINANCE($C128, ""price""))"),31.69)</f>
        <v>31.69</v>
      </c>
      <c r="P128" s="16">
        <f t="shared" si="2"/>
        <v>0.06988521269</v>
      </c>
      <c r="Q128" s="16">
        <f>IFERROR(__xludf.DUMMYFUNCTION("IF(OR(ISBLANK($G128), IFERROR(INDEX(GOOGLEFINANCE($C128, ""price"", WORKDAY(INT($B128), 1)), 2, 2), """")=""""), """", IF($D128=""LONG"", (IFERROR(INDEX(GOOGLEFINANCE($C128, ""price"", WORKDAY(INT($B128), 1)), 2, 2), """")-$G128)/$G128, ($G128-IFERROR(IND"&amp;"EX(GOOGLEFINANCE($C128, ""price"", WORKDAY(INT($B128), 1)), 2, 2), """"))/$G128))"),0.0013504388926400793)</f>
        <v>0.001350438893</v>
      </c>
      <c r="R128" s="16">
        <f>IFERROR(__xludf.DUMMYFUNCTION("IF(OR(ISBLANK($G128), IFERROR(INDEX(GOOGLEFINANCE($C128, ""price"", WORKDAY(INT($B128), 5)), 2, 2), """")=""""), """", IF($D128=""LONG"", (IFERROR(INDEX(GOOGLEFINANCE($C128, ""price"", WORKDAY(INT($B128), 5)), 2, 2), """")-$G128)/$G128, ($G128-IFERROR(IND"&amp;"EX(GOOGLEFINANCE($C128, ""price"", WORKDAY(INT($B128), 5)), 2, 2), """"))/$G128))"),0.010465901417960794)</f>
        <v>0.01046590142</v>
      </c>
      <c r="S128" s="16" t="str">
        <f>IFERROR(__xludf.DUMMYFUNCTION("IF(OR(ISBLANK($G128), IFERROR(INDEX(GOOGLEFINANCE($C128, ""price"", WORKDAY(INT($B128), 20)), 2, 2), """")=""""), """", IF($D128=""LONG"", (IFERROR(INDEX(GOOGLEFINANCE($C128, ""price"", WORKDAY(INT($B128), 20)), 2, 2), """")-$G128)/$G128, ($G128-IFERROR(I"&amp;"NDEX(GOOGLEFINANCE($C128, ""price"", WORKDAY(INT($B128), 20)), 2, 2), """"))/$G128))"),"")</f>
        <v/>
      </c>
      <c r="T128" s="10" t="s">
        <v>3139</v>
      </c>
      <c r="U128" s="10" t="s">
        <v>492</v>
      </c>
      <c r="V128" s="10" t="s">
        <v>493</v>
      </c>
      <c r="W128" s="10" t="s">
        <v>51</v>
      </c>
      <c r="X128" s="10" t="s">
        <v>492</v>
      </c>
    </row>
    <row r="129">
      <c r="A129" s="9">
        <f t="shared" si="1"/>
        <v>128</v>
      </c>
      <c r="B129" s="11">
        <v>46220.66748842593</v>
      </c>
      <c r="C129" s="10" t="s">
        <v>288</v>
      </c>
      <c r="D129" s="10" t="s">
        <v>36</v>
      </c>
      <c r="E129" s="10" t="s">
        <v>37</v>
      </c>
      <c r="F129" s="13">
        <v>2.0</v>
      </c>
      <c r="G129" s="14">
        <v>18.98</v>
      </c>
      <c r="H129" s="10" t="s">
        <v>3140</v>
      </c>
      <c r="I129" s="10">
        <v>92.1</v>
      </c>
      <c r="O129" s="15">
        <f>IFERROR(__xludf.DUMMYFUNCTION("IF(ISBLANK($C129), """", GOOGLEFINANCE($C129, ""price""))"),19.18)</f>
        <v>19.18</v>
      </c>
      <c r="P129" s="16">
        <f t="shared" si="2"/>
        <v>0.0105374078</v>
      </c>
      <c r="Q129" s="16">
        <f>IFERROR(__xludf.DUMMYFUNCTION("IF(OR(ISBLANK($G129), IFERROR(INDEX(GOOGLEFINANCE($C129, ""price"", WORKDAY(INT($B129), 1)), 2, 2), """")=""""), """", IF($D129=""LONG"", (IFERROR(INDEX(GOOGLEFINANCE($C129, ""price"", WORKDAY(INT($B129), 1)), 2, 2), """")-$G129)/$G129, ($G129-IFERROR(IND"&amp;"EX(GOOGLEFINANCE($C129, ""price"", WORKDAY(INT($B129), 1)), 2, 2), """"))/$G129))"),0.0021074815595363092)</f>
        <v>0.00210748156</v>
      </c>
      <c r="R129" s="16">
        <f>IFERROR(__xludf.DUMMYFUNCTION("IF(OR(ISBLANK($G129), IFERROR(INDEX(GOOGLEFINANCE($C129, ""price"", WORKDAY(INT($B129), 5)), 2, 2), """")=""""), """", IF($D129=""LONG"", (IFERROR(INDEX(GOOGLEFINANCE($C129, ""price"", WORKDAY(INT($B129), 5)), 2, 2), """")-$G129)/$G129, ($G129-IFERROR(IND"&amp;"EX(GOOGLEFINANCE($C129, ""price"", WORKDAY(INT($B129), 5)), 2, 2), """"))/$G129))"),0.01580611169652269)</f>
        <v>0.0158061117</v>
      </c>
      <c r="S129" s="16" t="str">
        <f>IFERROR(__xludf.DUMMYFUNCTION("IF(OR(ISBLANK($G129), IFERROR(INDEX(GOOGLEFINANCE($C129, ""price"", WORKDAY(INT($B129), 20)), 2, 2), """")=""""), """", IF($D129=""LONG"", (IFERROR(INDEX(GOOGLEFINANCE($C129, ""price"", WORKDAY(INT($B129), 20)), 2, 2), """")-$G129)/$G129, ($G129-IFERROR(I"&amp;"NDEX(GOOGLEFINANCE($C129, ""price"", WORKDAY(INT($B129), 20)), 2, 2), """"))/$G129))"),"")</f>
        <v/>
      </c>
      <c r="T129" s="10" t="s">
        <v>3141</v>
      </c>
      <c r="U129" s="10" t="s">
        <v>492</v>
      </c>
      <c r="V129" s="10" t="s">
        <v>493</v>
      </c>
      <c r="W129" s="10" t="s">
        <v>51</v>
      </c>
      <c r="X129" s="10" t="s">
        <v>492</v>
      </c>
    </row>
    <row r="130">
      <c r="A130" s="9">
        <f t="shared" si="1"/>
        <v>129</v>
      </c>
      <c r="B130" s="11">
        <v>46220.66758101852</v>
      </c>
      <c r="C130" s="10" t="s">
        <v>332</v>
      </c>
      <c r="D130" s="10" t="s">
        <v>36</v>
      </c>
      <c r="E130" s="10" t="s">
        <v>37</v>
      </c>
      <c r="F130" s="13">
        <v>2.0</v>
      </c>
      <c r="G130" s="14">
        <v>87.82</v>
      </c>
      <c r="H130" s="10" t="s">
        <v>3142</v>
      </c>
      <c r="I130" s="10">
        <v>94.4</v>
      </c>
      <c r="O130" s="15">
        <f>IFERROR(__xludf.DUMMYFUNCTION("IF(ISBLANK($C130), """", GOOGLEFINANCE($C130, ""price""))"),88.23)</f>
        <v>88.23</v>
      </c>
      <c r="P130" s="16">
        <f t="shared" si="2"/>
        <v>0.004668640401</v>
      </c>
      <c r="Q130" s="16">
        <f>IFERROR(__xludf.DUMMYFUNCTION("IF(OR(ISBLANK($G130), IFERROR(INDEX(GOOGLEFINANCE($C130, ""price"", WORKDAY(INT($B130), 1)), 2, 2), """")=""""), """", IF($D130=""LONG"", (IFERROR(INDEX(GOOGLEFINANCE($C130, ""price"", WORKDAY(INT($B130), 1)), 2, 2), """")-$G130)/$G130, ($G130-IFERROR(IND"&amp;"EX(GOOGLEFINANCE($C130, ""price"", WORKDAY(INT($B130), 1)), 2, 2), """"))/$G130))"),-0.018446823047141774)</f>
        <v>-0.01844682305</v>
      </c>
      <c r="R130" s="16">
        <f>IFERROR(__xludf.DUMMYFUNCTION("IF(OR(ISBLANK($G130), IFERROR(INDEX(GOOGLEFINANCE($C130, ""price"", WORKDAY(INT($B130), 5)), 2, 2), """")=""""), """", IF($D130=""LONG"", (IFERROR(INDEX(GOOGLEFINANCE($C130, ""price"", WORKDAY(INT($B130), 5)), 2, 2), """")-$G130)/$G130, ($G130-IFERROR(IND"&amp;"EX(GOOGLEFINANCE($C130, ""price"", WORKDAY(INT($B130), 5)), 2, 2), """"))/$G130))"),-0.026759280346162543)</f>
        <v>-0.02675928035</v>
      </c>
      <c r="S130" s="16" t="str">
        <f>IFERROR(__xludf.DUMMYFUNCTION("IF(OR(ISBLANK($G130), IFERROR(INDEX(GOOGLEFINANCE($C130, ""price"", WORKDAY(INT($B130), 20)), 2, 2), """")=""""), """", IF($D130=""LONG"", (IFERROR(INDEX(GOOGLEFINANCE($C130, ""price"", WORKDAY(INT($B130), 20)), 2, 2), """")-$G130)/$G130, ($G130-IFERROR(I"&amp;"NDEX(GOOGLEFINANCE($C130, ""price"", WORKDAY(INT($B130), 20)), 2, 2), """"))/$G130))"),"")</f>
        <v/>
      </c>
      <c r="T130" s="10" t="s">
        <v>3143</v>
      </c>
      <c r="U130" s="10" t="s">
        <v>984</v>
      </c>
      <c r="V130" s="10" t="s">
        <v>998</v>
      </c>
      <c r="W130" s="10" t="s">
        <v>51</v>
      </c>
      <c r="X130" s="10" t="s">
        <v>984</v>
      </c>
    </row>
    <row r="131">
      <c r="A131" s="9">
        <f t="shared" si="1"/>
        <v>130</v>
      </c>
      <c r="B131" s="11">
        <v>46220.66767361111</v>
      </c>
      <c r="C131" s="10" t="s">
        <v>1739</v>
      </c>
      <c r="D131" s="10" t="s">
        <v>36</v>
      </c>
      <c r="E131" s="10" t="s">
        <v>37</v>
      </c>
      <c r="F131" s="13">
        <v>2.0</v>
      </c>
      <c r="G131" s="14">
        <v>249.93</v>
      </c>
      <c r="H131" s="10" t="s">
        <v>3144</v>
      </c>
      <c r="I131" s="10">
        <v>92.2</v>
      </c>
      <c r="O131" s="15">
        <f>IFERROR(__xludf.DUMMYFUNCTION("IF(ISBLANK($C131), """", GOOGLEFINANCE($C131, ""price""))"),275.11)</f>
        <v>275.11</v>
      </c>
      <c r="P131" s="16">
        <f t="shared" si="2"/>
        <v>0.1007482095</v>
      </c>
      <c r="Q131" s="16">
        <f>IFERROR(__xludf.DUMMYFUNCTION("IF(OR(ISBLANK($G131), IFERROR(INDEX(GOOGLEFINANCE($C131, ""price"", WORKDAY(INT($B131), 1)), 2, 2), """")=""""), """", IF($D131=""LONG"", (IFERROR(INDEX(GOOGLEFINANCE($C131, ""price"", WORKDAY(INT($B131), 1)), 2, 2), """")-$G131)/$G131, ($G131-IFERROR(IND"&amp;"EX(GOOGLEFINANCE($C131, ""price"", WORKDAY(INT($B131), 1)), 2, 2), """"))/$G131))"),0.015204257192013695)</f>
        <v>0.01520425719</v>
      </c>
      <c r="R131" s="16">
        <f>IFERROR(__xludf.DUMMYFUNCTION("IF(OR(ISBLANK($G131), IFERROR(INDEX(GOOGLEFINANCE($C131, ""price"", WORKDAY(INT($B131), 5)), 2, 2), """")=""""), """", IF($D131=""LONG"", (IFERROR(INDEX(GOOGLEFINANCE($C131, ""price"", WORKDAY(INT($B131), 5)), 2, 2), """")-$G131)/$G131, ($G131-IFERROR(IND"&amp;"EX(GOOGLEFINANCE($C131, ""price"", WORKDAY(INT($B131), 5)), 2, 2), """"))/$G131))"),0.04017124794942592)</f>
        <v>0.04017124795</v>
      </c>
      <c r="S131" s="16" t="str">
        <f>IFERROR(__xludf.DUMMYFUNCTION("IF(OR(ISBLANK($G131), IFERROR(INDEX(GOOGLEFINANCE($C131, ""price"", WORKDAY(INT($B131), 20)), 2, 2), """")=""""), """", IF($D131=""LONG"", (IFERROR(INDEX(GOOGLEFINANCE($C131, ""price"", WORKDAY(INT($B131), 20)), 2, 2), """")-$G131)/$G131, ($G131-IFERROR(I"&amp;"NDEX(GOOGLEFINANCE($C131, ""price"", WORKDAY(INT($B131), 20)), 2, 2), """"))/$G131))"),"")</f>
        <v/>
      </c>
      <c r="T131" s="10" t="s">
        <v>3145</v>
      </c>
      <c r="U131" s="10" t="s">
        <v>507</v>
      </c>
      <c r="V131" s="10" t="s">
        <v>3146</v>
      </c>
      <c r="W131" s="10" t="s">
        <v>51</v>
      </c>
      <c r="X131" s="10" t="s">
        <v>507</v>
      </c>
    </row>
    <row r="132">
      <c r="A132" s="9">
        <f t="shared" si="1"/>
        <v>131</v>
      </c>
      <c r="B132" s="11">
        <v>46220.667546296296</v>
      </c>
      <c r="C132" s="10" t="s">
        <v>424</v>
      </c>
      <c r="D132" s="10" t="s">
        <v>36</v>
      </c>
      <c r="E132" s="10" t="s">
        <v>37</v>
      </c>
      <c r="F132" s="13">
        <v>2.0</v>
      </c>
      <c r="G132" s="14">
        <v>81.68</v>
      </c>
      <c r="H132" s="10" t="s">
        <v>3147</v>
      </c>
      <c r="I132" s="10">
        <v>95.0</v>
      </c>
      <c r="O132" s="15">
        <f>IFERROR(__xludf.DUMMYFUNCTION("IF(ISBLANK($C132), """", GOOGLEFINANCE($C132, ""price""))"),84.35)</f>
        <v>84.35</v>
      </c>
      <c r="P132" s="16">
        <f t="shared" si="2"/>
        <v>0.03268854065</v>
      </c>
      <c r="Q132" s="16">
        <f>IFERROR(__xludf.DUMMYFUNCTION("IF(OR(ISBLANK($G132), IFERROR(INDEX(GOOGLEFINANCE($C132, ""price"", WORKDAY(INT($B132), 1)), 2, 2), """")=""""), """", IF($D132=""LONG"", (IFERROR(INDEX(GOOGLEFINANCE($C132, ""price"", WORKDAY(INT($B132), 1)), 2, 2), """")-$G132)/$G132, ($G132-IFERROR(IND"&amp;"EX(GOOGLEFINANCE($C132, ""price"", WORKDAY(INT($B132), 1)), 2, 2), """"))/$G132))"),-0.011018609206660205)</f>
        <v>-0.01101860921</v>
      </c>
      <c r="R132" s="16">
        <f>IFERROR(__xludf.DUMMYFUNCTION("IF(OR(ISBLANK($G132), IFERROR(INDEX(GOOGLEFINANCE($C132, ""price"", WORKDAY(INT($B132), 5)), 2, 2), """")=""""), """", IF($D132=""LONG"", (IFERROR(INDEX(GOOGLEFINANCE($C132, ""price"", WORKDAY(INT($B132), 5)), 2, 2), """")-$G132)/$G132, ($G132-IFERROR(IND"&amp;"EX(GOOGLEFINANCE($C132, ""price"", WORKDAY(INT($B132), 5)), 2, 2), """"))/$G132))"),0.017507345739471016)</f>
        <v>0.01750734574</v>
      </c>
      <c r="S132" s="16" t="str">
        <f>IFERROR(__xludf.DUMMYFUNCTION("IF(OR(ISBLANK($G132), IFERROR(INDEX(GOOGLEFINANCE($C132, ""price"", WORKDAY(INT($B132), 20)), 2, 2), """")=""""), """", IF($D132=""LONG"", (IFERROR(INDEX(GOOGLEFINANCE($C132, ""price"", WORKDAY(INT($B132), 20)), 2, 2), """")-$G132)/$G132, ($G132-IFERROR(I"&amp;"NDEX(GOOGLEFINANCE($C132, ""price"", WORKDAY(INT($B132), 20)), 2, 2), """"))/$G132))"),"")</f>
        <v/>
      </c>
      <c r="T132" s="10" t="s">
        <v>3148</v>
      </c>
      <c r="U132" s="10" t="s">
        <v>492</v>
      </c>
      <c r="V132" s="10" t="s">
        <v>493</v>
      </c>
      <c r="W132" s="10" t="s">
        <v>51</v>
      </c>
      <c r="X132" s="10" t="s">
        <v>492</v>
      </c>
    </row>
    <row r="133">
      <c r="A133" s="9">
        <f t="shared" si="1"/>
        <v>132</v>
      </c>
      <c r="B133" s="11">
        <v>46220.667650462965</v>
      </c>
      <c r="C133" s="10" t="s">
        <v>826</v>
      </c>
      <c r="D133" s="10" t="s">
        <v>36</v>
      </c>
      <c r="E133" s="10" t="s">
        <v>133</v>
      </c>
      <c r="F133" s="13">
        <v>2.0</v>
      </c>
      <c r="G133" s="14">
        <v>358.68</v>
      </c>
      <c r="H133" s="10" t="s">
        <v>3149</v>
      </c>
      <c r="I133" s="10">
        <v>95.7</v>
      </c>
      <c r="O133" s="15">
        <f>IFERROR(__xludf.DUMMYFUNCTION("IF(ISBLANK($C133), """", GOOGLEFINANCE($C133, ""price""))"),370.47)</f>
        <v>370.47</v>
      </c>
      <c r="P133" s="16">
        <f t="shared" si="2"/>
        <v>0.03287052526</v>
      </c>
      <c r="Q133" s="16">
        <f>IFERROR(__xludf.DUMMYFUNCTION("IF(OR(ISBLANK($G133), IFERROR(INDEX(GOOGLEFINANCE($C133, ""price"", WORKDAY(INT($B133), 1)), 2, 2), """")=""""), """", IF($D133=""LONG"", (IFERROR(INDEX(GOOGLEFINANCE($C133, ""price"", WORKDAY(INT($B133), 1)), 2, 2), """")-$G133)/$G133, ($G133-IFERROR(IND"&amp;"EX(GOOGLEFINANCE($C133, ""price"", WORKDAY(INT($B133), 1)), 2, 2), """"))/$G133))"),0.0052693208430912965)</f>
        <v>0.005269320843</v>
      </c>
      <c r="R133" s="16">
        <f>IFERROR(__xludf.DUMMYFUNCTION("IF(OR(ISBLANK($G133), IFERROR(INDEX(GOOGLEFINANCE($C133, ""price"", WORKDAY(INT($B133), 5)), 2, 2), """")=""""), """", IF($D133=""LONG"", (IFERROR(INDEX(GOOGLEFINANCE($C133, ""price"", WORKDAY(INT($B133), 5)), 2, 2), """")-$G133)/$G133, ($G133-IFERROR(IND"&amp;"EX(GOOGLEFINANCE($C133, ""price"", WORKDAY(INT($B133), 5)), 2, 2), """"))/$G133))"),-0.008196721311475403)</f>
        <v>-0.008196721311</v>
      </c>
      <c r="S133" s="16" t="str">
        <f>IFERROR(__xludf.DUMMYFUNCTION("IF(OR(ISBLANK($G133), IFERROR(INDEX(GOOGLEFINANCE($C133, ""price"", WORKDAY(INT($B133), 20)), 2, 2), """")=""""), """", IF($D133=""LONG"", (IFERROR(INDEX(GOOGLEFINANCE($C133, ""price"", WORKDAY(INT($B133), 20)), 2, 2), """")-$G133)/$G133, ($G133-IFERROR(I"&amp;"NDEX(GOOGLEFINANCE($C133, ""price"", WORKDAY(INT($B133), 20)), 2, 2), """"))/$G133))"),"")</f>
        <v/>
      </c>
      <c r="T133" s="10" t="s">
        <v>3150</v>
      </c>
      <c r="U133" s="10" t="s">
        <v>492</v>
      </c>
      <c r="V133" s="10" t="s">
        <v>493</v>
      </c>
      <c r="W133" s="10" t="s">
        <v>51</v>
      </c>
      <c r="X133" s="10" t="s">
        <v>492</v>
      </c>
    </row>
    <row r="134">
      <c r="A134" s="9">
        <f t="shared" si="1"/>
        <v>133</v>
      </c>
      <c r="B134" s="11">
        <v>46220.66769675926</v>
      </c>
      <c r="C134" s="10" t="s">
        <v>1603</v>
      </c>
      <c r="D134" s="10" t="s">
        <v>36</v>
      </c>
      <c r="E134" s="10" t="s">
        <v>37</v>
      </c>
      <c r="F134" s="13">
        <v>2.0</v>
      </c>
      <c r="G134" s="14">
        <v>140.25</v>
      </c>
      <c r="H134" s="10" t="s">
        <v>3151</v>
      </c>
      <c r="I134" s="10">
        <v>92.9</v>
      </c>
      <c r="O134" s="15">
        <f>IFERROR(__xludf.DUMMYFUNCTION("IF(ISBLANK($C134), """", GOOGLEFINANCE($C134, ""price""))"),144.51)</f>
        <v>144.51</v>
      </c>
      <c r="P134" s="16">
        <f t="shared" si="2"/>
        <v>0.03037433155</v>
      </c>
      <c r="Q134" s="16">
        <f>IFERROR(__xludf.DUMMYFUNCTION("IF(OR(ISBLANK($G134), IFERROR(INDEX(GOOGLEFINANCE($C134, ""price"", WORKDAY(INT($B134), 1)), 2, 2), """")=""""), """", IF($D134=""LONG"", (IFERROR(INDEX(GOOGLEFINANCE($C134, ""price"", WORKDAY(INT($B134), 1)), 2, 2), """")-$G134)/$G134, ($G134-IFERROR(IND"&amp;"EX(GOOGLEFINANCE($C134, ""price"", WORKDAY(INT($B134), 1)), 2, 2), """"))/$G134))"),0.0017825311942959)</f>
        <v>0.001782531194</v>
      </c>
      <c r="R134" s="16">
        <f>IFERROR(__xludf.DUMMYFUNCTION("IF(OR(ISBLANK($G134), IFERROR(INDEX(GOOGLEFINANCE($C134, ""price"", WORKDAY(INT($B134), 5)), 2, 2), """")=""""), """", IF($D134=""LONG"", (IFERROR(INDEX(GOOGLEFINANCE($C134, ""price"", WORKDAY(INT($B134), 5)), 2, 2), """")-$G134)/$G134, ($G134-IFERROR(IND"&amp;"EX(GOOGLEFINANCE($C134, ""price"", WORKDAY(INT($B134), 5)), 2, 2), """"))/$G134))"),0.0019964349376114165)</f>
        <v>0.001996434938</v>
      </c>
      <c r="S134" s="16" t="str">
        <f>IFERROR(__xludf.DUMMYFUNCTION("IF(OR(ISBLANK($G134), IFERROR(INDEX(GOOGLEFINANCE($C134, ""price"", WORKDAY(INT($B134), 20)), 2, 2), """")=""""), """", IF($D134=""LONG"", (IFERROR(INDEX(GOOGLEFINANCE($C134, ""price"", WORKDAY(INT($B134), 20)), 2, 2), """")-$G134)/$G134, ($G134-IFERROR(I"&amp;"NDEX(GOOGLEFINANCE($C134, ""price"", WORKDAY(INT($B134), 20)), 2, 2), """"))/$G134))"),"")</f>
        <v/>
      </c>
      <c r="T134" s="10" t="s">
        <v>3152</v>
      </c>
      <c r="U134" s="10" t="s">
        <v>507</v>
      </c>
      <c r="V134" s="10" t="s">
        <v>3153</v>
      </c>
      <c r="W134" s="10" t="s">
        <v>51</v>
      </c>
      <c r="X134" s="10" t="s">
        <v>507</v>
      </c>
    </row>
    <row r="135">
      <c r="A135" s="9">
        <f t="shared" si="1"/>
        <v>134</v>
      </c>
      <c r="B135" s="11">
        <v>46220.66783564815</v>
      </c>
      <c r="C135" s="10" t="s">
        <v>174</v>
      </c>
      <c r="D135" s="10" t="s">
        <v>36</v>
      </c>
      <c r="E135" s="10" t="s">
        <v>37</v>
      </c>
      <c r="F135" s="13">
        <v>2.0</v>
      </c>
      <c r="G135" s="14">
        <v>25.39</v>
      </c>
      <c r="H135" s="10" t="s">
        <v>3154</v>
      </c>
      <c r="I135" s="10">
        <v>93.8</v>
      </c>
      <c r="O135" s="15">
        <f>IFERROR(__xludf.DUMMYFUNCTION("IF(ISBLANK($C135), """", GOOGLEFINANCE($C135, ""price""))"),25.09)</f>
        <v>25.09</v>
      </c>
      <c r="P135" s="16">
        <f t="shared" si="2"/>
        <v>-0.01181567546</v>
      </c>
      <c r="Q135" s="16">
        <f>IFERROR(__xludf.DUMMYFUNCTION("IF(OR(ISBLANK($G135), IFERROR(INDEX(GOOGLEFINANCE($C135, ""price"", WORKDAY(INT($B135), 1)), 2, 2), """")=""""), """", IF($D135=""LONG"", (IFERROR(INDEX(GOOGLEFINANCE($C135, ""price"", WORKDAY(INT($B135), 1)), 2, 2), """")-$G135)/$G135, ($G135-IFERROR(IND"&amp;"EX(GOOGLEFINANCE($C135, ""price"", WORKDAY(INT($B135), 1)), 2, 2), """"))/$G135))"),-0.004332414336352872)</f>
        <v>-0.004332414336</v>
      </c>
      <c r="R135" s="16">
        <f>IFERROR(__xludf.DUMMYFUNCTION("IF(OR(ISBLANK($G135), IFERROR(INDEX(GOOGLEFINANCE($C135, ""price"", WORKDAY(INT($B135), 5)), 2, 2), """")=""""), """", IF($D135=""LONG"", (IFERROR(INDEX(GOOGLEFINANCE($C135, ""price"", WORKDAY(INT($B135), 5)), 2, 2), """")-$G135)/$G135, ($G135-IFERROR(IND"&amp;"EX(GOOGLEFINANCE($C135, ""price"", WORKDAY(INT($B135), 5)), 2, 2), """"))/$G135))"),-0.0031508467900749054)</f>
        <v>-0.00315084679</v>
      </c>
      <c r="S135" s="16" t="str">
        <f>IFERROR(__xludf.DUMMYFUNCTION("IF(OR(ISBLANK($G135), IFERROR(INDEX(GOOGLEFINANCE($C135, ""price"", WORKDAY(INT($B135), 20)), 2, 2), """")=""""), """", IF($D135=""LONG"", (IFERROR(INDEX(GOOGLEFINANCE($C135, ""price"", WORKDAY(INT($B135), 20)), 2, 2), """")-$G135)/$G135, ($G135-IFERROR(I"&amp;"NDEX(GOOGLEFINANCE($C135, ""price"", WORKDAY(INT($B135), 20)), 2, 2), """"))/$G135))"),"")</f>
        <v/>
      </c>
      <c r="T135" s="10" t="s">
        <v>3155</v>
      </c>
      <c r="U135" s="10" t="s">
        <v>492</v>
      </c>
      <c r="V135" s="10" t="s">
        <v>493</v>
      </c>
      <c r="W135" s="10" t="s">
        <v>51</v>
      </c>
      <c r="X135" s="10" t="s">
        <v>492</v>
      </c>
    </row>
    <row r="136">
      <c r="A136" s="9">
        <f t="shared" si="1"/>
        <v>135</v>
      </c>
      <c r="B136" s="11">
        <v>46220.66753472222</v>
      </c>
      <c r="C136" s="10" t="s">
        <v>834</v>
      </c>
      <c r="D136" s="10" t="s">
        <v>119</v>
      </c>
      <c r="E136" s="10" t="s">
        <v>120</v>
      </c>
      <c r="F136" s="13">
        <v>4.0</v>
      </c>
      <c r="G136" s="14">
        <v>120.49</v>
      </c>
      <c r="H136" s="10" t="s">
        <v>3156</v>
      </c>
      <c r="I136" s="10">
        <v>12.9</v>
      </c>
      <c r="O136" s="15">
        <f>IFERROR(__xludf.DUMMYFUNCTION("IF(ISBLANK($C136), """", GOOGLEFINANCE($C136, ""price""))"),127.99)</f>
        <v>127.99</v>
      </c>
      <c r="P136" s="16">
        <f t="shared" si="2"/>
        <v>-0.06224582953</v>
      </c>
      <c r="Q136" s="16">
        <f>IFERROR(__xludf.DUMMYFUNCTION("IF(OR(ISBLANK($G136), IFERROR(INDEX(GOOGLEFINANCE($C136, ""price"", WORKDAY(INT($B136), 1)), 2, 2), """")=""""), """", IF($D136=""LONG"", (IFERROR(INDEX(GOOGLEFINANCE($C136, ""price"", WORKDAY(INT($B136), 1)), 2, 2), """")-$G136)/$G136, ($G136-IFERROR(IND"&amp;"EX(GOOGLEFINANCE($C136, ""price"", WORKDAY(INT($B136), 1)), 2, 2), """"))/$G136))"),0.01867374885882646)</f>
        <v>0.01867374886</v>
      </c>
      <c r="R136" s="16">
        <f>IFERROR(__xludf.DUMMYFUNCTION("IF(OR(ISBLANK($G136), IFERROR(INDEX(GOOGLEFINANCE($C136, ""price"", WORKDAY(INT($B136), 5)), 2, 2), """")=""""), """", IF($D136=""LONG"", (IFERROR(INDEX(GOOGLEFINANCE($C136, ""price"", WORKDAY(INT($B136), 5)), 2, 2), """")-$G136)/$G136, ($G136-IFERROR(IND"&amp;"EX(GOOGLEFINANCE($C136, ""price"", WORKDAY(INT($B136), 5)), 2, 2), """"))/$G136))"),-0.01759482114698319)</f>
        <v>-0.01759482115</v>
      </c>
      <c r="S136" s="16" t="str">
        <f>IFERROR(__xludf.DUMMYFUNCTION("IF(OR(ISBLANK($G136), IFERROR(INDEX(GOOGLEFINANCE($C136, ""price"", WORKDAY(INT($B136), 20)), 2, 2), """")=""""), """", IF($D136=""LONG"", (IFERROR(INDEX(GOOGLEFINANCE($C136, ""price"", WORKDAY(INT($B136), 20)), 2, 2), """")-$G136)/$G136, ($G136-IFERROR(I"&amp;"NDEX(GOOGLEFINANCE($C136, ""price"", WORKDAY(INT($B136), 20)), 2, 2), """"))/$G136))"),"")</f>
        <v/>
      </c>
      <c r="T136" s="10" t="s">
        <v>3157</v>
      </c>
      <c r="U136" s="10" t="s">
        <v>492</v>
      </c>
      <c r="V136" s="10" t="s">
        <v>493</v>
      </c>
      <c r="W136" s="10" t="s">
        <v>51</v>
      </c>
      <c r="X136" s="10" t="s">
        <v>492</v>
      </c>
    </row>
    <row r="137">
      <c r="A137" s="9">
        <f t="shared" si="1"/>
        <v>136</v>
      </c>
      <c r="B137" s="11">
        <v>46220.66756944444</v>
      </c>
      <c r="C137" s="10" t="s">
        <v>464</v>
      </c>
      <c r="D137" s="10" t="s">
        <v>119</v>
      </c>
      <c r="E137" s="10" t="s">
        <v>120</v>
      </c>
      <c r="F137" s="13">
        <v>4.0</v>
      </c>
      <c r="G137" s="14">
        <v>277.76</v>
      </c>
      <c r="H137" s="10" t="s">
        <v>3158</v>
      </c>
      <c r="I137" s="10">
        <v>9.8</v>
      </c>
      <c r="O137" s="15">
        <f>IFERROR(__xludf.DUMMYFUNCTION("IF(ISBLANK($C137), """", GOOGLEFINANCE($C137, ""price""))"),292.53)</f>
        <v>292.53</v>
      </c>
      <c r="P137" s="16">
        <f t="shared" si="2"/>
        <v>-0.05317540323</v>
      </c>
      <c r="Q137" s="16">
        <f>IFERROR(__xludf.DUMMYFUNCTION("IF(OR(ISBLANK($G137), IFERROR(INDEX(GOOGLEFINANCE($C137, ""price"", WORKDAY(INT($B137), 1)), 2, 2), """")=""""), """", IF($D137=""LONG"", (IFERROR(INDEX(GOOGLEFINANCE($C137, ""price"", WORKDAY(INT($B137), 1)), 2, 2), """")-$G137)/$G137, ($G137-IFERROR(IND"&amp;"EX(GOOGLEFINANCE($C137, ""price"", WORKDAY(INT($B137), 1)), 2, 2), """"))/$G137))"),5.400345622118998E-4)</f>
        <v>0.0005400345622</v>
      </c>
      <c r="R137" s="16">
        <f>IFERROR(__xludf.DUMMYFUNCTION("IF(OR(ISBLANK($G137), IFERROR(INDEX(GOOGLEFINANCE($C137, ""price"", WORKDAY(INT($B137), 5)), 2, 2), """")=""""), """", IF($D137=""LONG"", (IFERROR(INDEX(GOOGLEFINANCE($C137, ""price"", WORKDAY(INT($B137), 5)), 2, 2), """")-$G137)/$G137, ($G137-IFERROR(IND"&amp;"EX(GOOGLEFINANCE($C137, ""price"", WORKDAY(INT($B137), 5)), 2, 2), """"))/$G137))"),-0.00806451612903229)</f>
        <v>-0.008064516129</v>
      </c>
      <c r="S137" s="16" t="str">
        <f>IFERROR(__xludf.DUMMYFUNCTION("IF(OR(ISBLANK($G137), IFERROR(INDEX(GOOGLEFINANCE($C137, ""price"", WORKDAY(INT($B137), 20)), 2, 2), """")=""""), """", IF($D137=""LONG"", (IFERROR(INDEX(GOOGLEFINANCE($C137, ""price"", WORKDAY(INT($B137), 20)), 2, 2), """")-$G137)/$G137, ($G137-IFERROR(I"&amp;"NDEX(GOOGLEFINANCE($C137, ""price"", WORKDAY(INT($B137), 20)), 2, 2), """"))/$G137))"),"")</f>
        <v/>
      </c>
      <c r="T137" s="10" t="s">
        <v>3159</v>
      </c>
      <c r="U137" s="10" t="s">
        <v>984</v>
      </c>
      <c r="V137" s="10" t="s">
        <v>985</v>
      </c>
      <c r="W137" s="10" t="s">
        <v>51</v>
      </c>
      <c r="X137" s="10" t="s">
        <v>984</v>
      </c>
    </row>
    <row r="138">
      <c r="A138" s="9">
        <f t="shared" si="1"/>
        <v>137</v>
      </c>
      <c r="B138" s="11">
        <v>46220.667662037034</v>
      </c>
      <c r="C138" s="10" t="s">
        <v>243</v>
      </c>
      <c r="D138" s="10" t="s">
        <v>119</v>
      </c>
      <c r="E138" s="10" t="s">
        <v>120</v>
      </c>
      <c r="F138" s="13">
        <v>4.0</v>
      </c>
      <c r="G138" s="14">
        <v>120.17</v>
      </c>
      <c r="H138" s="10" t="s">
        <v>3160</v>
      </c>
      <c r="I138" s="10">
        <v>7.6</v>
      </c>
      <c r="O138" s="15">
        <f>IFERROR(__xludf.DUMMYFUNCTION("IF(ISBLANK($C138), """", GOOGLEFINANCE($C138, ""price""))"),118.55)</f>
        <v>118.55</v>
      </c>
      <c r="P138" s="16">
        <f t="shared" si="2"/>
        <v>0.01348090206</v>
      </c>
      <c r="Q138" s="16">
        <f>IFERROR(__xludf.DUMMYFUNCTION("IF(OR(ISBLANK($G138), IFERROR(INDEX(GOOGLEFINANCE($C138, ""price"", WORKDAY(INT($B138), 1)), 2, 2), """")=""""), """", IF($D138=""LONG"", (IFERROR(INDEX(GOOGLEFINANCE($C138, ""price"", WORKDAY(INT($B138), 1)), 2, 2), """")-$G138)/$G138, ($G138-IFERROR(IND"&amp;"EX(GOOGLEFINANCE($C138, ""price"", WORKDAY(INT($B138), 1)), 2, 2), """"))/$G138))"),-0.024631771656819453)</f>
        <v>-0.02463177166</v>
      </c>
      <c r="R138" s="16">
        <f>IFERROR(__xludf.DUMMYFUNCTION("IF(OR(ISBLANK($G138), IFERROR(INDEX(GOOGLEFINANCE($C138, ""price"", WORKDAY(INT($B138), 5)), 2, 2), """")=""""), """", IF($D138=""LONG"", (IFERROR(INDEX(GOOGLEFINANCE($C138, ""price"", WORKDAY(INT($B138), 5)), 2, 2), """")-$G138)/$G138, ($G138-IFERROR(IND"&amp;"EX(GOOGLEFINANCE($C138, ""price"", WORKDAY(INT($B138), 5)), 2, 2), """"))/$G138))"),0.03994341349754512)</f>
        <v>0.0399434135</v>
      </c>
      <c r="S138" s="16" t="str">
        <f>IFERROR(__xludf.DUMMYFUNCTION("IF(OR(ISBLANK($G138), IFERROR(INDEX(GOOGLEFINANCE($C138, ""price"", WORKDAY(INT($B138), 20)), 2, 2), """")=""""), """", IF($D138=""LONG"", (IFERROR(INDEX(GOOGLEFINANCE($C138, ""price"", WORKDAY(INT($B138), 20)), 2, 2), """")-$G138)/$G138, ($G138-IFERROR(I"&amp;"NDEX(GOOGLEFINANCE($C138, ""price"", WORKDAY(INT($B138), 20)), 2, 2), """"))/$G138))"),"")</f>
        <v/>
      </c>
      <c r="T138" s="10" t="s">
        <v>3161</v>
      </c>
      <c r="U138" s="10" t="s">
        <v>492</v>
      </c>
      <c r="V138" s="10" t="s">
        <v>493</v>
      </c>
      <c r="W138" s="10" t="s">
        <v>51</v>
      </c>
      <c r="X138" s="10" t="s">
        <v>492</v>
      </c>
    </row>
    <row r="139">
      <c r="A139" s="9">
        <f t="shared" si="1"/>
        <v>138</v>
      </c>
      <c r="B139" s="11">
        <v>46220.66763888889</v>
      </c>
      <c r="C139" s="10" t="s">
        <v>43</v>
      </c>
      <c r="D139" s="10" t="s">
        <v>36</v>
      </c>
      <c r="E139" s="10" t="s">
        <v>37</v>
      </c>
      <c r="F139" s="13">
        <v>2.0</v>
      </c>
      <c r="G139" s="14">
        <v>258.68</v>
      </c>
      <c r="H139" s="10" t="s">
        <v>3162</v>
      </c>
      <c r="I139" s="10">
        <v>95.0</v>
      </c>
      <c r="O139" s="15">
        <f>IFERROR(__xludf.DUMMYFUNCTION("IF(ISBLANK($C139), """", GOOGLEFINANCE($C139, ""price""))"),229.29)</f>
        <v>229.29</v>
      </c>
      <c r="P139" s="16">
        <f t="shared" si="2"/>
        <v>-0.1136152776</v>
      </c>
      <c r="Q139" s="16">
        <f>IFERROR(__xludf.DUMMYFUNCTION("IF(OR(ISBLANK($G139), IFERROR(INDEX(GOOGLEFINANCE($C139, ""price"", WORKDAY(INT($B139), 1)), 2, 2), """")=""""), """", IF($D139=""LONG"", (IFERROR(INDEX(GOOGLEFINANCE($C139, ""price"", WORKDAY(INT($B139), 1)), 2, 2), """")-$G139)/$G139, ($G139-IFERROR(IND"&amp;"EX(GOOGLEFINANCE($C139, ""price"", WORKDAY(INT($B139), 1)), 2, 2), """"))/$G139))"),0.01747332611721038)</f>
        <v>0.01747332612</v>
      </c>
      <c r="R139" s="16">
        <f>IFERROR(__xludf.DUMMYFUNCTION("IF(OR(ISBLANK($G139), IFERROR(INDEX(GOOGLEFINANCE($C139, ""price"", WORKDAY(INT($B139), 5)), 2, 2), """")=""""), """", IF($D139=""LONG"", (IFERROR(INDEX(GOOGLEFINANCE($C139, ""price"", WORKDAY(INT($B139), 5)), 2, 2), """")-$G139)/$G139, ($G139-IFERROR(IND"&amp;"EX(GOOGLEFINANCE($C139, ""price"", WORKDAY(INT($B139), 5)), 2, 2), """"))/$G139))"),-0.04569352095252819)</f>
        <v>-0.04569352095</v>
      </c>
      <c r="S139" s="16" t="str">
        <f>IFERROR(__xludf.DUMMYFUNCTION("IF(OR(ISBLANK($G139), IFERROR(INDEX(GOOGLEFINANCE($C139, ""price"", WORKDAY(INT($B139), 20)), 2, 2), """")=""""), """", IF($D139=""LONG"", (IFERROR(INDEX(GOOGLEFINANCE($C139, ""price"", WORKDAY(INT($B139), 20)), 2, 2), """")-$G139)/$G139, ($G139-IFERROR(I"&amp;"NDEX(GOOGLEFINANCE($C139, ""price"", WORKDAY(INT($B139), 20)), 2, 2), """"))/$G139))"),"")</f>
        <v/>
      </c>
      <c r="T139" s="10" t="s">
        <v>3163</v>
      </c>
      <c r="U139" s="10" t="s">
        <v>704</v>
      </c>
      <c r="V139" s="10" t="s">
        <v>3164</v>
      </c>
      <c r="W139" s="10" t="s">
        <v>51</v>
      </c>
      <c r="X139" s="10" t="s">
        <v>704</v>
      </c>
    </row>
    <row r="140">
      <c r="A140" s="9">
        <f t="shared" si="1"/>
        <v>139</v>
      </c>
      <c r="B140" s="11">
        <v>46220.667662037034</v>
      </c>
      <c r="C140" s="10" t="s">
        <v>398</v>
      </c>
      <c r="D140" s="10" t="s">
        <v>36</v>
      </c>
      <c r="E140" s="10" t="s">
        <v>37</v>
      </c>
      <c r="F140" s="13">
        <v>2.0</v>
      </c>
      <c r="G140" s="14">
        <v>72.1</v>
      </c>
      <c r="H140" s="10" t="s">
        <v>3165</v>
      </c>
      <c r="I140" s="10">
        <v>87.8</v>
      </c>
      <c r="O140" s="15">
        <f>IFERROR(__xludf.DUMMYFUNCTION("IF(ISBLANK($C140), """", GOOGLEFINANCE($C140, ""price""))"),71.9)</f>
        <v>71.9</v>
      </c>
      <c r="P140" s="16">
        <f t="shared" si="2"/>
        <v>-0.002773925104</v>
      </c>
      <c r="Q140" s="16">
        <f>IFERROR(__xludf.DUMMYFUNCTION("IF(OR(ISBLANK($G140), IFERROR(INDEX(GOOGLEFINANCE($C140, ""price"", WORKDAY(INT($B140), 1)), 2, 2), """")=""""), """", IF($D140=""LONG"", (IFERROR(INDEX(GOOGLEFINANCE($C140, ""price"", WORKDAY(INT($B140), 1)), 2, 2), """")-$G140)/$G140, ($G140-IFERROR(IND"&amp;"EX(GOOGLEFINANCE($C140, ""price"", WORKDAY(INT($B140), 1)), 2, 2), """"))/$G140))"),-0.006380027739250954)</f>
        <v>-0.006380027739</v>
      </c>
      <c r="R140" s="16">
        <f>IFERROR(__xludf.DUMMYFUNCTION("IF(OR(ISBLANK($G140), IFERROR(INDEX(GOOGLEFINANCE($C140, ""price"", WORKDAY(INT($B140), 5)), 2, 2), """")=""""), """", IF($D140=""LONG"", (IFERROR(INDEX(GOOGLEFINANCE($C140, ""price"", WORKDAY(INT($B140), 5)), 2, 2), """")-$G140)/$G140, ($G140-IFERROR(IND"&amp;"EX(GOOGLEFINANCE($C140, ""price"", WORKDAY(INT($B140), 5)), 2, 2), """"))/$G140))"),-0.006934812760055479)</f>
        <v>-0.00693481276</v>
      </c>
      <c r="S140" s="16" t="str">
        <f>IFERROR(__xludf.DUMMYFUNCTION("IF(OR(ISBLANK($G140), IFERROR(INDEX(GOOGLEFINANCE($C140, ""price"", WORKDAY(INT($B140), 20)), 2, 2), """")=""""), """", IF($D140=""LONG"", (IFERROR(INDEX(GOOGLEFINANCE($C140, ""price"", WORKDAY(INT($B140), 20)), 2, 2), """")-$G140)/$G140, ($G140-IFERROR(I"&amp;"NDEX(GOOGLEFINANCE($C140, ""price"", WORKDAY(INT($B140), 20)), 2, 2), """"))/$G140))"),"")</f>
        <v/>
      </c>
      <c r="T140" s="10" t="s">
        <v>3166</v>
      </c>
      <c r="U140" s="10" t="s">
        <v>492</v>
      </c>
      <c r="V140" s="10" t="s">
        <v>493</v>
      </c>
      <c r="W140" s="10" t="s">
        <v>51</v>
      </c>
      <c r="X140" s="10" t="s">
        <v>492</v>
      </c>
    </row>
    <row r="141">
      <c r="A141" s="9">
        <f t="shared" si="1"/>
        <v>140</v>
      </c>
      <c r="B141" s="11">
        <v>46220.66767361111</v>
      </c>
      <c r="C141" s="10" t="s">
        <v>337</v>
      </c>
      <c r="D141" s="10" t="s">
        <v>119</v>
      </c>
      <c r="E141" s="10" t="s">
        <v>120</v>
      </c>
      <c r="F141" s="13">
        <v>4.0</v>
      </c>
      <c r="G141" s="14">
        <v>43.58</v>
      </c>
      <c r="H141" s="10" t="s">
        <v>3167</v>
      </c>
      <c r="I141" s="10">
        <v>9.7</v>
      </c>
      <c r="O141" s="15">
        <f>IFERROR(__xludf.DUMMYFUNCTION("IF(ISBLANK($C141), """", GOOGLEFINANCE($C141, ""price""))"),46.99)</f>
        <v>46.99</v>
      </c>
      <c r="P141" s="16">
        <f t="shared" si="2"/>
        <v>-0.07824690225</v>
      </c>
      <c r="Q141" s="16">
        <f>IFERROR(__xludf.DUMMYFUNCTION("IF(OR(ISBLANK($G141), IFERROR(INDEX(GOOGLEFINANCE($C141, ""price"", WORKDAY(INT($B141), 1)), 2, 2), """")=""""), """", IF($D141=""LONG"", (IFERROR(INDEX(GOOGLEFINANCE($C141, ""price"", WORKDAY(INT($B141), 1)), 2, 2), """")-$G141)/$G141, ($G141-IFERROR(IND"&amp;"EX(GOOGLEFINANCE($C141, ""price"", WORKDAY(INT($B141), 1)), 2, 2), """"))/$G141))"),0.001835704451583256)</f>
        <v>0.001835704452</v>
      </c>
      <c r="R141" s="16">
        <f>IFERROR(__xludf.DUMMYFUNCTION("IF(OR(ISBLANK($G141), IFERROR(INDEX(GOOGLEFINANCE($C141, ""price"", WORKDAY(INT($B141), 5)), 2, 2), """")=""""), """", IF($D141=""LONG"", (IFERROR(INDEX(GOOGLEFINANCE($C141, ""price"", WORKDAY(INT($B141), 5)), 2, 2), """")-$G141)/$G141, ($G141-IFERROR(IND"&amp;"EX(GOOGLEFINANCE($C141, ""price"", WORKDAY(INT($B141), 5)), 2, 2), """"))/$G141))"),-0.06424965580541543)</f>
        <v>-0.06424965581</v>
      </c>
      <c r="S141" s="16" t="str">
        <f>IFERROR(__xludf.DUMMYFUNCTION("IF(OR(ISBLANK($G141), IFERROR(INDEX(GOOGLEFINANCE($C141, ""price"", WORKDAY(INT($B141), 20)), 2, 2), """")=""""), """", IF($D141=""LONG"", (IFERROR(INDEX(GOOGLEFINANCE($C141, ""price"", WORKDAY(INT($B141), 20)), 2, 2), """")-$G141)/$G141, ($G141-IFERROR(I"&amp;"NDEX(GOOGLEFINANCE($C141, ""price"", WORKDAY(INT($B141), 20)), 2, 2), """"))/$G141))"),"")</f>
        <v/>
      </c>
      <c r="T141" s="10" t="s">
        <v>3168</v>
      </c>
      <c r="U141" s="10" t="s">
        <v>984</v>
      </c>
      <c r="V141" s="10" t="s">
        <v>985</v>
      </c>
      <c r="W141" s="10" t="s">
        <v>51</v>
      </c>
      <c r="X141" s="10" t="s">
        <v>984</v>
      </c>
    </row>
    <row r="142">
      <c r="A142" s="9">
        <f t="shared" si="1"/>
        <v>141</v>
      </c>
      <c r="B142" s="11">
        <v>46220.66780092593</v>
      </c>
      <c r="C142" s="10" t="s">
        <v>2941</v>
      </c>
      <c r="D142" s="10" t="s">
        <v>119</v>
      </c>
      <c r="E142" s="10" t="s">
        <v>120</v>
      </c>
      <c r="F142" s="13">
        <v>4.0</v>
      </c>
      <c r="G142" s="14">
        <v>154.43</v>
      </c>
      <c r="H142" s="10" t="s">
        <v>3169</v>
      </c>
      <c r="I142" s="10">
        <v>4.1</v>
      </c>
      <c r="O142" s="15">
        <f>IFERROR(__xludf.DUMMYFUNCTION("IF(ISBLANK($C142), """", GOOGLEFINANCE($C142, ""price""))"),162.06)</f>
        <v>162.06</v>
      </c>
      <c r="P142" s="16">
        <f t="shared" si="2"/>
        <v>-0.04940749854</v>
      </c>
      <c r="Q142" s="16">
        <f>IFERROR(__xludf.DUMMYFUNCTION("IF(OR(ISBLANK($G142), IFERROR(INDEX(GOOGLEFINANCE($C142, ""price"", WORKDAY(INT($B142), 1)), 2, 2), """")=""""), """", IF($D142=""LONG"", (IFERROR(INDEX(GOOGLEFINANCE($C142, ""price"", WORKDAY(INT($B142), 1)), 2, 2), """")-$G142)/$G142, ($G142-IFERROR(IND"&amp;"EX(GOOGLEFINANCE($C142, ""price"", WORKDAY(INT($B142), 1)), 2, 2), """"))/$G142))"),-0.008223790714239343)</f>
        <v>-0.008223790714</v>
      </c>
      <c r="R142" s="16">
        <f>IFERROR(__xludf.DUMMYFUNCTION("IF(OR(ISBLANK($G142), IFERROR(INDEX(GOOGLEFINANCE($C142, ""price"", WORKDAY(INT($B142), 5)), 2, 2), """")=""""), """", IF($D142=""LONG"", (IFERROR(INDEX(GOOGLEFINANCE($C142, ""price"", WORKDAY(INT($B142), 5)), 2, 2), """")-$G142)/$G142, ($G142-IFERROR(IND"&amp;"EX(GOOGLEFINANCE($C142, ""price"", WORKDAY(INT($B142), 5)), 2, 2), """"))/$G142))"),0.0013598394094412223)</f>
        <v>0.001359839409</v>
      </c>
      <c r="S142" s="16" t="str">
        <f>IFERROR(__xludf.DUMMYFUNCTION("IF(OR(ISBLANK($G142), IFERROR(INDEX(GOOGLEFINANCE($C142, ""price"", WORKDAY(INT($B142), 20)), 2, 2), """")=""""), """", IF($D142=""LONG"", (IFERROR(INDEX(GOOGLEFINANCE($C142, ""price"", WORKDAY(INT($B142), 20)), 2, 2), """")-$G142)/$G142, ($G142-IFERROR(I"&amp;"NDEX(GOOGLEFINANCE($C142, ""price"", WORKDAY(INT($B142), 20)), 2, 2), """"))/$G142))"),"")</f>
        <v/>
      </c>
      <c r="T142" s="10" t="s">
        <v>3170</v>
      </c>
      <c r="U142" s="10" t="s">
        <v>492</v>
      </c>
      <c r="V142" s="10" t="s">
        <v>493</v>
      </c>
      <c r="W142" s="10" t="s">
        <v>51</v>
      </c>
      <c r="X142" s="10" t="s">
        <v>492</v>
      </c>
    </row>
    <row r="143">
      <c r="A143" s="9">
        <f t="shared" si="1"/>
        <v>142</v>
      </c>
      <c r="B143" s="11">
        <v>46220.66787037037</v>
      </c>
      <c r="C143" s="10" t="s">
        <v>1154</v>
      </c>
      <c r="D143" s="10" t="s">
        <v>36</v>
      </c>
      <c r="E143" s="10" t="s">
        <v>37</v>
      </c>
      <c r="F143" s="13">
        <v>2.0</v>
      </c>
      <c r="G143" s="14">
        <v>1310.5</v>
      </c>
      <c r="H143" s="10" t="s">
        <v>3171</v>
      </c>
      <c r="I143" s="10">
        <v>95.6</v>
      </c>
      <c r="O143" s="15">
        <f>IFERROR(__xludf.DUMMYFUNCTION("IF(ISBLANK($C143), """", GOOGLEFINANCE($C143, ""price""))"),1421.24)</f>
        <v>1421.24</v>
      </c>
      <c r="P143" s="16">
        <f t="shared" si="2"/>
        <v>0.08450209844</v>
      </c>
      <c r="Q143" s="16">
        <f>IFERROR(__xludf.DUMMYFUNCTION("IF(OR(ISBLANK($G143), IFERROR(INDEX(GOOGLEFINANCE($C143, ""price"", WORKDAY(INT($B143), 1)), 2, 2), """")=""""), """", IF($D143=""LONG"", (IFERROR(INDEX(GOOGLEFINANCE($C143, ""price"", WORKDAY(INT($B143), 1)), 2, 2), """")-$G143)/$G143, ($G143-IFERROR(IND"&amp;"EX(GOOGLEFINANCE($C143, ""price"", WORKDAY(INT($B143), 1)), 2, 2), """"))/$G143))"),-0.02802747043113317)</f>
        <v>-0.02802747043</v>
      </c>
      <c r="R143" s="16">
        <f>IFERROR(__xludf.DUMMYFUNCTION("IF(OR(ISBLANK($G143), IFERROR(INDEX(GOOGLEFINANCE($C143, ""price"", WORKDAY(INT($B143), 5)), 2, 2), """")=""""), """", IF($D143=""LONG"", (IFERROR(INDEX(GOOGLEFINANCE($C143, ""price"", WORKDAY(INT($B143), 5)), 2, 2), """")-$G143)/$G143, ($G143-IFERROR(IND"&amp;"EX(GOOGLEFINANCE($C143, ""price"", WORKDAY(INT($B143), 5)), 2, 2), """"))/$G143))"),0.012727966425028664)</f>
        <v>0.01272796643</v>
      </c>
      <c r="S143" s="16" t="str">
        <f>IFERROR(__xludf.DUMMYFUNCTION("IF(OR(ISBLANK($G143), IFERROR(INDEX(GOOGLEFINANCE($C143, ""price"", WORKDAY(INT($B143), 20)), 2, 2), """")=""""), """", IF($D143=""LONG"", (IFERROR(INDEX(GOOGLEFINANCE($C143, ""price"", WORKDAY(INT($B143), 20)), 2, 2), """")-$G143)/$G143, ($G143-IFERROR(I"&amp;"NDEX(GOOGLEFINANCE($C143, ""price"", WORKDAY(INT($B143), 20)), 2, 2), """"))/$G143))"),"")</f>
        <v/>
      </c>
      <c r="T143" s="10" t="s">
        <v>3172</v>
      </c>
      <c r="U143" s="10" t="s">
        <v>984</v>
      </c>
      <c r="V143" s="10" t="s">
        <v>985</v>
      </c>
      <c r="W143" s="10" t="s">
        <v>51</v>
      </c>
      <c r="X143" s="10" t="s">
        <v>984</v>
      </c>
    </row>
    <row r="144">
      <c r="A144" s="9">
        <f t="shared" si="1"/>
        <v>143</v>
      </c>
      <c r="B144" s="11">
        <v>46220.667858796296</v>
      </c>
      <c r="C144" s="10" t="s">
        <v>128</v>
      </c>
      <c r="D144" s="10" t="s">
        <v>36</v>
      </c>
      <c r="E144" s="10" t="s">
        <v>37</v>
      </c>
      <c r="F144" s="13">
        <v>2.0</v>
      </c>
      <c r="G144" s="14">
        <v>410.91</v>
      </c>
      <c r="H144" s="10" t="s">
        <v>3173</v>
      </c>
      <c r="I144" s="10">
        <v>88.3</v>
      </c>
      <c r="O144" s="15">
        <f>IFERROR(__xludf.DUMMYFUNCTION("IF(ISBLANK($C144), """", GOOGLEFINANCE($C144, ""price""))"),414.68)</f>
        <v>414.68</v>
      </c>
      <c r="P144" s="16">
        <f t="shared" si="2"/>
        <v>0.009174758463</v>
      </c>
      <c r="Q144" s="16">
        <f>IFERROR(__xludf.DUMMYFUNCTION("IF(OR(ISBLANK($G144), IFERROR(INDEX(GOOGLEFINANCE($C144, ""price"", WORKDAY(INT($B144), 1)), 2, 2), """")=""""), """", IF($D144=""LONG"", (IFERROR(INDEX(GOOGLEFINANCE($C144, ""price"", WORKDAY(INT($B144), 1)), 2, 2), """")-$G144)/$G144, ($G144-IFERROR(IND"&amp;"EX(GOOGLEFINANCE($C144, ""price"", WORKDAY(INT($B144), 1)), 2, 2), """"))/$G144))"),-0.010659268452946027)</f>
        <v>-0.01065926845</v>
      </c>
      <c r="R144" s="16">
        <f>IFERROR(__xludf.DUMMYFUNCTION("IF(OR(ISBLANK($G144), IFERROR(INDEX(GOOGLEFINANCE($C144, ""price"", WORKDAY(INT($B144), 5)), 2, 2), """")=""""), """", IF($D144=""LONG"", (IFERROR(INDEX(GOOGLEFINANCE($C144, ""price"", WORKDAY(INT($B144), 5)), 2, 2), """")-$G144)/$G144, ($G144-IFERROR(IND"&amp;"EX(GOOGLEFINANCE($C144, ""price"", WORKDAY(INT($B144), 5)), 2, 2), """"))/$G144))"),-0.016524299725000656)</f>
        <v>-0.01652429973</v>
      </c>
      <c r="S144" s="16" t="str">
        <f>IFERROR(__xludf.DUMMYFUNCTION("IF(OR(ISBLANK($G144), IFERROR(INDEX(GOOGLEFINANCE($C144, ""price"", WORKDAY(INT($B144), 20)), 2, 2), """")=""""), """", IF($D144=""LONG"", (IFERROR(INDEX(GOOGLEFINANCE($C144, ""price"", WORKDAY(INT($B144), 20)), 2, 2), """")-$G144)/$G144, ($G144-IFERROR(I"&amp;"NDEX(GOOGLEFINANCE($C144, ""price"", WORKDAY(INT($B144), 20)), 2, 2), """"))/$G144))"),"")</f>
        <v/>
      </c>
      <c r="T144" s="10" t="s">
        <v>3174</v>
      </c>
      <c r="U144" s="10" t="s">
        <v>492</v>
      </c>
      <c r="V144" s="10" t="s">
        <v>493</v>
      </c>
      <c r="W144" s="10" t="s">
        <v>51</v>
      </c>
      <c r="X144" s="10" t="s">
        <v>492</v>
      </c>
    </row>
    <row r="145">
      <c r="A145" s="9">
        <f t="shared" si="1"/>
        <v>144</v>
      </c>
      <c r="B145" s="11">
        <v>46220.66769675926</v>
      </c>
      <c r="C145" s="10" t="s">
        <v>162</v>
      </c>
      <c r="D145" s="10" t="s">
        <v>36</v>
      </c>
      <c r="E145" s="10" t="s">
        <v>37</v>
      </c>
      <c r="F145" s="13">
        <v>2.0</v>
      </c>
      <c r="G145" s="14">
        <v>48.08</v>
      </c>
      <c r="H145" s="10" t="s">
        <v>3175</v>
      </c>
      <c r="I145" s="10">
        <v>90.2</v>
      </c>
      <c r="O145" s="15">
        <f>IFERROR(__xludf.DUMMYFUNCTION("IF(ISBLANK($C145), """", GOOGLEFINANCE($C145, ""price""))"),46.94)</f>
        <v>46.94</v>
      </c>
      <c r="P145" s="16">
        <f t="shared" si="2"/>
        <v>-0.02371048253</v>
      </c>
      <c r="Q145" s="16">
        <f>IFERROR(__xludf.DUMMYFUNCTION("IF(OR(ISBLANK($G145), IFERROR(INDEX(GOOGLEFINANCE($C145, ""price"", WORKDAY(INT($B145), 1)), 2, 2), """")=""""), """", IF($D145=""LONG"", (IFERROR(INDEX(GOOGLEFINANCE($C145, ""price"", WORKDAY(INT($B145), 1)), 2, 2), """")-$G145)/$G145, ($G145-IFERROR(IND"&amp;"EX(GOOGLEFINANCE($C145, ""price"", WORKDAY(INT($B145), 1)), 2, 2), """"))/$G145))"),0.005407653910149857)</f>
        <v>0.00540765391</v>
      </c>
      <c r="R145" s="16">
        <f>IFERROR(__xludf.DUMMYFUNCTION("IF(OR(ISBLANK($G145), IFERROR(INDEX(GOOGLEFINANCE($C145, ""price"", WORKDAY(INT($B145), 5)), 2, 2), """")=""""), """", IF($D145=""LONG"", (IFERROR(INDEX(GOOGLEFINANCE($C145, ""price"", WORKDAY(INT($B145), 5)), 2, 2), """")-$G145)/$G145, ($G145-IFERROR(IND"&amp;"EX(GOOGLEFINANCE($C145, ""price"", WORKDAY(INT($B145), 5)), 2, 2), """"))/$G145))"),-0.06239600665557404)</f>
        <v>-0.06239600666</v>
      </c>
      <c r="S145" s="16" t="str">
        <f>IFERROR(__xludf.DUMMYFUNCTION("IF(OR(ISBLANK($G145), IFERROR(INDEX(GOOGLEFINANCE($C145, ""price"", WORKDAY(INT($B145), 20)), 2, 2), """")=""""), """", IF($D145=""LONG"", (IFERROR(INDEX(GOOGLEFINANCE($C145, ""price"", WORKDAY(INT($B145), 20)), 2, 2), """")-$G145)/$G145, ($G145-IFERROR(I"&amp;"NDEX(GOOGLEFINANCE($C145, ""price"", WORKDAY(INT($B145), 20)), 2, 2), """"))/$G145))"),"")</f>
        <v/>
      </c>
      <c r="T145" s="10" t="s">
        <v>3176</v>
      </c>
      <c r="U145" s="10" t="s">
        <v>492</v>
      </c>
      <c r="V145" s="10" t="s">
        <v>493</v>
      </c>
      <c r="W145" s="10" t="s">
        <v>51</v>
      </c>
      <c r="X145" s="10" t="s">
        <v>492</v>
      </c>
    </row>
    <row r="146">
      <c r="A146" s="9">
        <f t="shared" si="1"/>
        <v>145</v>
      </c>
      <c r="B146" s="11">
        <v>46220.667650462965</v>
      </c>
      <c r="C146" s="10" t="s">
        <v>1778</v>
      </c>
      <c r="D146" s="10" t="s">
        <v>36</v>
      </c>
      <c r="E146" s="10" t="s">
        <v>37</v>
      </c>
      <c r="F146" s="13">
        <v>2.0</v>
      </c>
      <c r="G146" s="14">
        <v>87.34</v>
      </c>
      <c r="H146" s="10" t="s">
        <v>3177</v>
      </c>
      <c r="I146" s="10">
        <v>94.0</v>
      </c>
      <c r="O146" s="15">
        <f>IFERROR(__xludf.DUMMYFUNCTION("IF(ISBLANK($C146), """", GOOGLEFINANCE($C146, ""price""))"),76.86)</f>
        <v>76.86</v>
      </c>
      <c r="P146" s="16">
        <f t="shared" si="2"/>
        <v>-0.1199908404</v>
      </c>
      <c r="Q146" s="16">
        <f>IFERROR(__xludf.DUMMYFUNCTION("IF(OR(ISBLANK($G146), IFERROR(INDEX(GOOGLEFINANCE($C146, ""price"", WORKDAY(INT($B146), 1)), 2, 2), """")=""""), """", IF($D146=""LONG"", (IFERROR(INDEX(GOOGLEFINANCE($C146, ""price"", WORKDAY(INT($B146), 1)), 2, 2), """")-$G146)/$G146, ($G146-IFERROR(IND"&amp;"EX(GOOGLEFINANCE($C146, ""price"", WORKDAY(INT($B146), 1)), 2, 2), """"))/$G146))"),-0.006411724295855304)</f>
        <v>-0.006411724296</v>
      </c>
      <c r="R146" s="16">
        <f>IFERROR(__xludf.DUMMYFUNCTION("IF(OR(ISBLANK($G146), IFERROR(INDEX(GOOGLEFINANCE($C146, ""price"", WORKDAY(INT($B146), 5)), 2, 2), """")=""""), """", IF($D146=""LONG"", (IFERROR(INDEX(GOOGLEFINANCE($C146, ""price"", WORKDAY(INT($B146), 5)), 2, 2), """")-$G146)/$G146, ($G146-IFERROR(IND"&amp;"EX(GOOGLEFINANCE($C146, ""price"", WORKDAY(INT($B146), 5)), 2, 2), """"))/$G146))"),0.021868559651934925)</f>
        <v>0.02186855965</v>
      </c>
      <c r="S146" s="16" t="str">
        <f>IFERROR(__xludf.DUMMYFUNCTION("IF(OR(ISBLANK($G146), IFERROR(INDEX(GOOGLEFINANCE($C146, ""price"", WORKDAY(INT($B146), 20)), 2, 2), """")=""""), """", IF($D146=""LONG"", (IFERROR(INDEX(GOOGLEFINANCE($C146, ""price"", WORKDAY(INT($B146), 20)), 2, 2), """")-$G146)/$G146, ($G146-IFERROR(I"&amp;"NDEX(GOOGLEFINANCE($C146, ""price"", WORKDAY(INT($B146), 20)), 2, 2), """"))/$G146))"),"")</f>
        <v/>
      </c>
      <c r="T146" s="10" t="s">
        <v>3178</v>
      </c>
      <c r="U146" s="10" t="s">
        <v>492</v>
      </c>
      <c r="V146" s="10" t="s">
        <v>493</v>
      </c>
      <c r="W146" s="10" t="s">
        <v>51</v>
      </c>
      <c r="X146" s="10" t="s">
        <v>492</v>
      </c>
    </row>
    <row r="147">
      <c r="A147" s="9">
        <f t="shared" si="1"/>
        <v>146</v>
      </c>
      <c r="B147" s="11">
        <v>46220.66769675926</v>
      </c>
      <c r="C147" s="10" t="s">
        <v>207</v>
      </c>
      <c r="D147" s="10" t="s">
        <v>36</v>
      </c>
      <c r="E147" s="10" t="s">
        <v>37</v>
      </c>
      <c r="F147" s="13">
        <v>2.0</v>
      </c>
      <c r="G147" s="14">
        <v>331.29</v>
      </c>
      <c r="H147" s="10" t="s">
        <v>1916</v>
      </c>
      <c r="I147" s="10">
        <v>95.9</v>
      </c>
      <c r="O147" s="15">
        <f>IFERROR(__xludf.DUMMYFUNCTION("IF(ISBLANK($C147), """", GOOGLEFINANCE($C147, ""price""))"),363.42)</f>
        <v>363.42</v>
      </c>
      <c r="P147" s="16">
        <f t="shared" si="2"/>
        <v>0.09698451508</v>
      </c>
      <c r="Q147" s="16">
        <f>IFERROR(__xludf.DUMMYFUNCTION("IF(OR(ISBLANK($G147), IFERROR(INDEX(GOOGLEFINANCE($C147, ""price"", WORKDAY(INT($B147), 1)), 2, 2), """")=""""), """", IF($D147=""LONG"", (IFERROR(INDEX(GOOGLEFINANCE($C147, ""price"", WORKDAY(INT($B147), 1)), 2, 2), """")-$G147)/$G147, ($G147-IFERROR(IND"&amp;"EX(GOOGLEFINANCE($C147, ""price"", WORKDAY(INT($B147), 1)), 2, 2), """"))/$G147))"),-0.02321229134595067)</f>
        <v>-0.02321229135</v>
      </c>
      <c r="R147" s="16">
        <f>IFERROR(__xludf.DUMMYFUNCTION("IF(OR(ISBLANK($G147), IFERROR(INDEX(GOOGLEFINANCE($C147, ""price"", WORKDAY(INT($B147), 5)), 2, 2), """")=""""), """", IF($D147=""LONG"", (IFERROR(INDEX(GOOGLEFINANCE($C147, ""price"", WORKDAY(INT($B147), 5)), 2, 2), """")-$G147)/$G147, ($G147-IFERROR(IND"&amp;"EX(GOOGLEFINANCE($C147, ""price"", WORKDAY(INT($B147), 5)), 2, 2), """"))/$G147))"),-0.04159497721029922)</f>
        <v>-0.04159497721</v>
      </c>
      <c r="S147" s="16" t="str">
        <f>IFERROR(__xludf.DUMMYFUNCTION("IF(OR(ISBLANK($G147), IFERROR(INDEX(GOOGLEFINANCE($C147, ""price"", WORKDAY(INT($B147), 20)), 2, 2), """")=""""), """", IF($D147=""LONG"", (IFERROR(INDEX(GOOGLEFINANCE($C147, ""price"", WORKDAY(INT($B147), 20)), 2, 2), """")-$G147)/$G147, ($G147-IFERROR(I"&amp;"NDEX(GOOGLEFINANCE($C147, ""price"", WORKDAY(INT($B147), 20)), 2, 2), """"))/$G147))"),"")</f>
        <v/>
      </c>
      <c r="T147" s="10" t="s">
        <v>3179</v>
      </c>
      <c r="U147" s="10" t="s">
        <v>492</v>
      </c>
      <c r="V147" s="10" t="s">
        <v>493</v>
      </c>
      <c r="W147" s="10" t="s">
        <v>51</v>
      </c>
      <c r="X147" s="10" t="s">
        <v>492</v>
      </c>
    </row>
    <row r="148">
      <c r="A148" s="9">
        <f t="shared" si="1"/>
        <v>147</v>
      </c>
      <c r="B148" s="11">
        <v>46220.66768518519</v>
      </c>
      <c r="C148" s="10" t="s">
        <v>197</v>
      </c>
      <c r="D148" s="10" t="s">
        <v>36</v>
      </c>
      <c r="E148" s="10" t="s">
        <v>37</v>
      </c>
      <c r="F148" s="13">
        <v>2.0</v>
      </c>
      <c r="G148" s="14">
        <v>210.51</v>
      </c>
      <c r="H148" s="10" t="s">
        <v>3180</v>
      </c>
      <c r="I148" s="10">
        <v>91.3</v>
      </c>
      <c r="O148" s="15">
        <f>IFERROR(__xludf.DUMMYFUNCTION("IF(ISBLANK($C148), """", GOOGLEFINANCE($C148, ""price""))"),238.5)</f>
        <v>238.5</v>
      </c>
      <c r="P148" s="16">
        <f t="shared" si="2"/>
        <v>0.1329628046</v>
      </c>
      <c r="Q148" s="16">
        <f>IFERROR(__xludf.DUMMYFUNCTION("IF(OR(ISBLANK($G148), IFERROR(INDEX(GOOGLEFINANCE($C148, ""price"", WORKDAY(INT($B148), 1)), 2, 2), """")=""""), """", IF($D148=""LONG"", (IFERROR(INDEX(GOOGLEFINANCE($C148, ""price"", WORKDAY(INT($B148), 1)), 2, 2), """")-$G148)/$G148, ($G148-IFERROR(IND"&amp;"EX(GOOGLEFINANCE($C148, ""price"", WORKDAY(INT($B148), 1)), 2, 2), """"))/$G148))"),-0.013538549237565886)</f>
        <v>-0.01353854924</v>
      </c>
      <c r="R148" s="16">
        <f>IFERROR(__xludf.DUMMYFUNCTION("IF(OR(ISBLANK($G148), IFERROR(INDEX(GOOGLEFINANCE($C148, ""price"", WORKDAY(INT($B148), 5)), 2, 2), """")=""""), """", IF($D148=""LONG"", (IFERROR(INDEX(GOOGLEFINANCE($C148, ""price"", WORKDAY(INT($B148), 5)), 2, 2), """")-$G148)/$G148, ($G148-IFERROR(IND"&amp;"EX(GOOGLEFINANCE($C148, ""price"", WORKDAY(INT($B148), 5)), 2, 2), """"))/$G148))"),0.08241888746377855)</f>
        <v>0.08241888746</v>
      </c>
      <c r="S148" s="16" t="str">
        <f>IFERROR(__xludf.DUMMYFUNCTION("IF(OR(ISBLANK($G148), IFERROR(INDEX(GOOGLEFINANCE($C148, ""price"", WORKDAY(INT($B148), 20)), 2, 2), """")=""""), """", IF($D148=""LONG"", (IFERROR(INDEX(GOOGLEFINANCE($C148, ""price"", WORKDAY(INT($B148), 20)), 2, 2), """")-$G148)/$G148, ($G148-IFERROR(I"&amp;"NDEX(GOOGLEFINANCE($C148, ""price"", WORKDAY(INT($B148), 20)), 2, 2), """"))/$G148))"),"")</f>
        <v/>
      </c>
      <c r="T148" s="10" t="s">
        <v>3181</v>
      </c>
      <c r="U148" s="10" t="s">
        <v>492</v>
      </c>
      <c r="V148" s="10" t="s">
        <v>493</v>
      </c>
      <c r="W148" s="10" t="s">
        <v>51</v>
      </c>
      <c r="X148" s="10" t="s">
        <v>492</v>
      </c>
    </row>
    <row r="149">
      <c r="A149" s="9">
        <f t="shared" si="1"/>
        <v>148</v>
      </c>
      <c r="B149" s="11">
        <v>46220.66787037037</v>
      </c>
      <c r="C149" s="10" t="s">
        <v>426</v>
      </c>
      <c r="D149" s="10" t="s">
        <v>36</v>
      </c>
      <c r="E149" s="10" t="s">
        <v>37</v>
      </c>
      <c r="F149" s="13">
        <v>2.0</v>
      </c>
      <c r="G149" s="14">
        <v>532.35</v>
      </c>
      <c r="H149" s="10" t="s">
        <v>3182</v>
      </c>
      <c r="I149" s="10">
        <v>88.0</v>
      </c>
      <c r="O149" s="15">
        <f>IFERROR(__xludf.DUMMYFUNCTION("IF(ISBLANK($C149), """", GOOGLEFINANCE($C149, ""price""))"),580.02)</f>
        <v>580.02</v>
      </c>
      <c r="P149" s="16">
        <f t="shared" si="2"/>
        <v>0.08954635108</v>
      </c>
      <c r="Q149" s="16">
        <f>IFERROR(__xludf.DUMMYFUNCTION("IF(OR(ISBLANK($G149), IFERROR(INDEX(GOOGLEFINANCE($C149, ""price"", WORKDAY(INT($B149), 1)), 2, 2), """")=""""), """", IF($D149=""LONG"", (IFERROR(INDEX(GOOGLEFINANCE($C149, ""price"", WORKDAY(INT($B149), 1)), 2, 2), """")-$G149)/$G149, ($G149-IFERROR(IND"&amp;"EX(GOOGLEFINANCE($C149, ""price"", WORKDAY(INT($B149), 1)), 2, 2), """"))/$G149))"),-0.011496196111580734)</f>
        <v>-0.01149619611</v>
      </c>
      <c r="R149" s="16">
        <f>IFERROR(__xludf.DUMMYFUNCTION("IF(OR(ISBLANK($G149), IFERROR(INDEX(GOOGLEFINANCE($C149, ""price"", WORKDAY(INT($B149), 5)), 2, 2), """")=""""), """", IF($D149=""LONG"", (IFERROR(INDEX(GOOGLEFINANCE($C149, ""price"", WORKDAY(INT($B149), 5)), 2, 2), """")-$G149)/$G149, ($G149-IFERROR(IND"&amp;"EX(GOOGLEFINANCE($C149, ""price"", WORKDAY(INT($B149), 5)), 2, 2), """"))/$G149))"),0.06745562130177508)</f>
        <v>0.0674556213</v>
      </c>
      <c r="S149" s="16" t="str">
        <f>IFERROR(__xludf.DUMMYFUNCTION("IF(OR(ISBLANK($G149), IFERROR(INDEX(GOOGLEFINANCE($C149, ""price"", WORKDAY(INT($B149), 20)), 2, 2), """")=""""), """", IF($D149=""LONG"", (IFERROR(INDEX(GOOGLEFINANCE($C149, ""price"", WORKDAY(INT($B149), 20)), 2, 2), """")-$G149)/$G149, ($G149-IFERROR(I"&amp;"NDEX(GOOGLEFINANCE($C149, ""price"", WORKDAY(INT($B149), 20)), 2, 2), """"))/$G149))"),"")</f>
        <v/>
      </c>
      <c r="T149" s="10" t="s">
        <v>3183</v>
      </c>
      <c r="U149" s="10" t="s">
        <v>984</v>
      </c>
      <c r="V149" s="10" t="s">
        <v>985</v>
      </c>
      <c r="W149" s="10" t="s">
        <v>51</v>
      </c>
      <c r="X149" s="10" t="s">
        <v>984</v>
      </c>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10" t="s">
        <v>17</v>
      </c>
      <c r="V1" s="10" t="s">
        <v>19</v>
      </c>
      <c r="W1" s="10" t="s">
        <v>21</v>
      </c>
      <c r="X1" s="10" t="s">
        <v>474</v>
      </c>
    </row>
    <row r="2">
      <c r="B2" s="43"/>
      <c r="G2" s="15"/>
      <c r="O2" s="15"/>
      <c r="P2" s="16"/>
      <c r="Q2" s="16"/>
      <c r="R2" s="16"/>
      <c r="S2" s="16"/>
    </row>
    <row r="3">
      <c r="B3" s="43"/>
      <c r="G3" s="15"/>
      <c r="O3" s="15"/>
      <c r="P3" s="16"/>
      <c r="Q3" s="16"/>
      <c r="R3" s="16"/>
      <c r="S3" s="16"/>
    </row>
    <row r="4">
      <c r="B4" s="43"/>
      <c r="G4" s="15"/>
      <c r="O4" s="15"/>
      <c r="P4" s="16"/>
      <c r="Q4" s="16"/>
      <c r="R4" s="16"/>
      <c r="S4" s="16"/>
    </row>
    <row r="5">
      <c r="B5" s="43"/>
      <c r="G5" s="15"/>
      <c r="O5" s="15"/>
      <c r="P5" s="16"/>
      <c r="Q5" s="16"/>
      <c r="R5" s="16"/>
      <c r="S5" s="16"/>
    </row>
    <row r="6">
      <c r="B6" s="43"/>
      <c r="G6" s="15"/>
      <c r="O6" s="15"/>
      <c r="P6" s="16"/>
      <c r="Q6" s="16"/>
      <c r="R6" s="16"/>
      <c r="S6" s="16"/>
    </row>
    <row r="7">
      <c r="B7" s="43"/>
      <c r="G7" s="15"/>
      <c r="O7" s="15"/>
      <c r="P7" s="16"/>
      <c r="Q7" s="16"/>
      <c r="R7" s="16"/>
      <c r="S7" s="16"/>
    </row>
    <row r="8">
      <c r="B8" s="43"/>
      <c r="G8" s="15"/>
      <c r="O8" s="15"/>
      <c r="P8" s="16"/>
      <c r="Q8" s="16"/>
      <c r="R8" s="16"/>
      <c r="S8" s="16"/>
    </row>
    <row r="9">
      <c r="B9" s="43"/>
      <c r="G9" s="15"/>
      <c r="O9" s="15"/>
      <c r="P9" s="16"/>
      <c r="Q9" s="16"/>
      <c r="R9" s="16"/>
      <c r="S9" s="16"/>
    </row>
    <row r="10">
      <c r="B10" s="43"/>
      <c r="G10" s="15"/>
      <c r="O10" s="15"/>
      <c r="P10" s="16"/>
      <c r="Q10" s="16"/>
      <c r="R10" s="16"/>
      <c r="S10" s="16"/>
    </row>
    <row r="11">
      <c r="B11" s="43"/>
      <c r="G11" s="15"/>
      <c r="O11" s="15"/>
      <c r="P11" s="16"/>
      <c r="Q11" s="16"/>
      <c r="R11" s="16"/>
      <c r="S11" s="16"/>
    </row>
    <row r="12">
      <c r="B12" s="43"/>
      <c r="G12" s="15"/>
      <c r="O12" s="15"/>
      <c r="P12" s="16"/>
      <c r="Q12" s="16"/>
      <c r="R12" s="16"/>
      <c r="S12" s="16"/>
    </row>
    <row r="13">
      <c r="B13" s="43"/>
      <c r="G13" s="15"/>
      <c r="O13" s="15"/>
      <c r="P13" s="16"/>
      <c r="Q13" s="16"/>
      <c r="R13" s="16"/>
      <c r="S13" s="16"/>
    </row>
    <row r="14">
      <c r="B14" s="43"/>
      <c r="G14" s="15"/>
      <c r="O14" s="15"/>
      <c r="P14" s="16"/>
      <c r="Q14" s="16"/>
      <c r="R14" s="16"/>
      <c r="S14" s="16"/>
    </row>
    <row r="15">
      <c r="B15" s="43"/>
      <c r="G15" s="15"/>
      <c r="O15" s="15"/>
      <c r="P15" s="16"/>
      <c r="Q15" s="16"/>
      <c r="R15" s="16"/>
      <c r="S15" s="16"/>
    </row>
    <row r="16">
      <c r="B16" s="43"/>
      <c r="G16" s="15"/>
      <c r="O16" s="15"/>
      <c r="P16" s="16"/>
      <c r="Q16" s="16"/>
      <c r="R16" s="16"/>
      <c r="S16" s="16"/>
    </row>
    <row r="17">
      <c r="B17" s="43"/>
      <c r="G17" s="15"/>
      <c r="O17" s="15"/>
      <c r="P17" s="16"/>
      <c r="Q17" s="16"/>
      <c r="R17" s="16"/>
      <c r="S17" s="16"/>
    </row>
    <row r="18">
      <c r="B18" s="43"/>
      <c r="G18" s="15"/>
      <c r="O18" s="15"/>
      <c r="P18" s="16"/>
      <c r="Q18" s="16"/>
      <c r="R18" s="16"/>
      <c r="S18" s="16"/>
    </row>
    <row r="19">
      <c r="B19" s="43"/>
      <c r="G19" s="15"/>
      <c r="O19" s="15"/>
      <c r="P19" s="16"/>
      <c r="Q19" s="16"/>
      <c r="R19" s="16"/>
      <c r="S19" s="16"/>
    </row>
    <row r="20">
      <c r="B20" s="43"/>
      <c r="G20" s="15"/>
      <c r="O20" s="15"/>
      <c r="P20" s="16"/>
      <c r="Q20" s="16"/>
      <c r="R20" s="16"/>
      <c r="S20" s="16"/>
    </row>
    <row r="21">
      <c r="B21" s="43"/>
      <c r="G21" s="15"/>
      <c r="O21" s="15"/>
      <c r="P21" s="16"/>
      <c r="Q21" s="16"/>
      <c r="R21" s="16"/>
      <c r="S21" s="16"/>
    </row>
    <row r="22">
      <c r="B22" s="43"/>
      <c r="G22" s="15"/>
      <c r="O22" s="15"/>
      <c r="P22" s="16"/>
      <c r="Q22" s="16"/>
      <c r="R22" s="16"/>
      <c r="S22" s="16"/>
    </row>
    <row r="23">
      <c r="B23" s="43"/>
      <c r="G23" s="15"/>
      <c r="O23" s="15"/>
      <c r="P23" s="16"/>
      <c r="Q23" s="16"/>
      <c r="R23" s="16"/>
      <c r="S23" s="16"/>
    </row>
    <row r="24">
      <c r="B24" s="43"/>
      <c r="G24" s="15"/>
      <c r="O24" s="15"/>
      <c r="P24" s="16"/>
      <c r="Q24" s="16"/>
      <c r="R24" s="16"/>
      <c r="S24" s="16"/>
    </row>
    <row r="25">
      <c r="B25" s="43"/>
      <c r="G25" s="15"/>
      <c r="O25" s="15"/>
      <c r="P25" s="16"/>
      <c r="Q25" s="16"/>
      <c r="R25" s="16"/>
      <c r="S25" s="16"/>
    </row>
    <row r="26">
      <c r="B26" s="43"/>
      <c r="G26" s="15"/>
      <c r="O26" s="15"/>
      <c r="P26" s="16"/>
      <c r="Q26" s="16"/>
      <c r="R26" s="16"/>
      <c r="S26" s="16"/>
    </row>
    <row r="27">
      <c r="B27" s="43"/>
      <c r="G27" s="15"/>
      <c r="O27" s="15"/>
      <c r="P27" s="16"/>
      <c r="Q27" s="16"/>
      <c r="R27" s="16"/>
      <c r="S27" s="16"/>
    </row>
    <row r="28">
      <c r="B28" s="43"/>
      <c r="G28" s="15"/>
      <c r="O28" s="15"/>
      <c r="P28" s="16"/>
      <c r="Q28" s="16"/>
      <c r="R28" s="16"/>
      <c r="S28" s="16"/>
    </row>
    <row r="29">
      <c r="B29" s="43"/>
      <c r="G29" s="15"/>
      <c r="O29" s="15"/>
      <c r="P29" s="16"/>
      <c r="Q29" s="16"/>
      <c r="R29" s="16"/>
      <c r="S29" s="16"/>
    </row>
    <row r="30">
      <c r="B30" s="43"/>
      <c r="G30" s="15"/>
      <c r="O30" s="15"/>
      <c r="P30" s="16"/>
      <c r="Q30" s="16"/>
      <c r="R30" s="16"/>
      <c r="S30" s="16"/>
    </row>
    <row r="31">
      <c r="B31" s="43"/>
      <c r="G31" s="15"/>
      <c r="O31" s="15"/>
      <c r="P31" s="16"/>
      <c r="Q31" s="16"/>
      <c r="R31" s="16"/>
      <c r="S31" s="16"/>
    </row>
    <row r="32">
      <c r="B32" s="43"/>
      <c r="G32" s="15"/>
      <c r="O32" s="15"/>
      <c r="P32" s="16"/>
      <c r="Q32" s="16"/>
      <c r="R32" s="16"/>
      <c r="S32" s="16"/>
    </row>
    <row r="33">
      <c r="B33" s="43"/>
      <c r="G33" s="15"/>
      <c r="O33" s="15"/>
      <c r="P33" s="16"/>
      <c r="Q33" s="16"/>
      <c r="R33" s="16"/>
      <c r="S33" s="16"/>
    </row>
    <row r="34">
      <c r="B34" s="43"/>
      <c r="G34" s="15"/>
      <c r="O34" s="15"/>
      <c r="P34" s="16"/>
      <c r="Q34" s="16"/>
      <c r="R34" s="16"/>
      <c r="S34" s="16"/>
    </row>
    <row r="35">
      <c r="B35" s="43"/>
      <c r="G35" s="15"/>
      <c r="O35" s="15"/>
      <c r="P35" s="16"/>
      <c r="Q35" s="16"/>
      <c r="R35" s="16"/>
      <c r="S35" s="16"/>
    </row>
    <row r="36">
      <c r="B36" s="43"/>
      <c r="G36" s="15"/>
      <c r="O36" s="15"/>
      <c r="P36" s="16"/>
      <c r="Q36" s="16"/>
      <c r="R36" s="16"/>
      <c r="S36" s="16"/>
    </row>
    <row r="37">
      <c r="B37" s="43"/>
      <c r="G37" s="15"/>
      <c r="O37" s="15"/>
      <c r="P37" s="16"/>
      <c r="Q37" s="16"/>
      <c r="R37" s="16"/>
      <c r="S37" s="16"/>
    </row>
    <row r="38">
      <c r="B38" s="43"/>
      <c r="G38" s="15"/>
      <c r="O38" s="15"/>
      <c r="P38" s="16"/>
      <c r="Q38" s="16"/>
      <c r="R38" s="16"/>
      <c r="S38" s="16"/>
    </row>
    <row r="39">
      <c r="B39" s="43"/>
      <c r="G39" s="15"/>
      <c r="O39" s="15"/>
      <c r="P39" s="16"/>
      <c r="Q39" s="16"/>
      <c r="R39" s="16"/>
      <c r="S39" s="16"/>
    </row>
    <row r="40">
      <c r="B40" s="43"/>
      <c r="G40" s="15"/>
      <c r="O40" s="15"/>
      <c r="P40" s="16"/>
      <c r="Q40" s="16"/>
      <c r="R40" s="16"/>
      <c r="S40" s="16"/>
    </row>
    <row r="41">
      <c r="B41" s="43"/>
      <c r="G41" s="15"/>
      <c r="O41" s="15"/>
      <c r="P41" s="16"/>
      <c r="Q41" s="16"/>
      <c r="R41" s="16"/>
      <c r="S41" s="16"/>
    </row>
    <row r="42">
      <c r="B42" s="43"/>
      <c r="G42" s="15"/>
      <c r="O42" s="15"/>
      <c r="P42" s="16"/>
      <c r="Q42" s="16"/>
      <c r="R42" s="16"/>
      <c r="S42" s="16"/>
    </row>
    <row r="43">
      <c r="B43" s="43"/>
      <c r="G43" s="15"/>
      <c r="O43" s="15"/>
      <c r="P43" s="16"/>
      <c r="Q43" s="16"/>
      <c r="R43" s="16"/>
      <c r="S43" s="16"/>
    </row>
    <row r="44">
      <c r="B44" s="43"/>
      <c r="G44" s="15"/>
      <c r="O44" s="15"/>
      <c r="P44" s="16"/>
      <c r="Q44" s="16"/>
      <c r="R44" s="16"/>
      <c r="S44" s="16"/>
    </row>
    <row r="45">
      <c r="B45" s="43"/>
      <c r="G45" s="15"/>
      <c r="O45" s="15"/>
      <c r="P45" s="16"/>
      <c r="Q45" s="16"/>
      <c r="R45" s="16"/>
      <c r="S45" s="16"/>
    </row>
    <row r="46">
      <c r="B46" s="43"/>
      <c r="G46" s="15"/>
      <c r="O46" s="15"/>
      <c r="P46" s="16"/>
      <c r="Q46" s="16"/>
      <c r="R46" s="16"/>
      <c r="S46" s="16"/>
    </row>
    <row r="47">
      <c r="B47" s="43"/>
      <c r="G47" s="15"/>
      <c r="O47" s="15"/>
      <c r="P47" s="16"/>
      <c r="Q47" s="16"/>
      <c r="R47" s="16"/>
      <c r="S47" s="16"/>
    </row>
    <row r="48">
      <c r="B48" s="43"/>
      <c r="G48" s="15"/>
      <c r="O48" s="15"/>
      <c r="P48" s="16"/>
      <c r="Q48" s="16"/>
      <c r="R48" s="16"/>
      <c r="S48" s="16"/>
    </row>
    <row r="49">
      <c r="B49" s="43"/>
      <c r="G49" s="15"/>
      <c r="O49" s="15"/>
      <c r="P49" s="16"/>
      <c r="Q49" s="16"/>
      <c r="R49" s="16"/>
      <c r="S49" s="16"/>
    </row>
    <row r="50">
      <c r="B50" s="43"/>
      <c r="G50" s="15"/>
      <c r="O50" s="15"/>
      <c r="P50" s="16"/>
      <c r="Q50" s="16"/>
      <c r="R50" s="16"/>
      <c r="S50" s="16"/>
    </row>
    <row r="51">
      <c r="B51" s="43"/>
      <c r="G51" s="15"/>
      <c r="O51" s="15"/>
      <c r="P51" s="16"/>
      <c r="Q51" s="16"/>
      <c r="R51" s="16"/>
      <c r="S51" s="16"/>
    </row>
    <row r="52">
      <c r="B52" s="43"/>
      <c r="G52" s="15"/>
      <c r="O52" s="15"/>
      <c r="P52" s="16"/>
      <c r="Q52" s="16"/>
      <c r="R52" s="16"/>
      <c r="S52" s="16"/>
    </row>
    <row r="53">
      <c r="B53" s="43"/>
      <c r="G53" s="15"/>
      <c r="O53" s="15"/>
      <c r="P53" s="16"/>
      <c r="Q53" s="16"/>
      <c r="R53" s="16"/>
      <c r="S53" s="16"/>
    </row>
    <row r="54">
      <c r="B54" s="43"/>
      <c r="G54" s="15"/>
      <c r="O54" s="15"/>
      <c r="P54" s="16"/>
      <c r="Q54" s="16"/>
      <c r="R54" s="16"/>
      <c r="S54" s="16"/>
    </row>
    <row r="55">
      <c r="B55" s="43"/>
      <c r="G55" s="15"/>
      <c r="O55" s="15"/>
      <c r="P55" s="16"/>
      <c r="Q55" s="16"/>
      <c r="R55" s="16"/>
      <c r="S55" s="16"/>
    </row>
    <row r="56">
      <c r="B56" s="43"/>
      <c r="G56" s="15"/>
      <c r="O56" s="15"/>
      <c r="P56" s="16"/>
      <c r="Q56" s="16"/>
      <c r="R56" s="16"/>
      <c r="S56" s="16"/>
    </row>
    <row r="57">
      <c r="B57" s="43"/>
      <c r="G57" s="15"/>
      <c r="O57" s="15"/>
      <c r="P57" s="16"/>
      <c r="Q57" s="16"/>
      <c r="R57" s="16"/>
      <c r="S57" s="16"/>
    </row>
    <row r="58">
      <c r="B58" s="43"/>
      <c r="G58" s="15"/>
      <c r="O58" s="15"/>
      <c r="P58" s="16"/>
      <c r="Q58" s="16"/>
      <c r="R58" s="16"/>
      <c r="S58" s="16"/>
    </row>
    <row r="59">
      <c r="B59" s="43"/>
      <c r="G59" s="15"/>
      <c r="O59" s="15"/>
      <c r="P59" s="16"/>
      <c r="Q59" s="16"/>
      <c r="R59" s="16"/>
      <c r="S59" s="16"/>
    </row>
    <row r="60">
      <c r="B60" s="43"/>
      <c r="G60" s="15"/>
      <c r="O60" s="15"/>
      <c r="P60" s="16"/>
      <c r="Q60" s="16"/>
      <c r="R60" s="16"/>
      <c r="S60" s="16"/>
    </row>
    <row r="61">
      <c r="B61" s="43"/>
      <c r="G61" s="15"/>
      <c r="O61" s="15"/>
      <c r="P61" s="16"/>
      <c r="Q61" s="16"/>
      <c r="R61" s="16"/>
      <c r="S61" s="16"/>
    </row>
    <row r="62">
      <c r="B62" s="43"/>
      <c r="G62" s="15"/>
      <c r="O62" s="15"/>
      <c r="P62" s="16"/>
      <c r="Q62" s="16"/>
      <c r="R62" s="16"/>
      <c r="S62" s="16"/>
    </row>
    <row r="63">
      <c r="B63" s="43"/>
      <c r="G63" s="15"/>
      <c r="O63" s="15"/>
      <c r="P63" s="16"/>
      <c r="Q63" s="16"/>
      <c r="R63" s="16"/>
      <c r="S63" s="16"/>
    </row>
    <row r="64">
      <c r="B64" s="43"/>
      <c r="G64" s="15"/>
      <c r="O64" s="15"/>
      <c r="P64" s="16"/>
      <c r="Q64" s="16"/>
      <c r="R64" s="16"/>
      <c r="S64" s="16"/>
    </row>
    <row r="65">
      <c r="B65" s="43"/>
      <c r="G65" s="15"/>
      <c r="O65" s="15"/>
      <c r="P65" s="16"/>
      <c r="Q65" s="16"/>
      <c r="R65" s="16"/>
      <c r="S65" s="16"/>
    </row>
    <row r="66">
      <c r="B66" s="43"/>
      <c r="G66" s="15"/>
      <c r="O66" s="15"/>
      <c r="P66" s="16"/>
      <c r="Q66" s="16"/>
      <c r="R66" s="16"/>
      <c r="S66" s="16"/>
    </row>
    <row r="67">
      <c r="B67" s="43"/>
      <c r="G67" s="15"/>
      <c r="O67" s="15"/>
      <c r="P67" s="16"/>
      <c r="Q67" s="16"/>
      <c r="R67" s="16"/>
      <c r="S67" s="16"/>
    </row>
    <row r="68">
      <c r="B68" s="43"/>
      <c r="G68" s="15"/>
      <c r="O68" s="15"/>
      <c r="P68" s="16"/>
      <c r="Q68" s="16"/>
      <c r="R68" s="16"/>
      <c r="S68" s="16"/>
    </row>
    <row r="69">
      <c r="B69" s="43"/>
      <c r="G69" s="15"/>
      <c r="O69" s="15"/>
      <c r="P69" s="16"/>
      <c r="Q69" s="16"/>
      <c r="R69" s="16"/>
      <c r="S69" s="16"/>
    </row>
    <row r="70">
      <c r="B70" s="43"/>
      <c r="G70" s="15"/>
      <c r="O70" s="15"/>
      <c r="P70" s="16"/>
      <c r="Q70" s="16"/>
      <c r="R70" s="16"/>
      <c r="S70" s="16"/>
    </row>
    <row r="71">
      <c r="B71" s="43"/>
      <c r="G71" s="15"/>
      <c r="O71" s="15"/>
      <c r="P71" s="16"/>
      <c r="Q71" s="16"/>
      <c r="R71" s="16"/>
      <c r="S71" s="16"/>
    </row>
    <row r="72">
      <c r="B72" s="43"/>
      <c r="G72" s="15"/>
      <c r="O72" s="15"/>
      <c r="P72" s="16"/>
      <c r="Q72" s="16"/>
      <c r="R72" s="16"/>
      <c r="S72" s="16"/>
    </row>
    <row r="73">
      <c r="B73" s="43"/>
      <c r="G73" s="15"/>
      <c r="O73" s="15"/>
      <c r="P73" s="16"/>
      <c r="Q73" s="16"/>
      <c r="R73" s="16"/>
      <c r="S73" s="16"/>
    </row>
    <row r="74">
      <c r="B74" s="43"/>
      <c r="G74" s="15"/>
      <c r="O74" s="15"/>
      <c r="P74" s="16"/>
      <c r="Q74" s="16"/>
      <c r="R74" s="16"/>
      <c r="S74" s="16"/>
    </row>
    <row r="75">
      <c r="B75" s="43"/>
      <c r="G75" s="15"/>
      <c r="O75" s="15"/>
      <c r="P75" s="16"/>
      <c r="Q75" s="16"/>
      <c r="R75" s="16"/>
      <c r="S75" s="16"/>
    </row>
    <row r="76">
      <c r="B76" s="43"/>
      <c r="G76" s="15"/>
      <c r="O76" s="15"/>
      <c r="P76" s="16"/>
      <c r="Q76" s="16"/>
      <c r="R76" s="16"/>
      <c r="S76" s="16"/>
    </row>
    <row r="77">
      <c r="B77" s="43"/>
      <c r="G77" s="15"/>
      <c r="O77" s="15"/>
      <c r="P77" s="16"/>
      <c r="Q77" s="16"/>
      <c r="R77" s="16"/>
      <c r="S77" s="16"/>
    </row>
    <row r="78">
      <c r="B78" s="43"/>
      <c r="G78" s="15"/>
      <c r="O78" s="15"/>
      <c r="P78" s="16"/>
      <c r="Q78" s="16"/>
      <c r="R78" s="16"/>
      <c r="S78" s="16"/>
    </row>
    <row r="79">
      <c r="B79" s="43"/>
      <c r="G79" s="15"/>
      <c r="O79" s="15"/>
      <c r="P79" s="16"/>
      <c r="Q79" s="16"/>
      <c r="R79" s="16"/>
      <c r="S79" s="16"/>
    </row>
    <row r="80">
      <c r="B80" s="43"/>
      <c r="G80" s="15"/>
      <c r="O80" s="15"/>
      <c r="P80" s="16"/>
      <c r="Q80" s="16"/>
      <c r="R80" s="16"/>
      <c r="S80" s="16"/>
    </row>
    <row r="81">
      <c r="B81" s="43"/>
      <c r="G81" s="15"/>
      <c r="O81" s="15"/>
      <c r="P81" s="16"/>
      <c r="Q81" s="16"/>
      <c r="R81" s="16"/>
      <c r="S81" s="16"/>
    </row>
    <row r="82">
      <c r="B82" s="43"/>
      <c r="G82" s="15"/>
      <c r="O82" s="15"/>
      <c r="P82" s="16"/>
      <c r="Q82" s="16"/>
      <c r="R82" s="16"/>
      <c r="S82" s="16"/>
    </row>
    <row r="83">
      <c r="B83" s="43"/>
      <c r="G83" s="15"/>
      <c r="O83" s="15"/>
      <c r="P83" s="16"/>
      <c r="Q83" s="16"/>
      <c r="R83" s="16"/>
      <c r="S83" s="16"/>
    </row>
    <row r="84">
      <c r="B84" s="43"/>
      <c r="G84" s="15"/>
      <c r="O84" s="15"/>
      <c r="P84" s="16"/>
      <c r="Q84" s="16"/>
      <c r="R84" s="16"/>
      <c r="S84" s="16"/>
    </row>
    <row r="85">
      <c r="B85" s="43"/>
      <c r="G85" s="15"/>
      <c r="O85" s="15"/>
      <c r="P85" s="16"/>
      <c r="Q85" s="16"/>
      <c r="R85" s="16"/>
      <c r="S85" s="16"/>
    </row>
    <row r="86">
      <c r="B86" s="43"/>
      <c r="G86" s="15"/>
      <c r="O86" s="15"/>
      <c r="P86" s="16"/>
      <c r="Q86" s="16"/>
      <c r="R86" s="16"/>
      <c r="S86" s="16"/>
    </row>
    <row r="87">
      <c r="B87" s="43"/>
      <c r="G87" s="15"/>
      <c r="O87" s="15"/>
      <c r="P87" s="16"/>
      <c r="Q87" s="16"/>
      <c r="R87" s="16"/>
      <c r="S87" s="16"/>
    </row>
    <row r="88">
      <c r="B88" s="43"/>
      <c r="G88" s="15"/>
      <c r="O88" s="15"/>
      <c r="P88" s="16"/>
      <c r="Q88" s="16"/>
      <c r="R88" s="16"/>
      <c r="S88" s="16"/>
    </row>
    <row r="89">
      <c r="B89" s="43"/>
      <c r="G89" s="15"/>
      <c r="O89" s="15"/>
      <c r="P89" s="16"/>
      <c r="Q89" s="16"/>
      <c r="R89" s="16"/>
      <c r="S89" s="16"/>
    </row>
    <row r="90">
      <c r="B90" s="43"/>
      <c r="G90" s="15"/>
      <c r="O90" s="15"/>
      <c r="P90" s="16"/>
      <c r="Q90" s="16"/>
      <c r="R90" s="16"/>
      <c r="S90" s="16"/>
    </row>
    <row r="91">
      <c r="B91" s="43"/>
      <c r="G91" s="15"/>
      <c r="O91" s="15"/>
      <c r="P91" s="16"/>
      <c r="Q91" s="16"/>
      <c r="R91" s="16"/>
      <c r="S91" s="16"/>
    </row>
    <row r="92">
      <c r="B92" s="43"/>
      <c r="G92" s="15"/>
      <c r="O92" s="15"/>
      <c r="P92" s="16"/>
      <c r="Q92" s="16"/>
      <c r="R92" s="16"/>
      <c r="S92" s="16"/>
    </row>
    <row r="93">
      <c r="B93" s="43"/>
      <c r="G93" s="15"/>
      <c r="O93" s="15"/>
      <c r="P93" s="16"/>
      <c r="Q93" s="16"/>
      <c r="R93" s="16"/>
      <c r="S93" s="16"/>
    </row>
    <row r="94">
      <c r="B94" s="43"/>
      <c r="G94" s="15"/>
      <c r="O94" s="15"/>
      <c r="P94" s="16"/>
      <c r="Q94" s="16"/>
      <c r="R94" s="16"/>
      <c r="S94" s="16"/>
    </row>
    <row r="95">
      <c r="B95" s="43"/>
      <c r="G95" s="15"/>
      <c r="O95" s="15"/>
      <c r="P95" s="16"/>
      <c r="Q95" s="16"/>
      <c r="R95" s="16"/>
      <c r="S95" s="16"/>
    </row>
    <row r="96">
      <c r="B96" s="43"/>
      <c r="G96" s="15"/>
      <c r="O96" s="15"/>
      <c r="P96" s="16"/>
      <c r="Q96" s="16"/>
      <c r="R96" s="16"/>
      <c r="S96" s="16"/>
    </row>
    <row r="97">
      <c r="B97" s="43"/>
      <c r="G97" s="15"/>
      <c r="O97" s="15"/>
      <c r="P97" s="16"/>
      <c r="Q97" s="16"/>
      <c r="R97" s="16"/>
      <c r="S97" s="16"/>
    </row>
    <row r="98">
      <c r="B98" s="43"/>
      <c r="G98" s="15"/>
      <c r="O98" s="15"/>
      <c r="P98" s="16"/>
      <c r="Q98" s="16"/>
      <c r="R98" s="16"/>
      <c r="S98" s="16"/>
    </row>
    <row r="99">
      <c r="B99" s="43"/>
      <c r="G99" s="15"/>
      <c r="O99" s="15"/>
      <c r="P99" s="16"/>
      <c r="Q99" s="16"/>
      <c r="R99" s="16"/>
      <c r="S99" s="16"/>
    </row>
    <row r="100">
      <c r="B100" s="43"/>
      <c r="G100" s="15"/>
      <c r="O100" s="15"/>
      <c r="P100" s="16"/>
      <c r="Q100" s="16"/>
      <c r="R100" s="16"/>
      <c r="S100" s="16"/>
    </row>
    <row r="101">
      <c r="B101" s="43"/>
      <c r="G101" s="15"/>
      <c r="O101" s="15"/>
      <c r="P101" s="16"/>
      <c r="Q101" s="16"/>
      <c r="R101" s="16"/>
      <c r="S101" s="16"/>
    </row>
    <row r="102">
      <c r="B102" s="43"/>
      <c r="G102" s="15"/>
      <c r="O102" s="15"/>
      <c r="P102" s="16"/>
      <c r="Q102" s="16"/>
      <c r="R102" s="16"/>
      <c r="S102" s="16"/>
    </row>
    <row r="103">
      <c r="B103" s="43"/>
      <c r="G103" s="15"/>
      <c r="O103" s="15"/>
      <c r="P103" s="16"/>
      <c r="Q103" s="16"/>
      <c r="R103" s="16"/>
      <c r="S103" s="16"/>
    </row>
    <row r="104">
      <c r="B104" s="43"/>
      <c r="G104" s="15"/>
      <c r="O104" s="15"/>
      <c r="P104" s="16"/>
      <c r="Q104" s="16"/>
      <c r="R104" s="16"/>
      <c r="S104" s="16"/>
    </row>
    <row r="105">
      <c r="B105" s="43"/>
      <c r="G105" s="15"/>
      <c r="O105" s="15"/>
      <c r="P105" s="16"/>
      <c r="Q105" s="16"/>
      <c r="R105" s="16"/>
      <c r="S105" s="16"/>
    </row>
    <row r="106">
      <c r="B106" s="43"/>
      <c r="G106" s="15"/>
      <c r="O106" s="15"/>
      <c r="P106" s="16"/>
      <c r="Q106" s="16"/>
      <c r="R106" s="16"/>
      <c r="S106" s="16"/>
    </row>
    <row r="107">
      <c r="B107" s="43"/>
      <c r="G107" s="15"/>
      <c r="O107" s="15"/>
      <c r="P107" s="16"/>
      <c r="Q107" s="16"/>
      <c r="R107" s="16"/>
      <c r="S107" s="16"/>
    </row>
    <row r="108">
      <c r="B108" s="43"/>
      <c r="G108" s="15"/>
      <c r="O108" s="15"/>
      <c r="P108" s="16"/>
      <c r="Q108" s="16"/>
      <c r="R108" s="16"/>
      <c r="S108" s="16"/>
    </row>
    <row r="109">
      <c r="B109" s="43"/>
      <c r="G109" s="15"/>
      <c r="O109" s="15"/>
      <c r="P109" s="16"/>
      <c r="Q109" s="16"/>
      <c r="R109" s="16"/>
      <c r="S109" s="16"/>
    </row>
    <row r="110">
      <c r="B110" s="43"/>
      <c r="G110" s="15"/>
      <c r="O110" s="15"/>
      <c r="P110" s="16"/>
      <c r="Q110" s="16"/>
      <c r="R110" s="16"/>
      <c r="S110" s="16"/>
    </row>
    <row r="111">
      <c r="B111" s="43"/>
      <c r="G111" s="15"/>
      <c r="O111" s="15"/>
      <c r="P111" s="16"/>
      <c r="Q111" s="16"/>
      <c r="R111" s="16"/>
      <c r="S111" s="16"/>
    </row>
    <row r="112">
      <c r="B112" s="43"/>
      <c r="G112" s="15"/>
      <c r="O112" s="15"/>
      <c r="P112" s="16"/>
      <c r="Q112" s="16"/>
      <c r="R112" s="16"/>
      <c r="S112" s="16"/>
    </row>
    <row r="113">
      <c r="B113" s="43"/>
      <c r="G113" s="15"/>
      <c r="O113" s="15"/>
      <c r="P113" s="16"/>
      <c r="Q113" s="16"/>
      <c r="R113" s="16"/>
      <c r="S113" s="16"/>
    </row>
    <row r="114">
      <c r="B114" s="43"/>
      <c r="G114" s="15"/>
      <c r="O114" s="15"/>
      <c r="P114" s="16"/>
      <c r="Q114" s="16"/>
      <c r="R114" s="16"/>
      <c r="S114" s="16"/>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10" t="s">
        <v>17</v>
      </c>
      <c r="V1" s="10" t="s">
        <v>19</v>
      </c>
      <c r="W1" s="10" t="s">
        <v>21</v>
      </c>
      <c r="X1" s="10" t="s">
        <v>474</v>
      </c>
    </row>
    <row r="2">
      <c r="B2" s="43"/>
      <c r="G2" s="15"/>
      <c r="O2" s="15"/>
      <c r="P2" s="16"/>
      <c r="Q2" s="16"/>
      <c r="R2" s="16"/>
      <c r="S2" s="16"/>
      <c r="U2" s="10" t="s">
        <v>886</v>
      </c>
      <c r="V2" s="10" t="s">
        <v>3184</v>
      </c>
      <c r="W2" s="10" t="s">
        <v>51</v>
      </c>
      <c r="X2" s="10" t="s">
        <v>886</v>
      </c>
    </row>
    <row r="3">
      <c r="B3" s="43"/>
      <c r="G3" s="15"/>
      <c r="O3" s="15"/>
      <c r="P3" s="16"/>
      <c r="Q3" s="16"/>
      <c r="R3" s="16"/>
      <c r="S3" s="16"/>
      <c r="U3" s="10" t="s">
        <v>984</v>
      </c>
      <c r="V3" s="10" t="s">
        <v>998</v>
      </c>
      <c r="W3" s="10" t="s">
        <v>51</v>
      </c>
      <c r="X3" s="10" t="s">
        <v>3185</v>
      </c>
    </row>
    <row r="4">
      <c r="B4" s="43"/>
      <c r="G4" s="15"/>
      <c r="O4" s="15"/>
      <c r="P4" s="16"/>
      <c r="Q4" s="16"/>
      <c r="R4" s="16"/>
      <c r="S4" s="16"/>
      <c r="U4" s="10" t="s">
        <v>932</v>
      </c>
      <c r="V4" s="10" t="s">
        <v>933</v>
      </c>
      <c r="W4" s="10" t="s">
        <v>51</v>
      </c>
      <c r="X4" s="10" t="s">
        <v>3186</v>
      </c>
    </row>
    <row r="5">
      <c r="B5" s="43"/>
      <c r="G5" s="15"/>
      <c r="O5" s="15"/>
      <c r="P5" s="16"/>
      <c r="Q5" s="16"/>
      <c r="R5" s="16"/>
      <c r="S5" s="16"/>
      <c r="U5" s="10" t="s">
        <v>932</v>
      </c>
      <c r="V5" s="10" t="s">
        <v>933</v>
      </c>
      <c r="W5" s="10" t="s">
        <v>51</v>
      </c>
      <c r="X5" s="10" t="s">
        <v>3186</v>
      </c>
    </row>
    <row r="6">
      <c r="B6" s="43"/>
      <c r="G6" s="15"/>
      <c r="O6" s="15"/>
      <c r="P6" s="16"/>
      <c r="Q6" s="16"/>
      <c r="R6" s="16"/>
      <c r="S6" s="16"/>
      <c r="U6" s="10" t="s">
        <v>984</v>
      </c>
      <c r="V6" s="10" t="s">
        <v>985</v>
      </c>
      <c r="W6" s="10" t="s">
        <v>51</v>
      </c>
      <c r="X6" s="10" t="s">
        <v>984</v>
      </c>
    </row>
    <row r="7">
      <c r="B7" s="43"/>
      <c r="G7" s="15"/>
      <c r="O7" s="15"/>
      <c r="P7" s="16"/>
      <c r="Q7" s="16"/>
      <c r="R7" s="16"/>
      <c r="S7" s="16"/>
      <c r="U7" s="10" t="s">
        <v>984</v>
      </c>
      <c r="V7" s="10" t="s">
        <v>1059</v>
      </c>
      <c r="W7" s="10" t="s">
        <v>51</v>
      </c>
      <c r="X7" s="10" t="s">
        <v>984</v>
      </c>
    </row>
    <row r="8">
      <c r="B8" s="43"/>
      <c r="G8" s="15"/>
      <c r="O8" s="15"/>
      <c r="P8" s="16"/>
      <c r="Q8" s="16"/>
      <c r="R8" s="16"/>
      <c r="S8" s="16"/>
      <c r="U8" s="10" t="s">
        <v>240</v>
      </c>
      <c r="V8" s="10" t="s">
        <v>3187</v>
      </c>
      <c r="W8" s="10" t="s">
        <v>51</v>
      </c>
      <c r="X8" s="10" t="s">
        <v>1905</v>
      </c>
    </row>
    <row r="9">
      <c r="B9" s="43"/>
      <c r="G9" s="15"/>
      <c r="O9" s="15"/>
      <c r="P9" s="16"/>
      <c r="Q9" s="16"/>
      <c r="R9" s="16"/>
      <c r="S9" s="16"/>
      <c r="U9" s="10" t="s">
        <v>984</v>
      </c>
      <c r="V9" s="10" t="s">
        <v>933</v>
      </c>
      <c r="W9" s="10" t="s">
        <v>51</v>
      </c>
      <c r="X9" s="10" t="s">
        <v>984</v>
      </c>
    </row>
    <row r="10">
      <c r="B10" s="43"/>
      <c r="G10" s="15"/>
      <c r="O10" s="15"/>
      <c r="P10" s="16"/>
      <c r="Q10" s="16"/>
      <c r="R10" s="16"/>
      <c r="S10" s="16"/>
      <c r="U10" s="10" t="s">
        <v>984</v>
      </c>
      <c r="V10" s="10" t="s">
        <v>998</v>
      </c>
      <c r="W10" s="10" t="s">
        <v>51</v>
      </c>
      <c r="X10" s="10" t="s">
        <v>984</v>
      </c>
    </row>
    <row r="11">
      <c r="B11" s="43"/>
      <c r="G11" s="15"/>
      <c r="O11" s="15"/>
      <c r="P11" s="16"/>
      <c r="Q11" s="16"/>
      <c r="R11" s="16"/>
      <c r="S11" s="16"/>
      <c r="U11" s="10" t="s">
        <v>984</v>
      </c>
      <c r="V11" s="10" t="s">
        <v>2714</v>
      </c>
      <c r="W11" s="10" t="s">
        <v>51</v>
      </c>
      <c r="X11" s="10" t="s">
        <v>984</v>
      </c>
    </row>
    <row r="12">
      <c r="B12" s="43"/>
      <c r="G12" s="15"/>
      <c r="O12" s="15"/>
      <c r="P12" s="16"/>
      <c r="Q12" s="16"/>
      <c r="R12" s="16"/>
      <c r="S12" s="16"/>
      <c r="U12" s="10" t="s">
        <v>886</v>
      </c>
      <c r="V12" s="10" t="s">
        <v>3188</v>
      </c>
      <c r="W12" s="10" t="s">
        <v>51</v>
      </c>
      <c r="X12" s="10" t="s">
        <v>886</v>
      </c>
    </row>
    <row r="13">
      <c r="B13" s="43"/>
      <c r="G13" s="15"/>
      <c r="O13" s="15"/>
      <c r="P13" s="16"/>
      <c r="Q13" s="16"/>
      <c r="R13" s="16"/>
      <c r="S13" s="16"/>
      <c r="U13" s="10" t="s">
        <v>704</v>
      </c>
      <c r="V13" s="10" t="s">
        <v>3189</v>
      </c>
      <c r="W13" s="10" t="s">
        <v>51</v>
      </c>
      <c r="X13" s="10" t="s">
        <v>704</v>
      </c>
    </row>
    <row r="14">
      <c r="B14" s="43"/>
      <c r="G14" s="15"/>
      <c r="O14" s="15"/>
      <c r="P14" s="16"/>
      <c r="Q14" s="16"/>
      <c r="R14" s="16"/>
      <c r="S14" s="16"/>
      <c r="U14" s="10" t="s">
        <v>932</v>
      </c>
      <c r="V14" s="10" t="s">
        <v>933</v>
      </c>
      <c r="W14" s="10" t="s">
        <v>51</v>
      </c>
      <c r="X14" s="10" t="s">
        <v>3186</v>
      </c>
    </row>
    <row r="15">
      <c r="B15" s="43"/>
      <c r="G15" s="15"/>
      <c r="O15" s="15"/>
      <c r="P15" s="16"/>
      <c r="Q15" s="16"/>
      <c r="R15" s="16"/>
      <c r="S15" s="16"/>
      <c r="U15" s="10" t="s">
        <v>984</v>
      </c>
      <c r="V15" s="10" t="s">
        <v>985</v>
      </c>
      <c r="W15" s="10" t="s">
        <v>51</v>
      </c>
      <c r="X15" s="10" t="s">
        <v>3185</v>
      </c>
    </row>
    <row r="16">
      <c r="B16" s="43"/>
      <c r="G16" s="15"/>
      <c r="O16" s="15"/>
      <c r="P16" s="16"/>
      <c r="Q16" s="16"/>
      <c r="R16" s="16"/>
      <c r="S16" s="16"/>
      <c r="U16" s="10" t="s">
        <v>984</v>
      </c>
      <c r="V16" s="10" t="s">
        <v>933</v>
      </c>
      <c r="W16" s="10" t="s">
        <v>51</v>
      </c>
      <c r="X16" s="10" t="s">
        <v>984</v>
      </c>
    </row>
    <row r="17">
      <c r="B17" s="43"/>
      <c r="G17" s="15"/>
      <c r="O17" s="15"/>
      <c r="P17" s="16"/>
      <c r="Q17" s="16"/>
      <c r="R17" s="16"/>
      <c r="S17" s="16"/>
      <c r="U17" s="10" t="s">
        <v>932</v>
      </c>
      <c r="V17" s="10" t="s">
        <v>933</v>
      </c>
      <c r="W17" s="10" t="s">
        <v>51</v>
      </c>
      <c r="X17" s="10" t="s">
        <v>3186</v>
      </c>
    </row>
    <row r="18">
      <c r="B18" s="43"/>
      <c r="G18" s="15"/>
      <c r="O18" s="15"/>
      <c r="P18" s="16"/>
      <c r="Q18" s="16"/>
      <c r="R18" s="16"/>
      <c r="S18" s="16"/>
      <c r="U18" s="10" t="s">
        <v>932</v>
      </c>
      <c r="V18" s="10" t="s">
        <v>933</v>
      </c>
      <c r="W18" s="10" t="s">
        <v>51</v>
      </c>
      <c r="X18" s="10" t="s">
        <v>3186</v>
      </c>
    </row>
    <row r="19">
      <c r="B19" s="43"/>
      <c r="G19" s="15"/>
      <c r="O19" s="15"/>
      <c r="P19" s="16"/>
      <c r="Q19" s="16"/>
      <c r="R19" s="16"/>
      <c r="S19" s="16"/>
      <c r="U19" s="10" t="s">
        <v>507</v>
      </c>
      <c r="V19" s="10" t="s">
        <v>3191</v>
      </c>
      <c r="W19" s="10" t="s">
        <v>51</v>
      </c>
      <c r="X19" s="10" t="s">
        <v>507</v>
      </c>
    </row>
    <row r="20">
      <c r="B20" s="43"/>
      <c r="G20" s="15"/>
      <c r="O20" s="15"/>
      <c r="P20" s="16"/>
      <c r="Q20" s="16"/>
      <c r="R20" s="16"/>
      <c r="S20" s="16"/>
      <c r="U20" s="10" t="s">
        <v>984</v>
      </c>
      <c r="V20" s="10" t="s">
        <v>2714</v>
      </c>
      <c r="W20" s="10" t="s">
        <v>51</v>
      </c>
      <c r="X20" s="10" t="s">
        <v>984</v>
      </c>
    </row>
    <row r="21">
      <c r="B21" s="43"/>
      <c r="G21" s="15"/>
      <c r="O21" s="15"/>
      <c r="P21" s="16"/>
      <c r="Q21" s="16"/>
      <c r="R21" s="16"/>
      <c r="S21" s="16"/>
      <c r="U21" s="10" t="s">
        <v>984</v>
      </c>
      <c r="V21" s="10" t="s">
        <v>985</v>
      </c>
      <c r="W21" s="10" t="s">
        <v>51</v>
      </c>
      <c r="X21" s="10" t="s">
        <v>3185</v>
      </c>
    </row>
    <row r="22">
      <c r="B22" s="43"/>
      <c r="G22" s="15"/>
      <c r="O22" s="15"/>
      <c r="P22" s="16"/>
      <c r="Q22" s="16"/>
      <c r="R22" s="16"/>
      <c r="S22" s="16"/>
      <c r="U22" s="10" t="s">
        <v>886</v>
      </c>
      <c r="V22" s="10" t="s">
        <v>3192</v>
      </c>
      <c r="W22" s="10" t="s">
        <v>51</v>
      </c>
      <c r="X22" s="10" t="s">
        <v>886</v>
      </c>
    </row>
    <row r="23">
      <c r="B23" s="43"/>
      <c r="G23" s="15"/>
      <c r="O23" s="15"/>
      <c r="P23" s="16"/>
      <c r="Q23" s="16"/>
      <c r="R23" s="16"/>
      <c r="S23" s="16"/>
      <c r="U23" s="10" t="s">
        <v>984</v>
      </c>
      <c r="V23" s="10" t="s">
        <v>933</v>
      </c>
      <c r="W23" s="10" t="s">
        <v>51</v>
      </c>
      <c r="X23" s="10" t="s">
        <v>984</v>
      </c>
    </row>
    <row r="24">
      <c r="B24" s="43"/>
      <c r="G24" s="15"/>
      <c r="O24" s="15"/>
      <c r="P24" s="16"/>
      <c r="Q24" s="16"/>
      <c r="R24" s="16"/>
      <c r="S24" s="16"/>
      <c r="U24" s="10" t="s">
        <v>984</v>
      </c>
      <c r="V24" s="10" t="s">
        <v>933</v>
      </c>
      <c r="W24" s="10" t="s">
        <v>51</v>
      </c>
      <c r="X24" s="10" t="s">
        <v>984</v>
      </c>
    </row>
    <row r="25">
      <c r="B25" s="43"/>
      <c r="G25" s="15"/>
      <c r="O25" s="15"/>
      <c r="P25" s="16"/>
      <c r="Q25" s="16"/>
      <c r="R25" s="16"/>
      <c r="S25" s="16"/>
      <c r="U25" s="10" t="s">
        <v>984</v>
      </c>
      <c r="V25" s="10" t="s">
        <v>2714</v>
      </c>
      <c r="W25" s="10" t="s">
        <v>51</v>
      </c>
      <c r="X25" s="10" t="s">
        <v>984</v>
      </c>
    </row>
    <row r="26">
      <c r="B26" s="43"/>
      <c r="G26" s="15"/>
      <c r="O26" s="15"/>
      <c r="P26" s="16"/>
      <c r="Q26" s="16"/>
      <c r="R26" s="16"/>
      <c r="S26" s="16"/>
      <c r="U26" s="10" t="s">
        <v>615</v>
      </c>
      <c r="V26" s="10" t="s">
        <v>3193</v>
      </c>
      <c r="W26" s="10" t="s">
        <v>51</v>
      </c>
      <c r="X26" s="10" t="s">
        <v>615</v>
      </c>
    </row>
    <row r="27">
      <c r="B27" s="43"/>
      <c r="G27" s="15"/>
      <c r="O27" s="15"/>
      <c r="P27" s="16"/>
      <c r="Q27" s="16"/>
      <c r="R27" s="16"/>
      <c r="S27" s="16"/>
      <c r="U27" s="10" t="s">
        <v>984</v>
      </c>
      <c r="V27" s="10" t="s">
        <v>998</v>
      </c>
      <c r="W27" s="10" t="s">
        <v>51</v>
      </c>
      <c r="X27" s="10" t="s">
        <v>3185</v>
      </c>
    </row>
    <row r="28">
      <c r="B28" s="43"/>
      <c r="G28" s="15"/>
      <c r="O28" s="15"/>
      <c r="P28" s="16"/>
      <c r="Q28" s="16"/>
      <c r="R28" s="16"/>
      <c r="S28" s="16"/>
      <c r="U28" s="10" t="s">
        <v>984</v>
      </c>
      <c r="V28" s="10" t="s">
        <v>2714</v>
      </c>
      <c r="W28" s="10" t="s">
        <v>51</v>
      </c>
      <c r="X28" s="10" t="s">
        <v>984</v>
      </c>
    </row>
    <row r="29">
      <c r="B29" s="43"/>
      <c r="G29" s="15"/>
      <c r="O29" s="15"/>
      <c r="P29" s="16"/>
      <c r="Q29" s="16"/>
      <c r="R29" s="16"/>
      <c r="S29" s="16"/>
      <c r="U29" s="10" t="s">
        <v>615</v>
      </c>
      <c r="V29" s="10" t="s">
        <v>3194</v>
      </c>
      <c r="W29" s="10" t="s">
        <v>51</v>
      </c>
      <c r="X29" s="10" t="s">
        <v>615</v>
      </c>
    </row>
    <row r="30">
      <c r="B30" s="43"/>
      <c r="G30" s="15"/>
      <c r="O30" s="15"/>
      <c r="P30" s="16"/>
      <c r="Q30" s="16"/>
      <c r="R30" s="16"/>
      <c r="S30" s="16"/>
      <c r="U30" s="10" t="s">
        <v>984</v>
      </c>
      <c r="V30" s="10" t="s">
        <v>985</v>
      </c>
      <c r="W30" s="10" t="s">
        <v>51</v>
      </c>
      <c r="X30" s="10" t="s">
        <v>3185</v>
      </c>
    </row>
    <row r="31">
      <c r="B31" s="43"/>
      <c r="G31" s="15"/>
      <c r="O31" s="15"/>
      <c r="P31" s="16"/>
      <c r="Q31" s="16"/>
      <c r="R31" s="16"/>
      <c r="S31" s="16"/>
      <c r="U31" s="10" t="s">
        <v>984</v>
      </c>
      <c r="V31" s="10" t="s">
        <v>1059</v>
      </c>
      <c r="W31" s="10" t="s">
        <v>51</v>
      </c>
      <c r="X31" s="10" t="s">
        <v>3185</v>
      </c>
    </row>
    <row r="32">
      <c r="B32" s="43"/>
      <c r="G32" s="15"/>
      <c r="O32" s="15"/>
      <c r="P32" s="16"/>
      <c r="Q32" s="16"/>
      <c r="R32" s="16"/>
      <c r="S32" s="16"/>
      <c r="U32" s="10" t="s">
        <v>932</v>
      </c>
      <c r="V32" s="10" t="s">
        <v>933</v>
      </c>
      <c r="W32" s="10" t="s">
        <v>51</v>
      </c>
      <c r="X32" s="10" t="s">
        <v>3186</v>
      </c>
    </row>
    <row r="33">
      <c r="B33" s="43"/>
      <c r="G33" s="15"/>
      <c r="O33" s="15"/>
      <c r="P33" s="16"/>
      <c r="Q33" s="16"/>
      <c r="R33" s="16"/>
      <c r="S33" s="16"/>
      <c r="U33" s="10" t="s">
        <v>984</v>
      </c>
      <c r="V33" s="10" t="s">
        <v>933</v>
      </c>
      <c r="W33" s="10" t="s">
        <v>51</v>
      </c>
      <c r="X33" s="10" t="s">
        <v>984</v>
      </c>
    </row>
    <row r="34">
      <c r="B34" s="43"/>
      <c r="G34" s="15"/>
      <c r="O34" s="15"/>
      <c r="P34" s="16"/>
      <c r="Q34" s="16"/>
      <c r="R34" s="16"/>
      <c r="S34" s="16"/>
      <c r="U34" s="10" t="s">
        <v>507</v>
      </c>
      <c r="V34" s="10" t="s">
        <v>3197</v>
      </c>
      <c r="W34" s="10" t="s">
        <v>51</v>
      </c>
      <c r="X34" s="10" t="s">
        <v>507</v>
      </c>
    </row>
    <row r="35">
      <c r="B35" s="43"/>
      <c r="G35" s="15"/>
      <c r="O35" s="15"/>
      <c r="P35" s="16"/>
      <c r="Q35" s="16"/>
      <c r="R35" s="16"/>
      <c r="S35" s="16"/>
      <c r="U35" s="10" t="s">
        <v>984</v>
      </c>
      <c r="V35" s="10" t="s">
        <v>933</v>
      </c>
      <c r="W35" s="10" t="s">
        <v>51</v>
      </c>
      <c r="X35" s="10" t="s">
        <v>984</v>
      </c>
    </row>
    <row r="36">
      <c r="B36" s="43"/>
      <c r="G36" s="15"/>
      <c r="O36" s="15"/>
      <c r="P36" s="16"/>
      <c r="Q36" s="16"/>
      <c r="R36" s="16"/>
      <c r="S36" s="16"/>
      <c r="U36" s="10" t="s">
        <v>984</v>
      </c>
      <c r="V36" s="10" t="s">
        <v>2785</v>
      </c>
      <c r="W36" s="10" t="s">
        <v>51</v>
      </c>
      <c r="X36" s="10" t="s">
        <v>984</v>
      </c>
    </row>
    <row r="37">
      <c r="B37" s="43"/>
      <c r="G37" s="15"/>
      <c r="O37" s="15"/>
      <c r="P37" s="16"/>
      <c r="Q37" s="16"/>
      <c r="R37" s="16"/>
      <c r="S37" s="16"/>
      <c r="U37" s="10" t="s">
        <v>704</v>
      </c>
      <c r="V37" s="10" t="s">
        <v>3198</v>
      </c>
      <c r="W37" s="10" t="s">
        <v>51</v>
      </c>
      <c r="X37" s="10" t="s">
        <v>704</v>
      </c>
    </row>
    <row r="38">
      <c r="B38" s="43"/>
      <c r="G38" s="15"/>
      <c r="O38" s="15"/>
      <c r="P38" s="16"/>
      <c r="Q38" s="16"/>
      <c r="R38" s="16"/>
      <c r="S38" s="16"/>
      <c r="U38" s="10" t="s">
        <v>984</v>
      </c>
      <c r="V38" s="10" t="s">
        <v>985</v>
      </c>
      <c r="W38" s="10" t="s">
        <v>51</v>
      </c>
      <c r="X38" s="10" t="s">
        <v>3185</v>
      </c>
    </row>
    <row r="39">
      <c r="B39" s="43"/>
      <c r="G39" s="15"/>
      <c r="O39" s="15"/>
      <c r="P39" s="16"/>
      <c r="Q39" s="16"/>
      <c r="R39" s="16"/>
      <c r="S39" s="16"/>
      <c r="U39" s="10" t="s">
        <v>507</v>
      </c>
      <c r="V39" s="10" t="s">
        <v>3199</v>
      </c>
      <c r="W39" s="10" t="s">
        <v>51</v>
      </c>
      <c r="X39" s="10" t="s">
        <v>507</v>
      </c>
    </row>
    <row r="40">
      <c r="B40" s="43"/>
      <c r="G40" s="15"/>
      <c r="O40" s="15"/>
      <c r="P40" s="16"/>
      <c r="Q40" s="16"/>
      <c r="R40" s="16"/>
      <c r="S40" s="16"/>
      <c r="U40" s="10" t="s">
        <v>984</v>
      </c>
      <c r="V40" s="10" t="s">
        <v>2714</v>
      </c>
      <c r="W40" s="10" t="s">
        <v>51</v>
      </c>
      <c r="X40" s="10" t="s">
        <v>3185</v>
      </c>
    </row>
    <row r="41">
      <c r="B41" s="43"/>
      <c r="G41" s="15"/>
      <c r="O41" s="15"/>
      <c r="P41" s="16"/>
      <c r="Q41" s="16"/>
      <c r="R41" s="16"/>
      <c r="S41" s="16"/>
      <c r="U41" s="10" t="s">
        <v>984</v>
      </c>
      <c r="V41" s="10" t="s">
        <v>985</v>
      </c>
      <c r="W41" s="10" t="s">
        <v>51</v>
      </c>
      <c r="X41" s="10" t="s">
        <v>984</v>
      </c>
    </row>
    <row r="42">
      <c r="B42" s="43"/>
      <c r="G42" s="15"/>
      <c r="O42" s="15"/>
      <c r="P42" s="16"/>
      <c r="Q42" s="16"/>
      <c r="R42" s="16"/>
      <c r="S42" s="16"/>
      <c r="U42" s="10" t="s">
        <v>722</v>
      </c>
      <c r="V42" s="10" t="s">
        <v>3202</v>
      </c>
      <c r="W42" s="10" t="s">
        <v>51</v>
      </c>
      <c r="X42" s="10" t="s">
        <v>722</v>
      </c>
    </row>
    <row r="43">
      <c r="B43" s="43"/>
      <c r="G43" s="15"/>
      <c r="O43" s="15"/>
      <c r="P43" s="16"/>
      <c r="Q43" s="16"/>
      <c r="R43" s="16"/>
      <c r="S43" s="16"/>
      <c r="U43" s="10" t="s">
        <v>984</v>
      </c>
      <c r="V43" s="10" t="s">
        <v>985</v>
      </c>
      <c r="W43" s="10" t="s">
        <v>51</v>
      </c>
      <c r="X43" s="10" t="s">
        <v>3185</v>
      </c>
    </row>
    <row r="44">
      <c r="B44" s="43"/>
      <c r="G44" s="15"/>
      <c r="O44" s="15"/>
      <c r="P44" s="16"/>
      <c r="Q44" s="16"/>
      <c r="R44" s="16"/>
      <c r="S44" s="16"/>
      <c r="U44" s="10" t="s">
        <v>722</v>
      </c>
      <c r="V44" s="10" t="s">
        <v>3205</v>
      </c>
      <c r="W44" s="10" t="s">
        <v>51</v>
      </c>
      <c r="X44" s="10" t="s">
        <v>722</v>
      </c>
    </row>
    <row r="45">
      <c r="B45" s="43"/>
      <c r="G45" s="15"/>
      <c r="O45" s="15"/>
      <c r="P45" s="16"/>
      <c r="Q45" s="16"/>
      <c r="R45" s="16"/>
      <c r="S45" s="16"/>
      <c r="U45" s="10" t="s">
        <v>932</v>
      </c>
      <c r="V45" s="10" t="s">
        <v>933</v>
      </c>
      <c r="W45" s="10" t="s">
        <v>51</v>
      </c>
      <c r="X45" s="10" t="s">
        <v>3186</v>
      </c>
    </row>
    <row r="46">
      <c r="B46" s="43"/>
      <c r="G46" s="15"/>
      <c r="O46" s="15"/>
      <c r="P46" s="16"/>
      <c r="Q46" s="16"/>
      <c r="R46" s="16"/>
      <c r="S46" s="16"/>
      <c r="U46" s="10" t="s">
        <v>984</v>
      </c>
      <c r="V46" s="10" t="s">
        <v>933</v>
      </c>
      <c r="W46" s="10" t="s">
        <v>51</v>
      </c>
      <c r="X46" s="10" t="s">
        <v>984</v>
      </c>
    </row>
    <row r="47">
      <c r="B47" s="43"/>
      <c r="G47" s="15"/>
      <c r="O47" s="15"/>
      <c r="P47" s="16"/>
      <c r="Q47" s="16"/>
      <c r="R47" s="16"/>
      <c r="S47" s="16"/>
      <c r="U47" s="10" t="s">
        <v>984</v>
      </c>
      <c r="V47" s="10" t="s">
        <v>998</v>
      </c>
      <c r="W47" s="10" t="s">
        <v>51</v>
      </c>
      <c r="X47" s="10" t="s">
        <v>3185</v>
      </c>
    </row>
    <row r="48">
      <c r="B48" s="43"/>
      <c r="G48" s="15"/>
      <c r="O48" s="15"/>
      <c r="P48" s="16"/>
      <c r="Q48" s="16"/>
      <c r="R48" s="16"/>
      <c r="S48" s="16"/>
      <c r="U48" s="10" t="s">
        <v>932</v>
      </c>
      <c r="V48" s="10" t="s">
        <v>933</v>
      </c>
      <c r="W48" s="10" t="s">
        <v>51</v>
      </c>
      <c r="X48" s="10" t="s">
        <v>3186</v>
      </c>
    </row>
    <row r="49">
      <c r="B49" s="43"/>
      <c r="G49" s="15"/>
      <c r="O49" s="15"/>
      <c r="P49" s="16"/>
      <c r="Q49" s="16"/>
      <c r="R49" s="16"/>
      <c r="S49" s="16"/>
      <c r="U49" s="10" t="s">
        <v>984</v>
      </c>
      <c r="V49" s="10" t="s">
        <v>2714</v>
      </c>
      <c r="W49" s="10" t="s">
        <v>51</v>
      </c>
      <c r="X49" s="10" t="s">
        <v>984</v>
      </c>
    </row>
    <row r="50">
      <c r="B50" s="43"/>
      <c r="G50" s="15"/>
      <c r="O50" s="15"/>
      <c r="P50" s="16"/>
      <c r="Q50" s="16"/>
      <c r="R50" s="16"/>
      <c r="S50" s="16"/>
      <c r="U50" s="10" t="s">
        <v>984</v>
      </c>
      <c r="V50" s="10" t="s">
        <v>985</v>
      </c>
      <c r="W50" s="10" t="s">
        <v>51</v>
      </c>
      <c r="X50" s="10" t="s">
        <v>984</v>
      </c>
    </row>
    <row r="51">
      <c r="B51" s="43"/>
      <c r="G51" s="15"/>
      <c r="O51" s="15"/>
      <c r="P51" s="16"/>
      <c r="Q51" s="16"/>
      <c r="R51" s="16"/>
      <c r="S51" s="16"/>
      <c r="U51" s="10" t="s">
        <v>615</v>
      </c>
      <c r="V51" s="10" t="s">
        <v>3206</v>
      </c>
      <c r="W51" s="10" t="s">
        <v>51</v>
      </c>
      <c r="X51" s="10" t="s">
        <v>615</v>
      </c>
    </row>
    <row r="52">
      <c r="B52" s="43"/>
      <c r="G52" s="15"/>
      <c r="O52" s="15"/>
      <c r="P52" s="16"/>
      <c r="Q52" s="16"/>
      <c r="R52" s="16"/>
      <c r="S52" s="16"/>
      <c r="U52" s="10" t="s">
        <v>984</v>
      </c>
      <c r="V52" s="10" t="s">
        <v>985</v>
      </c>
      <c r="W52" s="10" t="s">
        <v>51</v>
      </c>
      <c r="X52" s="10" t="s">
        <v>984</v>
      </c>
    </row>
    <row r="53">
      <c r="B53" s="43"/>
      <c r="G53" s="15"/>
      <c r="O53" s="15"/>
      <c r="P53" s="16"/>
      <c r="Q53" s="16"/>
      <c r="R53" s="16"/>
      <c r="S53" s="16"/>
      <c r="U53" s="10" t="s">
        <v>2865</v>
      </c>
      <c r="V53" s="10" t="s">
        <v>3209</v>
      </c>
      <c r="W53" s="10" t="s">
        <v>51</v>
      </c>
      <c r="X53" s="10" t="s">
        <v>2865</v>
      </c>
    </row>
    <row r="54">
      <c r="B54" s="43"/>
      <c r="G54" s="15"/>
      <c r="O54" s="15"/>
      <c r="P54" s="16"/>
      <c r="Q54" s="16"/>
      <c r="R54" s="16"/>
      <c r="S54" s="16"/>
      <c r="U54" s="10" t="s">
        <v>984</v>
      </c>
      <c r="V54" s="10" t="s">
        <v>933</v>
      </c>
      <c r="W54" s="10" t="s">
        <v>51</v>
      </c>
      <c r="X54" s="10" t="s">
        <v>984</v>
      </c>
    </row>
    <row r="55">
      <c r="B55" s="43"/>
      <c r="G55" s="15"/>
      <c r="O55" s="15"/>
      <c r="P55" s="16"/>
      <c r="Q55" s="16"/>
      <c r="R55" s="16"/>
      <c r="S55" s="16"/>
      <c r="U55" s="10" t="s">
        <v>984</v>
      </c>
      <c r="V55" s="10" t="s">
        <v>985</v>
      </c>
      <c r="W55" s="10" t="s">
        <v>51</v>
      </c>
      <c r="X55" s="10" t="s">
        <v>3185</v>
      </c>
    </row>
    <row r="56">
      <c r="B56" s="43"/>
      <c r="G56" s="15"/>
      <c r="O56" s="15"/>
      <c r="P56" s="16"/>
      <c r="Q56" s="16"/>
      <c r="R56" s="16"/>
      <c r="S56" s="16"/>
      <c r="U56" s="10" t="s">
        <v>932</v>
      </c>
      <c r="V56" s="10" t="s">
        <v>933</v>
      </c>
      <c r="W56" s="10" t="s">
        <v>51</v>
      </c>
      <c r="X56" s="10" t="s">
        <v>3186</v>
      </c>
    </row>
    <row r="57">
      <c r="B57" s="43"/>
      <c r="G57" s="15"/>
      <c r="O57" s="15"/>
      <c r="P57" s="16"/>
      <c r="Q57" s="16"/>
      <c r="R57" s="16"/>
      <c r="S57" s="16"/>
      <c r="U57" s="10" t="s">
        <v>984</v>
      </c>
      <c r="V57" s="10" t="s">
        <v>998</v>
      </c>
      <c r="W57" s="10" t="s">
        <v>51</v>
      </c>
      <c r="X57" s="10" t="s">
        <v>3185</v>
      </c>
    </row>
    <row r="58">
      <c r="B58" s="43"/>
      <c r="G58" s="15"/>
      <c r="O58" s="15"/>
      <c r="P58" s="16"/>
      <c r="Q58" s="16"/>
      <c r="R58" s="16"/>
      <c r="S58" s="16"/>
      <c r="U58" s="10" t="s">
        <v>932</v>
      </c>
      <c r="V58" s="10" t="s">
        <v>933</v>
      </c>
      <c r="W58" s="10" t="s">
        <v>51</v>
      </c>
      <c r="X58" s="10" t="s">
        <v>3186</v>
      </c>
    </row>
    <row r="59">
      <c r="B59" s="43"/>
      <c r="G59" s="15"/>
      <c r="O59" s="15"/>
      <c r="P59" s="16"/>
      <c r="Q59" s="16"/>
      <c r="R59" s="16"/>
      <c r="S59" s="16"/>
      <c r="U59" s="10" t="s">
        <v>984</v>
      </c>
      <c r="V59" s="10" t="s">
        <v>985</v>
      </c>
      <c r="W59" s="10" t="s">
        <v>51</v>
      </c>
      <c r="X59" s="10" t="s">
        <v>3185</v>
      </c>
    </row>
    <row r="60">
      <c r="B60" s="43"/>
      <c r="G60" s="15"/>
      <c r="O60" s="15"/>
      <c r="P60" s="16"/>
      <c r="Q60" s="16"/>
      <c r="R60" s="16"/>
      <c r="S60" s="16"/>
      <c r="U60" s="10" t="s">
        <v>984</v>
      </c>
      <c r="V60" s="10" t="s">
        <v>985</v>
      </c>
      <c r="W60" s="10" t="s">
        <v>51</v>
      </c>
      <c r="X60" s="10" t="s">
        <v>984</v>
      </c>
    </row>
    <row r="61">
      <c r="B61" s="43"/>
      <c r="G61" s="15"/>
      <c r="O61" s="15"/>
      <c r="P61" s="16"/>
      <c r="Q61" s="16"/>
      <c r="R61" s="16"/>
      <c r="S61" s="16"/>
      <c r="U61" s="10" t="s">
        <v>984</v>
      </c>
      <c r="V61" s="10" t="s">
        <v>985</v>
      </c>
      <c r="W61" s="10" t="s">
        <v>51</v>
      </c>
      <c r="X61" s="10" t="s">
        <v>3185</v>
      </c>
    </row>
    <row r="62">
      <c r="B62" s="43"/>
      <c r="G62" s="15"/>
      <c r="O62" s="15"/>
      <c r="P62" s="16"/>
      <c r="Q62" s="16"/>
      <c r="R62" s="16"/>
      <c r="S62" s="16"/>
      <c r="U62" s="10" t="s">
        <v>932</v>
      </c>
      <c r="V62" s="10" t="s">
        <v>933</v>
      </c>
      <c r="W62" s="10" t="s">
        <v>51</v>
      </c>
      <c r="X62" s="10" t="s">
        <v>3186</v>
      </c>
    </row>
    <row r="63">
      <c r="B63" s="43"/>
      <c r="G63" s="15"/>
      <c r="O63" s="15"/>
      <c r="P63" s="16"/>
      <c r="Q63" s="16"/>
      <c r="R63" s="16"/>
      <c r="S63" s="16"/>
      <c r="U63" s="10" t="s">
        <v>984</v>
      </c>
      <c r="V63" s="10" t="s">
        <v>2714</v>
      </c>
      <c r="W63" s="10" t="s">
        <v>51</v>
      </c>
      <c r="X63" s="10" t="s">
        <v>984</v>
      </c>
    </row>
    <row r="64">
      <c r="B64" s="43"/>
      <c r="G64" s="15"/>
      <c r="O64" s="15"/>
      <c r="P64" s="16"/>
      <c r="Q64" s="16"/>
      <c r="R64" s="16"/>
      <c r="S64" s="16"/>
      <c r="U64" s="10" t="s">
        <v>984</v>
      </c>
      <c r="V64" s="10" t="s">
        <v>933</v>
      </c>
      <c r="W64" s="10" t="s">
        <v>51</v>
      </c>
      <c r="X64" s="10" t="s">
        <v>984</v>
      </c>
    </row>
    <row r="65">
      <c r="B65" s="43"/>
      <c r="G65" s="15"/>
      <c r="O65" s="15"/>
      <c r="P65" s="16"/>
      <c r="Q65" s="16"/>
      <c r="R65" s="16"/>
      <c r="S65" s="16"/>
      <c r="U65" s="10" t="s">
        <v>704</v>
      </c>
      <c r="V65" s="10" t="s">
        <v>3216</v>
      </c>
      <c r="W65" s="10" t="s">
        <v>51</v>
      </c>
      <c r="X65" s="10" t="s">
        <v>704</v>
      </c>
    </row>
    <row r="66">
      <c r="B66" s="43"/>
      <c r="G66" s="15"/>
      <c r="O66" s="15"/>
      <c r="P66" s="16"/>
      <c r="Q66" s="16"/>
      <c r="R66" s="16"/>
      <c r="S66" s="16"/>
      <c r="U66" s="10" t="s">
        <v>932</v>
      </c>
      <c r="V66" s="10" t="s">
        <v>933</v>
      </c>
      <c r="W66" s="10" t="s">
        <v>51</v>
      </c>
      <c r="X66" s="10" t="s">
        <v>3186</v>
      </c>
    </row>
    <row r="67">
      <c r="B67" s="43"/>
      <c r="G67" s="15"/>
      <c r="O67" s="15"/>
      <c r="P67" s="16"/>
      <c r="Q67" s="16"/>
      <c r="R67" s="16"/>
      <c r="S67" s="16"/>
      <c r="U67" s="10" t="s">
        <v>984</v>
      </c>
      <c r="V67" s="10" t="s">
        <v>998</v>
      </c>
      <c r="W67" s="10" t="s">
        <v>51</v>
      </c>
      <c r="X67" s="10" t="s">
        <v>3185</v>
      </c>
    </row>
    <row r="68">
      <c r="B68" s="43"/>
      <c r="G68" s="15"/>
      <c r="O68" s="15"/>
      <c r="P68" s="16"/>
      <c r="Q68" s="16"/>
      <c r="R68" s="16"/>
      <c r="S68" s="16"/>
      <c r="U68" s="10" t="s">
        <v>984</v>
      </c>
      <c r="V68" s="10" t="s">
        <v>1059</v>
      </c>
      <c r="W68" s="10" t="s">
        <v>51</v>
      </c>
      <c r="X68" s="10" t="s">
        <v>984</v>
      </c>
    </row>
    <row r="69">
      <c r="B69" s="43"/>
      <c r="G69" s="15"/>
      <c r="O69" s="15"/>
      <c r="P69" s="16"/>
      <c r="Q69" s="16"/>
      <c r="R69" s="16"/>
      <c r="S69" s="16"/>
      <c r="U69" s="10" t="s">
        <v>932</v>
      </c>
      <c r="V69" s="10" t="s">
        <v>933</v>
      </c>
      <c r="W69" s="10" t="s">
        <v>51</v>
      </c>
      <c r="X69" s="10" t="s">
        <v>3186</v>
      </c>
    </row>
    <row r="70">
      <c r="B70" s="43"/>
      <c r="G70" s="15"/>
      <c r="O70" s="15"/>
      <c r="P70" s="16"/>
      <c r="Q70" s="16"/>
      <c r="R70" s="16"/>
      <c r="S70" s="16"/>
      <c r="U70" s="10" t="s">
        <v>984</v>
      </c>
      <c r="V70" s="10" t="s">
        <v>2785</v>
      </c>
      <c r="W70" s="10" t="s">
        <v>51</v>
      </c>
      <c r="X70" s="10" t="s">
        <v>984</v>
      </c>
    </row>
    <row r="71">
      <c r="B71" s="43"/>
      <c r="G71" s="15"/>
      <c r="O71" s="15"/>
      <c r="P71" s="16"/>
      <c r="Q71" s="16"/>
      <c r="R71" s="16"/>
      <c r="S71" s="16"/>
      <c r="U71" s="10" t="s">
        <v>984</v>
      </c>
      <c r="V71" s="10" t="s">
        <v>985</v>
      </c>
      <c r="W71" s="10" t="s">
        <v>51</v>
      </c>
      <c r="X71" s="10" t="s">
        <v>984</v>
      </c>
    </row>
    <row r="72">
      <c r="B72" s="43"/>
      <c r="G72" s="15"/>
      <c r="O72" s="15"/>
      <c r="P72" s="16"/>
      <c r="Q72" s="16"/>
      <c r="R72" s="16"/>
      <c r="S72" s="16"/>
      <c r="U72" s="10" t="s">
        <v>932</v>
      </c>
      <c r="V72" s="10" t="s">
        <v>933</v>
      </c>
      <c r="W72" s="10" t="s">
        <v>51</v>
      </c>
      <c r="X72" s="10" t="s">
        <v>3186</v>
      </c>
    </row>
    <row r="73">
      <c r="B73" s="43"/>
      <c r="G73" s="15"/>
      <c r="O73" s="15"/>
      <c r="P73" s="16"/>
      <c r="Q73" s="16"/>
      <c r="R73" s="16"/>
      <c r="S73" s="16"/>
      <c r="U73" s="10" t="s">
        <v>932</v>
      </c>
      <c r="V73" s="10" t="s">
        <v>933</v>
      </c>
      <c r="W73" s="10" t="s">
        <v>51</v>
      </c>
      <c r="X73" s="10" t="s">
        <v>3186</v>
      </c>
    </row>
    <row r="74">
      <c r="B74" s="43"/>
      <c r="G74" s="15"/>
      <c r="O74" s="15"/>
      <c r="P74" s="16"/>
      <c r="Q74" s="16"/>
      <c r="R74" s="16"/>
      <c r="S74" s="16"/>
      <c r="U74" s="10" t="s">
        <v>984</v>
      </c>
      <c r="V74" s="10" t="s">
        <v>2785</v>
      </c>
      <c r="W74" s="10" t="s">
        <v>51</v>
      </c>
      <c r="X74" s="10" t="s">
        <v>984</v>
      </c>
    </row>
    <row r="75">
      <c r="B75" s="43"/>
      <c r="G75" s="15"/>
      <c r="O75" s="15"/>
      <c r="P75" s="16"/>
      <c r="Q75" s="16"/>
      <c r="R75" s="16"/>
      <c r="S75" s="16"/>
      <c r="U75" s="10" t="s">
        <v>984</v>
      </c>
      <c r="V75" s="10" t="s">
        <v>1059</v>
      </c>
      <c r="W75" s="10" t="s">
        <v>51</v>
      </c>
      <c r="X75" s="10" t="s">
        <v>984</v>
      </c>
    </row>
    <row r="76">
      <c r="B76" s="43"/>
      <c r="G76" s="15"/>
      <c r="O76" s="15"/>
      <c r="P76" s="16"/>
      <c r="Q76" s="16"/>
      <c r="R76" s="16"/>
      <c r="S76" s="16"/>
      <c r="U76" s="10" t="s">
        <v>984</v>
      </c>
      <c r="V76" s="10" t="s">
        <v>998</v>
      </c>
      <c r="W76" s="10" t="s">
        <v>51</v>
      </c>
      <c r="X76" s="10" t="s">
        <v>3185</v>
      </c>
    </row>
    <row r="77">
      <c r="B77" s="43"/>
      <c r="G77" s="15"/>
      <c r="O77" s="15"/>
      <c r="P77" s="16"/>
      <c r="Q77" s="16"/>
      <c r="R77" s="16"/>
      <c r="S77" s="16"/>
      <c r="U77" s="10" t="s">
        <v>507</v>
      </c>
      <c r="V77" s="10" t="s">
        <v>3224</v>
      </c>
      <c r="W77" s="10" t="s">
        <v>51</v>
      </c>
      <c r="X77" s="10" t="s">
        <v>507</v>
      </c>
    </row>
    <row r="78">
      <c r="B78" s="43"/>
      <c r="G78" s="15"/>
      <c r="O78" s="15"/>
      <c r="P78" s="16"/>
      <c r="Q78" s="16"/>
      <c r="R78" s="16"/>
      <c r="S78" s="16"/>
      <c r="U78" s="10" t="s">
        <v>984</v>
      </c>
      <c r="V78" s="10" t="s">
        <v>2714</v>
      </c>
      <c r="W78" s="10" t="s">
        <v>51</v>
      </c>
      <c r="X78" s="10" t="s">
        <v>984</v>
      </c>
    </row>
    <row r="79">
      <c r="B79" s="43"/>
      <c r="G79" s="15"/>
      <c r="O79" s="15"/>
      <c r="P79" s="16"/>
      <c r="Q79" s="16"/>
      <c r="R79" s="16"/>
      <c r="S79" s="16"/>
      <c r="U79" s="10" t="s">
        <v>984</v>
      </c>
      <c r="V79" s="10" t="s">
        <v>985</v>
      </c>
      <c r="W79" s="10" t="s">
        <v>51</v>
      </c>
      <c r="X79" s="10" t="s">
        <v>984</v>
      </c>
    </row>
    <row r="80">
      <c r="B80" s="43"/>
      <c r="G80" s="15"/>
      <c r="O80" s="15"/>
      <c r="P80" s="16"/>
      <c r="Q80" s="16"/>
      <c r="R80" s="16"/>
      <c r="S80" s="16"/>
      <c r="U80" s="10" t="s">
        <v>984</v>
      </c>
      <c r="V80" s="10" t="s">
        <v>998</v>
      </c>
      <c r="W80" s="10" t="s">
        <v>51</v>
      </c>
      <c r="X80" s="10" t="s">
        <v>3185</v>
      </c>
    </row>
    <row r="81">
      <c r="B81" s="43"/>
      <c r="G81" s="15"/>
      <c r="O81" s="15"/>
      <c r="P81" s="16"/>
      <c r="Q81" s="16"/>
      <c r="R81" s="16"/>
      <c r="S81" s="16"/>
      <c r="U81" s="10" t="s">
        <v>984</v>
      </c>
      <c r="V81" s="10" t="s">
        <v>998</v>
      </c>
      <c r="W81" s="10" t="s">
        <v>51</v>
      </c>
      <c r="X81" s="10" t="s">
        <v>3185</v>
      </c>
    </row>
    <row r="82">
      <c r="B82" s="43"/>
      <c r="G82" s="15"/>
      <c r="O82" s="15"/>
      <c r="P82" s="16"/>
      <c r="Q82" s="16"/>
      <c r="R82" s="16"/>
      <c r="S82" s="16"/>
      <c r="U82" s="10" t="s">
        <v>932</v>
      </c>
      <c r="V82" s="10" t="s">
        <v>933</v>
      </c>
      <c r="W82" s="10" t="s">
        <v>51</v>
      </c>
      <c r="X82" s="10" t="s">
        <v>3186</v>
      </c>
    </row>
    <row r="83">
      <c r="B83" s="43"/>
      <c r="G83" s="15"/>
      <c r="O83" s="15"/>
      <c r="P83" s="16"/>
      <c r="Q83" s="16"/>
      <c r="R83" s="16"/>
      <c r="S83" s="16"/>
      <c r="U83" s="10" t="s">
        <v>932</v>
      </c>
      <c r="V83" s="10" t="s">
        <v>933</v>
      </c>
      <c r="W83" s="10" t="s">
        <v>51</v>
      </c>
      <c r="X83" s="10" t="s">
        <v>3186</v>
      </c>
    </row>
    <row r="84">
      <c r="B84" s="43"/>
      <c r="G84" s="15"/>
      <c r="O84" s="15"/>
      <c r="P84" s="16"/>
      <c r="Q84" s="16"/>
      <c r="R84" s="16"/>
      <c r="S84" s="16"/>
      <c r="U84" s="10" t="s">
        <v>240</v>
      </c>
      <c r="V84" s="10" t="s">
        <v>3230</v>
      </c>
      <c r="W84" s="10" t="s">
        <v>51</v>
      </c>
      <c r="X84" s="10" t="s">
        <v>1905</v>
      </c>
    </row>
    <row r="85">
      <c r="B85" s="43"/>
      <c r="G85" s="15"/>
      <c r="O85" s="15"/>
      <c r="P85" s="16"/>
      <c r="Q85" s="16"/>
      <c r="R85" s="16"/>
      <c r="S85" s="16"/>
      <c r="U85" s="10" t="s">
        <v>984</v>
      </c>
      <c r="V85" s="10" t="s">
        <v>985</v>
      </c>
      <c r="W85" s="10" t="s">
        <v>51</v>
      </c>
      <c r="X85" s="10" t="s">
        <v>3185</v>
      </c>
    </row>
    <row r="86">
      <c r="B86" s="43"/>
      <c r="G86" s="15"/>
      <c r="O86" s="15"/>
      <c r="P86" s="16"/>
      <c r="Q86" s="16"/>
      <c r="R86" s="16"/>
      <c r="S86" s="16"/>
      <c r="U86" s="10" t="s">
        <v>932</v>
      </c>
      <c r="V86" s="10" t="s">
        <v>933</v>
      </c>
      <c r="W86" s="10" t="s">
        <v>51</v>
      </c>
      <c r="X86" s="10" t="s">
        <v>3186</v>
      </c>
    </row>
    <row r="87">
      <c r="B87" s="43"/>
      <c r="G87" s="15"/>
      <c r="O87" s="15"/>
      <c r="P87" s="16"/>
      <c r="Q87" s="16"/>
      <c r="R87" s="16"/>
      <c r="S87" s="16"/>
      <c r="U87" s="10" t="s">
        <v>984</v>
      </c>
      <c r="V87" s="10" t="s">
        <v>985</v>
      </c>
      <c r="W87" s="10" t="s">
        <v>51</v>
      </c>
      <c r="X87" s="10" t="s">
        <v>984</v>
      </c>
    </row>
    <row r="88">
      <c r="B88" s="43"/>
      <c r="G88" s="15"/>
      <c r="O88" s="15"/>
      <c r="P88" s="16"/>
      <c r="Q88" s="16"/>
      <c r="R88" s="16"/>
      <c r="S88" s="16"/>
      <c r="U88" s="10" t="s">
        <v>886</v>
      </c>
      <c r="V88" s="10" t="s">
        <v>3234</v>
      </c>
      <c r="W88" s="10" t="s">
        <v>51</v>
      </c>
      <c r="X88" s="10" t="s">
        <v>886</v>
      </c>
    </row>
    <row r="89">
      <c r="B89" s="43"/>
      <c r="G89" s="15"/>
      <c r="O89" s="15"/>
      <c r="P89" s="16"/>
      <c r="Q89" s="16"/>
      <c r="R89" s="16"/>
      <c r="S89" s="16"/>
      <c r="U89" s="10" t="s">
        <v>984</v>
      </c>
      <c r="V89" s="10" t="s">
        <v>2785</v>
      </c>
      <c r="W89" s="10" t="s">
        <v>51</v>
      </c>
      <c r="X89" s="10" t="s">
        <v>984</v>
      </c>
    </row>
    <row r="90">
      <c r="B90" s="43"/>
      <c r="G90" s="15"/>
      <c r="O90" s="15"/>
      <c r="P90" s="16"/>
      <c r="Q90" s="16"/>
      <c r="R90" s="16"/>
      <c r="S90" s="16"/>
      <c r="U90" s="10" t="s">
        <v>932</v>
      </c>
      <c r="V90" s="10" t="s">
        <v>933</v>
      </c>
      <c r="W90" s="10" t="s">
        <v>51</v>
      </c>
      <c r="X90" s="10" t="s">
        <v>3186</v>
      </c>
    </row>
    <row r="91">
      <c r="B91" s="43"/>
      <c r="G91" s="15"/>
      <c r="O91" s="15"/>
      <c r="P91" s="16"/>
      <c r="Q91" s="16"/>
      <c r="R91" s="16"/>
      <c r="S91" s="16"/>
      <c r="U91" s="10" t="s">
        <v>932</v>
      </c>
      <c r="V91" s="10" t="s">
        <v>933</v>
      </c>
      <c r="W91" s="10" t="s">
        <v>51</v>
      </c>
      <c r="X91" s="10" t="s">
        <v>3186</v>
      </c>
    </row>
    <row r="92">
      <c r="B92" s="43"/>
      <c r="G92" s="15"/>
      <c r="O92" s="15"/>
      <c r="P92" s="16"/>
      <c r="Q92" s="16"/>
      <c r="R92" s="16"/>
      <c r="S92" s="16"/>
      <c r="U92" s="10" t="s">
        <v>984</v>
      </c>
      <c r="V92" s="10" t="s">
        <v>985</v>
      </c>
      <c r="W92" s="10" t="s">
        <v>51</v>
      </c>
      <c r="X92" s="10" t="s">
        <v>3185</v>
      </c>
    </row>
    <row r="93">
      <c r="B93" s="43"/>
      <c r="G93" s="15"/>
      <c r="O93" s="15"/>
      <c r="P93" s="16"/>
      <c r="Q93" s="16"/>
      <c r="R93" s="16"/>
      <c r="S93" s="16"/>
      <c r="U93" s="10" t="s">
        <v>932</v>
      </c>
      <c r="V93" s="10" t="s">
        <v>933</v>
      </c>
      <c r="W93" s="10" t="s">
        <v>51</v>
      </c>
      <c r="X93" s="10" t="s">
        <v>3186</v>
      </c>
    </row>
    <row r="94">
      <c r="B94" s="43"/>
      <c r="G94" s="15"/>
      <c r="O94" s="15"/>
      <c r="P94" s="16"/>
      <c r="Q94" s="16"/>
      <c r="R94" s="16"/>
      <c r="S94" s="16"/>
      <c r="U94" s="10" t="s">
        <v>932</v>
      </c>
      <c r="V94" s="10" t="s">
        <v>933</v>
      </c>
      <c r="W94" s="10" t="s">
        <v>51</v>
      </c>
      <c r="X94" s="10" t="s">
        <v>3186</v>
      </c>
    </row>
    <row r="95">
      <c r="B95" s="43"/>
      <c r="G95" s="15"/>
      <c r="O95" s="15"/>
      <c r="P95" s="16"/>
      <c r="Q95" s="16"/>
      <c r="R95" s="16"/>
      <c r="S95" s="16"/>
      <c r="U95" s="10" t="s">
        <v>984</v>
      </c>
      <c r="V95" s="10" t="s">
        <v>998</v>
      </c>
      <c r="W95" s="10" t="s">
        <v>51</v>
      </c>
      <c r="X95" s="10" t="s">
        <v>984</v>
      </c>
    </row>
    <row r="96">
      <c r="B96" s="43"/>
      <c r="G96" s="15"/>
      <c r="O96" s="15"/>
      <c r="P96" s="16"/>
      <c r="Q96" s="16"/>
      <c r="R96" s="16"/>
      <c r="S96" s="16"/>
      <c r="U96" s="10" t="s">
        <v>984</v>
      </c>
      <c r="V96" s="10" t="s">
        <v>2714</v>
      </c>
      <c r="W96" s="10" t="s">
        <v>51</v>
      </c>
      <c r="X96" s="10" t="s">
        <v>3185</v>
      </c>
    </row>
    <row r="97">
      <c r="B97" s="43"/>
      <c r="G97" s="15"/>
      <c r="O97" s="15"/>
      <c r="P97" s="16"/>
      <c r="Q97" s="16"/>
      <c r="R97" s="16"/>
      <c r="S97" s="16"/>
      <c r="U97" s="10" t="s">
        <v>932</v>
      </c>
      <c r="V97" s="10" t="s">
        <v>933</v>
      </c>
      <c r="W97" s="10" t="s">
        <v>51</v>
      </c>
      <c r="X97" s="10" t="s">
        <v>3186</v>
      </c>
    </row>
    <row r="98">
      <c r="B98" s="43"/>
      <c r="G98" s="15"/>
      <c r="O98" s="15"/>
      <c r="P98" s="16"/>
      <c r="Q98" s="16"/>
      <c r="R98" s="16"/>
      <c r="S98" s="16"/>
      <c r="U98" s="10" t="s">
        <v>984</v>
      </c>
      <c r="V98" s="10" t="s">
        <v>985</v>
      </c>
      <c r="W98" s="10" t="s">
        <v>51</v>
      </c>
      <c r="X98" s="10" t="s">
        <v>984</v>
      </c>
    </row>
    <row r="99">
      <c r="B99" s="43"/>
      <c r="G99" s="15"/>
      <c r="O99" s="15"/>
      <c r="P99" s="16"/>
      <c r="Q99" s="16"/>
      <c r="R99" s="16"/>
      <c r="S99" s="16"/>
      <c r="U99" s="10" t="s">
        <v>984</v>
      </c>
      <c r="V99" s="10" t="s">
        <v>985</v>
      </c>
      <c r="W99" s="10" t="s">
        <v>51</v>
      </c>
      <c r="X99" s="10" t="s">
        <v>984</v>
      </c>
    </row>
    <row r="100">
      <c r="B100" s="43"/>
      <c r="G100" s="15"/>
      <c r="O100" s="15"/>
      <c r="P100" s="16"/>
      <c r="Q100" s="16"/>
      <c r="R100" s="16"/>
      <c r="S100" s="16"/>
      <c r="U100" s="10" t="s">
        <v>932</v>
      </c>
      <c r="V100" s="10" t="s">
        <v>933</v>
      </c>
      <c r="W100" s="10" t="s">
        <v>51</v>
      </c>
      <c r="X100" s="10" t="s">
        <v>3186</v>
      </c>
    </row>
    <row r="101">
      <c r="B101" s="43"/>
      <c r="G101" s="15"/>
      <c r="O101" s="15"/>
      <c r="P101" s="16"/>
      <c r="Q101" s="16"/>
      <c r="R101" s="16"/>
      <c r="S101" s="16"/>
      <c r="U101" s="10" t="s">
        <v>984</v>
      </c>
      <c r="V101" s="10" t="s">
        <v>998</v>
      </c>
      <c r="W101" s="10" t="s">
        <v>51</v>
      </c>
      <c r="X101" s="10" t="s">
        <v>984</v>
      </c>
    </row>
    <row r="102">
      <c r="B102" s="43"/>
      <c r="G102" s="15"/>
      <c r="O102" s="15"/>
      <c r="P102" s="16"/>
      <c r="Q102" s="16"/>
      <c r="R102" s="16"/>
      <c r="S102" s="16"/>
      <c r="U102" s="10" t="s">
        <v>615</v>
      </c>
      <c r="V102" s="10" t="s">
        <v>3245</v>
      </c>
      <c r="W102" s="10" t="s">
        <v>51</v>
      </c>
      <c r="X102" s="10" t="s">
        <v>615</v>
      </c>
    </row>
    <row r="103">
      <c r="B103" s="43"/>
      <c r="G103" s="15"/>
      <c r="O103" s="15"/>
      <c r="P103" s="16"/>
      <c r="Q103" s="16"/>
      <c r="R103" s="16"/>
      <c r="S103" s="16"/>
      <c r="U103" s="10" t="s">
        <v>932</v>
      </c>
      <c r="V103" s="10" t="s">
        <v>933</v>
      </c>
      <c r="W103" s="10" t="s">
        <v>51</v>
      </c>
      <c r="X103" s="10" t="s">
        <v>3186</v>
      </c>
    </row>
    <row r="104">
      <c r="B104" s="43"/>
      <c r="G104" s="15"/>
      <c r="O104" s="15"/>
      <c r="P104" s="16"/>
      <c r="Q104" s="16"/>
      <c r="R104" s="16"/>
      <c r="S104" s="16"/>
      <c r="U104" s="10" t="s">
        <v>932</v>
      </c>
      <c r="V104" s="10" t="s">
        <v>933</v>
      </c>
      <c r="W104" s="10" t="s">
        <v>51</v>
      </c>
      <c r="X104" s="10" t="s">
        <v>3186</v>
      </c>
    </row>
    <row r="105">
      <c r="B105" s="43"/>
      <c r="G105" s="15"/>
      <c r="O105" s="15"/>
      <c r="P105" s="16"/>
      <c r="Q105" s="16"/>
      <c r="R105" s="16"/>
      <c r="S105" s="16"/>
      <c r="U105" s="10" t="s">
        <v>932</v>
      </c>
      <c r="V105" s="10" t="s">
        <v>933</v>
      </c>
      <c r="W105" s="10" t="s">
        <v>51</v>
      </c>
      <c r="X105" s="10" t="s">
        <v>3186</v>
      </c>
    </row>
    <row r="106">
      <c r="B106" s="43"/>
      <c r="G106" s="15"/>
      <c r="O106" s="15"/>
      <c r="P106" s="16"/>
      <c r="Q106" s="16"/>
      <c r="R106" s="16"/>
      <c r="S106" s="16"/>
      <c r="U106" s="10" t="s">
        <v>984</v>
      </c>
      <c r="V106" s="10" t="s">
        <v>1059</v>
      </c>
      <c r="W106" s="10" t="s">
        <v>51</v>
      </c>
      <c r="X106" s="10" t="s">
        <v>984</v>
      </c>
    </row>
    <row r="107">
      <c r="B107" s="43"/>
      <c r="G107" s="15"/>
      <c r="O107" s="15"/>
      <c r="P107" s="16"/>
      <c r="Q107" s="16"/>
      <c r="R107" s="16"/>
      <c r="S107" s="16"/>
      <c r="U107" s="10" t="s">
        <v>984</v>
      </c>
      <c r="V107" s="10" t="s">
        <v>985</v>
      </c>
      <c r="W107" s="10" t="s">
        <v>51</v>
      </c>
      <c r="X107" s="10" t="s">
        <v>984</v>
      </c>
    </row>
    <row r="108">
      <c r="B108" s="43"/>
      <c r="G108" s="15"/>
      <c r="O108" s="15"/>
      <c r="P108" s="16"/>
      <c r="Q108" s="16"/>
      <c r="R108" s="16"/>
      <c r="S108" s="16"/>
      <c r="U108" s="10" t="s">
        <v>984</v>
      </c>
      <c r="V108" s="10" t="s">
        <v>985</v>
      </c>
      <c r="W108" s="10" t="s">
        <v>51</v>
      </c>
      <c r="X108" s="10" t="s">
        <v>984</v>
      </c>
    </row>
    <row r="109">
      <c r="B109" s="43"/>
      <c r="G109" s="15"/>
      <c r="O109" s="15"/>
      <c r="P109" s="16"/>
      <c r="Q109" s="16"/>
      <c r="R109" s="16"/>
      <c r="S109" s="16"/>
      <c r="U109" s="10" t="s">
        <v>984</v>
      </c>
      <c r="V109" s="10" t="s">
        <v>2785</v>
      </c>
      <c r="W109" s="10" t="s">
        <v>51</v>
      </c>
      <c r="X109" s="10" t="s">
        <v>984</v>
      </c>
    </row>
    <row r="110">
      <c r="B110" s="43"/>
      <c r="G110" s="15"/>
      <c r="O110" s="15"/>
      <c r="P110" s="16"/>
      <c r="Q110" s="16"/>
      <c r="R110" s="16"/>
      <c r="S110" s="16"/>
      <c r="U110" s="10" t="s">
        <v>932</v>
      </c>
      <c r="V110" s="10" t="s">
        <v>933</v>
      </c>
      <c r="W110" s="10" t="s">
        <v>51</v>
      </c>
      <c r="X110" s="10" t="s">
        <v>3186</v>
      </c>
    </row>
    <row r="111">
      <c r="B111" s="43"/>
      <c r="G111" s="15"/>
      <c r="O111" s="15"/>
      <c r="P111" s="16"/>
      <c r="Q111" s="16"/>
      <c r="R111" s="16"/>
      <c r="S111" s="16"/>
      <c r="U111" s="10" t="s">
        <v>492</v>
      </c>
      <c r="V111" s="10" t="s">
        <v>493</v>
      </c>
      <c r="W111" s="10" t="s">
        <v>51</v>
      </c>
      <c r="X111" s="10" t="s">
        <v>492</v>
      </c>
    </row>
    <row r="112">
      <c r="B112" s="43"/>
      <c r="G112" s="15"/>
      <c r="O112" s="15"/>
      <c r="P112" s="16"/>
      <c r="Q112" s="16"/>
      <c r="R112" s="16"/>
      <c r="S112" s="16"/>
      <c r="U112" s="10" t="s">
        <v>932</v>
      </c>
      <c r="V112" s="10" t="s">
        <v>933</v>
      </c>
      <c r="W112" s="10" t="s">
        <v>51</v>
      </c>
      <c r="X112" s="10" t="s">
        <v>3186</v>
      </c>
    </row>
    <row r="113">
      <c r="B113" s="43"/>
      <c r="G113" s="15"/>
      <c r="O113" s="15"/>
      <c r="P113" s="16"/>
      <c r="Q113" s="16"/>
      <c r="R113" s="16"/>
      <c r="S113" s="16"/>
      <c r="U113" s="10" t="s">
        <v>984</v>
      </c>
      <c r="V113" s="10" t="s">
        <v>2785</v>
      </c>
      <c r="W113" s="10" t="s">
        <v>51</v>
      </c>
      <c r="X113" s="10" t="s">
        <v>984</v>
      </c>
    </row>
    <row r="114">
      <c r="B114" s="43"/>
      <c r="G114" s="15"/>
      <c r="O114" s="15"/>
      <c r="P114" s="16"/>
      <c r="Q114" s="16"/>
      <c r="R114" s="16"/>
      <c r="S114" s="16"/>
      <c r="U114" s="10" t="s">
        <v>984</v>
      </c>
      <c r="V114" s="10" t="s">
        <v>985</v>
      </c>
      <c r="W114" s="10" t="s">
        <v>51</v>
      </c>
      <c r="X114" s="10" t="s">
        <v>984</v>
      </c>
    </row>
    <row r="115">
      <c r="B115" s="43"/>
      <c r="G115" s="15"/>
      <c r="O115" s="15"/>
      <c r="P115" s="16"/>
      <c r="Q115" s="16"/>
      <c r="R115" s="16"/>
      <c r="S115" s="16"/>
      <c r="U115" s="10" t="s">
        <v>984</v>
      </c>
      <c r="V115" s="10" t="s">
        <v>985</v>
      </c>
      <c r="W115" s="10" t="s">
        <v>51</v>
      </c>
      <c r="X115" s="10" t="s">
        <v>3185</v>
      </c>
    </row>
    <row r="116">
      <c r="B116" s="43"/>
      <c r="G116" s="15"/>
      <c r="O116" s="15"/>
      <c r="P116" s="16"/>
      <c r="Q116" s="16"/>
      <c r="R116" s="16"/>
      <c r="S116" s="16"/>
      <c r="U116" s="10" t="s">
        <v>932</v>
      </c>
      <c r="V116" s="10" t="s">
        <v>933</v>
      </c>
      <c r="W116" s="10" t="s">
        <v>51</v>
      </c>
      <c r="X116" s="10" t="s">
        <v>3186</v>
      </c>
    </row>
    <row r="117">
      <c r="B117" s="43"/>
      <c r="G117" s="15"/>
      <c r="O117" s="15"/>
      <c r="P117" s="16"/>
      <c r="Q117" s="16"/>
      <c r="R117" s="16"/>
      <c r="S117" s="16"/>
      <c r="U117" s="10" t="s">
        <v>984</v>
      </c>
      <c r="V117" s="10" t="s">
        <v>985</v>
      </c>
      <c r="W117" s="10" t="s">
        <v>51</v>
      </c>
      <c r="X117" s="10" t="s">
        <v>984</v>
      </c>
    </row>
    <row r="118">
      <c r="B118" s="43"/>
      <c r="G118" s="15"/>
      <c r="O118" s="15"/>
      <c r="P118" s="16"/>
      <c r="Q118" s="16"/>
      <c r="R118" s="16"/>
      <c r="S118" s="16"/>
      <c r="U118" s="10" t="s">
        <v>984</v>
      </c>
      <c r="V118" s="10" t="s">
        <v>985</v>
      </c>
      <c r="W118" s="10" t="s">
        <v>51</v>
      </c>
      <c r="X118" s="10" t="s">
        <v>3185</v>
      </c>
    </row>
    <row r="119">
      <c r="B119" s="43"/>
      <c r="G119" s="15"/>
      <c r="O119" s="15"/>
      <c r="P119" s="16"/>
      <c r="Q119" s="16"/>
      <c r="R119" s="16"/>
      <c r="S119" s="16"/>
      <c r="U119" s="10" t="s">
        <v>886</v>
      </c>
      <c r="V119" s="10" t="s">
        <v>3254</v>
      </c>
      <c r="W119" s="10" t="s">
        <v>51</v>
      </c>
      <c r="X119" s="10" t="s">
        <v>886</v>
      </c>
    </row>
    <row r="120">
      <c r="B120" s="43"/>
      <c r="G120" s="15"/>
      <c r="O120" s="15"/>
      <c r="P120" s="16"/>
      <c r="Q120" s="16"/>
      <c r="R120" s="16"/>
      <c r="S120" s="16"/>
      <c r="U120" s="10" t="s">
        <v>984</v>
      </c>
      <c r="V120" s="10" t="s">
        <v>985</v>
      </c>
      <c r="W120" s="10" t="s">
        <v>51</v>
      </c>
      <c r="X120" s="10" t="s">
        <v>984</v>
      </c>
    </row>
    <row r="121">
      <c r="B121" s="43"/>
      <c r="G121" s="15"/>
      <c r="O121" s="15"/>
      <c r="P121" s="16"/>
      <c r="Q121" s="16"/>
      <c r="R121" s="16"/>
      <c r="S121" s="16"/>
      <c r="U121" s="10" t="s">
        <v>984</v>
      </c>
      <c r="V121" s="10" t="s">
        <v>998</v>
      </c>
      <c r="W121" s="10" t="s">
        <v>51</v>
      </c>
      <c r="X121" s="10" t="s">
        <v>984</v>
      </c>
    </row>
    <row r="122">
      <c r="B122" s="43"/>
      <c r="G122" s="15"/>
      <c r="O122" s="15"/>
      <c r="P122" s="16"/>
      <c r="Q122" s="16"/>
      <c r="R122" s="16"/>
      <c r="S122" s="16"/>
      <c r="U122" s="10" t="s">
        <v>932</v>
      </c>
      <c r="V122" s="10" t="s">
        <v>933</v>
      </c>
      <c r="W122" s="10" t="s">
        <v>51</v>
      </c>
      <c r="X122" s="10" t="s">
        <v>3186</v>
      </c>
    </row>
    <row r="123">
      <c r="B123" s="43"/>
      <c r="G123" s="15"/>
      <c r="O123" s="15"/>
      <c r="P123" s="16"/>
      <c r="Q123" s="16"/>
      <c r="R123" s="16"/>
      <c r="S123" s="16"/>
      <c r="U123" s="10" t="s">
        <v>984</v>
      </c>
      <c r="V123" s="10" t="s">
        <v>985</v>
      </c>
      <c r="W123" s="10" t="s">
        <v>51</v>
      </c>
      <c r="X123" s="10" t="s">
        <v>984</v>
      </c>
    </row>
    <row r="124">
      <c r="B124" s="43"/>
      <c r="G124" s="15"/>
      <c r="O124" s="15"/>
      <c r="P124" s="16"/>
      <c r="Q124" s="16"/>
      <c r="R124" s="16"/>
      <c r="S124" s="16"/>
      <c r="U124" s="10" t="s">
        <v>932</v>
      </c>
      <c r="V124" s="10" t="s">
        <v>933</v>
      </c>
      <c r="W124" s="10" t="s">
        <v>51</v>
      </c>
      <c r="X124" s="10" t="s">
        <v>3186</v>
      </c>
    </row>
    <row r="125">
      <c r="B125" s="43"/>
      <c r="G125" s="15"/>
      <c r="O125" s="15"/>
      <c r="P125" s="16"/>
      <c r="Q125" s="16"/>
      <c r="R125" s="16"/>
      <c r="S125" s="16"/>
      <c r="U125" s="10" t="s">
        <v>984</v>
      </c>
      <c r="V125" s="10" t="s">
        <v>985</v>
      </c>
      <c r="W125" s="10" t="s">
        <v>51</v>
      </c>
      <c r="X125" s="10" t="s">
        <v>984</v>
      </c>
    </row>
    <row r="126">
      <c r="B126" s="43"/>
      <c r="G126" s="15"/>
      <c r="O126" s="15"/>
      <c r="P126" s="16"/>
      <c r="Q126" s="16"/>
      <c r="R126" s="16"/>
      <c r="S126" s="16"/>
      <c r="U126" s="10" t="s">
        <v>984</v>
      </c>
      <c r="V126" s="10" t="s">
        <v>2785</v>
      </c>
      <c r="W126" s="10" t="s">
        <v>51</v>
      </c>
      <c r="X126" s="10" t="s">
        <v>984</v>
      </c>
    </row>
    <row r="127">
      <c r="B127" s="43"/>
      <c r="G127" s="15"/>
      <c r="O127" s="15"/>
      <c r="P127" s="16"/>
      <c r="Q127" s="16"/>
      <c r="R127" s="16"/>
      <c r="S127" s="16"/>
      <c r="U127" s="10" t="s">
        <v>984</v>
      </c>
      <c r="V127" s="10" t="s">
        <v>985</v>
      </c>
      <c r="W127" s="10" t="s">
        <v>51</v>
      </c>
      <c r="X127" s="10" t="s">
        <v>984</v>
      </c>
    </row>
    <row r="128">
      <c r="B128" s="43"/>
      <c r="G128" s="15"/>
      <c r="O128" s="15"/>
      <c r="P128" s="16"/>
      <c r="Q128" s="16"/>
      <c r="R128" s="16"/>
      <c r="S128" s="16"/>
      <c r="U128" s="10" t="s">
        <v>932</v>
      </c>
      <c r="V128" s="10" t="s">
        <v>933</v>
      </c>
      <c r="W128" s="10" t="s">
        <v>51</v>
      </c>
      <c r="X128" s="10" t="s">
        <v>3186</v>
      </c>
    </row>
    <row r="129">
      <c r="B129" s="43"/>
      <c r="G129" s="15"/>
      <c r="O129" s="15"/>
      <c r="P129" s="16"/>
      <c r="Q129" s="16"/>
      <c r="R129" s="16"/>
      <c r="S129" s="16"/>
      <c r="U129" s="10" t="s">
        <v>932</v>
      </c>
      <c r="V129" s="10" t="s">
        <v>933</v>
      </c>
      <c r="W129" s="10" t="s">
        <v>51</v>
      </c>
      <c r="X129" s="10" t="s">
        <v>3186</v>
      </c>
    </row>
    <row r="130">
      <c r="B130" s="43"/>
      <c r="G130" s="15"/>
      <c r="O130" s="15"/>
      <c r="P130" s="16"/>
      <c r="Q130" s="16"/>
      <c r="R130" s="16"/>
      <c r="S130" s="16"/>
      <c r="U130" s="10" t="s">
        <v>984</v>
      </c>
      <c r="V130" s="10" t="s">
        <v>998</v>
      </c>
      <c r="W130" s="10" t="s">
        <v>51</v>
      </c>
      <c r="X130" s="10" t="s">
        <v>984</v>
      </c>
    </row>
    <row r="131">
      <c r="B131" s="43"/>
      <c r="G131" s="15"/>
      <c r="O131" s="15"/>
      <c r="P131" s="16"/>
      <c r="Q131" s="16"/>
      <c r="R131" s="16"/>
      <c r="S131" s="16"/>
      <c r="U131" s="10" t="s">
        <v>886</v>
      </c>
      <c r="V131" s="10" t="s">
        <v>3259</v>
      </c>
      <c r="W131" s="10" t="s">
        <v>51</v>
      </c>
      <c r="X131" s="10" t="s">
        <v>886</v>
      </c>
    </row>
    <row r="132">
      <c r="B132" s="43"/>
      <c r="G132" s="15"/>
      <c r="O132" s="15"/>
      <c r="P132" s="16"/>
      <c r="Q132" s="16"/>
      <c r="R132" s="16"/>
      <c r="S132" s="16"/>
      <c r="U132" s="10" t="s">
        <v>932</v>
      </c>
      <c r="V132" s="10" t="s">
        <v>933</v>
      </c>
      <c r="W132" s="10" t="s">
        <v>51</v>
      </c>
      <c r="X132" s="10" t="s">
        <v>3186</v>
      </c>
    </row>
    <row r="133">
      <c r="B133" s="43"/>
      <c r="G133" s="15"/>
      <c r="O133" s="15"/>
      <c r="P133" s="16"/>
      <c r="Q133" s="16"/>
      <c r="R133" s="16"/>
      <c r="S133" s="16"/>
      <c r="U133" s="10" t="s">
        <v>932</v>
      </c>
      <c r="V133" s="10" t="s">
        <v>933</v>
      </c>
      <c r="W133" s="10" t="s">
        <v>51</v>
      </c>
      <c r="X133" s="10" t="s">
        <v>3186</v>
      </c>
    </row>
    <row r="134">
      <c r="B134" s="43"/>
      <c r="G134" s="15"/>
      <c r="O134" s="15"/>
      <c r="P134" s="16"/>
      <c r="Q134" s="16"/>
      <c r="R134" s="16"/>
      <c r="S134" s="16"/>
      <c r="U134" s="10" t="s">
        <v>984</v>
      </c>
      <c r="V134" s="10" t="s">
        <v>933</v>
      </c>
      <c r="W134" s="10" t="s">
        <v>51</v>
      </c>
      <c r="X134" s="10" t="s">
        <v>984</v>
      </c>
    </row>
    <row r="135">
      <c r="B135" s="43"/>
      <c r="G135" s="15"/>
      <c r="O135" s="15"/>
      <c r="P135" s="16"/>
      <c r="Q135" s="16"/>
      <c r="R135" s="16"/>
      <c r="S135" s="16"/>
      <c r="U135" s="10" t="s">
        <v>984</v>
      </c>
      <c r="V135" s="10" t="s">
        <v>998</v>
      </c>
      <c r="W135" s="10" t="s">
        <v>51</v>
      </c>
      <c r="X135" s="10" t="s">
        <v>3185</v>
      </c>
    </row>
    <row r="136">
      <c r="B136" s="43"/>
      <c r="G136" s="15"/>
      <c r="O136" s="15"/>
      <c r="P136" s="16"/>
      <c r="Q136" s="16"/>
      <c r="R136" s="16"/>
      <c r="S136" s="16"/>
      <c r="U136" s="10" t="s">
        <v>932</v>
      </c>
      <c r="V136" s="10" t="s">
        <v>933</v>
      </c>
      <c r="W136" s="10" t="s">
        <v>51</v>
      </c>
      <c r="X136" s="10" t="s">
        <v>3186</v>
      </c>
    </row>
    <row r="137">
      <c r="B137" s="43"/>
      <c r="G137" s="15"/>
      <c r="O137" s="15"/>
      <c r="P137" s="16"/>
      <c r="Q137" s="16"/>
      <c r="R137" s="16"/>
      <c r="S137" s="16"/>
      <c r="U137" s="10" t="s">
        <v>984</v>
      </c>
      <c r="V137" s="10" t="s">
        <v>985</v>
      </c>
      <c r="W137" s="10" t="s">
        <v>51</v>
      </c>
      <c r="X137" s="10" t="s">
        <v>984</v>
      </c>
    </row>
    <row r="138">
      <c r="B138" s="43"/>
      <c r="G138" s="15"/>
      <c r="O138" s="15"/>
      <c r="P138" s="16"/>
      <c r="Q138" s="16"/>
      <c r="R138" s="16"/>
      <c r="S138" s="16"/>
      <c r="U138" s="10" t="s">
        <v>984</v>
      </c>
      <c r="V138" s="10" t="s">
        <v>985</v>
      </c>
      <c r="W138" s="10" t="s">
        <v>51</v>
      </c>
      <c r="X138" s="10" t="s">
        <v>3185</v>
      </c>
    </row>
    <row r="139">
      <c r="B139" s="43"/>
      <c r="G139" s="15"/>
      <c r="O139" s="15"/>
      <c r="P139" s="16"/>
      <c r="Q139" s="16"/>
      <c r="R139" s="16"/>
      <c r="S139" s="16"/>
      <c r="U139" s="10" t="s">
        <v>704</v>
      </c>
      <c r="V139" s="10" t="s">
        <v>3263</v>
      </c>
      <c r="W139" s="10" t="s">
        <v>51</v>
      </c>
      <c r="X139" s="10" t="s">
        <v>704</v>
      </c>
    </row>
    <row r="140">
      <c r="B140" s="43"/>
      <c r="G140" s="15"/>
      <c r="O140" s="15"/>
      <c r="P140" s="16"/>
      <c r="Q140" s="16"/>
      <c r="R140" s="16"/>
      <c r="S140" s="16"/>
      <c r="U140" s="10" t="s">
        <v>240</v>
      </c>
      <c r="V140" s="10" t="s">
        <v>3265</v>
      </c>
      <c r="W140" s="10" t="s">
        <v>51</v>
      </c>
      <c r="X140" s="10" t="s">
        <v>1905</v>
      </c>
    </row>
    <row r="141">
      <c r="B141" s="43"/>
      <c r="G141" s="15"/>
      <c r="O141" s="15"/>
      <c r="P141" s="16"/>
      <c r="Q141" s="16"/>
      <c r="R141" s="16"/>
      <c r="S141" s="16"/>
      <c r="U141" s="10" t="s">
        <v>984</v>
      </c>
      <c r="V141" s="10" t="s">
        <v>985</v>
      </c>
      <c r="W141" s="10" t="s">
        <v>51</v>
      </c>
      <c r="X141" s="10" t="s">
        <v>984</v>
      </c>
    </row>
    <row r="142">
      <c r="B142" s="43"/>
      <c r="G142" s="15"/>
      <c r="O142" s="15"/>
      <c r="P142" s="16"/>
      <c r="Q142" s="16"/>
      <c r="R142" s="16"/>
      <c r="S142" s="16"/>
      <c r="U142" s="10" t="s">
        <v>984</v>
      </c>
      <c r="V142" s="10" t="s">
        <v>985</v>
      </c>
      <c r="W142" s="10" t="s">
        <v>51</v>
      </c>
      <c r="X142" s="10" t="s">
        <v>3185</v>
      </c>
    </row>
    <row r="143">
      <c r="B143" s="43"/>
      <c r="G143" s="15"/>
      <c r="O143" s="15"/>
      <c r="P143" s="16"/>
      <c r="Q143" s="16"/>
      <c r="R143" s="16"/>
      <c r="S143" s="16"/>
      <c r="U143" s="10" t="s">
        <v>984</v>
      </c>
      <c r="V143" s="10" t="s">
        <v>985</v>
      </c>
      <c r="W143" s="10" t="s">
        <v>51</v>
      </c>
      <c r="X143" s="10" t="s">
        <v>984</v>
      </c>
    </row>
    <row r="144">
      <c r="B144" s="43"/>
      <c r="G144" s="15"/>
      <c r="O144" s="15"/>
      <c r="P144" s="16"/>
      <c r="Q144" s="16"/>
      <c r="R144" s="16"/>
      <c r="S144" s="16"/>
      <c r="U144" s="10" t="s">
        <v>984</v>
      </c>
      <c r="V144" s="10" t="s">
        <v>998</v>
      </c>
      <c r="W144" s="10" t="s">
        <v>51</v>
      </c>
      <c r="X144" s="10" t="s">
        <v>3185</v>
      </c>
    </row>
    <row r="145">
      <c r="B145" s="43"/>
      <c r="G145" s="15"/>
      <c r="O145" s="15"/>
      <c r="P145" s="16"/>
      <c r="Q145" s="16"/>
      <c r="R145" s="16"/>
      <c r="S145" s="16"/>
      <c r="U145" s="10" t="s">
        <v>932</v>
      </c>
      <c r="V145" s="10" t="s">
        <v>933</v>
      </c>
      <c r="W145" s="10" t="s">
        <v>51</v>
      </c>
      <c r="X145" s="10" t="s">
        <v>3186</v>
      </c>
    </row>
    <row r="146">
      <c r="B146" s="43"/>
      <c r="G146" s="15"/>
      <c r="O146" s="15"/>
      <c r="P146" s="16"/>
      <c r="Q146" s="16"/>
      <c r="R146" s="16"/>
      <c r="S146" s="16"/>
      <c r="U146" s="10" t="s">
        <v>932</v>
      </c>
      <c r="V146" s="10" t="s">
        <v>933</v>
      </c>
      <c r="W146" s="10" t="s">
        <v>51</v>
      </c>
      <c r="X146" s="10" t="s">
        <v>3186</v>
      </c>
    </row>
    <row r="147">
      <c r="B147" s="43"/>
      <c r="G147" s="15"/>
      <c r="O147" s="15"/>
      <c r="P147" s="16"/>
      <c r="Q147" s="16"/>
      <c r="R147" s="16"/>
      <c r="S147" s="16"/>
      <c r="U147" s="10" t="s">
        <v>984</v>
      </c>
      <c r="V147" s="10" t="s">
        <v>985</v>
      </c>
      <c r="W147" s="10" t="s">
        <v>51</v>
      </c>
      <c r="X147" s="10" t="s">
        <v>3185</v>
      </c>
    </row>
    <row r="148">
      <c r="B148" s="43"/>
      <c r="G148" s="15"/>
      <c r="O148" s="15"/>
      <c r="P148" s="16"/>
      <c r="Q148" s="16"/>
      <c r="R148" s="16"/>
      <c r="S148" s="16"/>
      <c r="U148" s="10" t="s">
        <v>984</v>
      </c>
      <c r="V148" s="10" t="s">
        <v>998</v>
      </c>
      <c r="W148" s="10" t="s">
        <v>51</v>
      </c>
      <c r="X148" s="10" t="s">
        <v>3185</v>
      </c>
    </row>
    <row r="149">
      <c r="B149" s="43"/>
      <c r="G149" s="15"/>
      <c r="O149" s="15"/>
      <c r="P149" s="16"/>
      <c r="Q149" s="16"/>
      <c r="R149" s="16"/>
      <c r="S149" s="16"/>
      <c r="U149" s="10" t="s">
        <v>984</v>
      </c>
      <c r="V149" s="10" t="s">
        <v>985</v>
      </c>
      <c r="W149" s="10" t="s">
        <v>51</v>
      </c>
      <c r="X149" s="10" t="s">
        <v>984</v>
      </c>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f t="shared" ref="A1:A148" si="1">ROW()-1</f>
        <v>0</v>
      </c>
      <c r="B1" s="11">
        <v>46223.667592592596</v>
      </c>
      <c r="C1" s="10" t="s">
        <v>148</v>
      </c>
      <c r="D1" s="10" t="s">
        <v>36</v>
      </c>
      <c r="E1" s="10" t="s">
        <v>37</v>
      </c>
      <c r="F1" s="13">
        <v>2.0</v>
      </c>
      <c r="G1" s="14">
        <v>201.45</v>
      </c>
      <c r="H1" s="10" t="s">
        <v>3190</v>
      </c>
      <c r="I1" s="10">
        <v>91.9</v>
      </c>
      <c r="O1" s="15">
        <f>IFERROR(__xludf.DUMMYFUNCTION("IF(ISBLANK($C1), """", GOOGLEFINANCE($C1, ""price""))"),199.98)</f>
        <v>199.98</v>
      </c>
      <c r="P1" s="16">
        <f t="shared" ref="P1:P148" si="2">IF(OR(ISBLANK($G1), ISBLANK($O1)), "", IF($D1="LONG", ($O1-$G1)/$G1, ($G1-$O1)/$G1))</f>
        <v>-0.007297096054</v>
      </c>
      <c r="Q1" s="16">
        <f>IFERROR(__xludf.DUMMYFUNCTION("IF(OR(ISBLANK($G1), IFERROR(INDEX(GOOGLEFINANCE($C1, ""price"", WORKDAY(INT($B1), 1)), 2, 2), """")=""""), """", IF($D1=""LONG"", (IFERROR(INDEX(GOOGLEFINANCE($C1, ""price"", WORKDAY(INT($B1), 1)), 2, 2), """")-$G1)/$G1, ($G1-IFERROR(INDEX(GOOGLEFINANCE($"&amp;"C1, ""price"", WORKDAY(INT($B1), 1)), 2, 2), """"))/$G1))"),-0.11139240506329114)</f>
        <v>-0.1113924051</v>
      </c>
      <c r="R1" s="16">
        <f>IFERROR(__xludf.DUMMYFUNCTION("IF(OR(ISBLANK($G1), IFERROR(INDEX(GOOGLEFINANCE($C1, ""price"", WORKDAY(INT($B1), 5)), 2, 2), """")=""""), """", IF($D1=""LONG"", (IFERROR(INDEX(GOOGLEFINANCE($C1, ""price"", WORKDAY(INT($B1), 5)), 2, 2), """")-$G1)/$G1, ($G1-IFERROR(INDEX(GOOGLEFINANCE($"&amp;"C1, ""price"", WORKDAY(INT($B1), 5)), 2, 2), """"))/$G1))"),-0.024571854058078872)</f>
        <v>-0.02457185406</v>
      </c>
      <c r="S1" s="16" t="str">
        <f>IFERROR(__xludf.DUMMYFUNCTION("IF(OR(ISBLANK($G1), IFERROR(INDEX(GOOGLEFINANCE($C1, ""price"", WORKDAY(INT($B1), 20)), 2, 2), """")=""""), """", IF($D1=""LONG"", (IFERROR(INDEX(GOOGLEFINANCE($C1, ""price"", WORKDAY(INT($B1), 20)), 2, 2), """")-$G1)/$G1, ($G1-IFERROR(INDEX(GOOGLEFINANCE"&amp;"($C1, ""price"", WORKDAY(INT($B1), 20)), 2, 2), """"))/$G1))"),"")</f>
        <v/>
      </c>
      <c r="T1" s="10" t="s">
        <v>3195</v>
      </c>
      <c r="U1" s="10" t="s">
        <v>984</v>
      </c>
      <c r="V1" s="10" t="s">
        <v>985</v>
      </c>
      <c r="W1" s="10" t="s">
        <v>51</v>
      </c>
      <c r="X1" s="10" t="s">
        <v>984</v>
      </c>
    </row>
    <row r="2">
      <c r="A2" s="9">
        <f t="shared" si="1"/>
        <v>1</v>
      </c>
      <c r="B2" s="11">
        <v>46223.667719907404</v>
      </c>
      <c r="C2" s="10" t="s">
        <v>1989</v>
      </c>
      <c r="D2" s="10" t="s">
        <v>119</v>
      </c>
      <c r="E2" s="10" t="s">
        <v>120</v>
      </c>
      <c r="F2" s="13">
        <v>4.0</v>
      </c>
      <c r="G2" s="14">
        <v>81.57</v>
      </c>
      <c r="H2" s="10" t="s">
        <v>3196</v>
      </c>
      <c r="I2" s="10">
        <v>17.2</v>
      </c>
      <c r="O2" s="15">
        <f>IFERROR(__xludf.DUMMYFUNCTION("IF(ISBLANK($C2), """", GOOGLEFINANCE($C2, ""price""))"),91.69)</f>
        <v>91.69</v>
      </c>
      <c r="P2" s="16">
        <f t="shared" si="2"/>
        <v>-0.1240652201</v>
      </c>
      <c r="Q2" s="16">
        <f>IFERROR(__xludf.DUMMYFUNCTION("IF(OR(ISBLANK($G2), IFERROR(INDEX(GOOGLEFINANCE($C2, ""price"", WORKDAY(INT($B2), 1)), 2, 2), """")=""""), """", IF($D2=""LONG"", (IFERROR(INDEX(GOOGLEFINANCE($C2, ""price"", WORKDAY(INT($B2), 1)), 2, 2), """")-$G2)/$G2, ($G2-IFERROR(INDEX(GOOGLEFINANCE($"&amp;"C2, ""price"", WORKDAY(INT($B2), 1)), 2, 2), """"))/$G2))"),-0.08839033958563208)</f>
        <v>-0.08839033959</v>
      </c>
      <c r="R2" s="16">
        <f>IFERROR(__xludf.DUMMYFUNCTION("IF(OR(ISBLANK($G2), IFERROR(INDEX(GOOGLEFINANCE($C2, ""price"", WORKDAY(INT($B2), 5)), 2, 2), """")=""""), """", IF($D2=""LONG"", (IFERROR(INDEX(GOOGLEFINANCE($C2, ""price"", WORKDAY(INT($B2), 5)), 2, 2), """")-$G2)/$G2, ($G2-IFERROR(INDEX(GOOGLEFINANCE($"&amp;"C2, ""price"", WORKDAY(INT($B2), 5)), 2, 2), """"))/$G2))"),-0.1108250582321933)</f>
        <v>-0.1108250582</v>
      </c>
      <c r="S2" s="16" t="str">
        <f>IFERROR(__xludf.DUMMYFUNCTION("IF(OR(ISBLANK($G2), IFERROR(INDEX(GOOGLEFINANCE($C2, ""price"", WORKDAY(INT($B2), 20)), 2, 2), """")=""""), """", IF($D2=""LONG"", (IFERROR(INDEX(GOOGLEFINANCE($C2, ""price"", WORKDAY(INT($B2), 20)), 2, 2), """")-$G2)/$G2, ($G2-IFERROR(INDEX(GOOGLEFINANCE"&amp;"($C2, ""price"", WORKDAY(INT($B2), 20)), 2, 2), """"))/$G2))"),"")</f>
        <v/>
      </c>
      <c r="T2" s="10" t="s">
        <v>3200</v>
      </c>
      <c r="U2" s="10" t="s">
        <v>984</v>
      </c>
      <c r="V2" s="10" t="s">
        <v>985</v>
      </c>
      <c r="W2" s="10" t="s">
        <v>51</v>
      </c>
      <c r="X2" s="10" t="s">
        <v>984</v>
      </c>
    </row>
    <row r="3">
      <c r="A3" s="9">
        <f t="shared" si="1"/>
        <v>2</v>
      </c>
      <c r="B3" s="11">
        <v>46223.66740740741</v>
      </c>
      <c r="C3" s="10" t="s">
        <v>3201</v>
      </c>
      <c r="D3" s="10" t="s">
        <v>119</v>
      </c>
      <c r="E3" s="10" t="s">
        <v>120</v>
      </c>
      <c r="F3" s="13">
        <v>4.0</v>
      </c>
      <c r="G3" s="14">
        <v>59.78</v>
      </c>
      <c r="H3" s="10" t="s">
        <v>3204</v>
      </c>
      <c r="I3" s="10">
        <v>9.2</v>
      </c>
      <c r="O3" s="15">
        <f>IFERROR(__xludf.DUMMYFUNCTION("IF(ISBLANK($C3), """", GOOGLEFINANCE($C3, ""price""))"),66.84)</f>
        <v>66.84</v>
      </c>
      <c r="P3" s="16">
        <f t="shared" si="2"/>
        <v>-0.1180996989</v>
      </c>
      <c r="Q3" s="16">
        <f>IFERROR(__xludf.DUMMYFUNCTION("IF(OR(ISBLANK($G3), IFERROR(INDEX(GOOGLEFINANCE($C3, ""price"", WORKDAY(INT($B3), 1)), 2, 2), """")=""""), """", IF($D3=""LONG"", (IFERROR(INDEX(GOOGLEFINANCE($C3, ""price"", WORKDAY(INT($B3), 1)), 2, 2), """")-$G3)/$G3, ($G3-IFERROR(INDEX(GOOGLEFINANCE($"&amp;"C3, ""price"", WORKDAY(INT($B3), 1)), 2, 2), """"))/$G3))"),-0.05302776848444298)</f>
        <v>-0.05302776848</v>
      </c>
      <c r="R3" s="16">
        <f>IFERROR(__xludf.DUMMYFUNCTION("IF(OR(ISBLANK($G3), IFERROR(INDEX(GOOGLEFINANCE($C3, ""price"", WORKDAY(INT($B3), 5)), 2, 2), """")=""""), """", IF($D3=""LONG"", (IFERROR(INDEX(GOOGLEFINANCE($C3, ""price"", WORKDAY(INT($B3), 5)), 2, 2), """")-$G3)/$G3, ($G3-IFERROR(INDEX(GOOGLEFINANCE($"&amp;"C3, ""price"", WORKDAY(INT($B3), 5)), 2, 2), """"))/$G3))"),-0.06122448979591831)</f>
        <v>-0.0612244898</v>
      </c>
      <c r="S3" s="16" t="str">
        <f>IFERROR(__xludf.DUMMYFUNCTION("IF(OR(ISBLANK($G3), IFERROR(INDEX(GOOGLEFINANCE($C3, ""price"", WORKDAY(INT($B3), 20)), 2, 2), """")=""""), """", IF($D3=""LONG"", (IFERROR(INDEX(GOOGLEFINANCE($C3, ""price"", WORKDAY(INT($B3), 20)), 2, 2), """")-$G3)/$G3, ($G3-IFERROR(INDEX(GOOGLEFINANCE"&amp;"($C3, ""price"", WORKDAY(INT($B3), 20)), 2, 2), """"))/$G3))"),"")</f>
        <v/>
      </c>
      <c r="T3" s="10" t="s">
        <v>3207</v>
      </c>
      <c r="U3" s="10" t="s">
        <v>984</v>
      </c>
      <c r="V3" s="10" t="s">
        <v>985</v>
      </c>
      <c r="W3" s="10" t="s">
        <v>51</v>
      </c>
      <c r="X3" s="10" t="s">
        <v>984</v>
      </c>
    </row>
    <row r="4">
      <c r="A4" s="9">
        <f t="shared" si="1"/>
        <v>3</v>
      </c>
      <c r="B4" s="11">
        <v>46223.66752314815</v>
      </c>
      <c r="C4" s="10" t="s">
        <v>149</v>
      </c>
      <c r="D4" s="10" t="s">
        <v>36</v>
      </c>
      <c r="E4" s="10" t="s">
        <v>37</v>
      </c>
      <c r="F4" s="13">
        <v>2.0</v>
      </c>
      <c r="G4" s="14">
        <v>122.39</v>
      </c>
      <c r="H4" s="10" t="s">
        <v>3211</v>
      </c>
      <c r="I4" s="10">
        <v>95.5</v>
      </c>
      <c r="O4" s="15">
        <f>IFERROR(__xludf.DUMMYFUNCTION("IF(ISBLANK($C4), """", GOOGLEFINANCE($C4, ""price""))"),132.79)</f>
        <v>132.79</v>
      </c>
      <c r="P4" s="16">
        <f t="shared" si="2"/>
        <v>0.0849742626</v>
      </c>
      <c r="Q4" s="16">
        <f>IFERROR(__xludf.DUMMYFUNCTION("IF(OR(ISBLANK($G4), IFERROR(INDEX(GOOGLEFINANCE($C4, ""price"", WORKDAY(INT($B4), 1)), 2, 2), """")=""""), """", IF($D4=""LONG"", (IFERROR(INDEX(GOOGLEFINANCE($C4, ""price"", WORKDAY(INT($B4), 1)), 2, 2), """")-$G4)/$G4, ($G4-IFERROR(INDEX(GOOGLEFINANCE($"&amp;"C4, ""price"", WORKDAY(INT($B4), 1)), 2, 2), """"))/$G4))"),-0.02671786910695315)</f>
        <v>-0.02671786911</v>
      </c>
      <c r="R4" s="16">
        <f>IFERROR(__xludf.DUMMYFUNCTION("IF(OR(ISBLANK($G4), IFERROR(INDEX(GOOGLEFINANCE($C4, ""price"", WORKDAY(INT($B4), 5)), 2, 2), """")=""""), """", IF($D4=""LONG"", (IFERROR(INDEX(GOOGLEFINANCE($C4, ""price"", WORKDAY(INT($B4), 5)), 2, 2), """")-$G4)/$G4, ($G4-IFERROR(INDEX(GOOGLEFINANCE($"&amp;"C4, ""price"", WORKDAY(INT($B4), 5)), 2, 2), """"))/$G4))"),0.04338589754064876)</f>
        <v>0.04338589754</v>
      </c>
      <c r="S4" s="16" t="str">
        <f>IFERROR(__xludf.DUMMYFUNCTION("IF(OR(ISBLANK($G4), IFERROR(INDEX(GOOGLEFINANCE($C4, ""price"", WORKDAY(INT($B4), 20)), 2, 2), """")=""""), """", IF($D4=""LONG"", (IFERROR(INDEX(GOOGLEFINANCE($C4, ""price"", WORKDAY(INT($B4), 20)), 2, 2), """")-$G4)/$G4, ($G4-IFERROR(INDEX(GOOGLEFINANCE"&amp;"($C4, ""price"", WORKDAY(INT($B4), 20)), 2, 2), """"))/$G4))"),"")</f>
        <v/>
      </c>
      <c r="T4" s="10" t="s">
        <v>3215</v>
      </c>
      <c r="U4" s="10" t="s">
        <v>984</v>
      </c>
      <c r="V4" s="10" t="s">
        <v>985</v>
      </c>
      <c r="W4" s="10" t="s">
        <v>51</v>
      </c>
      <c r="X4" s="10" t="s">
        <v>984</v>
      </c>
    </row>
    <row r="5">
      <c r="A5" s="9">
        <f t="shared" si="1"/>
        <v>4</v>
      </c>
      <c r="B5" s="11">
        <v>46223.66769675926</v>
      </c>
      <c r="C5" s="10" t="s">
        <v>295</v>
      </c>
      <c r="D5" s="10" t="s">
        <v>119</v>
      </c>
      <c r="E5" s="10" t="s">
        <v>120</v>
      </c>
      <c r="F5" s="13">
        <v>4.0</v>
      </c>
      <c r="G5" s="14">
        <v>1330.35</v>
      </c>
      <c r="H5" s="10" t="s">
        <v>3218</v>
      </c>
      <c r="I5" s="10">
        <v>5.6</v>
      </c>
      <c r="O5" s="15">
        <f>IFERROR(__xludf.DUMMYFUNCTION("IF(ISBLANK($C5), """", GOOGLEFINANCE($C5, ""price""))"),1359.08)</f>
        <v>1359.08</v>
      </c>
      <c r="P5" s="16">
        <f t="shared" si="2"/>
        <v>-0.02159582065</v>
      </c>
      <c r="Q5" s="16">
        <f>IFERROR(__xludf.DUMMYFUNCTION("IF(OR(ISBLANK($G5), IFERROR(INDEX(GOOGLEFINANCE($C5, ""price"", WORKDAY(INT($B5), 1)), 2, 2), """")=""""), """", IF($D5=""LONG"", (IFERROR(INDEX(GOOGLEFINANCE($C5, ""price"", WORKDAY(INT($B5), 1)), 2, 2), """")-$G5)/$G5, ($G5-IFERROR(INDEX(GOOGLEFINANCE($"&amp;"C5, ""price"", WORKDAY(INT($B5), 1)), 2, 2), """"))/$G5))"),-0.03977148870597969)</f>
        <v>-0.03977148871</v>
      </c>
      <c r="R5" s="16">
        <f>IFERROR(__xludf.DUMMYFUNCTION("IF(OR(ISBLANK($G5), IFERROR(INDEX(GOOGLEFINANCE($C5, ""price"", WORKDAY(INT($B5), 5)), 2, 2), """")=""""), """", IF($D5=""LONG"", (IFERROR(INDEX(GOOGLEFINANCE($C5, ""price"", WORKDAY(INT($B5), 5)), 2, 2), """")-$G5)/$G5, ($G5-IFERROR(INDEX(GOOGLEFINANCE($"&amp;"C5, ""price"", WORKDAY(INT($B5), 5)), 2, 2), """"))/$G5))"),-0.006562182884203419)</f>
        <v>-0.006562182884</v>
      </c>
      <c r="S5" s="16" t="str">
        <f>IFERROR(__xludf.DUMMYFUNCTION("IF(OR(ISBLANK($G5), IFERROR(INDEX(GOOGLEFINANCE($C5, ""price"", WORKDAY(INT($B5), 20)), 2, 2), """")=""""), """", IF($D5=""LONG"", (IFERROR(INDEX(GOOGLEFINANCE($C5, ""price"", WORKDAY(INT($B5), 20)), 2, 2), """")-$G5)/$G5, ($G5-IFERROR(INDEX(GOOGLEFINANCE"&amp;"($C5, ""price"", WORKDAY(INT($B5), 20)), 2, 2), """"))/$G5))"),"")</f>
        <v/>
      </c>
      <c r="T5" s="10" t="s">
        <v>3220</v>
      </c>
      <c r="U5" s="10" t="s">
        <v>984</v>
      </c>
      <c r="V5" s="10" t="s">
        <v>985</v>
      </c>
      <c r="W5" s="10" t="s">
        <v>51</v>
      </c>
      <c r="X5" s="10" t="s">
        <v>984</v>
      </c>
    </row>
    <row r="6">
      <c r="A6" s="9">
        <f t="shared" si="1"/>
        <v>5</v>
      </c>
      <c r="B6" s="11">
        <v>46223.66774305556</v>
      </c>
      <c r="C6" s="10" t="s">
        <v>413</v>
      </c>
      <c r="D6" s="10" t="s">
        <v>36</v>
      </c>
      <c r="E6" s="10" t="s">
        <v>37</v>
      </c>
      <c r="F6" s="13">
        <v>2.0</v>
      </c>
      <c r="G6" s="14">
        <v>198.53</v>
      </c>
      <c r="H6" s="10" t="s">
        <v>3223</v>
      </c>
      <c r="I6" s="10">
        <v>92.3</v>
      </c>
      <c r="O6" s="15">
        <f>IFERROR(__xludf.DUMMYFUNCTION("IF(ISBLANK($C6), """", GOOGLEFINANCE($C6, ""price""))"),207.39)</f>
        <v>207.39</v>
      </c>
      <c r="P6" s="16">
        <f t="shared" si="2"/>
        <v>0.04462801592</v>
      </c>
      <c r="Q6" s="16">
        <f>IFERROR(__xludf.DUMMYFUNCTION("IF(OR(ISBLANK($G6), IFERROR(INDEX(GOOGLEFINANCE($C6, ""price"", WORKDAY(INT($B6), 1)), 2, 2), """")=""""), """", IF($D6=""LONG"", (IFERROR(INDEX(GOOGLEFINANCE($C6, ""price"", WORKDAY(INT($B6), 1)), 2, 2), """")-$G6)/$G6, ($G6-IFERROR(INDEX(GOOGLEFINANCE($"&amp;"C6, ""price"", WORKDAY(INT($B6), 1)), 2, 2), """"))/$G6))"),-0.037173223190449786)</f>
        <v>-0.03717322319</v>
      </c>
      <c r="R6" s="16">
        <f>IFERROR(__xludf.DUMMYFUNCTION("IF(OR(ISBLANK($G6), IFERROR(INDEX(GOOGLEFINANCE($C6, ""price"", WORKDAY(INT($B6), 5)), 2, 2), """")=""""), """", IF($D6=""LONG"", (IFERROR(INDEX(GOOGLEFINANCE($C6, ""price"", WORKDAY(INT($B6), 5)), 2, 2), """")-$G6)/$G6, ($G6-IFERROR(INDEX(GOOGLEFINANCE($"&amp;"C6, ""price"", WORKDAY(INT($B6), 5)), 2, 2), """"))/$G6))"),-0.09278194731274864)</f>
        <v>-0.09278194731</v>
      </c>
      <c r="S6" s="16" t="str">
        <f>IFERROR(__xludf.DUMMYFUNCTION("IF(OR(ISBLANK($G6), IFERROR(INDEX(GOOGLEFINANCE($C6, ""price"", WORKDAY(INT($B6), 20)), 2, 2), """")=""""), """", IF($D6=""LONG"", (IFERROR(INDEX(GOOGLEFINANCE($C6, ""price"", WORKDAY(INT($B6), 20)), 2, 2), """")-$G6)/$G6, ($G6-IFERROR(INDEX(GOOGLEFINANCE"&amp;"($C6, ""price"", WORKDAY(INT($B6), 20)), 2, 2), """"))/$G6))"),"")</f>
        <v/>
      </c>
      <c r="T6" s="10" t="s">
        <v>3226</v>
      </c>
      <c r="U6" s="10" t="s">
        <v>984</v>
      </c>
      <c r="V6" s="10" t="s">
        <v>998</v>
      </c>
      <c r="W6" s="10" t="s">
        <v>51</v>
      </c>
      <c r="X6" s="10" t="s">
        <v>984</v>
      </c>
    </row>
    <row r="7">
      <c r="A7" s="9">
        <f t="shared" si="1"/>
        <v>6</v>
      </c>
      <c r="B7" s="11">
        <v>46223.66736111111</v>
      </c>
      <c r="C7" s="10" t="s">
        <v>2025</v>
      </c>
      <c r="D7" s="10" t="s">
        <v>36</v>
      </c>
      <c r="E7" s="10" t="s">
        <v>133</v>
      </c>
      <c r="F7" s="13">
        <v>2.0</v>
      </c>
      <c r="G7" s="14">
        <v>68.94</v>
      </c>
      <c r="H7" s="10" t="s">
        <v>3228</v>
      </c>
      <c r="I7" s="10">
        <v>99.6</v>
      </c>
      <c r="O7" s="15">
        <f>IFERROR(__xludf.DUMMYFUNCTION("IF(ISBLANK($C7), """", GOOGLEFINANCE($C7, ""price""))"),71.18)</f>
        <v>71.18</v>
      </c>
      <c r="P7" s="16">
        <f t="shared" si="2"/>
        <v>0.03249202205</v>
      </c>
      <c r="Q7" s="16">
        <f>IFERROR(__xludf.DUMMYFUNCTION("IF(OR(ISBLANK($G7), IFERROR(INDEX(GOOGLEFINANCE($C7, ""price"", WORKDAY(INT($B7), 1)), 2, 2), """")=""""), """", IF($D7=""LONG"", (IFERROR(INDEX(GOOGLEFINANCE($C7, ""price"", WORKDAY(INT($B7), 1)), 2, 2), """")-$G7)/$G7, ($G7-IFERROR(INDEX(GOOGLEFINANCE($"&amp;"C7, ""price"", WORKDAY(INT($B7), 1)), 2, 2), """"))/$G7))"),-0.033362344067304865)</f>
        <v>-0.03336234407</v>
      </c>
      <c r="R7" s="16">
        <f>IFERROR(__xludf.DUMMYFUNCTION("IF(OR(ISBLANK($G7), IFERROR(INDEX(GOOGLEFINANCE($C7, ""price"", WORKDAY(INT($B7), 5)), 2, 2), """")=""""), """", IF($D7=""LONG"", (IFERROR(INDEX(GOOGLEFINANCE($C7, ""price"", WORKDAY(INT($B7), 5)), 2, 2), """")-$G7)/$G7, ($G7-IFERROR(INDEX(GOOGLEFINANCE($"&amp;"C7, ""price"", WORKDAY(INT($B7), 5)), 2, 2), """"))/$G7))"),0.011024078909196476)</f>
        <v>0.01102407891</v>
      </c>
      <c r="S7" s="16" t="str">
        <f>IFERROR(__xludf.DUMMYFUNCTION("IF(OR(ISBLANK($G7), IFERROR(INDEX(GOOGLEFINANCE($C7, ""price"", WORKDAY(INT($B7), 20)), 2, 2), """")=""""), """", IF($D7=""LONG"", (IFERROR(INDEX(GOOGLEFINANCE($C7, ""price"", WORKDAY(INT($B7), 20)), 2, 2), """")-$G7)/$G7, ($G7-IFERROR(INDEX(GOOGLEFINANCE"&amp;"($C7, ""price"", WORKDAY(INT($B7), 20)), 2, 2), """"))/$G7))"),"")</f>
        <v/>
      </c>
      <c r="T7" s="10" t="s">
        <v>3232</v>
      </c>
      <c r="U7" s="10" t="s">
        <v>984</v>
      </c>
      <c r="V7" s="10" t="s">
        <v>985</v>
      </c>
      <c r="W7" s="10" t="s">
        <v>51</v>
      </c>
      <c r="X7" s="10" t="s">
        <v>984</v>
      </c>
    </row>
    <row r="8">
      <c r="A8" s="9">
        <f t="shared" si="1"/>
        <v>7</v>
      </c>
      <c r="B8" s="11">
        <v>46223.66774305556</v>
      </c>
      <c r="C8" s="10" t="s">
        <v>2750</v>
      </c>
      <c r="D8" s="10" t="s">
        <v>36</v>
      </c>
      <c r="E8" s="10" t="s">
        <v>37</v>
      </c>
      <c r="F8" s="13">
        <v>2.0</v>
      </c>
      <c r="G8" s="14">
        <v>82.39</v>
      </c>
      <c r="H8" s="10" t="s">
        <v>3233</v>
      </c>
      <c r="I8" s="10">
        <v>92.9</v>
      </c>
      <c r="O8" s="15">
        <f>IFERROR(__xludf.DUMMYFUNCTION("IF(ISBLANK($C8), """", GOOGLEFINANCE($C8, ""price""))"),82.51)</f>
        <v>82.51</v>
      </c>
      <c r="P8" s="16">
        <f t="shared" si="2"/>
        <v>0.001456487438</v>
      </c>
      <c r="Q8" s="16">
        <f>IFERROR(__xludf.DUMMYFUNCTION("IF(OR(ISBLANK($G8), IFERROR(INDEX(GOOGLEFINANCE($C8, ""price"", WORKDAY(INT($B8), 1)), 2, 2), """")=""""), """", IF($D8=""LONG"", (IFERROR(INDEX(GOOGLEFINANCE($C8, ""price"", WORKDAY(INT($B8), 1)), 2, 2), """")-$G8)/$G8, ($G8-IFERROR(INDEX(GOOGLEFINANCE($"&amp;"C8, ""price"", WORKDAY(INT($B8), 1)), 2, 2), """"))/$G8))"),-0.03859691710159008)</f>
        <v>-0.0385969171</v>
      </c>
      <c r="R8" s="16">
        <f>IFERROR(__xludf.DUMMYFUNCTION("IF(OR(ISBLANK($G8), IFERROR(INDEX(GOOGLEFINANCE($C8, ""price"", WORKDAY(INT($B8), 5)), 2, 2), """")=""""), """", IF($D8=""LONG"", (IFERROR(INDEX(GOOGLEFINANCE($C8, ""price"", WORKDAY(INT($B8), 5)), 2, 2), """")-$G8)/$G8, ($G8-IFERROR(INDEX(GOOGLEFINANCE($"&amp;"C8, ""price"", WORKDAY(INT($B8), 5)), 2, 2), """"))/$G8))"),2.4274790629925987E-4)</f>
        <v>0.0002427479063</v>
      </c>
      <c r="S8" s="16" t="str">
        <f>IFERROR(__xludf.DUMMYFUNCTION("IF(OR(ISBLANK($G8), IFERROR(INDEX(GOOGLEFINANCE($C8, ""price"", WORKDAY(INT($B8), 20)), 2, 2), """")=""""), """", IF($D8=""LONG"", (IFERROR(INDEX(GOOGLEFINANCE($C8, ""price"", WORKDAY(INT($B8), 20)), 2, 2), """")-$G8)/$G8, ($G8-IFERROR(INDEX(GOOGLEFINANCE"&amp;"($C8, ""price"", WORKDAY(INT($B8), 20)), 2, 2), """"))/$G8))"),"")</f>
        <v/>
      </c>
      <c r="T8" s="10" t="s">
        <v>3238</v>
      </c>
      <c r="U8" s="10" t="s">
        <v>984</v>
      </c>
      <c r="V8" s="10" t="s">
        <v>933</v>
      </c>
      <c r="W8" s="10" t="s">
        <v>51</v>
      </c>
      <c r="X8" s="10" t="s">
        <v>984</v>
      </c>
    </row>
    <row r="9">
      <c r="A9" s="9">
        <f t="shared" si="1"/>
        <v>8</v>
      </c>
      <c r="B9" s="11">
        <v>46223.66737268519</v>
      </c>
      <c r="C9" s="10" t="s">
        <v>770</v>
      </c>
      <c r="D9" s="10" t="s">
        <v>36</v>
      </c>
      <c r="E9" s="10" t="s">
        <v>37</v>
      </c>
      <c r="F9" s="13">
        <v>2.0</v>
      </c>
      <c r="G9" s="14">
        <v>72.71</v>
      </c>
      <c r="H9" s="10" t="s">
        <v>3240</v>
      </c>
      <c r="I9" s="10">
        <v>92.0</v>
      </c>
      <c r="O9" s="15">
        <f>IFERROR(__xludf.DUMMYFUNCTION("IF(ISBLANK($C9), """", GOOGLEFINANCE($C9, ""price""))"),72.51)</f>
        <v>72.51</v>
      </c>
      <c r="P9" s="16">
        <f t="shared" si="2"/>
        <v>-0.00275065328</v>
      </c>
      <c r="Q9" s="16">
        <f>IFERROR(__xludf.DUMMYFUNCTION("IF(OR(ISBLANK($G9), IFERROR(INDEX(GOOGLEFINANCE($C9, ""price"", WORKDAY(INT($B9), 1)), 2, 2), """")=""""), """", IF($D9=""LONG"", (IFERROR(INDEX(GOOGLEFINANCE($C9, ""price"", WORKDAY(INT($B9), 1)), 2, 2), """")-$G9)/$G9, ($G9-IFERROR(INDEX(GOOGLEFINANCE($"&amp;"C9, ""price"", WORKDAY(INT($B9), 1)), 2, 2), """"))/$G9))"),-0.04084720121028743)</f>
        <v>-0.04084720121</v>
      </c>
      <c r="R9" s="16">
        <f>IFERROR(__xludf.DUMMYFUNCTION("IF(OR(ISBLANK($G9), IFERROR(INDEX(GOOGLEFINANCE($C9, ""price"", WORKDAY(INT($B9), 5)), 2, 2), """")=""""), """", IF($D9=""LONG"", (IFERROR(INDEX(GOOGLEFINANCE($C9, ""price"", WORKDAY(INT($B9), 5)), 2, 2), """")-$G9)/$G9, ($G9-IFERROR(INDEX(GOOGLEFINANCE($"&amp;"C9, ""price"", WORKDAY(INT($B9), 5)), 2, 2), """"))/$G9))"),1.375326640077722E-4)</f>
        <v>0.000137532664</v>
      </c>
      <c r="S9" s="16" t="str">
        <f>IFERROR(__xludf.DUMMYFUNCTION("IF(OR(ISBLANK($G9), IFERROR(INDEX(GOOGLEFINANCE($C9, ""price"", WORKDAY(INT($B9), 20)), 2, 2), """")=""""), """", IF($D9=""LONG"", (IFERROR(INDEX(GOOGLEFINANCE($C9, ""price"", WORKDAY(INT($B9), 20)), 2, 2), """")-$G9)/$G9, ($G9-IFERROR(INDEX(GOOGLEFINANCE"&amp;"($C9, ""price"", WORKDAY(INT($B9), 20)), 2, 2), """"))/$G9))"),"")</f>
        <v/>
      </c>
      <c r="T9" s="10" t="s">
        <v>3246</v>
      </c>
      <c r="U9" s="10" t="s">
        <v>492</v>
      </c>
      <c r="V9" s="10" t="s">
        <v>493</v>
      </c>
      <c r="W9" s="10" t="s">
        <v>51</v>
      </c>
      <c r="X9" s="10" t="s">
        <v>492</v>
      </c>
    </row>
    <row r="10">
      <c r="A10" s="9">
        <f t="shared" si="1"/>
        <v>9</v>
      </c>
      <c r="B10" s="11">
        <v>46223.66773148148</v>
      </c>
      <c r="C10" s="10" t="s">
        <v>2066</v>
      </c>
      <c r="D10" s="10" t="s">
        <v>36</v>
      </c>
      <c r="E10" s="10" t="s">
        <v>133</v>
      </c>
      <c r="F10" s="13">
        <v>2.0</v>
      </c>
      <c r="G10" s="14">
        <v>93.16</v>
      </c>
      <c r="H10" s="10" t="s">
        <v>3247</v>
      </c>
      <c r="I10" s="10">
        <v>98.3</v>
      </c>
      <c r="O10" s="15">
        <f>IFERROR(__xludf.DUMMYFUNCTION("IF(ISBLANK($C10), """", GOOGLEFINANCE($C10, ""price""))"),98.02)</f>
        <v>98.02</v>
      </c>
      <c r="P10" s="16">
        <f t="shared" si="2"/>
        <v>0.05216831258</v>
      </c>
      <c r="Q10" s="16">
        <f>IFERROR(__xludf.DUMMYFUNCTION("IF(OR(ISBLANK($G10), IFERROR(INDEX(GOOGLEFINANCE($C10, ""price"", WORKDAY(INT($B10), 1)), 2, 2), """")=""""), """", IF($D10=""LONG"", (IFERROR(INDEX(GOOGLEFINANCE($C10, ""price"", WORKDAY(INT($B10), 1)), 2, 2), """")-$G10)/$G10, ($G10-IFERROR(INDEX(GOOGLE"&amp;"FINANCE($C10, ""price"", WORKDAY(INT($B10), 1)), 2, 2), """"))/$G10))"),-0.03198797767282084)</f>
        <v>-0.03198797767</v>
      </c>
      <c r="R10" s="16">
        <f>IFERROR(__xludf.DUMMYFUNCTION("IF(OR(ISBLANK($G10), IFERROR(INDEX(GOOGLEFINANCE($C10, ""price"", WORKDAY(INT($B10), 5)), 2, 2), """")=""""), """", IF($D10=""LONG"", (IFERROR(INDEX(GOOGLEFINANCE($C10, ""price"", WORKDAY(INT($B10), 5)), 2, 2), """")-$G10)/$G10, ($G10-IFERROR(INDEX(GOOGLE"&amp;"FINANCE($C10, ""price"", WORKDAY(INT($B10), 5)), 2, 2), """"))/$G10))"),0.012022327179046851)</f>
        <v>0.01202232718</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3250</v>
      </c>
      <c r="U10" s="10" t="s">
        <v>984</v>
      </c>
      <c r="V10" s="10" t="s">
        <v>1059</v>
      </c>
      <c r="W10" s="10" t="s">
        <v>51</v>
      </c>
      <c r="X10" s="10" t="s">
        <v>984</v>
      </c>
    </row>
    <row r="11">
      <c r="A11" s="9">
        <f t="shared" si="1"/>
        <v>10</v>
      </c>
      <c r="B11" s="11">
        <v>46223.6674537037</v>
      </c>
      <c r="C11" s="10" t="s">
        <v>43</v>
      </c>
      <c r="D11" s="10" t="s">
        <v>36</v>
      </c>
      <c r="E11" s="10" t="s">
        <v>37</v>
      </c>
      <c r="F11" s="13">
        <v>2.0</v>
      </c>
      <c r="G11" s="14">
        <v>263.25</v>
      </c>
      <c r="H11" s="10" t="s">
        <v>3252</v>
      </c>
      <c r="I11" s="10">
        <v>94.6</v>
      </c>
      <c r="O11" s="15">
        <f>IFERROR(__xludf.DUMMYFUNCTION("IF(ISBLANK($C11), """", GOOGLEFINANCE($C11, ""price""))"),229.29)</f>
        <v>229.29</v>
      </c>
      <c r="P11" s="16">
        <f t="shared" si="2"/>
        <v>-0.129002849</v>
      </c>
      <c r="Q11" s="16">
        <f>IFERROR(__xludf.DUMMYFUNCTION("IF(OR(ISBLANK($G11), IFERROR(INDEX(GOOGLEFINANCE($C11, ""price"", WORKDAY(INT($B11), 1)), 2, 2), """")=""""), """", IF($D11=""LONG"", (IFERROR(INDEX(GOOGLEFINANCE($C11, ""price"", WORKDAY(INT($B11), 1)), 2, 2), """")-$G11)/$G11, ($G11-IFERROR(INDEX(GOOGLE"&amp;"FINANCE($C11, ""price"", WORKDAY(INT($B11), 1)), 2, 2), """"))/$G11))"),-0.03213675213675217)</f>
        <v>-0.03213675214</v>
      </c>
      <c r="R11" s="16">
        <f>IFERROR(__xludf.DUMMYFUNCTION("IF(OR(ISBLANK($G11), IFERROR(INDEX(GOOGLEFINANCE($C11, ""price"", WORKDAY(INT($B11), 5)), 2, 2), """")=""""), """", IF($D11=""LONG"", (IFERROR(INDEX(GOOGLEFINANCE($C11, ""price"", WORKDAY(INT($B11), 5)), 2, 2), """")-$G11)/$G11, ($G11-IFERROR(INDEX(GOOGLE"&amp;"FINANCE($C11, ""price"", WORKDAY(INT($B11), 5)), 2, 2), """"))/$G11))"),-0.04326685660018988)</f>
        <v>-0.0432668566</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3256</v>
      </c>
      <c r="U11" s="10" t="s">
        <v>984</v>
      </c>
      <c r="V11" s="10" t="s">
        <v>933</v>
      </c>
      <c r="W11" s="10" t="s">
        <v>51</v>
      </c>
      <c r="X11" s="10" t="s">
        <v>984</v>
      </c>
    </row>
    <row r="12">
      <c r="A12" s="9">
        <f t="shared" si="1"/>
        <v>11</v>
      </c>
      <c r="B12" s="11">
        <v>46223.66747685185</v>
      </c>
      <c r="C12" s="10" t="s">
        <v>757</v>
      </c>
      <c r="D12" s="10" t="s">
        <v>119</v>
      </c>
      <c r="E12" s="10" t="s">
        <v>120</v>
      </c>
      <c r="F12" s="13">
        <v>4.0</v>
      </c>
      <c r="G12" s="14">
        <v>124.23</v>
      </c>
      <c r="H12" s="10" t="s">
        <v>3258</v>
      </c>
      <c r="I12" s="10">
        <v>11.9</v>
      </c>
      <c r="O12" s="15">
        <f>IFERROR(__xludf.DUMMYFUNCTION("IF(ISBLANK($C12), """", GOOGLEFINANCE($C12, ""price""))"),121.96)</f>
        <v>121.96</v>
      </c>
      <c r="P12" s="16">
        <f t="shared" si="2"/>
        <v>0.01827255896</v>
      </c>
      <c r="Q12" s="16">
        <f>IFERROR(__xludf.DUMMYFUNCTION("IF(OR(ISBLANK($G12), IFERROR(INDEX(GOOGLEFINANCE($C12, ""price"", WORKDAY(INT($B12), 1)), 2, 2), """")=""""), """", IF($D12=""LONG"", (IFERROR(INDEX(GOOGLEFINANCE($C12, ""price"", WORKDAY(INT($B12), 1)), 2, 2), """")-$G12)/$G12, ($G12-IFERROR(INDEX(GOOGLE"&amp;"FINANCE($C12, ""price"", WORKDAY(INT($B12), 1)), 2, 2), """"))/$G12))"),-0.010705948643644839)</f>
        <v>-0.01070594864</v>
      </c>
      <c r="R12" s="16">
        <f>IFERROR(__xludf.DUMMYFUNCTION("IF(OR(ISBLANK($G12), IFERROR(INDEX(GOOGLEFINANCE($C12, ""price"", WORKDAY(INT($B12), 5)), 2, 2), """")=""""), """", IF($D12=""LONG"", (IFERROR(INDEX(GOOGLEFINANCE($C12, ""price"", WORKDAY(INT($B12), 5)), 2, 2), """")-$G12)/$G12, ($G12-IFERROR(INDEX(GOOGLE"&amp;"FINANCE($C12, ""price"", WORKDAY(INT($B12), 5)), 2, 2), """"))/$G12))"),-0.022216855831924582)</f>
        <v>-0.02221685583</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3260</v>
      </c>
      <c r="U12" s="10" t="s">
        <v>984</v>
      </c>
      <c r="V12" s="10" t="s">
        <v>985</v>
      </c>
      <c r="W12" s="10" t="s">
        <v>51</v>
      </c>
      <c r="X12" s="10" t="s">
        <v>984</v>
      </c>
    </row>
    <row r="13">
      <c r="A13" s="9">
        <f t="shared" si="1"/>
        <v>12</v>
      </c>
      <c r="B13" s="11">
        <v>46223.66737268519</v>
      </c>
      <c r="C13" s="10" t="s">
        <v>845</v>
      </c>
      <c r="D13" s="10" t="s">
        <v>119</v>
      </c>
      <c r="E13" s="10" t="s">
        <v>120</v>
      </c>
      <c r="F13" s="13">
        <v>4.0</v>
      </c>
      <c r="G13" s="14">
        <v>230.62</v>
      </c>
      <c r="H13" s="10" t="s">
        <v>3262</v>
      </c>
      <c r="I13" s="10">
        <v>5.1</v>
      </c>
      <c r="O13" s="15">
        <f>IFERROR(__xludf.DUMMYFUNCTION("IF(ISBLANK($C13), """", GOOGLEFINANCE($C13, ""price""))"),261.48)</f>
        <v>261.48</v>
      </c>
      <c r="P13" s="16">
        <f t="shared" si="2"/>
        <v>-0.1338131992</v>
      </c>
      <c r="Q13" s="16">
        <f>IFERROR(__xludf.DUMMYFUNCTION("IF(OR(ISBLANK($G13), IFERROR(INDEX(GOOGLEFINANCE($C13, ""price"", WORKDAY(INT($B13), 1)), 2, 2), """")=""""), """", IF($D13=""LONG"", (IFERROR(INDEX(GOOGLEFINANCE($C13, ""price"", WORKDAY(INT($B13), 1)), 2, 2), """")-$G13)/$G13, ($G13-IFERROR(INDEX(GOOGLE"&amp;"FINANCE($C13, ""price"", WORKDAY(INT($B13), 1)), 2, 2), """"))/$G13))"),-0.012574798369612374)</f>
        <v>-0.01257479837</v>
      </c>
      <c r="R13" s="16">
        <f>IFERROR(__xludf.DUMMYFUNCTION("IF(OR(ISBLANK($G13), IFERROR(INDEX(GOOGLEFINANCE($C13, ""price"", WORKDAY(INT($B13), 5)), 2, 2), """")=""""), """", IF($D13=""LONG"", (IFERROR(INDEX(GOOGLEFINANCE($C13, ""price"", WORKDAY(INT($B13), 5)), 2, 2), """")-$G13)/$G13, ($G13-IFERROR(INDEX(GOOGLE"&amp;"FINANCE($C13, ""price"", WORKDAY(INT($B13), 5)), 2, 2), """"))/$G13))"),-0.08520509929754577)</f>
        <v>-0.0852050993</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3266</v>
      </c>
      <c r="U13" s="10" t="s">
        <v>984</v>
      </c>
      <c r="V13" s="10" t="s">
        <v>985</v>
      </c>
      <c r="W13" s="10" t="s">
        <v>51</v>
      </c>
      <c r="X13" s="10" t="s">
        <v>984</v>
      </c>
    </row>
    <row r="14">
      <c r="A14" s="9">
        <f t="shared" si="1"/>
        <v>13</v>
      </c>
      <c r="B14" s="11">
        <v>46223.66767361111</v>
      </c>
      <c r="C14" s="10" t="s">
        <v>618</v>
      </c>
      <c r="D14" s="10" t="s">
        <v>36</v>
      </c>
      <c r="E14" s="10" t="s">
        <v>37</v>
      </c>
      <c r="F14" s="13">
        <v>2.0</v>
      </c>
      <c r="G14" s="14">
        <v>225.06</v>
      </c>
      <c r="H14" s="10" t="s">
        <v>3268</v>
      </c>
      <c r="I14" s="10">
        <v>97.7</v>
      </c>
      <c r="O14" s="15">
        <f>IFERROR(__xludf.DUMMYFUNCTION("IF(ISBLANK($C14), """", GOOGLEFINANCE($C14, ""price""))"),254.06)</f>
        <v>254.06</v>
      </c>
      <c r="P14" s="16">
        <f t="shared" si="2"/>
        <v>0.1288545277</v>
      </c>
      <c r="Q14" s="16">
        <f>IFERROR(__xludf.DUMMYFUNCTION("IF(OR(ISBLANK($G14), IFERROR(INDEX(GOOGLEFINANCE($C14, ""price"", WORKDAY(INT($B14), 1)), 2, 2), """")=""""), """", IF($D14=""LONG"", (IFERROR(INDEX(GOOGLEFINANCE($C14, ""price"", WORKDAY(INT($B14), 1)), 2, 2), """")-$G14)/$G14, ($G14-IFERROR(INDEX(GOOGLE"&amp;"FINANCE($C14, ""price"", WORKDAY(INT($B14), 1)), 2, 2), """"))/$G14))"),-0.041055718475073354)</f>
        <v>-0.04105571848</v>
      </c>
      <c r="R14" s="16">
        <f>IFERROR(__xludf.DUMMYFUNCTION("IF(OR(ISBLANK($G14), IFERROR(INDEX(GOOGLEFINANCE($C14, ""price"", WORKDAY(INT($B14), 5)), 2, 2), """")=""""), """", IF($D14=""LONG"", (IFERROR(INDEX(GOOGLEFINANCE($C14, ""price"", WORKDAY(INT($B14), 5)), 2, 2), """")-$G14)/$G14, ($G14-IFERROR(INDEX(GOOGLE"&amp;"FINANCE($C14, ""price"", WORKDAY(INT($B14), 5)), 2, 2), """"))/$G14))"),0.01421843064071798)</f>
        <v>0.01421843064</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3270</v>
      </c>
      <c r="U14" s="10" t="s">
        <v>984</v>
      </c>
      <c r="V14" s="10" t="s">
        <v>985</v>
      </c>
      <c r="W14" s="10" t="s">
        <v>51</v>
      </c>
      <c r="X14" s="10" t="s">
        <v>984</v>
      </c>
    </row>
    <row r="15">
      <c r="A15" s="9">
        <f t="shared" si="1"/>
        <v>14</v>
      </c>
      <c r="B15" s="11">
        <v>46223.667546296296</v>
      </c>
      <c r="C15" s="10" t="s">
        <v>1061</v>
      </c>
      <c r="D15" s="10" t="s">
        <v>36</v>
      </c>
      <c r="E15" s="10" t="s">
        <v>133</v>
      </c>
      <c r="F15" s="13">
        <v>2.0</v>
      </c>
      <c r="G15" s="14">
        <v>212.16</v>
      </c>
      <c r="H15" s="10" t="s">
        <v>3272</v>
      </c>
      <c r="I15" s="10">
        <v>97.3</v>
      </c>
      <c r="O15" s="15">
        <f>IFERROR(__xludf.DUMMYFUNCTION("IF(ISBLANK($C15), """", GOOGLEFINANCE($C15, ""price""))"),215.34)</f>
        <v>215.34</v>
      </c>
      <c r="P15" s="16">
        <f t="shared" si="2"/>
        <v>0.01498868778</v>
      </c>
      <c r="Q15" s="16">
        <f>IFERROR(__xludf.DUMMYFUNCTION("IF(OR(ISBLANK($G15), IFERROR(INDEX(GOOGLEFINANCE($C15, ""price"", WORKDAY(INT($B15), 1)), 2, 2), """")=""""), """", IF($D15=""LONG"", (IFERROR(INDEX(GOOGLEFINANCE($C15, ""price"", WORKDAY(INT($B15), 1)), 2, 2), """")-$G15)/$G15, ($G15-IFERROR(INDEX(GOOGLE"&amp;"FINANCE($C15, ""price"", WORKDAY(INT($B15), 1)), 2, 2), """"))/$G15))"),-0.02950603318250373)</f>
        <v>-0.02950603318</v>
      </c>
      <c r="R15" s="16">
        <f>IFERROR(__xludf.DUMMYFUNCTION("IF(OR(ISBLANK($G15), IFERROR(INDEX(GOOGLEFINANCE($C15, ""price"", WORKDAY(INT($B15), 5)), 2, 2), """")=""""), """", IF($D15=""LONG"", (IFERROR(INDEX(GOOGLEFINANCE($C15, ""price"", WORKDAY(INT($B15), 5)), 2, 2), """")-$G15)/$G15, ($G15-IFERROR(INDEX(GOOGLE"&amp;"FINANCE($C15, ""price"", WORKDAY(INT($B15), 5)), 2, 2), """"))/$G15))"),0.016968325791855178)</f>
        <v>0.01696832579</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3275</v>
      </c>
      <c r="U15" s="10" t="s">
        <v>984</v>
      </c>
      <c r="V15" s="10" t="s">
        <v>1059</v>
      </c>
      <c r="W15" s="10" t="s">
        <v>51</v>
      </c>
      <c r="X15" s="10" t="s">
        <v>984</v>
      </c>
    </row>
    <row r="16">
      <c r="A16" s="9">
        <f t="shared" si="1"/>
        <v>15</v>
      </c>
      <c r="B16" s="11">
        <v>46223.66751157407</v>
      </c>
      <c r="C16" s="10" t="s">
        <v>3277</v>
      </c>
      <c r="D16" s="10" t="s">
        <v>119</v>
      </c>
      <c r="E16" s="10" t="s">
        <v>120</v>
      </c>
      <c r="F16" s="13">
        <v>4.0</v>
      </c>
      <c r="G16" s="14">
        <v>135.78</v>
      </c>
      <c r="H16" s="10" t="s">
        <v>3278</v>
      </c>
      <c r="I16" s="10">
        <v>6.6</v>
      </c>
      <c r="O16" s="15">
        <f>IFERROR(__xludf.DUMMYFUNCTION("IF(ISBLANK($C16), """", GOOGLEFINANCE($C16, ""price""))"),144.05)</f>
        <v>144.05</v>
      </c>
      <c r="P16" s="16">
        <f t="shared" si="2"/>
        <v>-0.06090735013</v>
      </c>
      <c r="Q16" s="16">
        <f>IFERROR(__xludf.DUMMYFUNCTION("IF(OR(ISBLANK($G16), IFERROR(INDEX(GOOGLEFINANCE($C16, ""price"", WORKDAY(INT($B16), 1)), 2, 2), """")=""""), """", IF($D16=""LONG"", (IFERROR(INDEX(GOOGLEFINANCE($C16, ""price"", WORKDAY(INT($B16), 1)), 2, 2), """")-$G16)/$G16, ($G16-IFERROR(INDEX(GOOGLE"&amp;"FINANCE($C16, ""price"", WORKDAY(INT($B16), 1)), 2, 2), """"))/$G16))"),-0.022168213286198196)</f>
        <v>-0.02216821329</v>
      </c>
      <c r="R16" s="16">
        <f>IFERROR(__xludf.DUMMYFUNCTION("IF(OR(ISBLANK($G16), IFERROR(INDEX(GOOGLEFINANCE($C16, ""price"", WORKDAY(INT($B16), 5)), 2, 2), """")=""""), """", IF($D16=""LONG"", (IFERROR(INDEX(GOOGLEFINANCE($C16, ""price"", WORKDAY(INT($B16), 5)), 2, 2), """")-$G16)/$G16, ($G16-IFERROR(INDEX(GOOGLE"&amp;"FINANCE($C16, ""price"", WORKDAY(INT($B16), 5)), 2, 2), """"))/$G16))"),-0.030785093533657437)</f>
        <v>-0.03078509353</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3281</v>
      </c>
      <c r="U16" s="10" t="s">
        <v>984</v>
      </c>
      <c r="V16" s="10" t="s">
        <v>985</v>
      </c>
      <c r="W16" s="10" t="s">
        <v>51</v>
      </c>
      <c r="X16" s="10" t="s">
        <v>984</v>
      </c>
    </row>
    <row r="17">
      <c r="A17" s="9">
        <f t="shared" si="1"/>
        <v>16</v>
      </c>
      <c r="B17" s="11">
        <v>46223.6674537037</v>
      </c>
      <c r="C17" s="10" t="s">
        <v>264</v>
      </c>
      <c r="D17" s="10" t="s">
        <v>36</v>
      </c>
      <c r="E17" s="10" t="s">
        <v>37</v>
      </c>
      <c r="F17" s="13">
        <v>2.0</v>
      </c>
      <c r="G17" s="14">
        <v>349.0</v>
      </c>
      <c r="H17" s="10" t="s">
        <v>3282</v>
      </c>
      <c r="I17" s="10">
        <v>93.3</v>
      </c>
      <c r="O17" s="15">
        <f>IFERROR(__xludf.DUMMYFUNCTION("IF(ISBLANK($C17), """", GOOGLEFINANCE($C17, ""price""))"),359.49)</f>
        <v>359.49</v>
      </c>
      <c r="P17" s="16">
        <f t="shared" si="2"/>
        <v>0.03005730659</v>
      </c>
      <c r="Q17" s="16">
        <f>IFERROR(__xludf.DUMMYFUNCTION("IF(OR(ISBLANK($G17), IFERROR(INDEX(GOOGLEFINANCE($C17, ""price"", WORKDAY(INT($B17), 1)), 2, 2), """")=""""), """", IF($D17=""LONG"", (IFERROR(INDEX(GOOGLEFINANCE($C17, ""price"", WORKDAY(INT($B17), 1)), 2, 2), """")-$G17)/$G17, ($G17-IFERROR(INDEX(GOOGLE"&amp;"FINANCE($C17, ""price"", WORKDAY(INT($B17), 1)), 2, 2), """"))/$G17))"),-0.019627507163323846)</f>
        <v>-0.01962750716</v>
      </c>
      <c r="R17" s="16">
        <f>IFERROR(__xludf.DUMMYFUNCTION("IF(OR(ISBLANK($G17), IFERROR(INDEX(GOOGLEFINANCE($C17, ""price"", WORKDAY(INT($B17), 5)), 2, 2), """")=""""), """", IF($D17=""LONG"", (IFERROR(INDEX(GOOGLEFINANCE($C17, ""price"", WORKDAY(INT($B17), 5)), 2, 2), """")-$G17)/$G17, ($G17-IFERROR(INDEX(GOOGLE"&amp;"FINANCE($C17, ""price"", WORKDAY(INT($B17), 5)), 2, 2), """"))/$G17))"),-0.0907736389684814)</f>
        <v>-0.09077363897</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3285</v>
      </c>
      <c r="U17" s="10" t="s">
        <v>984</v>
      </c>
      <c r="V17" s="10" t="s">
        <v>933</v>
      </c>
      <c r="W17" s="10" t="s">
        <v>51</v>
      </c>
      <c r="X17" s="10" t="s">
        <v>984</v>
      </c>
    </row>
    <row r="18">
      <c r="A18" s="9">
        <f t="shared" si="1"/>
        <v>17</v>
      </c>
      <c r="B18" s="11">
        <v>46223.66737268519</v>
      </c>
      <c r="C18" s="10" t="s">
        <v>95</v>
      </c>
      <c r="D18" s="10" t="s">
        <v>36</v>
      </c>
      <c r="E18" s="10" t="s">
        <v>37</v>
      </c>
      <c r="F18" s="13">
        <v>2.0</v>
      </c>
      <c r="G18" s="14">
        <v>181.01</v>
      </c>
      <c r="H18" s="10" t="s">
        <v>3286</v>
      </c>
      <c r="I18" s="10">
        <v>90.5</v>
      </c>
      <c r="O18" s="15">
        <f>IFERROR(__xludf.DUMMYFUNCTION("IF(ISBLANK($C18), """", GOOGLEFINANCE($C18, ""price""))"),181.77)</f>
        <v>181.77</v>
      </c>
      <c r="P18" s="16">
        <f t="shared" si="2"/>
        <v>0.004198663057</v>
      </c>
      <c r="Q18" s="16">
        <f>IFERROR(__xludf.DUMMYFUNCTION("IF(OR(ISBLANK($G18), IFERROR(INDEX(GOOGLEFINANCE($C18, ""price"", WORKDAY(INT($B18), 1)), 2, 2), """")=""""), """", IF($D18=""LONG"", (IFERROR(INDEX(GOOGLEFINANCE($C18, ""price"", WORKDAY(INT($B18), 1)), 2, 2), """")-$G18)/$G18, ($G18-IFERROR(INDEX(GOOGLE"&amp;"FINANCE($C18, ""price"", WORKDAY(INT($B18), 1)), 2, 2), """"))/$G18))"),-0.01756809016076448)</f>
        <v>-0.01756809016</v>
      </c>
      <c r="R18" s="16">
        <f>IFERROR(__xludf.DUMMYFUNCTION("IF(OR(ISBLANK($G18), IFERROR(INDEX(GOOGLEFINANCE($C18, ""price"", WORKDAY(INT($B18), 5)), 2, 2), """")=""""), """", IF($D18=""LONG"", (IFERROR(INDEX(GOOGLEFINANCE($C18, ""price"", WORKDAY(INT($B18), 5)), 2, 2), """")-$G18)/$G18, ($G18-IFERROR(INDEX(GOOGLE"&amp;"FINANCE($C18, ""price"", WORKDAY(INT($B18), 5)), 2, 2), """"))/$G18))"),-0.008894536213468788)</f>
        <v>-0.008894536213</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3289</v>
      </c>
      <c r="U18" s="10" t="s">
        <v>492</v>
      </c>
      <c r="V18" s="10" t="s">
        <v>493</v>
      </c>
      <c r="W18" s="10" t="s">
        <v>51</v>
      </c>
      <c r="X18" s="10" t="s">
        <v>492</v>
      </c>
    </row>
    <row r="19">
      <c r="A19" s="9">
        <f t="shared" si="1"/>
        <v>18</v>
      </c>
      <c r="B19" s="11">
        <v>46223.66761574074</v>
      </c>
      <c r="C19" s="10" t="s">
        <v>682</v>
      </c>
      <c r="D19" s="10" t="s">
        <v>119</v>
      </c>
      <c r="E19" s="10" t="s">
        <v>120</v>
      </c>
      <c r="F19" s="13">
        <v>4.0</v>
      </c>
      <c r="G19" s="14">
        <v>65.84</v>
      </c>
      <c r="H19" s="10" t="s">
        <v>3292</v>
      </c>
      <c r="I19" s="10">
        <v>22.4</v>
      </c>
      <c r="O19" s="15">
        <f>IFERROR(__xludf.DUMMYFUNCTION("IF(ISBLANK($C19), """", GOOGLEFINANCE($C19, ""price""))"),64.2)</f>
        <v>64.2</v>
      </c>
      <c r="P19" s="16">
        <f t="shared" si="2"/>
        <v>0.02490886999</v>
      </c>
      <c r="Q19" s="16">
        <f>IFERROR(__xludf.DUMMYFUNCTION("IF(OR(ISBLANK($G19), IFERROR(INDEX(GOOGLEFINANCE($C19, ""price"", WORKDAY(INT($B19), 1)), 2, 2), """")=""""), """", IF($D19=""LONG"", (IFERROR(INDEX(GOOGLEFINANCE($C19, ""price"", WORKDAY(INT($B19), 1)), 2, 2), """")-$G19)/$G19, ($G19-IFERROR(INDEX(GOOGLE"&amp;"FINANCE($C19, ""price"", WORKDAY(INT($B19), 1)), 2, 2), """"))/$G19))"),-0.02657958687727825)</f>
        <v>-0.02657958688</v>
      </c>
      <c r="R19" s="16">
        <f>IFERROR(__xludf.DUMMYFUNCTION("IF(OR(ISBLANK($G19), IFERROR(INDEX(GOOGLEFINANCE($C19, ""price"", WORKDAY(INT($B19), 5)), 2, 2), """")=""""), """", IF($D19=""LONG"", (IFERROR(INDEX(GOOGLEFINANCE($C19, ""price"", WORKDAY(INT($B19), 5)), 2, 2), """")-$G19)/$G19, ($G19-IFERROR(INDEX(GOOGLE"&amp;"FINANCE($C19, ""price"", WORKDAY(INT($B19), 5)), 2, 2), """"))/$G19))"),0.026731470230862774)</f>
        <v>0.02673147023</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3295</v>
      </c>
      <c r="U19" s="10" t="s">
        <v>984</v>
      </c>
      <c r="V19" s="10" t="s">
        <v>985</v>
      </c>
      <c r="W19" s="10" t="s">
        <v>51</v>
      </c>
      <c r="X19" s="10" t="s">
        <v>984</v>
      </c>
    </row>
    <row r="20">
      <c r="A20" s="9">
        <f t="shared" si="1"/>
        <v>19</v>
      </c>
      <c r="B20" s="11">
        <v>46223.6674537037</v>
      </c>
      <c r="C20" s="10" t="s">
        <v>2250</v>
      </c>
      <c r="D20" s="10" t="s">
        <v>36</v>
      </c>
      <c r="E20" s="10" t="s">
        <v>133</v>
      </c>
      <c r="F20" s="13">
        <v>2.0</v>
      </c>
      <c r="G20" s="14">
        <v>253.72</v>
      </c>
      <c r="H20" s="10" t="s">
        <v>3296</v>
      </c>
      <c r="I20" s="10">
        <v>98.9</v>
      </c>
      <c r="O20" s="15">
        <f>IFERROR(__xludf.DUMMYFUNCTION("IF(ISBLANK($C20), """", GOOGLEFINANCE($C20, ""price""))"),251.74)</f>
        <v>251.74</v>
      </c>
      <c r="P20" s="16">
        <f t="shared" si="2"/>
        <v>-0.007803878291</v>
      </c>
      <c r="Q20" s="16">
        <f>IFERROR(__xludf.DUMMYFUNCTION("IF(OR(ISBLANK($G20), IFERROR(INDEX(GOOGLEFINANCE($C20, ""price"", WORKDAY(INT($B20), 1)), 2, 2), """")=""""), """", IF($D20=""LONG"", (IFERROR(INDEX(GOOGLEFINANCE($C20, ""price"", WORKDAY(INT($B20), 1)), 2, 2), """")-$G20)/$G20, ($G20-IFERROR(INDEX(GOOGLE"&amp;"FINANCE($C20, ""price"", WORKDAY(INT($B20), 1)), 2, 2), """"))/$G20))"),-0.021677439697304113)</f>
        <v>-0.0216774397</v>
      </c>
      <c r="R20" s="16">
        <f>IFERROR(__xludf.DUMMYFUNCTION("IF(OR(ISBLANK($G20), IFERROR(INDEX(GOOGLEFINANCE($C20, ""price"", WORKDAY(INT($B20), 5)), 2, 2), """")=""""), """", IF($D20=""LONG"", (IFERROR(INDEX(GOOGLEFINANCE($C20, ""price"", WORKDAY(INT($B20), 5)), 2, 2), """")-$G20)/$G20, ($G20-IFERROR(INDEX(GOOGLE"&amp;"FINANCE($C20, ""price"", WORKDAY(INT($B20), 5)), 2, 2), """"))/$G20))"),-0.001418886962005302)</f>
        <v>-0.001418886962</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3299</v>
      </c>
      <c r="U20" s="10" t="s">
        <v>984</v>
      </c>
      <c r="V20" s="10" t="s">
        <v>985</v>
      </c>
      <c r="W20" s="10" t="s">
        <v>51</v>
      </c>
      <c r="X20" s="10" t="s">
        <v>984</v>
      </c>
    </row>
    <row r="21">
      <c r="A21" s="9">
        <f t="shared" si="1"/>
        <v>20</v>
      </c>
      <c r="B21" s="11">
        <v>46223.66787037037</v>
      </c>
      <c r="C21" s="10" t="s">
        <v>564</v>
      </c>
      <c r="D21" s="10" t="s">
        <v>119</v>
      </c>
      <c r="E21" s="10" t="s">
        <v>120</v>
      </c>
      <c r="F21" s="13">
        <v>4.0</v>
      </c>
      <c r="G21" s="14">
        <v>382.25</v>
      </c>
      <c r="H21" s="10" t="s">
        <v>3300</v>
      </c>
      <c r="I21" s="10">
        <v>16.3</v>
      </c>
      <c r="O21" s="15">
        <f>IFERROR(__xludf.DUMMYFUNCTION("IF(ISBLANK($C21), """", GOOGLEFINANCE($C21, ""price""))"),391.4)</f>
        <v>391.4</v>
      </c>
      <c r="P21" s="16">
        <f t="shared" si="2"/>
        <v>-0.02393721387</v>
      </c>
      <c r="Q21" s="16">
        <f>IFERROR(__xludf.DUMMYFUNCTION("IF(OR(ISBLANK($G21), IFERROR(INDEX(GOOGLEFINANCE($C21, ""price"", WORKDAY(INT($B21), 1)), 2, 2), """")=""""), """", IF($D21=""LONG"", (IFERROR(INDEX(GOOGLEFINANCE($C21, ""price"", WORKDAY(INT($B21), 1)), 2, 2), """")-$G21)/$G21, ($G21-IFERROR(INDEX(GOOGLE"&amp;"FINANCE($C21, ""price"", WORKDAY(INT($B21), 1)), 2, 2), """"))/$G21))"),-0.02927403531720078)</f>
        <v>-0.02927403532</v>
      </c>
      <c r="R21" s="16">
        <f>IFERROR(__xludf.DUMMYFUNCTION("IF(OR(ISBLANK($G21), IFERROR(INDEX(GOOGLEFINANCE($C21, ""price"", WORKDAY(INT($B21), 5)), 2, 2), """")=""""), """", IF($D21=""LONG"", (IFERROR(INDEX(GOOGLEFINANCE($C21, ""price"", WORKDAY(INT($B21), 5)), 2, 2), """")-$G21)/$G21, ($G21-IFERROR(INDEX(GOOGLE"&amp;"FINANCE($C21, ""price"", WORKDAY(INT($B21), 5)), 2, 2), """"))/$G21))"),0.010176586003924099)</f>
        <v>0.010176586</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3303</v>
      </c>
      <c r="U21" s="10" t="s">
        <v>984</v>
      </c>
      <c r="V21" s="10" t="s">
        <v>985</v>
      </c>
      <c r="W21" s="10" t="s">
        <v>51</v>
      </c>
      <c r="X21" s="10" t="s">
        <v>984</v>
      </c>
    </row>
    <row r="22">
      <c r="A22" s="9">
        <f t="shared" si="1"/>
        <v>21</v>
      </c>
      <c r="B22" s="11">
        <v>46223.66755787037</v>
      </c>
      <c r="C22" s="10" t="s">
        <v>348</v>
      </c>
      <c r="D22" s="10" t="s">
        <v>36</v>
      </c>
      <c r="E22" s="10" t="s">
        <v>37</v>
      </c>
      <c r="F22" s="13">
        <v>2.0</v>
      </c>
      <c r="G22" s="14">
        <v>264.56</v>
      </c>
      <c r="H22" s="10" t="s">
        <v>3304</v>
      </c>
      <c r="I22" s="10">
        <v>95.5</v>
      </c>
      <c r="O22" s="15">
        <f>IFERROR(__xludf.DUMMYFUNCTION("IF(ISBLANK($C22), """", GOOGLEFINANCE($C22, ""price""))"),364.24)</f>
        <v>364.24</v>
      </c>
      <c r="P22" s="16">
        <f t="shared" si="2"/>
        <v>0.3767765346</v>
      </c>
      <c r="Q22" s="16">
        <f>IFERROR(__xludf.DUMMYFUNCTION("IF(OR(ISBLANK($G22), IFERROR(INDEX(GOOGLEFINANCE($C22, ""price"", WORKDAY(INT($B22), 1)), 2, 2), """")=""""), """", IF($D22=""LONG"", (IFERROR(INDEX(GOOGLEFINANCE($C22, ""price"", WORKDAY(INT($B22), 1)), 2, 2), """")-$G22)/$G22, ($G22-IFERROR(INDEX(GOOGLE"&amp;"FINANCE($C22, ""price"", WORKDAY(INT($B22), 1)), 2, 2), """"))/$G22))"),-0.008164499546416785)</f>
        <v>-0.008164499546</v>
      </c>
      <c r="R22" s="16">
        <f>IFERROR(__xludf.DUMMYFUNCTION("IF(OR(ISBLANK($G22), IFERROR(INDEX(GOOGLEFINANCE($C22, ""price"", WORKDAY(INT($B22), 5)), 2, 2), """")=""""), """", IF($D22=""LONG"", (IFERROR(INDEX(GOOGLEFINANCE($C22, ""price"", WORKDAY(INT($B22), 5)), 2, 2), """")-$G22)/$G22, ($G22-IFERROR(INDEX(GOOGLE"&amp;"FINANCE($C22, ""price"", WORKDAY(INT($B22), 5)), 2, 2), """"))/$G22))"),1.1339582703346203E-4)</f>
        <v>0.000113395827</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3308</v>
      </c>
      <c r="U22" s="10" t="s">
        <v>984</v>
      </c>
      <c r="V22" s="10" t="s">
        <v>985</v>
      </c>
      <c r="W22" s="10" t="s">
        <v>51</v>
      </c>
      <c r="X22" s="10" t="s">
        <v>984</v>
      </c>
    </row>
    <row r="23">
      <c r="A23" s="9">
        <f t="shared" si="1"/>
        <v>22</v>
      </c>
      <c r="B23" s="11">
        <v>46223.66758101852</v>
      </c>
      <c r="C23" s="10" t="s">
        <v>3309</v>
      </c>
      <c r="D23" s="10" t="s">
        <v>119</v>
      </c>
      <c r="E23" s="10" t="s">
        <v>120</v>
      </c>
      <c r="F23" s="13">
        <v>4.0</v>
      </c>
      <c r="G23" s="14">
        <v>176.3</v>
      </c>
      <c r="H23" s="10" t="s">
        <v>3310</v>
      </c>
      <c r="I23" s="10">
        <v>10.7</v>
      </c>
      <c r="O23" s="15">
        <f>IFERROR(__xludf.DUMMYFUNCTION("IF(ISBLANK($C23), """", GOOGLEFINANCE($C23, ""price""))"),192.56)</f>
        <v>192.56</v>
      </c>
      <c r="P23" s="16">
        <f t="shared" si="2"/>
        <v>-0.09222915485</v>
      </c>
      <c r="Q23" s="16">
        <f>IFERROR(__xludf.DUMMYFUNCTION("IF(OR(ISBLANK($G23), IFERROR(INDEX(GOOGLEFINANCE($C23, ""price"", WORKDAY(INT($B23), 1)), 2, 2), """")=""""), """", IF($D23=""LONG"", (IFERROR(INDEX(GOOGLEFINANCE($C23, ""price"", WORKDAY(INT($B23), 1)), 2, 2), """")-$G23)/$G23, ($G23-IFERROR(INDEX(GOOGLE"&amp;"FINANCE($C23, ""price"", WORKDAY(INT($B23), 1)), 2, 2), """"))/$G23))"),-0.017073170731707263)</f>
        <v>-0.01707317073</v>
      </c>
      <c r="R23" s="16">
        <f>IFERROR(__xludf.DUMMYFUNCTION("IF(OR(ISBLANK($G23), IFERROR(INDEX(GOOGLEFINANCE($C23, ""price"", WORKDAY(INT($B23), 5)), 2, 2), """")=""""), """", IF($D23=""LONG"", (IFERROR(INDEX(GOOGLEFINANCE($C23, ""price"", WORKDAY(INT($B23), 5)), 2, 2), """")-$G23)/$G23, ($G23-IFERROR(INDEX(GOOGLE"&amp;"FINANCE($C23, ""price"", WORKDAY(INT($B23), 5)), 2, 2), """"))/$G23))"),-0.11038003403289834)</f>
        <v>-0.110380034</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3313</v>
      </c>
      <c r="U23" s="10" t="s">
        <v>984</v>
      </c>
      <c r="V23" s="10" t="s">
        <v>1059</v>
      </c>
      <c r="W23" s="10" t="s">
        <v>51</v>
      </c>
      <c r="X23" s="10" t="s">
        <v>984</v>
      </c>
    </row>
    <row r="24">
      <c r="A24" s="9">
        <f t="shared" si="1"/>
        <v>23</v>
      </c>
      <c r="B24" s="11">
        <v>46223.66738425926</v>
      </c>
      <c r="C24" s="10" t="s">
        <v>442</v>
      </c>
      <c r="D24" s="10" t="s">
        <v>36</v>
      </c>
      <c r="E24" s="10" t="s">
        <v>37</v>
      </c>
      <c r="F24" s="13">
        <v>2.0</v>
      </c>
      <c r="G24" s="14">
        <v>527.34</v>
      </c>
      <c r="H24" s="10" t="s">
        <v>160</v>
      </c>
      <c r="I24" s="10">
        <v>98.2</v>
      </c>
      <c r="O24" s="15">
        <f>IFERROR(__xludf.DUMMYFUNCTION("IF(ISBLANK($C24), """", GOOGLEFINANCE($C24, ""price""))"),522.46)</f>
        <v>522.46</v>
      </c>
      <c r="P24" s="16">
        <f t="shared" si="2"/>
        <v>-0.009253991732</v>
      </c>
      <c r="Q24" s="16">
        <f>IFERROR(__xludf.DUMMYFUNCTION("IF(OR(ISBLANK($G24), IFERROR(INDEX(GOOGLEFINANCE($C24, ""price"", WORKDAY(INT($B24), 1)), 2, 2), """")=""""), """", IF($D24=""LONG"", (IFERROR(INDEX(GOOGLEFINANCE($C24, ""price"", WORKDAY(INT($B24), 1)), 2, 2), """")-$G24)/$G24, ($G24-IFERROR(INDEX(GOOGLE"&amp;"FINANCE($C24, ""price"", WORKDAY(INT($B24), 1)), 2, 2), """"))/$G24))"),-0.030663329161451845)</f>
        <v>-0.03066332916</v>
      </c>
      <c r="R24" s="16">
        <f>IFERROR(__xludf.DUMMYFUNCTION("IF(OR(ISBLANK($G24), IFERROR(INDEX(GOOGLEFINANCE($C24, ""price"", WORKDAY(INT($B24), 5)), 2, 2), """")=""""), """", IF($D24=""LONG"", (IFERROR(INDEX(GOOGLEFINANCE($C24, ""price"", WORKDAY(INT($B24), 5)), 2, 2), """")-$G24)/$G24, ($G24-IFERROR(INDEX(GOOGLE"&amp;"FINANCE($C24, ""price"", WORKDAY(INT($B24), 5)), 2, 2), """"))/$G24))"),-0.003527136192968509)</f>
        <v>-0.003527136193</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3317</v>
      </c>
      <c r="U24" s="10" t="s">
        <v>984</v>
      </c>
      <c r="V24" s="10" t="s">
        <v>985</v>
      </c>
      <c r="W24" s="10" t="s">
        <v>51</v>
      </c>
      <c r="X24" s="10" t="s">
        <v>984</v>
      </c>
    </row>
    <row r="25">
      <c r="A25" s="9">
        <f t="shared" si="1"/>
        <v>24</v>
      </c>
      <c r="B25" s="11">
        <v>46223.66746527778</v>
      </c>
      <c r="C25" s="10" t="s">
        <v>129</v>
      </c>
      <c r="D25" s="10" t="s">
        <v>119</v>
      </c>
      <c r="E25" s="10" t="s">
        <v>120</v>
      </c>
      <c r="F25" s="13">
        <v>4.0</v>
      </c>
      <c r="G25" s="14">
        <v>55.13</v>
      </c>
      <c r="H25" s="10" t="s">
        <v>3319</v>
      </c>
      <c r="I25" s="10">
        <v>4.5</v>
      </c>
      <c r="O25" s="15">
        <f>IFERROR(__xludf.DUMMYFUNCTION("IF(ISBLANK($C25), """", GOOGLEFINANCE($C25, ""price""))"),62.75)</f>
        <v>62.75</v>
      </c>
      <c r="P25" s="16">
        <f t="shared" si="2"/>
        <v>-0.1382187557</v>
      </c>
      <c r="Q25" s="16">
        <f>IFERROR(__xludf.DUMMYFUNCTION("IF(OR(ISBLANK($G25), IFERROR(INDEX(GOOGLEFINANCE($C25, ""price"", WORKDAY(INT($B25), 1)), 2, 2), """")=""""), """", IF($D25=""LONG"", (IFERROR(INDEX(GOOGLEFINANCE($C25, ""price"", WORKDAY(INT($B25), 1)), 2, 2), """")-$G25)/$G25, ($G25-IFERROR(INDEX(GOOGLE"&amp;"FINANCE($C25, ""price"", WORKDAY(INT($B25), 1)), 2, 2), """"))/$G25))"),-0.022673680391801197)</f>
        <v>-0.02267368039</v>
      </c>
      <c r="R25" s="16">
        <f>IFERROR(__xludf.DUMMYFUNCTION("IF(OR(ISBLANK($G25), IFERROR(INDEX(GOOGLEFINANCE($C25, ""price"", WORKDAY(INT($B25), 5)), 2, 2), """")=""""), """", IF($D25=""LONG"", (IFERROR(INDEX(GOOGLEFINANCE($C25, ""price"", WORKDAY(INT($B25), 5)), 2, 2), """")-$G25)/$G25, ($G25-IFERROR(INDEX(GOOGLE"&amp;"FINANCE($C25, ""price"", WORKDAY(INT($B25), 5)), 2, 2), """"))/$G25))"),-0.09903863595138764)</f>
        <v>-0.09903863595</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3323</v>
      </c>
      <c r="U25" s="10" t="s">
        <v>984</v>
      </c>
      <c r="V25" s="10" t="s">
        <v>985</v>
      </c>
      <c r="W25" s="10" t="s">
        <v>51</v>
      </c>
      <c r="X25" s="10" t="s">
        <v>984</v>
      </c>
    </row>
    <row r="26">
      <c r="A26" s="9">
        <f t="shared" si="1"/>
        <v>25</v>
      </c>
      <c r="B26" s="11">
        <v>46223.66741898148</v>
      </c>
      <c r="C26" s="10" t="s">
        <v>2229</v>
      </c>
      <c r="D26" s="10" t="s">
        <v>36</v>
      </c>
      <c r="E26" s="10" t="s">
        <v>37</v>
      </c>
      <c r="F26" s="13">
        <v>2.0</v>
      </c>
      <c r="G26" s="14">
        <v>120.61</v>
      </c>
      <c r="H26" s="10" t="s">
        <v>3326</v>
      </c>
      <c r="I26" s="10">
        <v>97.4</v>
      </c>
      <c r="O26" s="15">
        <f>IFERROR(__xludf.DUMMYFUNCTION("IF(ISBLANK($C26), """", GOOGLEFINANCE($C26, ""price""))"),120.76)</f>
        <v>120.76</v>
      </c>
      <c r="P26" s="16">
        <f t="shared" si="2"/>
        <v>0.00124367797</v>
      </c>
      <c r="Q26" s="16">
        <f>IFERROR(__xludf.DUMMYFUNCTION("IF(OR(ISBLANK($G26), IFERROR(INDEX(GOOGLEFINANCE($C26, ""price"", WORKDAY(INT($B26), 1)), 2, 2), """")=""""), """", IF($D26=""LONG"", (IFERROR(INDEX(GOOGLEFINANCE($C26, ""price"", WORKDAY(INT($B26), 1)), 2, 2), """")-$G26)/$G26, ($G26-IFERROR(INDEX(GOOGLE"&amp;"FINANCE($C26, ""price"", WORKDAY(INT($B26), 1)), 2, 2), """"))/$G26))"),-0.029931183152309093)</f>
        <v>-0.02993118315</v>
      </c>
      <c r="R26" s="16">
        <f>IFERROR(__xludf.DUMMYFUNCTION("IF(OR(ISBLANK($G26), IFERROR(INDEX(GOOGLEFINANCE($C26, ""price"", WORKDAY(INT($B26), 5)), 2, 2), """")=""""), """", IF($D26=""LONG"", (IFERROR(INDEX(GOOGLEFINANCE($C26, ""price"", WORKDAY(INT($B26), 5)), 2, 2), """")-$G26)/$G26, ($G26-IFERROR(INDEX(GOOGLE"&amp;"FINANCE($C26, ""price"", WORKDAY(INT($B26), 5)), 2, 2), """"))/$G26))"),-0.003731033910952681)</f>
        <v>-0.003731033911</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3328</v>
      </c>
      <c r="U26" s="10" t="s">
        <v>984</v>
      </c>
      <c r="V26" s="10" t="s">
        <v>985</v>
      </c>
      <c r="W26" s="10" t="s">
        <v>51</v>
      </c>
      <c r="X26" s="10" t="s">
        <v>984</v>
      </c>
    </row>
    <row r="27">
      <c r="A27" s="9">
        <f t="shared" si="1"/>
        <v>26</v>
      </c>
      <c r="B27" s="11">
        <v>46223.66753472222</v>
      </c>
      <c r="C27" s="10" t="s">
        <v>201</v>
      </c>
      <c r="D27" s="10" t="s">
        <v>36</v>
      </c>
      <c r="E27" s="10" t="s">
        <v>37</v>
      </c>
      <c r="F27" s="13">
        <v>2.0</v>
      </c>
      <c r="G27" s="14">
        <v>133.67</v>
      </c>
      <c r="H27" s="10" t="s">
        <v>3331</v>
      </c>
      <c r="I27" s="10">
        <v>97.9</v>
      </c>
      <c r="O27" s="15">
        <f>IFERROR(__xludf.DUMMYFUNCTION("IF(ISBLANK($C27), """", GOOGLEFINANCE($C27, ""price""))"),134.82)</f>
        <v>134.82</v>
      </c>
      <c r="P27" s="16">
        <f t="shared" si="2"/>
        <v>0.008603276726</v>
      </c>
      <c r="Q27" s="16">
        <f>IFERROR(__xludf.DUMMYFUNCTION("IF(OR(ISBLANK($G27), IFERROR(INDEX(GOOGLEFINANCE($C27, ""price"", WORKDAY(INT($B27), 1)), 2, 2), """")=""""), """", IF($D27=""LONG"", (IFERROR(INDEX(GOOGLEFINANCE($C27, ""price"", WORKDAY(INT($B27), 1)), 2, 2), """")-$G27)/$G27, ($G27-IFERROR(INDEX(GOOGLE"&amp;"FINANCE($C27, ""price"", WORKDAY(INT($B27), 1)), 2, 2), """"))/$G27))"),-0.016009575821051742)</f>
        <v>-0.01600957582</v>
      </c>
      <c r="R27" s="16">
        <f>IFERROR(__xludf.DUMMYFUNCTION("IF(OR(ISBLANK($G27), IFERROR(INDEX(GOOGLEFINANCE($C27, ""price"", WORKDAY(INT($B27), 5)), 2, 2), """")=""""), """", IF($D27=""LONG"", (IFERROR(INDEX(GOOGLEFINANCE($C27, ""price"", WORKDAY(INT($B27), 5)), 2, 2), """")-$G27)/$G27, ($G27-IFERROR(INDEX(GOOGLE"&amp;"FINANCE($C27, ""price"", WORKDAY(INT($B27), 5)), 2, 2), """"))/$G27))"),0.0066581880751104576)</f>
        <v>0.006658188075</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3334</v>
      </c>
      <c r="U27" s="10" t="s">
        <v>984</v>
      </c>
      <c r="V27" s="10" t="s">
        <v>985</v>
      </c>
      <c r="W27" s="10" t="s">
        <v>51</v>
      </c>
      <c r="X27" s="10" t="s">
        <v>984</v>
      </c>
    </row>
    <row r="28">
      <c r="A28" s="9">
        <f t="shared" si="1"/>
        <v>27</v>
      </c>
      <c r="B28" s="11">
        <v>46223.667662037034</v>
      </c>
      <c r="C28" s="10" t="s">
        <v>117</v>
      </c>
      <c r="D28" s="10" t="s">
        <v>36</v>
      </c>
      <c r="E28" s="10" t="s">
        <v>37</v>
      </c>
      <c r="F28" s="13">
        <v>2.0</v>
      </c>
      <c r="G28" s="14">
        <v>23.34</v>
      </c>
      <c r="H28" s="10" t="s">
        <v>3335</v>
      </c>
      <c r="I28" s="10">
        <v>92.4</v>
      </c>
      <c r="O28" s="15">
        <f>IFERROR(__xludf.DUMMYFUNCTION("IF(ISBLANK($C28), """", GOOGLEFINANCE($C28, ""price""))"),22.66)</f>
        <v>22.66</v>
      </c>
      <c r="P28" s="16">
        <f t="shared" si="2"/>
        <v>-0.02913453299</v>
      </c>
      <c r="Q28" s="16">
        <f>IFERROR(__xludf.DUMMYFUNCTION("IF(OR(ISBLANK($G28), IFERROR(INDEX(GOOGLEFINANCE($C28, ""price"", WORKDAY(INT($B28), 1)), 2, 2), """")=""""), """", IF($D28=""LONG"", (IFERROR(INDEX(GOOGLEFINANCE($C28, ""price"", WORKDAY(INT($B28), 1)), 2, 2), """")-$G28)/$G28, ($G28-IFERROR(INDEX(GOOGLE"&amp;"FINANCE($C28, ""price"", WORKDAY(INT($B28), 1)), 2, 2), """"))/$G28))"),-0.016709511568123416)</f>
        <v>-0.01670951157</v>
      </c>
      <c r="R28" s="16">
        <f>IFERROR(__xludf.DUMMYFUNCTION("IF(OR(ISBLANK($G28), IFERROR(INDEX(GOOGLEFINANCE($C28, ""price"", WORKDAY(INT($B28), 5)), 2, 2), """")=""""), """", IF($D28=""LONG"", (IFERROR(INDEX(GOOGLEFINANCE($C28, ""price"", WORKDAY(INT($B28), 5)), 2, 2), """")-$G28)/$G28, ($G28-IFERROR(INDEX(GOOGLE"&amp;"FINANCE($C28, ""price"", WORKDAY(INT($B28), 5)), 2, 2), """"))/$G28))"),-0.03556126820908305)</f>
        <v>-0.03556126821</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3339</v>
      </c>
      <c r="U28" s="10" t="s">
        <v>984</v>
      </c>
      <c r="V28" s="10" t="s">
        <v>2785</v>
      </c>
      <c r="W28" s="10" t="s">
        <v>51</v>
      </c>
      <c r="X28" s="10" t="s">
        <v>984</v>
      </c>
    </row>
    <row r="29">
      <c r="A29" s="9">
        <f t="shared" si="1"/>
        <v>28</v>
      </c>
      <c r="B29" s="11">
        <v>46223.66758101852</v>
      </c>
      <c r="C29" s="10" t="s">
        <v>426</v>
      </c>
      <c r="D29" s="10" t="s">
        <v>36</v>
      </c>
      <c r="E29" s="10" t="s">
        <v>37</v>
      </c>
      <c r="F29" s="13">
        <v>2.0</v>
      </c>
      <c r="G29" s="14">
        <v>526.28</v>
      </c>
      <c r="H29" s="10" t="s">
        <v>3340</v>
      </c>
      <c r="I29" s="10">
        <v>91.1</v>
      </c>
      <c r="O29" s="15">
        <f>IFERROR(__xludf.DUMMYFUNCTION("IF(ISBLANK($C29), """", GOOGLEFINANCE($C29, ""price""))"),580.02)</f>
        <v>580.02</v>
      </c>
      <c r="P29" s="16">
        <f t="shared" si="2"/>
        <v>0.1021129437</v>
      </c>
      <c r="Q29" s="16">
        <f>IFERROR(__xludf.DUMMYFUNCTION("IF(OR(ISBLANK($G29), IFERROR(INDEX(GOOGLEFINANCE($C29, ""price"", WORKDAY(INT($B29), 1)), 2, 2), """")=""""), """", IF($D29=""LONG"", (IFERROR(INDEX(GOOGLEFINANCE($C29, ""price"", WORKDAY(INT($B29), 1)), 2, 2), """")-$G29)/$G29, ($G29-IFERROR(INDEX(GOOGLE"&amp;"FINANCE($C29, ""price"", WORKDAY(INT($B29), 1)), 2, 2), """"))/$G29))"),-0.005358364368776956)</f>
        <v>-0.005358364369</v>
      </c>
      <c r="R29" s="16">
        <f>IFERROR(__xludf.DUMMYFUNCTION("IF(OR(ISBLANK($G29), IFERROR(INDEX(GOOGLEFINANCE($C29, ""price"", WORKDAY(INT($B29), 5)), 2, 2), """")=""""), """", IF($D29=""LONG"", (IFERROR(INDEX(GOOGLEFINANCE($C29, ""price"", WORKDAY(INT($B29), 5)), 2, 2), """")-$G29)/$G29, ($G29-IFERROR(INDEX(GOOGLE"&amp;"FINANCE($C29, ""price"", WORKDAY(INT($B29), 5)), 2, 2), """"))/$G29))"),0.06317929619214106)</f>
        <v>0.06317929619</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3344</v>
      </c>
      <c r="U29" s="10" t="s">
        <v>984</v>
      </c>
      <c r="V29" s="10" t="s">
        <v>985</v>
      </c>
      <c r="W29" s="10" t="s">
        <v>51</v>
      </c>
      <c r="X29" s="10" t="s">
        <v>984</v>
      </c>
    </row>
    <row r="30">
      <c r="A30" s="9">
        <f t="shared" si="1"/>
        <v>29</v>
      </c>
      <c r="B30" s="11">
        <v>46223.667592592596</v>
      </c>
      <c r="C30" s="10" t="s">
        <v>310</v>
      </c>
      <c r="D30" s="10" t="s">
        <v>36</v>
      </c>
      <c r="E30" s="10" t="s">
        <v>37</v>
      </c>
      <c r="F30" s="13">
        <v>2.0</v>
      </c>
      <c r="G30" s="14">
        <v>203.99</v>
      </c>
      <c r="H30" s="10" t="s">
        <v>3346</v>
      </c>
      <c r="I30" s="10">
        <v>93.7</v>
      </c>
      <c r="O30" s="15">
        <f>IFERROR(__xludf.DUMMYFUNCTION("IF(ISBLANK($C30), """", GOOGLEFINANCE($C30, ""price""))"),232.43)</f>
        <v>232.43</v>
      </c>
      <c r="P30" s="16">
        <f t="shared" si="2"/>
        <v>0.139418599</v>
      </c>
      <c r="Q30" s="16">
        <f>IFERROR(__xludf.DUMMYFUNCTION("IF(OR(ISBLANK($G30), IFERROR(INDEX(GOOGLEFINANCE($C30, ""price"", WORKDAY(INT($B30), 1)), 2, 2), """")=""""), """", IF($D30=""LONG"", (IFERROR(INDEX(GOOGLEFINANCE($C30, ""price"", WORKDAY(INT($B30), 1)), 2, 2), """")-$G30)/$G30, ($G30-IFERROR(INDEX(GOOGLE"&amp;"FINANCE($C30, ""price"", WORKDAY(INT($B30), 1)), 2, 2), """"))/$G30))"),-0.011618216579244103)</f>
        <v>-0.01161821658</v>
      </c>
      <c r="R30" s="16">
        <f>IFERROR(__xludf.DUMMYFUNCTION("IF(OR(ISBLANK($G30), IFERROR(INDEX(GOOGLEFINANCE($C30, ""price"", WORKDAY(INT($B30), 5)), 2, 2), """")=""""), """", IF($D30=""LONG"", (IFERROR(INDEX(GOOGLEFINANCE($C30, ""price"", WORKDAY(INT($B30), 5)), 2, 2), """")-$G30)/$G30, ($G30-IFERROR(INDEX(GOOGLE"&amp;"FINANCE($C30, ""price"", WORKDAY(INT($B30), 5)), 2, 2), """"))/$G30))"),0.04524731604490411)</f>
        <v>0.04524731604</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3348</v>
      </c>
      <c r="U30" s="10" t="s">
        <v>240</v>
      </c>
      <c r="V30" s="10" t="s">
        <v>3349</v>
      </c>
      <c r="W30" s="10" t="s">
        <v>51</v>
      </c>
      <c r="X30" s="10" t="s">
        <v>1905</v>
      </c>
    </row>
    <row r="31">
      <c r="A31" s="9">
        <f t="shared" si="1"/>
        <v>30</v>
      </c>
      <c r="B31" s="11">
        <v>46223.667395833334</v>
      </c>
      <c r="C31" s="10" t="s">
        <v>158</v>
      </c>
      <c r="D31" s="10" t="s">
        <v>36</v>
      </c>
      <c r="E31" s="10" t="s">
        <v>37</v>
      </c>
      <c r="F31" s="13">
        <v>2.0</v>
      </c>
      <c r="G31" s="14">
        <v>74.06</v>
      </c>
      <c r="H31" s="10" t="s">
        <v>3351</v>
      </c>
      <c r="I31" s="10">
        <v>94.9</v>
      </c>
      <c r="O31" s="15">
        <f>IFERROR(__xludf.DUMMYFUNCTION("IF(ISBLANK($C31), """", GOOGLEFINANCE($C31, ""price""))"),72.06)</f>
        <v>72.06</v>
      </c>
      <c r="P31" s="16">
        <f t="shared" si="2"/>
        <v>-0.02700513097</v>
      </c>
      <c r="Q31" s="16">
        <f>IFERROR(__xludf.DUMMYFUNCTION("IF(OR(ISBLANK($G31), IFERROR(INDEX(GOOGLEFINANCE($C31, ""price"", WORKDAY(INT($B31), 1)), 2, 2), """")=""""), """", IF($D31=""LONG"", (IFERROR(INDEX(GOOGLEFINANCE($C31, ""price"", WORKDAY(INT($B31), 1)), 2, 2), """")-$G31)/$G31, ($G31-IFERROR(INDEX(GOOGLE"&amp;"FINANCE($C31, ""price"", WORKDAY(INT($B31), 1)), 2, 2), """"))/$G31))"),-0.013637591142317109)</f>
        <v>-0.01363759114</v>
      </c>
      <c r="R31" s="16">
        <f>IFERROR(__xludf.DUMMYFUNCTION("IF(OR(ISBLANK($G31), IFERROR(INDEX(GOOGLEFINANCE($C31, ""price"", WORKDAY(INT($B31), 5)), 2, 2), """")=""""), """", IF($D31=""LONG"", (IFERROR(INDEX(GOOGLEFINANCE($C31, ""price"", WORKDAY(INT($B31), 5)), 2, 2), """")-$G31)/$G31, ($G31-IFERROR(INDEX(GOOGLE"&amp;"FINANCE($C31, ""price"", WORKDAY(INT($B31), 5)), 2, 2), """"))/$G31))"),0.008506616257088786)</f>
        <v>0.008506616257</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3353</v>
      </c>
      <c r="U31" s="10" t="s">
        <v>507</v>
      </c>
      <c r="V31" s="10" t="s">
        <v>3355</v>
      </c>
      <c r="W31" s="10" t="s">
        <v>51</v>
      </c>
      <c r="X31" s="10" t="s">
        <v>2228</v>
      </c>
    </row>
    <row r="32">
      <c r="A32" s="9">
        <f t="shared" si="1"/>
        <v>31</v>
      </c>
      <c r="B32" s="11">
        <v>46223.667546296296</v>
      </c>
      <c r="C32" s="10" t="s">
        <v>339</v>
      </c>
      <c r="D32" s="10" t="s">
        <v>119</v>
      </c>
      <c r="E32" s="10" t="s">
        <v>120</v>
      </c>
      <c r="F32" s="13">
        <v>4.0</v>
      </c>
      <c r="G32" s="14">
        <v>30.38</v>
      </c>
      <c r="H32" s="10" t="s">
        <v>3357</v>
      </c>
      <c r="I32" s="10">
        <v>9.4</v>
      </c>
      <c r="O32" s="15">
        <f>IFERROR(__xludf.DUMMYFUNCTION("IF(ISBLANK($C32), """", GOOGLEFINANCE($C32, ""price""))"),30.3)</f>
        <v>30.3</v>
      </c>
      <c r="P32" s="16">
        <f t="shared" si="2"/>
        <v>0.002633311389</v>
      </c>
      <c r="Q32" s="16">
        <f>IFERROR(__xludf.DUMMYFUNCTION("IF(OR(ISBLANK($G32), IFERROR(INDEX(GOOGLEFINANCE($C32, ""price"", WORKDAY(INT($B32), 1)), 2, 2), """")=""""), """", IF($D32=""LONG"", (IFERROR(INDEX(GOOGLEFINANCE($C32, ""price"", WORKDAY(INT($B32), 1)), 2, 2), """")-$G32)/$G32, ($G32-IFERROR(INDEX(GOOGLE"&amp;"FINANCE($C32, ""price"", WORKDAY(INT($B32), 1)), 2, 2), """"))/$G32))"),-0.002962475312705723)</f>
        <v>-0.002962475313</v>
      </c>
      <c r="R32" s="16">
        <f>IFERROR(__xludf.DUMMYFUNCTION("IF(OR(ISBLANK($G32), IFERROR(INDEX(GOOGLEFINANCE($C32, ""price"", WORKDAY(INT($B32), 5)), 2, 2), """")=""""), """", IF($D32=""LONG"", (IFERROR(INDEX(GOOGLEFINANCE($C32, ""price"", WORKDAY(INT($B32), 5)), 2, 2), """")-$G32)/$G32, ($G32-IFERROR(INDEX(GOOGLE"&amp;"FINANCE($C32, ""price"", WORKDAY(INT($B32), 5)), 2, 2), """"))/$G32))"),0.05365371955233703)</f>
        <v>0.05365371955</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3361</v>
      </c>
      <c r="U32" s="10" t="s">
        <v>984</v>
      </c>
      <c r="V32" s="10" t="s">
        <v>985</v>
      </c>
      <c r="W32" s="10" t="s">
        <v>51</v>
      </c>
      <c r="X32" s="10" t="s">
        <v>984</v>
      </c>
    </row>
    <row r="33">
      <c r="A33" s="9">
        <f t="shared" si="1"/>
        <v>32</v>
      </c>
      <c r="B33" s="11">
        <v>46223.667708333334</v>
      </c>
      <c r="C33" s="10" t="s">
        <v>1672</v>
      </c>
      <c r="D33" s="10" t="s">
        <v>36</v>
      </c>
      <c r="E33" s="10" t="s">
        <v>37</v>
      </c>
      <c r="F33" s="13">
        <v>2.0</v>
      </c>
      <c r="G33" s="14">
        <v>101.82</v>
      </c>
      <c r="H33" s="10" t="s">
        <v>3362</v>
      </c>
      <c r="I33" s="10">
        <v>95.5</v>
      </c>
      <c r="O33" s="15">
        <f>IFERROR(__xludf.DUMMYFUNCTION("IF(ISBLANK($C33), """", GOOGLEFINANCE($C33, ""price""))"),99.29)</f>
        <v>99.29</v>
      </c>
      <c r="P33" s="16">
        <f t="shared" si="2"/>
        <v>-0.02484777058</v>
      </c>
      <c r="Q33" s="16">
        <f>IFERROR(__xludf.DUMMYFUNCTION("IF(OR(ISBLANK($G33), IFERROR(INDEX(GOOGLEFINANCE($C33, ""price"", WORKDAY(INT($B33), 1)), 2, 2), """")=""""), """", IF($D33=""LONG"", (IFERROR(INDEX(GOOGLEFINANCE($C33, ""price"", WORKDAY(INT($B33), 1)), 2, 2), """")-$G33)/$G33, ($G33-IFERROR(INDEX(GOOGLE"&amp;"FINANCE($C33, ""price"", WORKDAY(INT($B33), 1)), 2, 2), """"))/$G33))"),-0.012472991553722217)</f>
        <v>-0.01247299155</v>
      </c>
      <c r="R33" s="16">
        <f>IFERROR(__xludf.DUMMYFUNCTION("IF(OR(ISBLANK($G33), IFERROR(INDEX(GOOGLEFINANCE($C33, ""price"", WORKDAY(INT($B33), 5)), 2, 2), """")=""""), """", IF($D33=""LONG"", (IFERROR(INDEX(GOOGLEFINANCE($C33, ""price"", WORKDAY(INT($B33), 5)), 2, 2), """")-$G33)/$G33, ($G33-IFERROR(INDEX(GOOGLE"&amp;"FINANCE($C33, ""price"", WORKDAY(INT($B33), 5)), 2, 2), """"))/$G33))"),0.020231781575329035)</f>
        <v>0.02023178158</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3365</v>
      </c>
      <c r="U33" s="10" t="s">
        <v>984</v>
      </c>
      <c r="V33" s="10" t="s">
        <v>933</v>
      </c>
      <c r="W33" s="10" t="s">
        <v>51</v>
      </c>
      <c r="X33" s="10" t="s">
        <v>984</v>
      </c>
    </row>
    <row r="34">
      <c r="A34" s="9">
        <f t="shared" si="1"/>
        <v>33</v>
      </c>
      <c r="B34" s="11">
        <v>46223.66738425926</v>
      </c>
      <c r="C34" s="10" t="s">
        <v>154</v>
      </c>
      <c r="D34" s="10" t="s">
        <v>36</v>
      </c>
      <c r="E34" s="10" t="s">
        <v>37</v>
      </c>
      <c r="F34" s="13">
        <v>2.0</v>
      </c>
      <c r="G34" s="14">
        <v>160.36</v>
      </c>
      <c r="H34" s="10" t="s">
        <v>3367</v>
      </c>
      <c r="I34" s="10">
        <v>84.4</v>
      </c>
      <c r="O34" s="15">
        <f>IFERROR(__xludf.DUMMYFUNCTION("IF(ISBLANK($C34), """", GOOGLEFINANCE($C34, ""price""))"),160.11)</f>
        <v>160.11</v>
      </c>
      <c r="P34" s="16">
        <f t="shared" si="2"/>
        <v>-0.001558992267</v>
      </c>
      <c r="Q34" s="16">
        <f>IFERROR(__xludf.DUMMYFUNCTION("IF(OR(ISBLANK($G34), IFERROR(INDEX(GOOGLEFINANCE($C34, ""price"", WORKDAY(INT($B34), 1)), 2, 2), """")=""""), """", IF($D34=""LONG"", (IFERROR(INDEX(GOOGLEFINANCE($C34, ""price"", WORKDAY(INT($B34), 1)), 2, 2), """")-$G34)/$G34, ($G34-IFERROR(INDEX(GOOGLE"&amp;"FINANCE($C34, ""price"", WORKDAY(INT($B34), 1)), 2, 2), """"))/$G34))"),-0.014093290097281237)</f>
        <v>-0.0140932901</v>
      </c>
      <c r="R34" s="16">
        <f>IFERROR(__xludf.DUMMYFUNCTION("IF(OR(ISBLANK($G34), IFERROR(INDEX(GOOGLEFINANCE($C34, ""price"", WORKDAY(INT($B34), 5)), 2, 2), """")=""""), """", IF($D34=""LONG"", (IFERROR(INDEX(GOOGLEFINANCE($C34, ""price"", WORKDAY(INT($B34), 5)), 2, 2), """")-$G34)/$G34, ($G34-IFERROR(INDEX(GOOGLE"&amp;"FINANCE($C34, ""price"", WORKDAY(INT($B34), 5)), 2, 2), """"))/$G34))"),-0.04976303317535556)</f>
        <v>-0.04976303318</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3368</v>
      </c>
      <c r="U34" s="10" t="s">
        <v>984</v>
      </c>
      <c r="V34" s="10" t="s">
        <v>933</v>
      </c>
      <c r="W34" s="10" t="s">
        <v>51</v>
      </c>
      <c r="X34" s="10" t="s">
        <v>984</v>
      </c>
    </row>
    <row r="35">
      <c r="A35" s="9">
        <f t="shared" si="1"/>
        <v>34</v>
      </c>
      <c r="B35" s="11">
        <v>46223.667546296296</v>
      </c>
      <c r="C35" s="10" t="s">
        <v>3370</v>
      </c>
      <c r="D35" s="10" t="s">
        <v>119</v>
      </c>
      <c r="E35" s="10" t="s">
        <v>120</v>
      </c>
      <c r="F35" s="13">
        <v>4.0</v>
      </c>
      <c r="G35" s="14">
        <v>1017.32</v>
      </c>
      <c r="H35" s="10" t="s">
        <v>3371</v>
      </c>
      <c r="I35" s="10">
        <v>8.8</v>
      </c>
      <c r="O35" s="15">
        <f>IFERROR(__xludf.DUMMYFUNCTION("IF(ISBLANK($C35), """", GOOGLEFINANCE($C35, ""price""))"),1052.86)</f>
        <v>1052.86</v>
      </c>
      <c r="P35" s="16">
        <f t="shared" si="2"/>
        <v>-0.03493492706</v>
      </c>
      <c r="Q35" s="16">
        <f>IFERROR(__xludf.DUMMYFUNCTION("IF(OR(ISBLANK($G35), IFERROR(INDEX(GOOGLEFINANCE($C35, ""price"", WORKDAY(INT($B35), 1)), 2, 2), """")=""""), """", IF($D35=""LONG"", (IFERROR(INDEX(GOOGLEFINANCE($C35, ""price"", WORKDAY(INT($B35), 1)), 2, 2), """")-$G35)/$G35, ($G35-IFERROR(INDEX(GOOGLE"&amp;"FINANCE($C35, ""price"", WORKDAY(INT($B35), 1)), 2, 2), """"))/$G35))"),-0.010380214681712793)</f>
        <v>-0.01038021468</v>
      </c>
      <c r="R35" s="16">
        <f>IFERROR(__xludf.DUMMYFUNCTION("IF(OR(ISBLANK($G35), IFERROR(INDEX(GOOGLEFINANCE($C35, ""price"", WORKDAY(INT($B35), 5)), 2, 2), """")=""""), """", IF($D35=""LONG"", (IFERROR(INDEX(GOOGLEFINANCE($C35, ""price"", WORKDAY(INT($B35), 5)), 2, 2), """")-$G35)/$G35, ($G35-IFERROR(INDEX(GOOGLE"&amp;"FINANCE($C35, ""price"", WORKDAY(INT($B35), 5)), 2, 2), """"))/$G35))"),-0.02896826957102968)</f>
        <v>-0.02896826957</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3375</v>
      </c>
      <c r="U35" s="10" t="s">
        <v>984</v>
      </c>
      <c r="V35" s="10" t="s">
        <v>985</v>
      </c>
      <c r="W35" s="10" t="s">
        <v>51</v>
      </c>
      <c r="X35" s="10" t="s">
        <v>984</v>
      </c>
    </row>
    <row r="36">
      <c r="A36" s="9">
        <f t="shared" si="1"/>
        <v>35</v>
      </c>
      <c r="B36" s="11">
        <v>46223.6675</v>
      </c>
      <c r="C36" s="10" t="s">
        <v>1226</v>
      </c>
      <c r="D36" s="10" t="s">
        <v>36</v>
      </c>
      <c r="E36" s="10" t="s">
        <v>37</v>
      </c>
      <c r="F36" s="13">
        <v>2.0</v>
      </c>
      <c r="G36" s="14">
        <v>239.03</v>
      </c>
      <c r="H36" s="10" t="s">
        <v>3377</v>
      </c>
      <c r="I36" s="10">
        <v>82.3</v>
      </c>
      <c r="L36" s="10" t="s">
        <v>3379</v>
      </c>
      <c r="M36" s="34" t="s">
        <v>951</v>
      </c>
      <c r="N36" s="10" t="s">
        <v>925</v>
      </c>
      <c r="O36" s="15">
        <f>IFERROR(__xludf.DUMMYFUNCTION("IF(ISBLANK($C36), """", GOOGLEFINANCE($C36, ""price""))"),232.47)</f>
        <v>232.47</v>
      </c>
      <c r="P36" s="16">
        <f t="shared" si="2"/>
        <v>-0.02744425386</v>
      </c>
      <c r="Q36" s="16">
        <f>IFERROR(__xludf.DUMMYFUNCTION("IF(OR(ISBLANK($G36), IFERROR(INDEX(GOOGLEFINANCE($C36, ""price"", WORKDAY(INT($B36), 1)), 2, 2), """")=""""), """", IF($D36=""LONG"", (IFERROR(INDEX(GOOGLEFINANCE($C36, ""price"", WORKDAY(INT($B36), 1)), 2, 2), """")-$G36)/$G36, ($G36-IFERROR(INDEX(GOOGLE"&amp;"FINANCE($C36, ""price"", WORKDAY(INT($B36), 1)), 2, 2), """"))/$G36))"),-0.012969083378655375)</f>
        <v>-0.01296908338</v>
      </c>
      <c r="R36" s="16">
        <f>IFERROR(__xludf.DUMMYFUNCTION("IF(OR(ISBLANK($G36), IFERROR(INDEX(GOOGLEFINANCE($C36, ""price"", WORKDAY(INT($B36), 5)), 2, 2), """")=""""), """", IF($D36=""LONG"", (IFERROR(INDEX(GOOGLEFINANCE($C36, ""price"", WORKDAY(INT($B36), 5)), 2, 2), """")-$G36)/$G36, ($G36-IFERROR(INDEX(GOOGLE"&amp;"FINANCE($C36, ""price"", WORKDAY(INT($B36), 5)), 2, 2), """"))/$G36))"),0.020583190394511095)</f>
        <v>0.02058319039</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3383</v>
      </c>
      <c r="U36" s="10" t="s">
        <v>219</v>
      </c>
      <c r="V36" s="10" t="s">
        <v>3384</v>
      </c>
      <c r="W36" s="10" t="s">
        <v>51</v>
      </c>
      <c r="X36" s="10" t="s">
        <v>974</v>
      </c>
    </row>
    <row r="37">
      <c r="A37" s="9">
        <f t="shared" si="1"/>
        <v>36</v>
      </c>
      <c r="B37" s="11">
        <v>46223.66744212963</v>
      </c>
      <c r="C37" s="10" t="s">
        <v>243</v>
      </c>
      <c r="D37" s="10" t="s">
        <v>119</v>
      </c>
      <c r="E37" s="10" t="s">
        <v>120</v>
      </c>
      <c r="F37" s="13">
        <v>4.0</v>
      </c>
      <c r="G37" s="14">
        <v>123.16</v>
      </c>
      <c r="H37" s="10" t="s">
        <v>3385</v>
      </c>
      <c r="I37" s="10">
        <v>8.0</v>
      </c>
      <c r="O37" s="15">
        <f>IFERROR(__xludf.DUMMYFUNCTION("IF(ISBLANK($C37), """", GOOGLEFINANCE($C37, ""price""))"),118.55)</f>
        <v>118.55</v>
      </c>
      <c r="P37" s="16">
        <f t="shared" si="2"/>
        <v>0.03743098409</v>
      </c>
      <c r="Q37" s="16">
        <f>IFERROR(__xludf.DUMMYFUNCTION("IF(OR(ISBLANK($G37), IFERROR(INDEX(GOOGLEFINANCE($C37, ""price"", WORKDAY(INT($B37), 1)), 2, 2), """")=""""), """", IF($D37=""LONG"", (IFERROR(INDEX(GOOGLEFINANCE($C37, ""price"", WORKDAY(INT($B37), 1)), 2, 2), """")-$G37)/$G37, ($G37-IFERROR(INDEX(GOOGLE"&amp;"FINANCE($C37, ""price"", WORKDAY(INT($B37), 1)), 2, 2), """"))/$G37))"),-0.014209158817797987)</f>
        <v>-0.01420915882</v>
      </c>
      <c r="R37" s="16">
        <f>IFERROR(__xludf.DUMMYFUNCTION("IF(OR(ISBLANK($G37), IFERROR(INDEX(GOOGLEFINANCE($C37, ""price"", WORKDAY(INT($B37), 5)), 2, 2), """")=""""), """", IF($D37=""LONG"", (IFERROR(INDEX(GOOGLEFINANCE($C37, ""price"", WORKDAY(INT($B37), 5)), 2, 2), """")-$G37)/$G37, ($G37-IFERROR(INDEX(GOOGLE"&amp;"FINANCE($C37, ""price"", WORKDAY(INT($B37), 5)), 2, 2), """"))/$G37))"),0.0837122442351413)</f>
        <v>0.08371224424</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3388</v>
      </c>
      <c r="U37" s="10" t="s">
        <v>984</v>
      </c>
      <c r="V37" s="10" t="s">
        <v>985</v>
      </c>
      <c r="W37" s="10" t="s">
        <v>51</v>
      </c>
      <c r="X37" s="10" t="s">
        <v>984</v>
      </c>
    </row>
    <row r="38">
      <c r="A38" s="9">
        <f t="shared" si="1"/>
        <v>37</v>
      </c>
      <c r="B38" s="11">
        <v>46223.66755787037</v>
      </c>
      <c r="C38" s="10" t="s">
        <v>707</v>
      </c>
      <c r="D38" s="10" t="s">
        <v>36</v>
      </c>
      <c r="E38" s="10" t="s">
        <v>37</v>
      </c>
      <c r="F38" s="13">
        <v>2.0</v>
      </c>
      <c r="G38" s="14">
        <v>111.06</v>
      </c>
      <c r="H38" s="10" t="s">
        <v>3390</v>
      </c>
      <c r="I38" s="10">
        <v>95.4</v>
      </c>
      <c r="O38" s="15">
        <f>IFERROR(__xludf.DUMMYFUNCTION("IF(ISBLANK($C38), """", GOOGLEFINANCE($C38, ""price""))"),108.95)</f>
        <v>108.95</v>
      </c>
      <c r="P38" s="16">
        <f t="shared" si="2"/>
        <v>-0.01899873942</v>
      </c>
      <c r="Q38" s="16">
        <f>IFERROR(__xludf.DUMMYFUNCTION("IF(OR(ISBLANK($G38), IFERROR(INDEX(GOOGLEFINANCE($C38, ""price"", WORKDAY(INT($B38), 1)), 2, 2), """")=""""), """", IF($D38=""LONG"", (IFERROR(INDEX(GOOGLEFINANCE($C38, ""price"", WORKDAY(INT($B38), 1)), 2, 2), """")-$G38)/$G38, ($G38-IFERROR(INDEX(GOOGLE"&amp;"FINANCE($C38, ""price"", WORKDAY(INT($B38), 1)), 2, 2), """"))/$G38))"),-0.011255177381595535)</f>
        <v>-0.01125517738</v>
      </c>
      <c r="R38" s="16">
        <f>IFERROR(__xludf.DUMMYFUNCTION("IF(OR(ISBLANK($G38), IFERROR(INDEX(GOOGLEFINANCE($C38, ""price"", WORKDAY(INT($B38), 5)), 2, 2), """")=""""), """", IF($D38=""LONG"", (IFERROR(INDEX(GOOGLEFINANCE($C38, ""price"", WORKDAY(INT($B38), 5)), 2, 2), """")-$G38)/$G38, ($G38-IFERROR(INDEX(GOOGLE"&amp;"FINANCE($C38, ""price"", WORKDAY(INT($B38), 5)), 2, 2), """"))/$G38))"),0.003961822438321608)</f>
        <v>0.003961822438</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3394</v>
      </c>
      <c r="U38" s="10" t="s">
        <v>932</v>
      </c>
      <c r="V38" s="10" t="s">
        <v>933</v>
      </c>
      <c r="W38" s="10" t="s">
        <v>51</v>
      </c>
      <c r="X38" s="10" t="s">
        <v>3186</v>
      </c>
    </row>
    <row r="39">
      <c r="A39" s="9">
        <f t="shared" si="1"/>
        <v>38</v>
      </c>
      <c r="B39" s="11">
        <v>46223.667650462965</v>
      </c>
      <c r="C39" s="10" t="s">
        <v>174</v>
      </c>
      <c r="D39" s="10" t="s">
        <v>36</v>
      </c>
      <c r="E39" s="10" t="s">
        <v>37</v>
      </c>
      <c r="F39" s="13">
        <v>2.0</v>
      </c>
      <c r="G39" s="14">
        <v>25.28</v>
      </c>
      <c r="H39" s="10" t="s">
        <v>3395</v>
      </c>
      <c r="I39" s="10">
        <v>92.8</v>
      </c>
      <c r="O39" s="15">
        <f>IFERROR(__xludf.DUMMYFUNCTION("IF(ISBLANK($C39), """", GOOGLEFINANCE($C39, ""price""))"),25.09)</f>
        <v>25.09</v>
      </c>
      <c r="P39" s="16">
        <f t="shared" si="2"/>
        <v>-0.007515822785</v>
      </c>
      <c r="Q39" s="16">
        <f>IFERROR(__xludf.DUMMYFUNCTION("IF(OR(ISBLANK($G39), IFERROR(INDEX(GOOGLEFINANCE($C39, ""price"", WORKDAY(INT($B39), 1)), 2, 2), """")=""""), """", IF($D39=""LONG"", (IFERROR(INDEX(GOOGLEFINANCE($C39, ""price"", WORKDAY(INT($B39), 1)), 2, 2), """")-$G39)/$G39, ($G39-IFERROR(INDEX(GOOGLE"&amp;"FINANCE($C39, ""price"", WORKDAY(INT($B39), 1)), 2, 2), """"))/$G39))"),-0.0067246835443038645)</f>
        <v>-0.006724683544</v>
      </c>
      <c r="R39" s="16">
        <f>IFERROR(__xludf.DUMMYFUNCTION("IF(OR(ISBLANK($G39), IFERROR(INDEX(GOOGLEFINANCE($C39, ""price"", WORKDAY(INT($B39), 5)), 2, 2), """")=""""), """", IF($D39=""LONG"", (IFERROR(INDEX(GOOGLEFINANCE($C39, ""price"", WORKDAY(INT($B39), 5)), 2, 2), """")-$G39)/$G39, ($G39-IFERROR(INDEX(GOOGLE"&amp;"FINANCE($C39, ""price"", WORKDAY(INT($B39), 5)), 2, 2), """"))/$G39))"),0.030458860759493653)</f>
        <v>0.03045886076</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3397</v>
      </c>
      <c r="U39" s="10" t="s">
        <v>984</v>
      </c>
      <c r="V39" s="10" t="s">
        <v>998</v>
      </c>
      <c r="W39" s="10" t="s">
        <v>51</v>
      </c>
      <c r="X39" s="10" t="s">
        <v>984</v>
      </c>
    </row>
    <row r="40">
      <c r="A40" s="9">
        <f t="shared" si="1"/>
        <v>39</v>
      </c>
      <c r="B40" s="11">
        <v>46223.66740740741</v>
      </c>
      <c r="C40" s="10" t="s">
        <v>67</v>
      </c>
      <c r="D40" s="10" t="s">
        <v>36</v>
      </c>
      <c r="E40" s="10" t="s">
        <v>133</v>
      </c>
      <c r="F40" s="13">
        <v>2.0</v>
      </c>
      <c r="G40" s="14">
        <v>85.13</v>
      </c>
      <c r="H40" s="10" t="s">
        <v>3398</v>
      </c>
      <c r="I40" s="10">
        <v>76.6</v>
      </c>
      <c r="O40" s="15">
        <f>IFERROR(__xludf.DUMMYFUNCTION("IF(ISBLANK($C40), """", GOOGLEFINANCE($C40, ""price""))"),80.02)</f>
        <v>80.02</v>
      </c>
      <c r="P40" s="16">
        <f t="shared" si="2"/>
        <v>-0.06002584283</v>
      </c>
      <c r="Q40" s="16">
        <f>IFERROR(__xludf.DUMMYFUNCTION("IF(OR(ISBLANK($G40), IFERROR(INDEX(GOOGLEFINANCE($C40, ""price"", WORKDAY(INT($B40), 1)), 2, 2), """")=""""), """", IF($D40=""LONG"", (IFERROR(INDEX(GOOGLEFINANCE($C40, ""price"", WORKDAY(INT($B40), 1)), 2, 2), """")-$G40)/$G40, ($G40-IFERROR(INDEX(GOOGLE"&amp;"FINANCE($C40, ""price"", WORKDAY(INT($B40), 1)), 2, 2), """"))/$G40))"),0.0010572066251615577)</f>
        <v>0.001057206625</v>
      </c>
      <c r="R40" s="16">
        <f>IFERROR(__xludf.DUMMYFUNCTION("IF(OR(ISBLANK($G40), IFERROR(INDEX(GOOGLEFINANCE($C40, ""price"", WORKDAY(INT($B40), 5)), 2, 2), """")=""""), """", IF($D40=""LONG"", (IFERROR(INDEX(GOOGLEFINANCE($C40, ""price"", WORKDAY(INT($B40), 5)), 2, 2), """")-$G40)/$G40, ($G40-IFERROR(INDEX(GOOGLE"&amp;"FINANCE($C40, ""price"", WORKDAY(INT($B40), 5)), 2, 2), """"))/$G40))"),0.03899917772818052)</f>
        <v>0.03899917773</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3402</v>
      </c>
      <c r="U40" s="10" t="s">
        <v>932</v>
      </c>
      <c r="V40" s="10" t="s">
        <v>933</v>
      </c>
      <c r="W40" s="10" t="s">
        <v>51</v>
      </c>
      <c r="X40" s="10" t="s">
        <v>3186</v>
      </c>
    </row>
    <row r="41">
      <c r="A41" s="9">
        <f t="shared" si="1"/>
        <v>40</v>
      </c>
      <c r="B41" s="11">
        <v>46223.66773148148</v>
      </c>
      <c r="C41" s="10" t="s">
        <v>104</v>
      </c>
      <c r="D41" s="10" t="s">
        <v>36</v>
      </c>
      <c r="E41" s="10" t="s">
        <v>37</v>
      </c>
      <c r="F41" s="13">
        <v>2.0</v>
      </c>
      <c r="G41" s="14">
        <v>124.72</v>
      </c>
      <c r="H41" s="10" t="s">
        <v>3404</v>
      </c>
      <c r="I41" s="10">
        <v>96.0</v>
      </c>
      <c r="O41" s="15">
        <f>IFERROR(__xludf.DUMMYFUNCTION("IF(ISBLANK($C41), """", GOOGLEFINANCE($C41, ""price""))"),127.45)</f>
        <v>127.45</v>
      </c>
      <c r="P41" s="16">
        <f t="shared" si="2"/>
        <v>0.02188903143</v>
      </c>
      <c r="Q41" s="16">
        <f>IFERROR(__xludf.DUMMYFUNCTION("IF(OR(ISBLANK($G41), IFERROR(INDEX(GOOGLEFINANCE($C41, ""price"", WORKDAY(INT($B41), 1)), 2, 2), """")=""""), """", IF($D41=""LONG"", (IFERROR(INDEX(GOOGLEFINANCE($C41, ""price"", WORKDAY(INT($B41), 1)), 2, 2), """")-$G41)/$G41, ($G41-IFERROR(INDEX(GOOGLE"&amp;"FINANCE($C41, ""price"", WORKDAY(INT($B41), 1)), 2, 2), """"))/$G41))"),-0.012187299550994195)</f>
        <v>-0.01218729955</v>
      </c>
      <c r="R41" s="16">
        <f>IFERROR(__xludf.DUMMYFUNCTION("IF(OR(ISBLANK($G41), IFERROR(INDEX(GOOGLEFINANCE($C41, ""price"", WORKDAY(INT($B41), 5)), 2, 2), """")=""""), """", IF($D41=""LONG"", (IFERROR(INDEX(GOOGLEFINANCE($C41, ""price"", WORKDAY(INT($B41), 5)), 2, 2), """")-$G41)/$G41, ($G41-IFERROR(INDEX(GOOGLE"&amp;"FINANCE($C41, ""price"", WORKDAY(INT($B41), 5)), 2, 2), """"))/$G41))"),-0.012026940346375883)</f>
        <v>-0.01202694035</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3408</v>
      </c>
      <c r="U41" s="10" t="s">
        <v>984</v>
      </c>
      <c r="V41" s="10" t="s">
        <v>985</v>
      </c>
      <c r="W41" s="10" t="s">
        <v>51</v>
      </c>
      <c r="X41" s="10" t="s">
        <v>984</v>
      </c>
    </row>
    <row r="42">
      <c r="A42" s="9">
        <f t="shared" si="1"/>
        <v>41</v>
      </c>
      <c r="B42" s="11">
        <v>46223.667650462965</v>
      </c>
      <c r="C42" s="10" t="s">
        <v>367</v>
      </c>
      <c r="D42" s="10" t="s">
        <v>36</v>
      </c>
      <c r="E42" s="10" t="s">
        <v>37</v>
      </c>
      <c r="F42" s="13">
        <v>2.0</v>
      </c>
      <c r="G42" s="14">
        <v>106.31</v>
      </c>
      <c r="H42" s="10" t="s">
        <v>3409</v>
      </c>
      <c r="I42" s="10">
        <v>94.7</v>
      </c>
      <c r="L42" s="10" t="s">
        <v>3410</v>
      </c>
      <c r="M42" s="34" t="s">
        <v>2106</v>
      </c>
      <c r="N42" s="10" t="s">
        <v>925</v>
      </c>
      <c r="O42" s="15">
        <f>IFERROR(__xludf.DUMMYFUNCTION("IF(ISBLANK($C42), """", GOOGLEFINANCE($C42, ""price""))"),100.82)</f>
        <v>100.82</v>
      </c>
      <c r="P42" s="16">
        <f t="shared" si="2"/>
        <v>-0.05164142602</v>
      </c>
      <c r="Q42" s="16">
        <f>IFERROR(__xludf.DUMMYFUNCTION("IF(OR(ISBLANK($G42), IFERROR(INDEX(GOOGLEFINANCE($C42, ""price"", WORKDAY(INT($B42), 1)), 2, 2), """")=""""), """", IF($D42=""LONG"", (IFERROR(INDEX(GOOGLEFINANCE($C42, ""price"", WORKDAY(INT($B42), 1)), 2, 2), """")-$G42)/$G42, ($G42-IFERROR(INDEX(GOOGLE"&amp;"FINANCE($C42, ""price"", WORKDAY(INT($B42), 1)), 2, 2), """"))/$G42))"),-0.006208258865581757)</f>
        <v>-0.006208258866</v>
      </c>
      <c r="R42" s="16">
        <f>IFERROR(__xludf.DUMMYFUNCTION("IF(OR(ISBLANK($G42), IFERROR(INDEX(GOOGLEFINANCE($C42, ""price"", WORKDAY(INT($B42), 5)), 2, 2), """")=""""), """", IF($D42=""LONG"", (IFERROR(INDEX(GOOGLEFINANCE($C42, ""price"", WORKDAY(INT($B42), 5)), 2, 2), """")-$G42)/$G42, ($G42-IFERROR(INDEX(GOOGLE"&amp;"FINANCE($C42, ""price"", WORKDAY(INT($B42), 5)), 2, 2), """"))/$G42))"),-0.008748001128774403)</f>
        <v>-0.008748001129</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3413</v>
      </c>
      <c r="U42" s="10" t="s">
        <v>507</v>
      </c>
      <c r="V42" s="10" t="s">
        <v>3414</v>
      </c>
      <c r="W42" s="10" t="s">
        <v>51</v>
      </c>
      <c r="X42" s="10" t="s">
        <v>2228</v>
      </c>
    </row>
    <row r="43">
      <c r="A43" s="9">
        <f t="shared" si="1"/>
        <v>42</v>
      </c>
      <c r="B43" s="11">
        <v>46223.66740740741</v>
      </c>
      <c r="C43" s="10" t="s">
        <v>347</v>
      </c>
      <c r="D43" s="10" t="s">
        <v>36</v>
      </c>
      <c r="E43" s="10" t="s">
        <v>37</v>
      </c>
      <c r="F43" s="13">
        <v>2.0</v>
      </c>
      <c r="G43" s="14">
        <v>281.55</v>
      </c>
      <c r="H43" s="10" t="s">
        <v>3416</v>
      </c>
      <c r="I43" s="10">
        <v>91.7</v>
      </c>
      <c r="O43" s="15">
        <f>IFERROR(__xludf.DUMMYFUNCTION("IF(ISBLANK($C43), """", GOOGLEFINANCE($C43, ""price""))"),316.53)</f>
        <v>316.53</v>
      </c>
      <c r="P43" s="16">
        <f t="shared" si="2"/>
        <v>0.1242408098</v>
      </c>
      <c r="Q43" s="16">
        <f>IFERROR(__xludf.DUMMYFUNCTION("IF(OR(ISBLANK($G43), IFERROR(INDEX(GOOGLEFINANCE($C43, ""price"", WORKDAY(INT($B43), 1)), 2, 2), """")=""""), """", IF($D43=""LONG"", (IFERROR(INDEX(GOOGLEFINANCE($C43, ""price"", WORKDAY(INT($B43), 1)), 2, 2), """")-$G43)/$G43, ($G43-IFERROR(INDEX(GOOGLE"&amp;"FINANCE($C43, ""price"", WORKDAY(INT($B43), 1)), 2, 2), """"))/$G43))"),-0.007636299058781865)</f>
        <v>-0.007636299059</v>
      </c>
      <c r="R43" s="16">
        <f>IFERROR(__xludf.DUMMYFUNCTION("IF(OR(ISBLANK($G43), IFERROR(INDEX(GOOGLEFINANCE($C43, ""price"", WORKDAY(INT($B43), 5)), 2, 2), """")=""""), """", IF($D43=""LONG"", (IFERROR(INDEX(GOOGLEFINANCE($C43, ""price"", WORKDAY(INT($B43), 5)), 2, 2), """")-$G43)/$G43, ($G43-IFERROR(INDEX(GOOGLE"&amp;"FINANCE($C43, ""price"", WORKDAY(INT($B43), 5)), 2, 2), """"))/$G43))"),0.06968566862013853)</f>
        <v>0.06968566862</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3423</v>
      </c>
      <c r="U43" s="10" t="s">
        <v>984</v>
      </c>
      <c r="V43" s="10" t="s">
        <v>985</v>
      </c>
      <c r="W43" s="10" t="s">
        <v>51</v>
      </c>
      <c r="X43" s="10" t="s">
        <v>984</v>
      </c>
    </row>
    <row r="44">
      <c r="A44" s="9">
        <f t="shared" si="1"/>
        <v>43</v>
      </c>
      <c r="B44" s="11">
        <v>46223.66756944444</v>
      </c>
      <c r="C44" s="10" t="s">
        <v>455</v>
      </c>
      <c r="D44" s="10" t="s">
        <v>36</v>
      </c>
      <c r="E44" s="10" t="s">
        <v>37</v>
      </c>
      <c r="F44" s="13">
        <v>2.0</v>
      </c>
      <c r="G44" s="14">
        <v>108.48</v>
      </c>
      <c r="H44" s="10" t="s">
        <v>3424</v>
      </c>
      <c r="I44" s="10">
        <v>97.2</v>
      </c>
      <c r="O44" s="15">
        <f>IFERROR(__xludf.DUMMYFUNCTION("IF(ISBLANK($C44), """", GOOGLEFINANCE($C44, ""price""))"),108.66)</f>
        <v>108.66</v>
      </c>
      <c r="P44" s="16">
        <f t="shared" si="2"/>
        <v>0.001659292035</v>
      </c>
      <c r="Q44" s="16">
        <f>IFERROR(__xludf.DUMMYFUNCTION("IF(OR(ISBLANK($G44), IFERROR(INDEX(GOOGLEFINANCE($C44, ""price"", WORKDAY(INT($B44), 1)), 2, 2), """")=""""), """", IF($D44=""LONG"", (IFERROR(INDEX(GOOGLEFINANCE($C44, ""price"", WORKDAY(INT($B44), 1)), 2, 2), """")-$G44)/$G44, ($G44-IFERROR(INDEX(GOOGLE"&amp;"FINANCE($C44, ""price"", WORKDAY(INT($B44), 1)), 2, 2), """"))/$G44))"),-0.003963864306784724)</f>
        <v>-0.003963864307</v>
      </c>
      <c r="R44" s="16">
        <f>IFERROR(__xludf.DUMMYFUNCTION("IF(OR(ISBLANK($G44), IFERROR(INDEX(GOOGLEFINANCE($C44, ""price"", WORKDAY(INT($B44), 5)), 2, 2), """")=""""), """", IF($D44=""LONG"", (IFERROR(INDEX(GOOGLEFINANCE($C44, ""price"", WORKDAY(INT($B44), 5)), 2, 2), """")-$G44)/$G44, ($G44-IFERROR(INDEX(GOOGLE"&amp;"FINANCE($C44, ""price"", WORKDAY(INT($B44), 5)), 2, 2), """"))/$G44))"),0.02728613569321528)</f>
        <v>0.02728613569</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3427</v>
      </c>
      <c r="U44" s="10" t="s">
        <v>984</v>
      </c>
      <c r="V44" s="10" t="s">
        <v>985</v>
      </c>
      <c r="W44" s="10" t="s">
        <v>51</v>
      </c>
      <c r="X44" s="10" t="s">
        <v>984</v>
      </c>
    </row>
    <row r="45">
      <c r="A45" s="9">
        <f t="shared" si="1"/>
        <v>44</v>
      </c>
      <c r="B45" s="11">
        <v>46223.66737268519</v>
      </c>
      <c r="C45" s="10" t="s">
        <v>1739</v>
      </c>
      <c r="D45" s="10" t="s">
        <v>36</v>
      </c>
      <c r="E45" s="10" t="s">
        <v>37</v>
      </c>
      <c r="F45" s="13">
        <v>2.0</v>
      </c>
      <c r="G45" s="14">
        <v>253.84</v>
      </c>
      <c r="H45" s="10" t="s">
        <v>3430</v>
      </c>
      <c r="I45" s="10">
        <v>92.2</v>
      </c>
      <c r="O45" s="15">
        <f>IFERROR(__xludf.DUMMYFUNCTION("IF(ISBLANK($C45), """", GOOGLEFINANCE($C45, ""price""))"),275.11)</f>
        <v>275.11</v>
      </c>
      <c r="P45" s="16">
        <f t="shared" si="2"/>
        <v>0.08379294043</v>
      </c>
      <c r="Q45" s="16">
        <f>IFERROR(__xludf.DUMMYFUNCTION("IF(OR(ISBLANK($G45), IFERROR(INDEX(GOOGLEFINANCE($C45, ""price"", WORKDAY(INT($B45), 1)), 2, 2), """")=""""), """", IF($D45=""LONG"", (IFERROR(INDEX(GOOGLEFINANCE($C45, ""price"", WORKDAY(INT($B45), 1)), 2, 2), """")-$G45)/$G45, ($G45-IFERROR(INDEX(GOOGLE"&amp;"FINANCE($C45, ""price"", WORKDAY(INT($B45), 1)), 2, 2), """"))/$G45))"),-0.008272927828553397)</f>
        <v>-0.008272927829</v>
      </c>
      <c r="R45" s="16">
        <f>IFERROR(__xludf.DUMMYFUNCTION("IF(OR(ISBLANK($G45), IFERROR(INDEX(GOOGLEFINANCE($C45, ""price"", WORKDAY(INT($B45), 5)), 2, 2), """")=""""), """", IF($D45=""LONG"", (IFERROR(INDEX(GOOGLEFINANCE($C45, ""price"", WORKDAY(INT($B45), 5)), 2, 2), """")-$G45)/$G45, ($G45-IFERROR(INDEX(GOOGLE"&amp;"FINANCE($C45, ""price"", WORKDAY(INT($B45), 5)), 2, 2), """"))/$G45))"),0.029270406555310345)</f>
        <v>0.02927040656</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3435</v>
      </c>
      <c r="U45" s="10" t="s">
        <v>984</v>
      </c>
      <c r="V45" s="10" t="s">
        <v>933</v>
      </c>
      <c r="W45" s="10" t="s">
        <v>51</v>
      </c>
      <c r="X45" s="10" t="s">
        <v>984</v>
      </c>
    </row>
    <row r="46">
      <c r="A46" s="9">
        <f t="shared" si="1"/>
        <v>45</v>
      </c>
      <c r="B46" s="11">
        <v>46223.66758101852</v>
      </c>
      <c r="C46" s="10" t="s">
        <v>834</v>
      </c>
      <c r="D46" s="10" t="s">
        <v>119</v>
      </c>
      <c r="E46" s="10" t="s">
        <v>120</v>
      </c>
      <c r="F46" s="13">
        <v>4.0</v>
      </c>
      <c r="G46" s="14">
        <v>118.28</v>
      </c>
      <c r="H46" s="10" t="s">
        <v>3436</v>
      </c>
      <c r="I46" s="10">
        <v>14.4</v>
      </c>
      <c r="O46" s="15">
        <f>IFERROR(__xludf.DUMMYFUNCTION("IF(ISBLANK($C46), """", GOOGLEFINANCE($C46, ""price""))"),127.99)</f>
        <v>127.99</v>
      </c>
      <c r="P46" s="16">
        <f t="shared" si="2"/>
        <v>-0.08209333784</v>
      </c>
      <c r="Q46" s="16">
        <f>IFERROR(__xludf.DUMMYFUNCTION("IF(OR(ISBLANK($G46), IFERROR(INDEX(GOOGLEFINANCE($C46, ""price"", WORKDAY(INT($B46), 1)), 2, 2), """")=""""), """", IF($D46=""LONG"", (IFERROR(INDEX(GOOGLEFINANCE($C46, ""price"", WORKDAY(INT($B46), 1)), 2, 2), """")-$G46)/$G46, ($G46-IFERROR(INDEX(GOOGLE"&amp;"FINANCE($C46, ""price"", WORKDAY(INT($B46), 1)), 2, 2), """"))/$G46))"),-0.00101454176530271)</f>
        <v>-0.001014541765</v>
      </c>
      <c r="R46" s="16">
        <f>IFERROR(__xludf.DUMMYFUNCTION("IF(OR(ISBLANK($G46), IFERROR(INDEX(GOOGLEFINANCE($C46, ""price"", WORKDAY(INT($B46), 5)), 2, 2), """")=""""), """", IF($D46=""LONG"", (IFERROR(INDEX(GOOGLEFINANCE($C46, ""price"", WORKDAY(INT($B46), 5)), 2, 2), """")-$G46)/$G46, ($G46-IFERROR(INDEX(GOOGLE"&amp;"FINANCE($C46, ""price"", WORKDAY(INT($B46), 5)), 2, 2), """"))/$G46))"),-0.050388907676699304)</f>
        <v>-0.05038890768</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3440</v>
      </c>
      <c r="U46" s="10" t="s">
        <v>932</v>
      </c>
      <c r="V46" s="10" t="s">
        <v>933</v>
      </c>
      <c r="W46" s="10" t="s">
        <v>51</v>
      </c>
      <c r="X46" s="10" t="s">
        <v>3186</v>
      </c>
    </row>
    <row r="47">
      <c r="A47" s="9">
        <f t="shared" si="1"/>
        <v>46</v>
      </c>
      <c r="B47" s="11">
        <v>46223.66756944444</v>
      </c>
      <c r="C47" s="10" t="s">
        <v>279</v>
      </c>
      <c r="D47" s="10" t="s">
        <v>36</v>
      </c>
      <c r="E47" s="10" t="s">
        <v>37</v>
      </c>
      <c r="F47" s="13">
        <v>2.0</v>
      </c>
      <c r="G47" s="14">
        <v>75.7</v>
      </c>
      <c r="H47" s="10" t="s">
        <v>3443</v>
      </c>
      <c r="I47" s="10">
        <v>91.2</v>
      </c>
      <c r="O47" s="15">
        <f>IFERROR(__xludf.DUMMYFUNCTION("IF(ISBLANK($C47), """", GOOGLEFINANCE($C47, ""price""))"),83.02)</f>
        <v>83.02</v>
      </c>
      <c r="P47" s="16">
        <f t="shared" si="2"/>
        <v>0.09669749009</v>
      </c>
      <c r="Q47" s="16">
        <f>IFERROR(__xludf.DUMMYFUNCTION("IF(OR(ISBLANK($G47), IFERROR(INDEX(GOOGLEFINANCE($C47, ""price"", WORKDAY(INT($B47), 1)), 2, 2), """")=""""), """", IF($D47=""LONG"", (IFERROR(INDEX(GOOGLEFINANCE($C47, ""price"", WORKDAY(INT($B47), 1)), 2, 2), """")-$G47)/$G47, ($G47-IFERROR(INDEX(GOOGLE"&amp;"FINANCE($C47, ""price"", WORKDAY(INT($B47), 1)), 2, 2), """"))/$G47))"),-0.012549537648612982)</f>
        <v>-0.01254953765</v>
      </c>
      <c r="R47" s="16">
        <f>IFERROR(__xludf.DUMMYFUNCTION("IF(OR(ISBLANK($G47), IFERROR(INDEX(GOOGLEFINANCE($C47, ""price"", WORKDAY(INT($B47), 5)), 2, 2), """")=""""), """", IF($D47=""LONG"", (IFERROR(INDEX(GOOGLEFINANCE($C47, ""price"", WORKDAY(INT($B47), 5)), 2, 2), """")-$G47)/$G47, ($G47-IFERROR(INDEX(GOOGLE"&amp;"FINANCE($C47, ""price"", WORKDAY(INT($B47), 5)), 2, 2), """"))/$G47))"),-0.030779392338176993)</f>
        <v>-0.03077939234</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3447</v>
      </c>
      <c r="U47" s="10" t="s">
        <v>984</v>
      </c>
      <c r="V47" s="10" t="s">
        <v>2714</v>
      </c>
      <c r="W47" s="10" t="s">
        <v>51</v>
      </c>
      <c r="X47" s="10" t="s">
        <v>984</v>
      </c>
    </row>
    <row r="48">
      <c r="A48" s="9">
        <f t="shared" si="1"/>
        <v>47</v>
      </c>
      <c r="B48" s="11">
        <v>46223.6674537037</v>
      </c>
      <c r="C48" s="10" t="s">
        <v>238</v>
      </c>
      <c r="D48" s="10" t="s">
        <v>36</v>
      </c>
      <c r="E48" s="10" t="s">
        <v>37</v>
      </c>
      <c r="F48" s="13">
        <v>2.0</v>
      </c>
      <c r="G48" s="14">
        <v>223.38</v>
      </c>
      <c r="H48" s="10" t="s">
        <v>3448</v>
      </c>
      <c r="I48" s="10">
        <v>89.7</v>
      </c>
      <c r="L48" s="10" t="s">
        <v>3449</v>
      </c>
      <c r="M48" s="34" t="s">
        <v>2106</v>
      </c>
      <c r="N48" s="10" t="s">
        <v>3451</v>
      </c>
      <c r="O48" s="15">
        <f>IFERROR(__xludf.DUMMYFUNCTION("IF(ISBLANK($C48), """", GOOGLEFINANCE($C48, ""price""))"),246.89)</f>
        <v>246.89</v>
      </c>
      <c r="P48" s="16">
        <f t="shared" si="2"/>
        <v>0.1052466649</v>
      </c>
      <c r="Q48" s="16">
        <f>IFERROR(__xludf.DUMMYFUNCTION("IF(OR(ISBLANK($G48), IFERROR(INDEX(GOOGLEFINANCE($C48, ""price"", WORKDAY(INT($B48), 1)), 2, 2), """")=""""), """", IF($D48=""LONG"", (IFERROR(INDEX(GOOGLEFINANCE($C48, ""price"", WORKDAY(INT($B48), 1)), 2, 2), """")-$G48)/$G48, ($G48-IFERROR(INDEX(GOOGLE"&amp;"FINANCE($C48, ""price"", WORKDAY(INT($B48), 1)), 2, 2), """"))/$G48))"),-0.010072522159548751)</f>
        <v>-0.01007252216</v>
      </c>
      <c r="R48" s="16">
        <f>IFERROR(__xludf.DUMMYFUNCTION("IF(OR(ISBLANK($G48), IFERROR(INDEX(GOOGLEFINANCE($C48, ""price"", WORKDAY(INT($B48), 5)), 2, 2), """")=""""), """", IF($D48=""LONG"", (IFERROR(INDEX(GOOGLEFINANCE($C48, ""price"", WORKDAY(INT($B48), 5)), 2, 2), """")-$G48)/$G48, ($G48-IFERROR(INDEX(GOOGLE"&amp;"FINANCE($C48, ""price"", WORKDAY(INT($B48), 5)), 2, 2), """"))/$G48))"),0.04928820843405852)</f>
        <v>0.04928820843</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3455</v>
      </c>
      <c r="U48" s="10" t="s">
        <v>507</v>
      </c>
      <c r="V48" s="10" t="s">
        <v>3458</v>
      </c>
      <c r="W48" s="10" t="s">
        <v>51</v>
      </c>
      <c r="X48" s="10" t="s">
        <v>2228</v>
      </c>
    </row>
    <row r="49">
      <c r="A49" s="9">
        <f t="shared" si="1"/>
        <v>48</v>
      </c>
      <c r="B49" s="11">
        <v>46223.66743055556</v>
      </c>
      <c r="C49" s="10" t="s">
        <v>215</v>
      </c>
      <c r="D49" s="10" t="s">
        <v>36</v>
      </c>
      <c r="E49" s="10" t="s">
        <v>37</v>
      </c>
      <c r="F49" s="13">
        <v>2.0</v>
      </c>
      <c r="G49" s="14">
        <v>95.44</v>
      </c>
      <c r="H49" s="10" t="s">
        <v>3459</v>
      </c>
      <c r="I49" s="10">
        <v>76.4</v>
      </c>
      <c r="L49" s="10" t="s">
        <v>3460</v>
      </c>
      <c r="M49" s="34" t="s">
        <v>1789</v>
      </c>
      <c r="N49" s="10" t="s">
        <v>925</v>
      </c>
      <c r="O49" s="15">
        <f>IFERROR(__xludf.DUMMYFUNCTION("IF(ISBLANK($C49), """", GOOGLEFINANCE($C49, ""price""))"),94.16)</f>
        <v>94.16</v>
      </c>
      <c r="P49" s="16">
        <f t="shared" si="2"/>
        <v>-0.01341156748</v>
      </c>
      <c r="Q49" s="16">
        <f>IFERROR(__xludf.DUMMYFUNCTION("IF(OR(ISBLANK($G49), IFERROR(INDEX(GOOGLEFINANCE($C49, ""price"", WORKDAY(INT($B49), 1)), 2, 2), """")=""""), """", IF($D49=""LONG"", (IFERROR(INDEX(GOOGLEFINANCE($C49, ""price"", WORKDAY(INT($B49), 1)), 2, 2), """")-$G49)/$G49, ($G49-IFERROR(INDEX(GOOGLE"&amp;"FINANCE($C49, ""price"", WORKDAY(INT($B49), 1)), 2, 2), """"))/$G49))"),-0.010268231349539018)</f>
        <v>-0.01026823135</v>
      </c>
      <c r="R49" s="16">
        <f>IFERROR(__xludf.DUMMYFUNCTION("IF(OR(ISBLANK($G49), IFERROR(INDEX(GOOGLEFINANCE($C49, ""price"", WORKDAY(INT($B49), 5)), 2, 2), """")=""""), """", IF($D49=""LONG"", (IFERROR(INDEX(GOOGLEFINANCE($C49, ""price"", WORKDAY(INT($B49), 5)), 2, 2), """")-$G49)/$G49, ($G49-IFERROR(INDEX(GOOGLE"&amp;"FINANCE($C49, ""price"", WORKDAY(INT($B49), 5)), 2, 2), """"))/$G49))"),-0.0011525565800502874)</f>
        <v>-0.00115255658</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3464</v>
      </c>
      <c r="U49" s="10" t="s">
        <v>507</v>
      </c>
      <c r="V49" s="10" t="s">
        <v>3465</v>
      </c>
      <c r="W49" s="10" t="s">
        <v>51</v>
      </c>
      <c r="X49" s="10" t="s">
        <v>2228</v>
      </c>
    </row>
    <row r="50">
      <c r="A50" s="9">
        <f t="shared" si="1"/>
        <v>49</v>
      </c>
      <c r="B50" s="11">
        <v>46223.66755787037</v>
      </c>
      <c r="C50" s="10" t="s">
        <v>72</v>
      </c>
      <c r="D50" s="10" t="s">
        <v>36</v>
      </c>
      <c r="E50" s="10" t="s">
        <v>70</v>
      </c>
      <c r="F50" s="13">
        <v>2.0</v>
      </c>
      <c r="G50" s="14">
        <v>1371.09</v>
      </c>
      <c r="H50" s="10" t="s">
        <v>3467</v>
      </c>
      <c r="I50" s="10">
        <v>87.6</v>
      </c>
      <c r="O50" s="15">
        <f>IFERROR(__xludf.DUMMYFUNCTION("IF(ISBLANK($C50), """", GOOGLEFINANCE($C50, ""price""))"),1282.58)</f>
        <v>1282.58</v>
      </c>
      <c r="P50" s="16">
        <f t="shared" si="2"/>
        <v>-0.06455447855</v>
      </c>
      <c r="Q50" s="16">
        <f>IFERROR(__xludf.DUMMYFUNCTION("IF(OR(ISBLANK($G50), IFERROR(INDEX(GOOGLEFINANCE($C50, ""price"", WORKDAY(INT($B50), 1)), 2, 2), """")=""""), """", IF($D50=""LONG"", (IFERROR(INDEX(GOOGLEFINANCE($C50, ""price"", WORKDAY(INT($B50), 1)), 2, 2), """")-$G50)/$G50, ($G50-IFERROR(INDEX(GOOGLE"&amp;"FINANCE($C50, ""price"", WORKDAY(INT($B50), 1)), 2, 2), """"))/$G50))"),-0.006914206944839521)</f>
        <v>-0.006914206945</v>
      </c>
      <c r="R50" s="16">
        <f>IFERROR(__xludf.DUMMYFUNCTION("IF(OR(ISBLANK($G50), IFERROR(INDEX(GOOGLEFINANCE($C50, ""price"", WORKDAY(INT($B50), 5)), 2, 2), """")=""""), """", IF($D50=""LONG"", (IFERROR(INDEX(GOOGLEFINANCE($C50, ""price"", WORKDAY(INT($B50), 5)), 2, 2), """")-$G50)/$G50, ($G50-IFERROR(INDEX(GOOGLE"&amp;"FINANCE($C50, ""price"", WORKDAY(INT($B50), 5)), 2, 2), """"))/$G50))"),0.020319599734517888)</f>
        <v>0.02031959973</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3471</v>
      </c>
      <c r="U50" s="10" t="s">
        <v>932</v>
      </c>
      <c r="V50" s="10" t="s">
        <v>933</v>
      </c>
      <c r="W50" s="10" t="s">
        <v>51</v>
      </c>
      <c r="X50" s="10" t="s">
        <v>3186</v>
      </c>
    </row>
    <row r="51">
      <c r="A51" s="9">
        <f t="shared" si="1"/>
        <v>50</v>
      </c>
      <c r="B51" s="11">
        <v>46223.6675</v>
      </c>
      <c r="C51" s="10" t="s">
        <v>397</v>
      </c>
      <c r="D51" s="10" t="s">
        <v>36</v>
      </c>
      <c r="E51" s="10" t="s">
        <v>37</v>
      </c>
      <c r="F51" s="13">
        <v>2.0</v>
      </c>
      <c r="G51" s="14">
        <v>265.2</v>
      </c>
      <c r="H51" s="10" t="s">
        <v>1047</v>
      </c>
      <c r="I51" s="10">
        <v>91.3</v>
      </c>
      <c r="O51" s="15">
        <f>IFERROR(__xludf.DUMMYFUNCTION("IF(ISBLANK($C51), """", GOOGLEFINANCE($C51, ""price""))"),306.57)</f>
        <v>306.57</v>
      </c>
      <c r="P51" s="16">
        <f t="shared" si="2"/>
        <v>0.1559954751</v>
      </c>
      <c r="Q51" s="16">
        <f>IFERROR(__xludf.DUMMYFUNCTION("IF(OR(ISBLANK($G51), IFERROR(INDEX(GOOGLEFINANCE($C51, ""price"", WORKDAY(INT($B51), 1)), 2, 2), """")=""""), """", IF($D51=""LONG"", (IFERROR(INDEX(GOOGLEFINANCE($C51, ""price"", WORKDAY(INT($B51), 1)), 2, 2), """")-$G51)/$G51, ($G51-IFERROR(INDEX(GOOGLE"&amp;"FINANCE($C51, ""price"", WORKDAY(INT($B51), 1)), 2, 2), """"))/$G51))"),-9.803921568627108E-4)</f>
        <v>-0.0009803921569</v>
      </c>
      <c r="R51" s="16">
        <f>IFERROR(__xludf.DUMMYFUNCTION("IF(OR(ISBLANK($G51), IFERROR(INDEX(GOOGLEFINANCE($C51, ""price"", WORKDAY(INT($B51), 5)), 2, 2), """")=""""), """", IF($D51=""LONG"", (IFERROR(INDEX(GOOGLEFINANCE($C51, ""price"", WORKDAY(INT($B51), 5)), 2, 2), """")-$G51)/$G51, ($G51-IFERROR(INDEX(GOOGLE"&amp;"FINANCE($C51, ""price"", WORKDAY(INT($B51), 5)), 2, 2), """"))/$G51))"),0.049660633484162955)</f>
        <v>0.04966063348</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3474</v>
      </c>
      <c r="U51" s="10" t="s">
        <v>984</v>
      </c>
      <c r="V51" s="10" t="s">
        <v>933</v>
      </c>
      <c r="W51" s="10" t="s">
        <v>51</v>
      </c>
      <c r="X51" s="10" t="s">
        <v>984</v>
      </c>
    </row>
    <row r="52">
      <c r="A52" s="9">
        <f t="shared" si="1"/>
        <v>51</v>
      </c>
      <c r="B52" s="11">
        <v>46223.667592592596</v>
      </c>
      <c r="C52" s="10" t="s">
        <v>765</v>
      </c>
      <c r="D52" s="10" t="s">
        <v>36</v>
      </c>
      <c r="E52" s="10" t="s">
        <v>37</v>
      </c>
      <c r="F52" s="13">
        <v>2.0</v>
      </c>
      <c r="G52" s="14">
        <v>124.08</v>
      </c>
      <c r="H52" s="10" t="s">
        <v>3476</v>
      </c>
      <c r="I52" s="10">
        <v>89.8</v>
      </c>
      <c r="O52" s="15">
        <f>IFERROR(__xludf.DUMMYFUNCTION("IF(ISBLANK($C52), """", GOOGLEFINANCE($C52, ""price""))"),126.66)</f>
        <v>126.66</v>
      </c>
      <c r="P52" s="16">
        <f t="shared" si="2"/>
        <v>0.02079303675</v>
      </c>
      <c r="Q52" s="16">
        <f>IFERROR(__xludf.DUMMYFUNCTION("IF(OR(ISBLANK($G52), IFERROR(INDEX(GOOGLEFINANCE($C52, ""price"", WORKDAY(INT($B52), 1)), 2, 2), """")=""""), """", IF($D52=""LONG"", (IFERROR(INDEX(GOOGLEFINANCE($C52, ""price"", WORKDAY(INT($B52), 1)), 2, 2), """")-$G52)/$G52, ($G52-IFERROR(INDEX(GOOGLE"&amp;"FINANCE($C52, ""price"", WORKDAY(INT($B52), 1)), 2, 2), """"))/$G52))"),-0.003949065119277844)</f>
        <v>-0.003949065119</v>
      </c>
      <c r="R52" s="16">
        <f>IFERROR(__xludf.DUMMYFUNCTION("IF(OR(ISBLANK($G52), IFERROR(INDEX(GOOGLEFINANCE($C52, ""price"", WORKDAY(INT($B52), 5)), 2, 2), """")=""""), """", IF($D52=""LONG"", (IFERROR(INDEX(GOOGLEFINANCE($C52, ""price"", WORKDAY(INT($B52), 5)), 2, 2), """")-$G52)/$G52, ($G52-IFERROR(INDEX(GOOGLE"&amp;"FINANCE($C52, ""price"", WORKDAY(INT($B52), 5)), 2, 2), """"))/$G52))"),0.019987105093488104)</f>
        <v>0.01998710509</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3481</v>
      </c>
      <c r="U52" s="10" t="s">
        <v>984</v>
      </c>
      <c r="V52" s="10" t="s">
        <v>2785</v>
      </c>
      <c r="W52" s="10" t="s">
        <v>51</v>
      </c>
      <c r="X52" s="10" t="s">
        <v>984</v>
      </c>
    </row>
    <row r="53">
      <c r="A53" s="9">
        <f t="shared" si="1"/>
        <v>52</v>
      </c>
      <c r="B53" s="11">
        <v>46223.66752314815</v>
      </c>
      <c r="C53" s="10" t="s">
        <v>288</v>
      </c>
      <c r="D53" s="10" t="s">
        <v>36</v>
      </c>
      <c r="E53" s="10" t="s">
        <v>37</v>
      </c>
      <c r="F53" s="13">
        <v>2.0</v>
      </c>
      <c r="G53" s="14">
        <v>19.02</v>
      </c>
      <c r="H53" s="10" t="s">
        <v>3483</v>
      </c>
      <c r="I53" s="10">
        <v>91.0</v>
      </c>
      <c r="O53" s="15">
        <f>IFERROR(__xludf.DUMMYFUNCTION("IF(ISBLANK($C53), """", GOOGLEFINANCE($C53, ""price""))"),19.18)</f>
        <v>19.18</v>
      </c>
      <c r="P53" s="16">
        <f t="shared" si="2"/>
        <v>0.008412197687</v>
      </c>
      <c r="Q53" s="16">
        <f>IFERROR(__xludf.DUMMYFUNCTION("IF(OR(ISBLANK($G53), IFERROR(INDEX(GOOGLEFINANCE($C53, ""price"", WORKDAY(INT($B53), 1)), 2, 2), """")=""""), """", IF($D53=""LONG"", (IFERROR(INDEX(GOOGLEFINANCE($C53, ""price"", WORKDAY(INT($B53), 1)), 2, 2), """")-$G53)/$G53, ($G53-IFERROR(INDEX(GOOGLE"&amp;"FINANCE($C53, ""price"", WORKDAY(INT($B53), 1)), 2, 2), """"))/$G53))"),-5.257623554152476E-4)</f>
        <v>-0.0005257623554</v>
      </c>
      <c r="R53" s="16">
        <f>IFERROR(__xludf.DUMMYFUNCTION("IF(OR(ISBLANK($G53), IFERROR(INDEX(GOOGLEFINANCE($C53, ""price"", WORKDAY(INT($B53), 5)), 2, 2), """")=""""), """", IF($D53=""LONG"", (IFERROR(INDEX(GOOGLEFINANCE($C53, ""price"", WORKDAY(INT($B53), 5)), 2, 2), """")-$G53)/$G53, ($G53-IFERROR(INDEX(GOOGLE"&amp;"FINANCE($C53, ""price"", WORKDAY(INT($B53), 5)), 2, 2), """"))/$G53))"),0.024185068349106248)</f>
        <v>0.02418506835</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3487</v>
      </c>
      <c r="U53" s="10" t="s">
        <v>984</v>
      </c>
      <c r="V53" s="10" t="s">
        <v>933</v>
      </c>
      <c r="W53" s="10" t="s">
        <v>51</v>
      </c>
      <c r="X53" s="10" t="s">
        <v>984</v>
      </c>
    </row>
    <row r="54">
      <c r="A54" s="9">
        <f t="shared" si="1"/>
        <v>53</v>
      </c>
      <c r="B54" s="11">
        <v>46223.66752314815</v>
      </c>
      <c r="C54" s="10" t="s">
        <v>98</v>
      </c>
      <c r="D54" s="10" t="s">
        <v>36</v>
      </c>
      <c r="E54" s="10" t="s">
        <v>37</v>
      </c>
      <c r="F54" s="13">
        <v>2.0</v>
      </c>
      <c r="G54" s="14">
        <v>31.13</v>
      </c>
      <c r="H54" s="10" t="s">
        <v>3488</v>
      </c>
      <c r="I54" s="10">
        <v>92.2</v>
      </c>
      <c r="O54" s="15">
        <f>IFERROR(__xludf.DUMMYFUNCTION("IF(ISBLANK($C54), """", GOOGLEFINANCE($C54, ""price""))"),31.39)</f>
        <v>31.39</v>
      </c>
      <c r="P54" s="16">
        <f t="shared" si="2"/>
        <v>0.008352071956</v>
      </c>
      <c r="Q54" s="16">
        <f>IFERROR(__xludf.DUMMYFUNCTION("IF(OR(ISBLANK($G54), IFERROR(INDEX(GOOGLEFINANCE($C54, ""price"", WORKDAY(INT($B54), 1)), 2, 2), """")=""""), """", IF($D54=""LONG"", (IFERROR(INDEX(GOOGLEFINANCE($C54, ""price"", WORKDAY(INT($B54), 1)), 2, 2), """")-$G54)/$G54, ($G54-IFERROR(INDEX(GOOGLE"&amp;"FINANCE($C54, ""price"", WORKDAY(INT($B54), 1)), 2, 2), """"))/$G54))"),-0.009958239640218398)</f>
        <v>-0.00995823964</v>
      </c>
      <c r="R54" s="16">
        <f>IFERROR(__xludf.DUMMYFUNCTION("IF(OR(ISBLANK($G54), IFERROR(INDEX(GOOGLEFINANCE($C54, ""price"", WORKDAY(INT($B54), 5)), 2, 2), """")=""""), """", IF($D54=""LONG"", (IFERROR(INDEX(GOOGLEFINANCE($C54, ""price"", WORKDAY(INT($B54), 5)), 2, 2), """")-$G54)/$G54, ($G54-IFERROR(INDEX(GOOGLE"&amp;"FINANCE($C54, ""price"", WORKDAY(INT($B54), 5)), 2, 2), """"))/$G54))"),-0.012528107934468378)</f>
        <v>-0.01252810793</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3493</v>
      </c>
      <c r="U54" s="10" t="s">
        <v>984</v>
      </c>
      <c r="V54" s="10" t="s">
        <v>2714</v>
      </c>
      <c r="W54" s="10" t="s">
        <v>51</v>
      </c>
      <c r="X54" s="10" t="s">
        <v>984</v>
      </c>
    </row>
    <row r="55">
      <c r="A55" s="9">
        <f t="shared" si="1"/>
        <v>54</v>
      </c>
      <c r="B55" s="11">
        <v>46223.66743055556</v>
      </c>
      <c r="C55" s="10" t="s">
        <v>800</v>
      </c>
      <c r="D55" s="10" t="s">
        <v>36</v>
      </c>
      <c r="E55" s="10" t="s">
        <v>37</v>
      </c>
      <c r="F55" s="13">
        <v>2.0</v>
      </c>
      <c r="G55" s="14">
        <v>303.97</v>
      </c>
      <c r="H55" s="10" t="s">
        <v>3495</v>
      </c>
      <c r="I55" s="10">
        <v>96.8</v>
      </c>
      <c r="O55" s="15">
        <f>IFERROR(__xludf.DUMMYFUNCTION("IF(ISBLANK($C55), """", GOOGLEFINANCE($C55, ""price""))"),325.01)</f>
        <v>325.01</v>
      </c>
      <c r="P55" s="16">
        <f t="shared" si="2"/>
        <v>0.06921735698</v>
      </c>
      <c r="Q55" s="16">
        <f>IFERROR(__xludf.DUMMYFUNCTION("IF(OR(ISBLANK($G55), IFERROR(INDEX(GOOGLEFINANCE($C55, ""price"", WORKDAY(INT($B55), 1)), 2, 2), """")=""""), """", IF($D55=""LONG"", (IFERROR(INDEX(GOOGLEFINANCE($C55, ""price"", WORKDAY(INT($B55), 1)), 2, 2), """")-$G55)/$G55, ($G55-IFERROR(INDEX(GOOGLE"&amp;"FINANCE($C55, ""price"", WORKDAY(INT($B55), 1)), 2, 2), """"))/$G55))"),-0.00296081850182595)</f>
        <v>-0.002960818502</v>
      </c>
      <c r="R55" s="16">
        <f>IFERROR(__xludf.DUMMYFUNCTION("IF(OR(ISBLANK($G55), IFERROR(INDEX(GOOGLEFINANCE($C55, ""price"", WORKDAY(INT($B55), 5)), 2, 2), """")=""""), """", IF($D55=""LONG"", (IFERROR(INDEX(GOOGLEFINANCE($C55, ""price"", WORKDAY(INT($B55), 5)), 2, 2), """")-$G55)/$G55, ($G55-IFERROR(INDEX(GOOGLE"&amp;"FINANCE($C55, ""price"", WORKDAY(INT($B55), 5)), 2, 2), """"))/$G55))"),0.023620752047899297)</f>
        <v>0.02362075205</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3498</v>
      </c>
      <c r="U55" s="10" t="s">
        <v>984</v>
      </c>
      <c r="V55" s="10" t="s">
        <v>985</v>
      </c>
      <c r="W55" s="10" t="s">
        <v>51</v>
      </c>
      <c r="X55" s="10" t="s">
        <v>984</v>
      </c>
    </row>
    <row r="56">
      <c r="A56" s="9">
        <f t="shared" si="1"/>
        <v>55</v>
      </c>
      <c r="B56" s="11">
        <v>46223.66741898148</v>
      </c>
      <c r="C56" s="10" t="s">
        <v>408</v>
      </c>
      <c r="D56" s="10" t="s">
        <v>36</v>
      </c>
      <c r="E56" s="10" t="s">
        <v>37</v>
      </c>
      <c r="F56" s="13">
        <v>2.0</v>
      </c>
      <c r="G56" s="14">
        <v>249.35</v>
      </c>
      <c r="H56" s="10" t="s">
        <v>3499</v>
      </c>
      <c r="I56" s="10">
        <v>92.8</v>
      </c>
      <c r="O56" s="15">
        <f>IFERROR(__xludf.DUMMYFUNCTION("IF(ISBLANK($C56), """", GOOGLEFINANCE($C56, ""price""))"),250.14)</f>
        <v>250.14</v>
      </c>
      <c r="P56" s="16">
        <f t="shared" si="2"/>
        <v>0.003168237417</v>
      </c>
      <c r="Q56" s="16">
        <f>IFERROR(__xludf.DUMMYFUNCTION("IF(OR(ISBLANK($G56), IFERROR(INDEX(GOOGLEFINANCE($C56, ""price"", WORKDAY(INT($B56), 1)), 2, 2), """")=""""), """", IF($D56=""LONG"", (IFERROR(INDEX(GOOGLEFINANCE($C56, ""price"", WORKDAY(INT($B56), 1)), 2, 2), """")-$G56)/$G56, ($G56-IFERROR(INDEX(GOOGLE"&amp;"FINANCE($C56, ""price"", WORKDAY(INT($B56), 1)), 2, 2), """"))/$G56))"),-0.002767194706236205)</f>
        <v>-0.002767194706</v>
      </c>
      <c r="R56" s="16">
        <f>IFERROR(__xludf.DUMMYFUNCTION("IF(OR(ISBLANK($G56), IFERROR(INDEX(GOOGLEFINANCE($C56, ""price"", WORKDAY(INT($B56), 5)), 2, 2), """")=""""), """", IF($D56=""LONG"", (IFERROR(INDEX(GOOGLEFINANCE($C56, ""price"", WORKDAY(INT($B56), 5)), 2, 2), """")-$G56)/$G56, ($G56-IFERROR(INDEX(GOOGLE"&amp;"FINANCE($C56, ""price"", WORKDAY(INT($B56), 5)), 2, 2), """"))/$G56))"),-0.004291157008221348)</f>
        <v>-0.004291157008</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3502</v>
      </c>
      <c r="U56" s="10" t="s">
        <v>932</v>
      </c>
      <c r="V56" s="10" t="s">
        <v>933</v>
      </c>
      <c r="W56" s="10" t="s">
        <v>51</v>
      </c>
      <c r="X56" s="10" t="s">
        <v>3186</v>
      </c>
    </row>
    <row r="57">
      <c r="A57" s="9">
        <f t="shared" si="1"/>
        <v>56</v>
      </c>
      <c r="B57" s="11">
        <v>46223.66751157407</v>
      </c>
      <c r="C57" s="10" t="s">
        <v>731</v>
      </c>
      <c r="D57" s="10" t="s">
        <v>36</v>
      </c>
      <c r="E57" s="10" t="s">
        <v>37</v>
      </c>
      <c r="F57" s="13">
        <v>2.0</v>
      </c>
      <c r="G57" s="14">
        <v>68.83</v>
      </c>
      <c r="H57" s="10" t="s">
        <v>3503</v>
      </c>
      <c r="I57" s="10">
        <v>91.8</v>
      </c>
      <c r="O57" s="15">
        <f>IFERROR(__xludf.DUMMYFUNCTION("IF(ISBLANK($C57), """", GOOGLEFINANCE($C57, ""price""))"),66.7)</f>
        <v>66.7</v>
      </c>
      <c r="P57" s="16">
        <f t="shared" si="2"/>
        <v>-0.03094580851</v>
      </c>
      <c r="Q57" s="16">
        <f>IFERROR(__xludf.DUMMYFUNCTION("IF(OR(ISBLANK($G57), IFERROR(INDEX(GOOGLEFINANCE($C57, ""price"", WORKDAY(INT($B57), 1)), 2, 2), """")=""""), """", IF($D57=""LONG"", (IFERROR(INDEX(GOOGLEFINANCE($C57, ""price"", WORKDAY(INT($B57), 1)), 2, 2), """")-$G57)/$G57, ($G57-IFERROR(INDEX(GOOGLE"&amp;"FINANCE($C57, ""price"", WORKDAY(INT($B57), 1)), 2, 2), """"))/$G57))"),-0.007845416242917217)</f>
        <v>-0.007845416243</v>
      </c>
      <c r="R57" s="16">
        <f>IFERROR(__xludf.DUMMYFUNCTION("IF(OR(ISBLANK($G57), IFERROR(INDEX(GOOGLEFINANCE($C57, ""price"", WORKDAY(INT($B57), 5)), 2, 2), """")=""""), """", IF($D57=""LONG"", (IFERROR(INDEX(GOOGLEFINANCE($C57, ""price"", WORKDAY(INT($B57), 5)), 2, 2), """")-$G57)/$G57, ($G57-IFERROR(INDEX(GOOGLE"&amp;"FINANCE($C57, ""price"", WORKDAY(INT($B57), 5)), 2, 2), """"))/$G57))"),-0.023100392270812196)</f>
        <v>-0.02310039227</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3506</v>
      </c>
      <c r="U57" s="10" t="s">
        <v>984</v>
      </c>
      <c r="V57" s="10" t="s">
        <v>985</v>
      </c>
      <c r="W57" s="10" t="s">
        <v>51</v>
      </c>
      <c r="X57" s="10" t="s">
        <v>984</v>
      </c>
    </row>
    <row r="58">
      <c r="A58" s="9">
        <f t="shared" si="1"/>
        <v>57</v>
      </c>
      <c r="B58" s="11">
        <v>46223.667662037034</v>
      </c>
      <c r="C58" s="10" t="s">
        <v>267</v>
      </c>
      <c r="D58" s="10" t="s">
        <v>36</v>
      </c>
      <c r="E58" s="10" t="s">
        <v>37</v>
      </c>
      <c r="F58" s="13">
        <v>2.0</v>
      </c>
      <c r="G58" s="14">
        <v>188.9</v>
      </c>
      <c r="H58" s="10" t="s">
        <v>3507</v>
      </c>
      <c r="I58" s="10">
        <v>97.1</v>
      </c>
      <c r="O58" s="15">
        <f>IFERROR(__xludf.DUMMYFUNCTION("IF(ISBLANK($C58), """", GOOGLEFINANCE($C58, ""price""))"),213.26)</f>
        <v>213.26</v>
      </c>
      <c r="P58" s="16">
        <f t="shared" si="2"/>
        <v>0.1289571202</v>
      </c>
      <c r="Q58" s="16">
        <f>IFERROR(__xludf.DUMMYFUNCTION("IF(OR(ISBLANK($G58), IFERROR(INDEX(GOOGLEFINANCE($C58, ""price"", WORKDAY(INT($B58), 1)), 2, 2), """")=""""), """", IF($D58=""LONG"", (IFERROR(INDEX(GOOGLEFINANCE($C58, ""price"", WORKDAY(INT($B58), 1)), 2, 2), """")-$G58)/$G58, ($G58-IFERROR(INDEX(GOOGLE"&amp;"FINANCE($C58, ""price"", WORKDAY(INT($B58), 1)), 2, 2), """"))/$G58))"),-0.004552673372154651)</f>
        <v>-0.004552673372</v>
      </c>
      <c r="R58" s="16">
        <f>IFERROR(__xludf.DUMMYFUNCTION("IF(OR(ISBLANK($G58), IFERROR(INDEX(GOOGLEFINANCE($C58, ""price"", WORKDAY(INT($B58), 5)), 2, 2), """")=""""), """", IF($D58=""LONG"", (IFERROR(INDEX(GOOGLEFINANCE($C58, ""price"", WORKDAY(INT($B58), 5)), 2, 2), """")-$G58)/$G58, ($G58-IFERROR(INDEX(GOOGLE"&amp;"FINANCE($C58, ""price"", WORKDAY(INT($B58), 5)), 2, 2), """"))/$G58))"),-0.023980942297511916)</f>
        <v>-0.0239809423</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3512</v>
      </c>
      <c r="U58" s="10" t="s">
        <v>984</v>
      </c>
      <c r="V58" s="10" t="s">
        <v>985</v>
      </c>
      <c r="W58" s="10" t="s">
        <v>51</v>
      </c>
      <c r="X58" s="10" t="s">
        <v>984</v>
      </c>
    </row>
    <row r="59">
      <c r="A59" s="9">
        <f t="shared" si="1"/>
        <v>58</v>
      </c>
      <c r="B59" s="11">
        <v>46223.66744212963</v>
      </c>
      <c r="C59" s="10" t="s">
        <v>374</v>
      </c>
      <c r="D59" s="10" t="s">
        <v>36</v>
      </c>
      <c r="E59" s="10" t="s">
        <v>37</v>
      </c>
      <c r="F59" s="13">
        <v>2.0</v>
      </c>
      <c r="G59" s="14">
        <v>71.59</v>
      </c>
      <c r="H59" s="10" t="s">
        <v>1540</v>
      </c>
      <c r="I59" s="10">
        <v>95.8</v>
      </c>
      <c r="O59" s="15">
        <f>IFERROR(__xludf.DUMMYFUNCTION("IF(ISBLANK($C59), """", GOOGLEFINANCE($C59, ""price""))"),73.32)</f>
        <v>73.32</v>
      </c>
      <c r="P59" s="16">
        <f t="shared" si="2"/>
        <v>0.02416538623</v>
      </c>
      <c r="Q59" s="16">
        <f>IFERROR(__xludf.DUMMYFUNCTION("IF(OR(ISBLANK($G59), IFERROR(INDEX(GOOGLEFINANCE($C59, ""price"", WORKDAY(INT($B59), 1)), 2, 2), """")=""""), """", IF($D59=""LONG"", (IFERROR(INDEX(GOOGLEFINANCE($C59, ""price"", WORKDAY(INT($B59), 1)), 2, 2), """")-$G59)/$G59, ($G59-IFERROR(INDEX(GOOGLE"&amp;"FINANCE($C59, ""price"", WORKDAY(INT($B59), 1)), 2, 2), """"))/$G59))"),-0.008101690180192741)</f>
        <v>-0.00810169018</v>
      </c>
      <c r="R59" s="16">
        <f>IFERROR(__xludf.DUMMYFUNCTION("IF(OR(ISBLANK($G59), IFERROR(INDEX(GOOGLEFINANCE($C59, ""price"", WORKDAY(INT($B59), 5)), 2, 2), """")=""""), """", IF($D59=""LONG"", (IFERROR(INDEX(GOOGLEFINANCE($C59, ""price"", WORKDAY(INT($B59), 5)), 2, 2), """")-$G59)/$G59, ($G59-IFERROR(INDEX(GOOGLE"&amp;"FINANCE($C59, ""price"", WORKDAY(INT($B59), 5)), 2, 2), """"))/$G59))"),-0.01815896074870788)</f>
        <v>-0.01815896075</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3515</v>
      </c>
      <c r="U59" s="10" t="s">
        <v>984</v>
      </c>
      <c r="V59" s="10" t="s">
        <v>985</v>
      </c>
      <c r="W59" s="10" t="s">
        <v>51</v>
      </c>
      <c r="X59" s="10" t="s">
        <v>984</v>
      </c>
    </row>
    <row r="60">
      <c r="A60" s="9">
        <f t="shared" si="1"/>
        <v>59</v>
      </c>
      <c r="B60" s="11">
        <v>46223.667546296296</v>
      </c>
      <c r="C60" s="10" t="s">
        <v>197</v>
      </c>
      <c r="D60" s="10" t="s">
        <v>36</v>
      </c>
      <c r="E60" s="10" t="s">
        <v>37</v>
      </c>
      <c r="F60" s="13">
        <v>2.0</v>
      </c>
      <c r="G60" s="14">
        <v>207.63</v>
      </c>
      <c r="H60" s="10" t="s">
        <v>3517</v>
      </c>
      <c r="I60" s="10">
        <v>90.9</v>
      </c>
      <c r="O60" s="15">
        <f>IFERROR(__xludf.DUMMYFUNCTION("IF(ISBLANK($C60), """", GOOGLEFINANCE($C60, ""price""))"),238.5)</f>
        <v>238.5</v>
      </c>
      <c r="P60" s="16">
        <f t="shared" si="2"/>
        <v>0.1486779367</v>
      </c>
      <c r="Q60" s="16">
        <f>IFERROR(__xludf.DUMMYFUNCTION("IF(OR(ISBLANK($G60), IFERROR(INDEX(GOOGLEFINANCE($C60, ""price"", WORKDAY(INT($B60), 1)), 2, 2), """")=""""), """", IF($D60=""LONG"", (IFERROR(INDEX(GOOGLEFINANCE($C60, ""price"", WORKDAY(INT($B60), 1)), 2, 2), """")-$G60)/$G60, ($G60-IFERROR(INDEX(GOOGLE"&amp;"FINANCE($C60, ""price"", WORKDAY(INT($B60), 1)), 2, 2), """"))/$G60))"),-0.0038048451572508407)</f>
        <v>-0.003804845157</v>
      </c>
      <c r="R60" s="16">
        <f>IFERROR(__xludf.DUMMYFUNCTION("IF(OR(ISBLANK($G60), IFERROR(INDEX(GOOGLEFINANCE($C60, ""price"", WORKDAY(INT($B60), 5)), 2, 2), """")=""""), """", IF($D60=""LONG"", (IFERROR(INDEX(GOOGLEFINANCE($C60, ""price"", WORKDAY(INT($B60), 5)), 2, 2), """")-$G60)/$G60, ($G60-IFERROR(INDEX(GOOGLE"&amp;"FINANCE($C60, ""price"", WORKDAY(INT($B60), 5)), 2, 2), """"))/$G60))"),0.11660164716081495)</f>
        <v>0.1166016472</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3520</v>
      </c>
      <c r="U60" s="10" t="s">
        <v>932</v>
      </c>
      <c r="V60" s="10" t="s">
        <v>933</v>
      </c>
      <c r="W60" s="10" t="s">
        <v>51</v>
      </c>
      <c r="X60" s="10" t="s">
        <v>3186</v>
      </c>
    </row>
    <row r="61">
      <c r="A61" s="9">
        <f t="shared" si="1"/>
        <v>60</v>
      </c>
      <c r="B61" s="11">
        <v>46223.66751157407</v>
      </c>
      <c r="C61" s="10" t="s">
        <v>379</v>
      </c>
      <c r="D61" s="10" t="s">
        <v>36</v>
      </c>
      <c r="E61" s="10" t="s">
        <v>37</v>
      </c>
      <c r="F61" s="13">
        <v>2.0</v>
      </c>
      <c r="G61" s="14">
        <v>50.11</v>
      </c>
      <c r="H61" s="10" t="s">
        <v>3521</v>
      </c>
      <c r="I61" s="10">
        <v>82.1</v>
      </c>
      <c r="O61" s="15">
        <f>IFERROR(__xludf.DUMMYFUNCTION("IF(ISBLANK($C61), """", GOOGLEFINANCE($C61, ""price""))"),50.7)</f>
        <v>50.7</v>
      </c>
      <c r="P61" s="16">
        <f t="shared" si="2"/>
        <v>0.01177409699</v>
      </c>
      <c r="Q61" s="16">
        <f>IFERROR(__xludf.DUMMYFUNCTION("IF(OR(ISBLANK($G61), IFERROR(INDEX(GOOGLEFINANCE($C61, ""price"", WORKDAY(INT($B61), 1)), 2, 2), """")=""""), """", IF($D61=""LONG"", (IFERROR(INDEX(GOOGLEFINANCE($C61, ""price"", WORKDAY(INT($B61), 1)), 2, 2), """")-$G61)/$G61, ($G61-IFERROR(INDEX(GOOGLE"&amp;"FINANCE($C61, ""price"", WORKDAY(INT($B61), 1)), 2, 2), """"))/$G61))"),-0.0043903412492516235)</f>
        <v>-0.004390341249</v>
      </c>
      <c r="R61" s="16">
        <f>IFERROR(__xludf.DUMMYFUNCTION("IF(OR(ISBLANK($G61), IFERROR(INDEX(GOOGLEFINANCE($C61, ""price"", WORKDAY(INT($B61), 5)), 2, 2), """")=""""), """", IF($D61=""LONG"", (IFERROR(INDEX(GOOGLEFINANCE($C61, ""price"", WORKDAY(INT($B61), 5)), 2, 2), """")-$G61)/$G61, ($G61-IFERROR(INDEX(GOOGLE"&amp;"FINANCE($C61, ""price"", WORKDAY(INT($B61), 5)), 2, 2), """"))/$G61))"),0.033725803232887604)</f>
        <v>0.03372580323</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3524</v>
      </c>
      <c r="U61" s="10" t="s">
        <v>984</v>
      </c>
      <c r="V61" s="10" t="s">
        <v>933</v>
      </c>
      <c r="W61" s="10" t="s">
        <v>51</v>
      </c>
      <c r="X61" s="10" t="s">
        <v>984</v>
      </c>
    </row>
    <row r="62">
      <c r="A62" s="9">
        <f t="shared" si="1"/>
        <v>61</v>
      </c>
      <c r="B62" s="11">
        <v>46223.66752314815</v>
      </c>
      <c r="C62" s="10" t="s">
        <v>1555</v>
      </c>
      <c r="D62" s="10" t="s">
        <v>36</v>
      </c>
      <c r="E62" s="10" t="s">
        <v>37</v>
      </c>
      <c r="F62" s="13">
        <v>2.0</v>
      </c>
      <c r="G62" s="14">
        <v>379.04</v>
      </c>
      <c r="H62" s="10" t="s">
        <v>3525</v>
      </c>
      <c r="I62" s="10">
        <v>92.2</v>
      </c>
      <c r="O62" s="15">
        <f>IFERROR(__xludf.DUMMYFUNCTION("IF(ISBLANK($C62), """", GOOGLEFINANCE($C62, ""price""))"),370.35)</f>
        <v>370.35</v>
      </c>
      <c r="P62" s="16">
        <f t="shared" si="2"/>
        <v>-0.02292634023</v>
      </c>
      <c r="Q62" s="16">
        <f>IFERROR(__xludf.DUMMYFUNCTION("IF(OR(ISBLANK($G62), IFERROR(INDEX(GOOGLEFINANCE($C62, ""price"", WORKDAY(INT($B62), 1)), 2, 2), """")=""""), """", IF($D62=""LONG"", (IFERROR(INDEX(GOOGLEFINANCE($C62, ""price"", WORKDAY(INT($B62), 1)), 2, 2), """")-$G62)/$G62, ($G62-IFERROR(INDEX(GOOGLE"&amp;"FINANCE($C62, ""price"", WORKDAY(INT($B62), 1)), 2, 2), """"))/$G62))"),-0.005144575770367363)</f>
        <v>-0.00514457577</v>
      </c>
      <c r="R62" s="16">
        <f>IFERROR(__xludf.DUMMYFUNCTION("IF(OR(ISBLANK($G62), IFERROR(INDEX(GOOGLEFINANCE($C62, ""price"", WORKDAY(INT($B62), 5)), 2, 2), """")=""""), """", IF($D62=""LONG"", (IFERROR(INDEX(GOOGLEFINANCE($C62, ""price"", WORKDAY(INT($B62), 5)), 2, 2), """")-$G62)/$G62, ($G62-IFERROR(INDEX(GOOGLE"&amp;"FINANCE($C62, ""price"", WORKDAY(INT($B62), 5)), 2, 2), """"))/$G62))"),0.02717391304347814)</f>
        <v>0.02717391304</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3529</v>
      </c>
      <c r="U62" s="10" t="s">
        <v>492</v>
      </c>
      <c r="V62" s="10" t="s">
        <v>493</v>
      </c>
      <c r="W62" s="10" t="s">
        <v>51</v>
      </c>
      <c r="X62" s="10" t="s">
        <v>492</v>
      </c>
    </row>
    <row r="63">
      <c r="A63" s="9">
        <f t="shared" si="1"/>
        <v>62</v>
      </c>
      <c r="B63" s="11">
        <v>46223.66737268519</v>
      </c>
      <c r="C63" s="10" t="s">
        <v>2692</v>
      </c>
      <c r="D63" s="10" t="s">
        <v>36</v>
      </c>
      <c r="E63" s="10" t="s">
        <v>37</v>
      </c>
      <c r="F63" s="13">
        <v>2.0</v>
      </c>
      <c r="G63" s="14">
        <v>65.18</v>
      </c>
      <c r="H63" s="10" t="s">
        <v>3531</v>
      </c>
      <c r="I63" s="10">
        <v>89.8</v>
      </c>
      <c r="O63" s="15">
        <f>IFERROR(__xludf.DUMMYFUNCTION("IF(ISBLANK($C63), """", GOOGLEFINANCE($C63, ""price""))"),62.36)</f>
        <v>62.36</v>
      </c>
      <c r="P63" s="16">
        <f t="shared" si="2"/>
        <v>-0.04326480515</v>
      </c>
      <c r="Q63" s="16">
        <f>IFERROR(__xludf.DUMMYFUNCTION("IF(OR(ISBLANK($G63), IFERROR(INDEX(GOOGLEFINANCE($C63, ""price"", WORKDAY(INT($B63), 1)), 2, 2), """")=""""), """", IF($D63=""LONG"", (IFERROR(INDEX(GOOGLEFINANCE($C63, ""price"", WORKDAY(INT($B63), 1)), 2, 2), """")-$G63)/$G63, ($G63-IFERROR(INDEX(GOOGLE"&amp;"FINANCE($C63, ""price"", WORKDAY(INT($B63), 1)), 2, 2), """"))/$G63))"),-0.002915004602639029)</f>
        <v>-0.002915004603</v>
      </c>
      <c r="R63" s="16">
        <f>IFERROR(__xludf.DUMMYFUNCTION("IF(OR(ISBLANK($G63), IFERROR(INDEX(GOOGLEFINANCE($C63, ""price"", WORKDAY(INT($B63), 5)), 2, 2), """")=""""), """", IF($D63=""LONG"", (IFERROR(INDEX(GOOGLEFINANCE($C63, ""price"", WORKDAY(INT($B63), 5)), 2, 2), """")-$G63)/$G63, ($G63-IFERROR(INDEX(GOOGLE"&amp;"FINANCE($C63, ""price"", WORKDAY(INT($B63), 5)), 2, 2), """"))/$G63))"),0.004909481436023215)</f>
        <v>0.004909481436</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3535</v>
      </c>
      <c r="U63" s="10" t="s">
        <v>932</v>
      </c>
      <c r="V63" s="10" t="s">
        <v>933</v>
      </c>
      <c r="W63" s="10" t="s">
        <v>51</v>
      </c>
      <c r="X63" s="10" t="s">
        <v>3186</v>
      </c>
    </row>
    <row r="64">
      <c r="A64" s="9">
        <f t="shared" si="1"/>
        <v>63</v>
      </c>
      <c r="B64" s="11">
        <v>46223.66768518519</v>
      </c>
      <c r="C64" s="10" t="s">
        <v>2793</v>
      </c>
      <c r="D64" s="10" t="s">
        <v>36</v>
      </c>
      <c r="E64" s="10" t="s">
        <v>37</v>
      </c>
      <c r="F64" s="13">
        <v>2.0</v>
      </c>
      <c r="G64" s="14">
        <v>48.55</v>
      </c>
      <c r="H64" s="10" t="s">
        <v>3538</v>
      </c>
      <c r="I64" s="10">
        <v>89.9</v>
      </c>
      <c r="O64" s="15">
        <f>IFERROR(__xludf.DUMMYFUNCTION("IF(ISBLANK($C64), """", GOOGLEFINANCE($C64, ""price""))"),47.37)</f>
        <v>47.37</v>
      </c>
      <c r="P64" s="16">
        <f t="shared" si="2"/>
        <v>-0.02430484037</v>
      </c>
      <c r="Q64" s="16">
        <f>IFERROR(__xludf.DUMMYFUNCTION("IF(OR(ISBLANK($G64), IFERROR(INDEX(GOOGLEFINANCE($C64, ""price"", WORKDAY(INT($B64), 1)), 2, 2), """")=""""), """", IF($D64=""LONG"", (IFERROR(INDEX(GOOGLEFINANCE($C64, ""price"", WORKDAY(INT($B64), 1)), 2, 2), """")-$G64)/$G64, ($G64-IFERROR(INDEX(GOOGLE"&amp;"FINANCE($C64, ""price"", WORKDAY(INT($B64), 1)), 2, 2), """"))/$G64))"),-0.0032955715756950894)</f>
        <v>-0.003295571576</v>
      </c>
      <c r="R64" s="16">
        <f>IFERROR(__xludf.DUMMYFUNCTION("IF(OR(ISBLANK($G64), IFERROR(INDEX(GOOGLEFINANCE($C64, ""price"", WORKDAY(INT($B64), 5)), 2, 2), """")=""""), """", IF($D64=""LONG"", (IFERROR(INDEX(GOOGLEFINANCE($C64, ""price"", WORKDAY(INT($B64), 5)), 2, 2), """")-$G64)/$G64, ($G64-IFERROR(INDEX(GOOGLE"&amp;"FINANCE($C64, ""price"", WORKDAY(INT($B64), 5)), 2, 2), """"))/$G64))"),0.015859938208033022)</f>
        <v>0.01585993821</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3543</v>
      </c>
      <c r="U64" s="10" t="s">
        <v>932</v>
      </c>
      <c r="V64" s="10" t="s">
        <v>933</v>
      </c>
      <c r="W64" s="10" t="s">
        <v>51</v>
      </c>
      <c r="X64" s="10" t="s">
        <v>3186</v>
      </c>
    </row>
    <row r="65">
      <c r="A65" s="9">
        <f t="shared" si="1"/>
        <v>64</v>
      </c>
      <c r="B65" s="11">
        <v>46223.66737268519</v>
      </c>
      <c r="C65" s="10" t="s">
        <v>94</v>
      </c>
      <c r="D65" s="10" t="s">
        <v>36</v>
      </c>
      <c r="E65" s="10" t="s">
        <v>37</v>
      </c>
      <c r="F65" s="13">
        <v>2.0</v>
      </c>
      <c r="G65" s="14">
        <v>57.42</v>
      </c>
      <c r="H65" s="10" t="s">
        <v>3544</v>
      </c>
      <c r="I65" s="10">
        <v>91.6</v>
      </c>
      <c r="O65" s="15">
        <f>IFERROR(__xludf.DUMMYFUNCTION("IF(ISBLANK($C65), """", GOOGLEFINANCE($C65, ""price""))"),56.96)</f>
        <v>56.96</v>
      </c>
      <c r="P65" s="16">
        <f t="shared" si="2"/>
        <v>-0.008011145942</v>
      </c>
      <c r="Q65" s="16">
        <f>IFERROR(__xludf.DUMMYFUNCTION("IF(OR(ISBLANK($G65), IFERROR(INDEX(GOOGLEFINANCE($C65, ""price"", WORKDAY(INT($B65), 1)), 2, 2), """")=""""), """", IF($D65=""LONG"", (IFERROR(INDEX(GOOGLEFINANCE($C65, ""price"", WORKDAY(INT($B65), 1)), 2, 2), """")-$G65)/$G65, ($G65-IFERROR(INDEX(GOOGLE"&amp;"FINANCE($C65, ""price"", WORKDAY(INT($B65), 1)), 2, 2), """"))/$G65))"),0.004179728317659263)</f>
        <v>0.004179728318</v>
      </c>
      <c r="R65" s="16">
        <f>IFERROR(__xludf.DUMMYFUNCTION("IF(OR(ISBLANK($G65), IFERROR(INDEX(GOOGLEFINANCE($C65, ""price"", WORKDAY(INT($B65), 5)), 2, 2), """")=""""), """", IF($D65=""LONG"", (IFERROR(INDEX(GOOGLEFINANCE($C65, ""price"", WORKDAY(INT($B65), 5)), 2, 2), """")-$G65)/$G65, ($G65-IFERROR(INDEX(GOOGLE"&amp;"FINANCE($C65, ""price"", WORKDAY(INT($B65), 5)), 2, 2), """"))/$G65))"),-0.007314524555903896)</f>
        <v>-0.007314524556</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3548</v>
      </c>
      <c r="U65" s="10" t="s">
        <v>240</v>
      </c>
      <c r="V65" s="10" t="s">
        <v>3549</v>
      </c>
      <c r="W65" s="10" t="s">
        <v>51</v>
      </c>
      <c r="X65" s="10" t="s">
        <v>1905</v>
      </c>
    </row>
    <row r="66">
      <c r="A66" s="9">
        <f t="shared" si="1"/>
        <v>65</v>
      </c>
      <c r="B66" s="11">
        <v>46223.667662037034</v>
      </c>
      <c r="C66" s="10" t="s">
        <v>406</v>
      </c>
      <c r="D66" s="10" t="s">
        <v>36</v>
      </c>
      <c r="E66" s="10" t="s">
        <v>37</v>
      </c>
      <c r="F66" s="13">
        <v>2.0</v>
      </c>
      <c r="G66" s="14">
        <v>180.37</v>
      </c>
      <c r="H66" s="10" t="s">
        <v>3550</v>
      </c>
      <c r="I66" s="10">
        <v>91.6</v>
      </c>
      <c r="L66" s="10" t="s">
        <v>3551</v>
      </c>
      <c r="M66" s="34" t="s">
        <v>1789</v>
      </c>
      <c r="N66" s="10" t="s">
        <v>925</v>
      </c>
      <c r="O66" s="15">
        <f>IFERROR(__xludf.DUMMYFUNCTION("IF(ISBLANK($C66), """", GOOGLEFINANCE($C66, ""price""))"),179.04)</f>
        <v>179.04</v>
      </c>
      <c r="P66" s="16">
        <f t="shared" si="2"/>
        <v>-0.007373731774</v>
      </c>
      <c r="Q66" s="16">
        <f>IFERROR(__xludf.DUMMYFUNCTION("IF(OR(ISBLANK($G66), IFERROR(INDEX(GOOGLEFINANCE($C66, ""price"", WORKDAY(INT($B66), 1)), 2, 2), """")=""""), """", IF($D66=""LONG"", (IFERROR(INDEX(GOOGLEFINANCE($C66, ""price"", WORKDAY(INT($B66), 1)), 2, 2), """")-$G66)/$G66, ($G66-IFERROR(INDEX(GOOGLE"&amp;"FINANCE($C66, ""price"", WORKDAY(INT($B66), 1)), 2, 2), """"))/$G66))"),7.761822919553493E-4)</f>
        <v>0.000776182292</v>
      </c>
      <c r="R66" s="16">
        <f>IFERROR(__xludf.DUMMYFUNCTION("IF(OR(ISBLANK($G66), IFERROR(INDEX(GOOGLEFINANCE($C66, ""price"", WORKDAY(INT($B66), 5)), 2, 2), """")=""""), """", IF($D66=""LONG"", (IFERROR(INDEX(GOOGLEFINANCE($C66, ""price"", WORKDAY(INT($B66), 5)), 2, 2), """")-$G66)/$G66, ($G66-IFERROR(INDEX(GOOGLE"&amp;"FINANCE($C66, ""price"", WORKDAY(INT($B66), 5)), 2, 2), """"))/$G66))"),0.021400454621056636)</f>
        <v>0.02140045462</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3553</v>
      </c>
      <c r="U66" s="10" t="s">
        <v>240</v>
      </c>
      <c r="V66" s="10" t="s">
        <v>3554</v>
      </c>
      <c r="W66" s="10" t="s">
        <v>51</v>
      </c>
      <c r="X66" s="10" t="s">
        <v>1905</v>
      </c>
    </row>
    <row r="67">
      <c r="A67" s="9">
        <f t="shared" si="1"/>
        <v>66</v>
      </c>
      <c r="B67" s="11">
        <v>46223.66755787037</v>
      </c>
      <c r="C67" s="10" t="s">
        <v>47</v>
      </c>
      <c r="D67" s="10" t="s">
        <v>36</v>
      </c>
      <c r="E67" s="10" t="s">
        <v>37</v>
      </c>
      <c r="F67" s="13">
        <v>2.0</v>
      </c>
      <c r="G67" s="14">
        <v>293.7</v>
      </c>
      <c r="H67" s="10" t="s">
        <v>3557</v>
      </c>
      <c r="I67" s="10">
        <v>95.3</v>
      </c>
      <c r="O67" s="15">
        <f>IFERROR(__xludf.DUMMYFUNCTION("IF(ISBLANK($C67), """", GOOGLEFINANCE($C67, ""price""))"),285.12)</f>
        <v>285.12</v>
      </c>
      <c r="P67" s="16">
        <f t="shared" si="2"/>
        <v>-0.02921348315</v>
      </c>
      <c r="Q67" s="16">
        <f>IFERROR(__xludf.DUMMYFUNCTION("IF(OR(ISBLANK($G67), IFERROR(INDEX(GOOGLEFINANCE($C67, ""price"", WORKDAY(INT($B67), 1)), 2, 2), """")=""""), """", IF($D67=""LONG"", (IFERROR(INDEX(GOOGLEFINANCE($C67, ""price"", WORKDAY(INT($B67), 1)), 2, 2), """")-$G67)/$G67, ($G67-IFERROR(INDEX(GOOGLE"&amp;"FINANCE($C67, ""price"", WORKDAY(INT($B67), 1)), 2, 2), """"))/$G67))"),0.0010554988083078048)</f>
        <v>0.001055498808</v>
      </c>
      <c r="R67" s="16">
        <f>IFERROR(__xludf.DUMMYFUNCTION("IF(OR(ISBLANK($G67), IFERROR(INDEX(GOOGLEFINANCE($C67, ""price"", WORKDAY(INT($B67), 5)), 2, 2), """")=""""), """", IF($D67=""LONG"", (IFERROR(INDEX(GOOGLEFINANCE($C67, ""price"", WORKDAY(INT($B67), 5)), 2, 2), """")-$G67)/$G67, ($G67-IFERROR(INDEX(GOOGLE"&amp;"FINANCE($C67, ""price"", WORKDAY(INT($B67), 5)), 2, 2), """"))/$G67))"),-0.010282601293837188)</f>
        <v>-0.01028260129</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3559</v>
      </c>
      <c r="U67" s="10" t="s">
        <v>492</v>
      </c>
      <c r="V67" s="10" t="s">
        <v>493</v>
      </c>
      <c r="W67" s="10" t="s">
        <v>51</v>
      </c>
      <c r="X67" s="10" t="s">
        <v>492</v>
      </c>
    </row>
    <row r="68">
      <c r="A68" s="9">
        <f t="shared" si="1"/>
        <v>67</v>
      </c>
      <c r="B68" s="11">
        <v>46223.66736111111</v>
      </c>
      <c r="C68" s="10" t="s">
        <v>110</v>
      </c>
      <c r="D68" s="10" t="s">
        <v>36</v>
      </c>
      <c r="E68" s="10" t="s">
        <v>87</v>
      </c>
      <c r="F68" s="13">
        <v>2.0</v>
      </c>
      <c r="G68" s="14">
        <v>206.78</v>
      </c>
      <c r="H68" s="10" t="s">
        <v>3562</v>
      </c>
      <c r="I68" s="10">
        <v>96.9</v>
      </c>
      <c r="O68" s="15">
        <f>IFERROR(__xludf.DUMMYFUNCTION("IF(ISBLANK($C68), """", GOOGLEFINANCE($C68, ""price""))"),220.0)</f>
        <v>220</v>
      </c>
      <c r="P68" s="16">
        <f t="shared" si="2"/>
        <v>0.06393268208</v>
      </c>
      <c r="Q68" s="16">
        <f>IFERROR(__xludf.DUMMYFUNCTION("IF(OR(ISBLANK($G68), IFERROR(INDEX(GOOGLEFINANCE($C68, ""price"", WORKDAY(INT($B68), 1)), 2, 2), """")=""""), """", IF($D68=""LONG"", (IFERROR(INDEX(GOOGLEFINANCE($C68, ""price"", WORKDAY(INT($B68), 1)), 2, 2), """")-$G68)/$G68, ($G68-IFERROR(INDEX(GOOGLE"&amp;"FINANCE($C68, ""price"", WORKDAY(INT($B68), 1)), 2, 2), """"))/$G68))"),-0.0027081922816520085)</f>
        <v>-0.002708192282</v>
      </c>
      <c r="R68" s="16">
        <f>IFERROR(__xludf.DUMMYFUNCTION("IF(OR(ISBLANK($G68), IFERROR(INDEX(GOOGLEFINANCE($C68, ""price"", WORKDAY(INT($B68), 5)), 2, 2), """")=""""), """", IF($D68=""LONG"", (IFERROR(INDEX(GOOGLEFINANCE($C68, ""price"", WORKDAY(INT($B68), 5)), 2, 2), """")-$G68)/$G68, ($G68-IFERROR(INDEX(GOOGLE"&amp;"FINANCE($C68, ""price"", WORKDAY(INT($B68), 5)), 2, 2), """"))/$G68))"),0.0013057355643679768)</f>
        <v>0.001305735564</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3565</v>
      </c>
      <c r="U68" s="10" t="s">
        <v>984</v>
      </c>
      <c r="V68" s="10" t="s">
        <v>985</v>
      </c>
      <c r="W68" s="10" t="s">
        <v>51</v>
      </c>
      <c r="X68" s="10" t="s">
        <v>984</v>
      </c>
    </row>
    <row r="69">
      <c r="A69" s="9">
        <f t="shared" si="1"/>
        <v>68</v>
      </c>
      <c r="B69" s="11">
        <v>46223.66743055556</v>
      </c>
      <c r="C69" s="10" t="s">
        <v>170</v>
      </c>
      <c r="D69" s="10" t="s">
        <v>36</v>
      </c>
      <c r="E69" s="10" t="s">
        <v>37</v>
      </c>
      <c r="F69" s="13">
        <v>2.0</v>
      </c>
      <c r="G69" s="14">
        <v>70.44</v>
      </c>
      <c r="H69" s="10" t="s">
        <v>3568</v>
      </c>
      <c r="I69" s="10">
        <v>92.4</v>
      </c>
      <c r="O69" s="15">
        <f>IFERROR(__xludf.DUMMYFUNCTION("IF(ISBLANK($C69), """", GOOGLEFINANCE($C69, ""price""))"),66.8)</f>
        <v>66.8</v>
      </c>
      <c r="P69" s="16">
        <f t="shared" si="2"/>
        <v>-0.05167518455</v>
      </c>
      <c r="Q69" s="16">
        <f>IFERROR(__xludf.DUMMYFUNCTION("IF(OR(ISBLANK($G69), IFERROR(INDEX(GOOGLEFINANCE($C69, ""price"", WORKDAY(INT($B69), 1)), 2, 2), """")=""""), """", IF($D69=""LONG"", (IFERROR(INDEX(GOOGLEFINANCE($C69, ""price"", WORKDAY(INT($B69), 1)), 2, 2), """")-$G69)/$G69, ($G69-IFERROR(INDEX(GOOGLE"&amp;"FINANCE($C69, ""price"", WORKDAY(INT($B69), 1)), 2, 2), """"))/$G69))"),-0.008375922771152802)</f>
        <v>-0.008375922771</v>
      </c>
      <c r="R69" s="16">
        <f>IFERROR(__xludf.DUMMYFUNCTION("IF(OR(ISBLANK($G69), IFERROR(INDEX(GOOGLEFINANCE($C69, ""price"", WORKDAY(INT($B69), 5)), 2, 2), """")=""""), """", IF($D69=""LONG"", (IFERROR(INDEX(GOOGLEFINANCE($C69, ""price"", WORKDAY(INT($B69), 5)), 2, 2), """")-$G69)/$G69, ($G69-IFERROR(INDEX(GOOGLE"&amp;"FINANCE($C69, ""price"", WORKDAY(INT($B69), 5)), 2, 2), """"))/$G69))"),-0.002413401476433869)</f>
        <v>-0.002413401476</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3571</v>
      </c>
      <c r="U69" s="10" t="s">
        <v>492</v>
      </c>
      <c r="V69" s="10" t="s">
        <v>493</v>
      </c>
      <c r="W69" s="10" t="s">
        <v>51</v>
      </c>
      <c r="X69" s="10" t="s">
        <v>492</v>
      </c>
    </row>
    <row r="70">
      <c r="A70" s="9">
        <f t="shared" si="1"/>
        <v>69</v>
      </c>
      <c r="B70" s="11">
        <v>46223.66743055556</v>
      </c>
      <c r="C70" s="10" t="s">
        <v>66</v>
      </c>
      <c r="D70" s="10" t="s">
        <v>36</v>
      </c>
      <c r="E70" s="10" t="s">
        <v>37</v>
      </c>
      <c r="F70" s="13">
        <v>2.0</v>
      </c>
      <c r="G70" s="14">
        <v>275.58</v>
      </c>
      <c r="H70" s="10" t="s">
        <v>3572</v>
      </c>
      <c r="I70" s="10">
        <v>89.6</v>
      </c>
      <c r="O70" s="15">
        <f>IFERROR(__xludf.DUMMYFUNCTION("IF(ISBLANK($C70), """", GOOGLEFINANCE($C70, ""price""))"),296.4)</f>
        <v>296.4</v>
      </c>
      <c r="P70" s="16">
        <f t="shared" si="2"/>
        <v>0.07554974962</v>
      </c>
      <c r="Q70" s="16">
        <f>IFERROR(__xludf.DUMMYFUNCTION("IF(OR(ISBLANK($G70), IFERROR(INDEX(GOOGLEFINANCE($C70, ""price"", WORKDAY(INT($B70), 1)), 2, 2), """")=""""), """", IF($D70=""LONG"", (IFERROR(INDEX(GOOGLEFINANCE($C70, ""price"", WORKDAY(INT($B70), 1)), 2, 2), """")-$G70)/$G70, ($G70-IFERROR(INDEX(GOOGLE"&amp;"FINANCE($C70, ""price"", WORKDAY(INT($B70), 1)), 2, 2), """"))/$G70))"),9.434646926481998E-4)</f>
        <v>0.0009434646926</v>
      </c>
      <c r="R70" s="16">
        <f>IFERROR(__xludf.DUMMYFUNCTION("IF(OR(ISBLANK($G70), IFERROR(INDEX(GOOGLEFINANCE($C70, ""price"", WORKDAY(INT($B70), 5)), 2, 2), """")=""""), """", IF($D70=""LONG"", (IFERROR(INDEX(GOOGLEFINANCE($C70, ""price"", WORKDAY(INT($B70), 5)), 2, 2), """")-$G70)/$G70, ($G70-IFERROR(INDEX(GOOGLE"&amp;"FINANCE($C70, ""price"", WORKDAY(INT($B70), 5)), 2, 2), """"))/$G70))"),0.004681036359677845)</f>
        <v>0.00468103636</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3576</v>
      </c>
      <c r="U70" s="10" t="s">
        <v>984</v>
      </c>
      <c r="V70" s="10" t="s">
        <v>985</v>
      </c>
      <c r="W70" s="10" t="s">
        <v>51</v>
      </c>
      <c r="X70" s="10" t="s">
        <v>984</v>
      </c>
    </row>
    <row r="71">
      <c r="A71" s="9">
        <f t="shared" si="1"/>
        <v>70</v>
      </c>
      <c r="B71" s="11">
        <v>46223.66755787037</v>
      </c>
      <c r="C71" s="10" t="s">
        <v>207</v>
      </c>
      <c r="D71" s="10" t="s">
        <v>36</v>
      </c>
      <c r="E71" s="10" t="s">
        <v>37</v>
      </c>
      <c r="F71" s="13">
        <v>2.0</v>
      </c>
      <c r="G71" s="14">
        <v>323.55</v>
      </c>
      <c r="H71" s="10" t="s">
        <v>3577</v>
      </c>
      <c r="I71" s="10">
        <v>95.7</v>
      </c>
      <c r="O71" s="15">
        <f>IFERROR(__xludf.DUMMYFUNCTION("IF(ISBLANK($C71), """", GOOGLEFINANCE($C71, ""price""))"),363.42)</f>
        <v>363.42</v>
      </c>
      <c r="P71" s="16">
        <f t="shared" si="2"/>
        <v>0.1232267038</v>
      </c>
      <c r="Q71" s="16">
        <f>IFERROR(__xludf.DUMMYFUNCTION("IF(OR(ISBLANK($G71), IFERROR(INDEX(GOOGLEFINANCE($C71, ""price"", WORKDAY(INT($B71), 1)), 2, 2), """")=""""), """", IF($D71=""LONG"", (IFERROR(INDEX(GOOGLEFINANCE($C71, ""price"", WORKDAY(INT($B71), 1)), 2, 2), """")-$G71)/$G71, ($G71-IFERROR(INDEX(GOOGLE"&amp;"FINANCE($C71, ""price"", WORKDAY(INT($B71), 1)), 2, 2), """"))/$G71))"),-0.01573172616288064)</f>
        <v>-0.01573172616</v>
      </c>
      <c r="R71" s="16">
        <f>IFERROR(__xludf.DUMMYFUNCTION("IF(OR(ISBLANK($G71), IFERROR(INDEX(GOOGLEFINANCE($C71, ""price"", WORKDAY(INT($B71), 5)), 2, 2), """")=""""), """", IF($D71=""LONG"", (IFERROR(INDEX(GOOGLEFINANCE($C71, ""price"", WORKDAY(INT($B71), 5)), 2, 2), """")-$G71)/$G71, ($G71-IFERROR(INDEX(GOOGLE"&amp;"FINANCE($C71, ""price"", WORKDAY(INT($B71), 5)), 2, 2), """"))/$G71))"),0.01149745016226231)</f>
        <v>0.01149745016</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3580</v>
      </c>
      <c r="U71" s="10" t="s">
        <v>984</v>
      </c>
      <c r="V71" s="10" t="s">
        <v>1059</v>
      </c>
      <c r="W71" s="10" t="s">
        <v>51</v>
      </c>
      <c r="X71" s="10" t="s">
        <v>984</v>
      </c>
    </row>
    <row r="72">
      <c r="A72" s="9">
        <f t="shared" si="1"/>
        <v>71</v>
      </c>
      <c r="B72" s="11">
        <v>46223.66763888889</v>
      </c>
      <c r="C72" s="10" t="s">
        <v>600</v>
      </c>
      <c r="D72" s="10" t="s">
        <v>36</v>
      </c>
      <c r="E72" s="10" t="s">
        <v>37</v>
      </c>
      <c r="F72" s="13">
        <v>2.0</v>
      </c>
      <c r="G72" s="14">
        <v>219.66</v>
      </c>
      <c r="H72" s="10" t="s">
        <v>3583</v>
      </c>
      <c r="I72" s="10">
        <v>95.8</v>
      </c>
      <c r="L72" s="10" t="s">
        <v>3584</v>
      </c>
      <c r="M72" s="10" t="s">
        <v>2174</v>
      </c>
      <c r="N72" s="10" t="s">
        <v>925</v>
      </c>
      <c r="O72" s="15">
        <f>IFERROR(__xludf.DUMMYFUNCTION("IF(ISBLANK($C72), """", GOOGLEFINANCE($C72, ""price""))"),265.51)</f>
        <v>265.51</v>
      </c>
      <c r="P72" s="16">
        <f t="shared" si="2"/>
        <v>0.2087316762</v>
      </c>
      <c r="Q72" s="16">
        <f>IFERROR(__xludf.DUMMYFUNCTION("IF(OR(ISBLANK($G72), IFERROR(INDEX(GOOGLEFINANCE($C72, ""price"", WORKDAY(INT($B72), 1)), 2, 2), """")=""""), """", IF($D72=""LONG"", (IFERROR(INDEX(GOOGLEFINANCE($C72, ""price"", WORKDAY(INT($B72), 1)), 2, 2), """")-$G72)/$G72, ($G72-IFERROR(INDEX(GOOGLE"&amp;"FINANCE($C72, ""price"", WORKDAY(INT($B72), 1)), 2, 2), """"))/$G72))"),-0.00118364745515793)</f>
        <v>-0.001183647455</v>
      </c>
      <c r="R72" s="16">
        <f>IFERROR(__xludf.DUMMYFUNCTION("IF(OR(ISBLANK($G72), IFERROR(INDEX(GOOGLEFINANCE($C72, ""price"", WORKDAY(INT($B72), 5)), 2, 2), """")=""""), """", IF($D72=""LONG"", (IFERROR(INDEX(GOOGLEFINANCE($C72, ""price"", WORKDAY(INT($B72), 5)), 2, 2), """")-$G72)/$G72, ($G72-IFERROR(INDEX(GOOGLE"&amp;"FINANCE($C72, ""price"", WORKDAY(INT($B72), 5)), 2, 2), """"))/$G72))"),0.02112355458435771)</f>
        <v>0.02112355458</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3588</v>
      </c>
      <c r="U72" s="10" t="s">
        <v>507</v>
      </c>
      <c r="V72" s="10" t="s">
        <v>3589</v>
      </c>
      <c r="W72" s="10" t="s">
        <v>51</v>
      </c>
      <c r="X72" s="10" t="s">
        <v>2228</v>
      </c>
    </row>
    <row r="73">
      <c r="A73" s="9">
        <f t="shared" si="1"/>
        <v>72</v>
      </c>
      <c r="B73" s="11">
        <v>46223.66747685185</v>
      </c>
      <c r="C73" s="10" t="s">
        <v>3533</v>
      </c>
      <c r="D73" s="10" t="s">
        <v>36</v>
      </c>
      <c r="E73" s="10" t="s">
        <v>37</v>
      </c>
      <c r="F73" s="13">
        <v>2.0</v>
      </c>
      <c r="G73" s="14">
        <v>82.1</v>
      </c>
      <c r="H73" s="10" t="s">
        <v>3590</v>
      </c>
      <c r="I73" s="10">
        <v>94.6</v>
      </c>
      <c r="O73" s="15">
        <f>IFERROR(__xludf.DUMMYFUNCTION("IF(ISBLANK($C73), """", GOOGLEFINANCE($C73, ""price""))"),76.96)</f>
        <v>76.96</v>
      </c>
      <c r="P73" s="16">
        <f t="shared" si="2"/>
        <v>-0.06260657734</v>
      </c>
      <c r="Q73" s="16">
        <f>IFERROR(__xludf.DUMMYFUNCTION("IF(OR(ISBLANK($G73), IFERROR(INDEX(GOOGLEFINANCE($C73, ""price"", WORKDAY(INT($B73), 1)), 2, 2), """")=""""), """", IF($D73=""LONG"", (IFERROR(INDEX(GOOGLEFINANCE($C73, ""price"", WORKDAY(INT($B73), 1)), 2, 2), """")-$G73)/$G73, ($G73-IFERROR(INDEX(GOOGLE"&amp;"FINANCE($C73, ""price"", WORKDAY(INT($B73), 1)), 2, 2), """"))/$G73))"),-1.2180267965884172E-4)</f>
        <v>-0.0001218026797</v>
      </c>
      <c r="R73" s="16">
        <f>IFERROR(__xludf.DUMMYFUNCTION("IF(OR(ISBLANK($G73), IFERROR(INDEX(GOOGLEFINANCE($C73, ""price"", WORKDAY(INT($B73), 5)), 2, 2), """")=""""), """", IF($D73=""LONG"", (IFERROR(INDEX(GOOGLEFINANCE($C73, ""price"", WORKDAY(INT($B73), 5)), 2, 2), """")-$G73)/$G73, ($G73-IFERROR(INDEX(GOOGLE"&amp;"FINANCE($C73, ""price"", WORKDAY(INT($B73), 5)), 2, 2), """"))/$G73))"),0.002923264311814971)</f>
        <v>0.002923264312</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3594</v>
      </c>
      <c r="U73" s="10" t="s">
        <v>932</v>
      </c>
      <c r="V73" s="10" t="s">
        <v>933</v>
      </c>
      <c r="W73" s="10" t="s">
        <v>51</v>
      </c>
      <c r="X73" s="10" t="s">
        <v>3186</v>
      </c>
    </row>
    <row r="74">
      <c r="A74" s="9">
        <f t="shared" si="1"/>
        <v>73</v>
      </c>
      <c r="B74" s="11">
        <v>46223.66761574074</v>
      </c>
      <c r="C74" s="10" t="s">
        <v>351</v>
      </c>
      <c r="D74" s="10" t="s">
        <v>36</v>
      </c>
      <c r="E74" s="10" t="s">
        <v>37</v>
      </c>
      <c r="F74" s="13">
        <v>2.0</v>
      </c>
      <c r="G74" s="14">
        <v>228.23</v>
      </c>
      <c r="H74" s="10" t="s">
        <v>3596</v>
      </c>
      <c r="I74" s="10">
        <v>84.9</v>
      </c>
      <c r="O74" s="15">
        <f>IFERROR(__xludf.DUMMYFUNCTION("IF(ISBLANK($C74), """", GOOGLEFINANCE($C74, ""price""))"),221.83)</f>
        <v>221.83</v>
      </c>
      <c r="P74" s="16">
        <f t="shared" si="2"/>
        <v>-0.02804188757</v>
      </c>
      <c r="Q74" s="16">
        <f>IFERROR(__xludf.DUMMYFUNCTION("IF(OR(ISBLANK($G74), IFERROR(INDEX(GOOGLEFINANCE($C74, ""price"", WORKDAY(INT($B74), 1)), 2, 2), """")=""""), """", IF($D74=""LONG"", (IFERROR(INDEX(GOOGLEFINANCE($C74, ""price"", WORKDAY(INT($B74), 1)), 2, 2), """")-$G74)/$G74, ($G74-IFERROR(INDEX(GOOGLE"&amp;"FINANCE($C74, ""price"", WORKDAY(INT($B74), 1)), 2, 2), """"))/$G74))"),-0.006309424703150321)</f>
        <v>-0.006309424703</v>
      </c>
      <c r="R74" s="16">
        <f>IFERROR(__xludf.DUMMYFUNCTION("IF(OR(ISBLANK($G74), IFERROR(INDEX(GOOGLEFINANCE($C74, ""price"", WORKDAY(INT($B74), 5)), 2, 2), """")=""""), """", IF($D74=""LONG"", (IFERROR(INDEX(GOOGLEFINANCE($C74, ""price"", WORKDAY(INT($B74), 5)), 2, 2), """")-$G74)/$G74, ($G74-IFERROR(INDEX(GOOGLE"&amp;"FINANCE($C74, ""price"", WORKDAY(INT($B74), 5)), 2, 2), """"))/$G74))"),0.015072514568636891)</f>
        <v>0.01507251457</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3599</v>
      </c>
      <c r="U74" s="10" t="s">
        <v>932</v>
      </c>
      <c r="V74" s="10" t="s">
        <v>933</v>
      </c>
      <c r="W74" s="10" t="s">
        <v>51</v>
      </c>
      <c r="X74" s="10" t="s">
        <v>3186</v>
      </c>
    </row>
    <row r="75">
      <c r="A75" s="9">
        <f t="shared" si="1"/>
        <v>74</v>
      </c>
      <c r="B75" s="11">
        <v>46223.66763888889</v>
      </c>
      <c r="C75" s="10" t="s">
        <v>556</v>
      </c>
      <c r="D75" s="10" t="s">
        <v>119</v>
      </c>
      <c r="E75" s="10" t="s">
        <v>120</v>
      </c>
      <c r="F75" s="13">
        <v>4.0</v>
      </c>
      <c r="G75" s="14">
        <v>51.56</v>
      </c>
      <c r="H75" s="10" t="s">
        <v>3600</v>
      </c>
      <c r="I75" s="10">
        <v>7.0</v>
      </c>
      <c r="O75" s="15">
        <f>IFERROR(__xludf.DUMMYFUNCTION("IF(ISBLANK($C75), """", GOOGLEFINANCE($C75, ""price""))"),55.37)</f>
        <v>55.37</v>
      </c>
      <c r="P75" s="16">
        <f t="shared" si="2"/>
        <v>-0.07389449185</v>
      </c>
      <c r="Q75" s="16">
        <f>IFERROR(__xludf.DUMMYFUNCTION("IF(OR(ISBLANK($G75), IFERROR(INDEX(GOOGLEFINANCE($C75, ""price"", WORKDAY(INT($B75), 1)), 2, 2), """")=""""), """", IF($D75=""LONG"", (IFERROR(INDEX(GOOGLEFINANCE($C75, ""price"", WORKDAY(INT($B75), 1)), 2, 2), """")-$G75)/$G75, ($G75-IFERROR(INDEX(GOOGLE"&amp;"FINANCE($C75, ""price"", WORKDAY(INT($B75), 1)), 2, 2), """"))/$G75))"),0.0017455391776571645)</f>
        <v>0.001745539178</v>
      </c>
      <c r="R75" s="16">
        <f>IFERROR(__xludf.DUMMYFUNCTION("IF(OR(ISBLANK($G75), IFERROR(INDEX(GOOGLEFINANCE($C75, ""price"", WORKDAY(INT($B75), 5)), 2, 2), """")=""""), """", IF($D75=""LONG"", (IFERROR(INDEX(GOOGLEFINANCE($C75, ""price"", WORKDAY(INT($B75), 5)), 2, 2), """")-$G75)/$G75, ($G75-IFERROR(INDEX(GOOGLE"&amp;"FINANCE($C75, ""price"", WORKDAY(INT($B75), 5)), 2, 2), """"))/$G75))"),0.014546159813809153)</f>
        <v>0.01454615981</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3603</v>
      </c>
      <c r="U75" s="10" t="s">
        <v>176</v>
      </c>
      <c r="V75" s="10" t="s">
        <v>3604</v>
      </c>
      <c r="W75" s="10" t="s">
        <v>51</v>
      </c>
      <c r="X75" s="10" t="s">
        <v>962</v>
      </c>
    </row>
    <row r="76">
      <c r="A76" s="9">
        <f t="shared" si="1"/>
        <v>75</v>
      </c>
      <c r="B76" s="11">
        <v>46223.66752314815</v>
      </c>
      <c r="C76" s="10" t="s">
        <v>440</v>
      </c>
      <c r="D76" s="10" t="s">
        <v>36</v>
      </c>
      <c r="E76" s="10" t="s">
        <v>37</v>
      </c>
      <c r="F76" s="13">
        <v>2.0</v>
      </c>
      <c r="G76" s="14">
        <v>93.02</v>
      </c>
      <c r="H76" s="10" t="s">
        <v>3605</v>
      </c>
      <c r="I76" s="10">
        <v>91.8</v>
      </c>
      <c r="L76" s="10" t="s">
        <v>3606</v>
      </c>
      <c r="M76" s="10" t="s">
        <v>2174</v>
      </c>
      <c r="N76" s="10" t="s">
        <v>925</v>
      </c>
      <c r="O76" s="15">
        <f>IFERROR(__xludf.DUMMYFUNCTION("IF(ISBLANK($C76), """", GOOGLEFINANCE($C76, ""price""))"),99.95)</f>
        <v>99.95</v>
      </c>
      <c r="P76" s="16">
        <f t="shared" si="2"/>
        <v>0.0745001075</v>
      </c>
      <c r="Q76" s="16">
        <f>IFERROR(__xludf.DUMMYFUNCTION("IF(OR(ISBLANK($G76), IFERROR(INDEX(GOOGLEFINANCE($C76, ""price"", WORKDAY(INT($B76), 1)), 2, 2), """")=""""), """", IF($D76=""LONG"", (IFERROR(INDEX(GOOGLEFINANCE($C76, ""price"", WORKDAY(INT($B76), 1)), 2, 2), """")-$G76)/$G76, ($G76-IFERROR(INDEX(GOOGLE"&amp;"FINANCE($C76, ""price"", WORKDAY(INT($B76), 1)), 2, 2), """"))/$G76))"),0.003762631692109316)</f>
        <v>0.003762631692</v>
      </c>
      <c r="R76" s="16">
        <f>IFERROR(__xludf.DUMMYFUNCTION("IF(OR(ISBLANK($G76), IFERROR(INDEX(GOOGLEFINANCE($C76, ""price"", WORKDAY(INT($B76), 5)), 2, 2), """")=""""), """", IF($D76=""LONG"", (IFERROR(INDEX(GOOGLEFINANCE($C76, ""price"", WORKDAY(INT($B76), 5)), 2, 2), """")-$G76)/$G76, ($G76-IFERROR(INDEX(GOOGLE"&amp;"FINANCE($C76, ""price"", WORKDAY(INT($B76), 5)), 2, 2), """"))/$G76))"),0.02332831649107721)</f>
        <v>0.02332831649</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3610</v>
      </c>
      <c r="U76" s="10" t="s">
        <v>704</v>
      </c>
      <c r="V76" s="10" t="s">
        <v>3612</v>
      </c>
      <c r="W76" s="10" t="s">
        <v>51</v>
      </c>
      <c r="X76" s="10" t="s">
        <v>1885</v>
      </c>
    </row>
    <row r="77">
      <c r="A77" s="9">
        <f t="shared" si="1"/>
        <v>76</v>
      </c>
      <c r="B77" s="11">
        <v>46223.66768518519</v>
      </c>
      <c r="C77" s="10" t="s">
        <v>332</v>
      </c>
      <c r="D77" s="10" t="s">
        <v>36</v>
      </c>
      <c r="E77" s="10" t="s">
        <v>37</v>
      </c>
      <c r="F77" s="13">
        <v>2.0</v>
      </c>
      <c r="G77" s="14">
        <v>86.18</v>
      </c>
      <c r="H77" s="10" t="s">
        <v>3613</v>
      </c>
      <c r="I77" s="10">
        <v>94.7</v>
      </c>
      <c r="O77" s="15">
        <f>IFERROR(__xludf.DUMMYFUNCTION("IF(ISBLANK($C77), """", GOOGLEFINANCE($C77, ""price""))"),88.23)</f>
        <v>88.23</v>
      </c>
      <c r="P77" s="16">
        <f t="shared" si="2"/>
        <v>0.02378742168</v>
      </c>
      <c r="Q77" s="16">
        <f>IFERROR(__xludf.DUMMYFUNCTION("IF(OR(ISBLANK($G77), IFERROR(INDEX(GOOGLEFINANCE($C77, ""price"", WORKDAY(INT($B77), 1)), 2, 2), """")=""""), """", IF($D77=""LONG"", (IFERROR(INDEX(GOOGLEFINANCE($C77, ""price"", WORKDAY(INT($B77), 1)), 2, 2), """")-$G77)/$G77, ($G77-IFERROR(INDEX(GOOGLE"&amp;"FINANCE($C77, ""price"", WORKDAY(INT($B77), 1)), 2, 2), """"))/$G77))"),-0.003713158505453787)</f>
        <v>-0.003713158505</v>
      </c>
      <c r="R77" s="16">
        <f>IFERROR(__xludf.DUMMYFUNCTION("IF(OR(ISBLANK($G77), IFERROR(INDEX(GOOGLEFINANCE($C77, ""price"", WORKDAY(INT($B77), 5)), 2, 2), """")=""""), """", IF($D77=""LONG"", (IFERROR(INDEX(GOOGLEFINANCE($C77, ""price"", WORKDAY(INT($B77), 5)), 2, 2), """")-$G77)/$G77, ($G77-IFERROR(INDEX(GOOGLE"&amp;"FINANCE($C77, ""price"", WORKDAY(INT($B77), 5)), 2, 2), """"))/$G77))"),-0.018217683917382307)</f>
        <v>-0.01821768392</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3618</v>
      </c>
      <c r="U77" s="10" t="s">
        <v>984</v>
      </c>
      <c r="V77" s="10" t="s">
        <v>998</v>
      </c>
      <c r="W77" s="10" t="s">
        <v>51</v>
      </c>
      <c r="X77" s="10" t="s">
        <v>984</v>
      </c>
    </row>
    <row r="78">
      <c r="A78" s="9">
        <f t="shared" si="1"/>
        <v>77</v>
      </c>
      <c r="B78" s="11">
        <v>46223.66748842593</v>
      </c>
      <c r="C78" s="10" t="s">
        <v>331</v>
      </c>
      <c r="D78" s="10" t="s">
        <v>36</v>
      </c>
      <c r="E78" s="10" t="s">
        <v>37</v>
      </c>
      <c r="F78" s="13">
        <v>2.0</v>
      </c>
      <c r="G78" s="14">
        <v>250.19</v>
      </c>
      <c r="H78" s="10" t="s">
        <v>3619</v>
      </c>
      <c r="I78" s="10">
        <v>94.2</v>
      </c>
      <c r="O78" s="15">
        <f>IFERROR(__xludf.DUMMYFUNCTION("IF(ISBLANK($C78), """", GOOGLEFINANCE($C78, ""price""))"),252.76)</f>
        <v>252.76</v>
      </c>
      <c r="P78" s="16">
        <f t="shared" si="2"/>
        <v>0.01027219313</v>
      </c>
      <c r="Q78" s="16">
        <f>IFERROR(__xludf.DUMMYFUNCTION("IF(OR(ISBLANK($G78), IFERROR(INDEX(GOOGLEFINANCE($C78, ""price"", WORKDAY(INT($B78), 1)), 2, 2), """")=""""), """", IF($D78=""LONG"", (IFERROR(INDEX(GOOGLEFINANCE($C78, ""price"", WORKDAY(INT($B78), 1)), 2, 2), """")-$G78)/$G78, ($G78-IFERROR(INDEX(GOOGLE"&amp;"FINANCE($C78, ""price"", WORKDAY(INT($B78), 1)), 2, 2), """"))/$G78))"),7.594228386426225E-4)</f>
        <v>0.0007594228386</v>
      </c>
      <c r="R78" s="16">
        <f>IFERROR(__xludf.DUMMYFUNCTION("IF(OR(ISBLANK($G78), IFERROR(INDEX(GOOGLEFINANCE($C78, ""price"", WORKDAY(INT($B78), 5)), 2, 2), """")=""""), """", IF($D78=""LONG"", (IFERROR(INDEX(GOOGLEFINANCE($C78, ""price"", WORKDAY(INT($B78), 5)), 2, 2), """")-$G78)/$G78, ($G78-IFERROR(INDEX(GOOGLE"&amp;"FINANCE($C78, ""price"", WORKDAY(INT($B78), 5)), 2, 2), """"))/$G78))"),-0.002198329269755032)</f>
        <v>-0.00219832927</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3624</v>
      </c>
      <c r="U78" s="10" t="s">
        <v>984</v>
      </c>
      <c r="V78" s="10" t="s">
        <v>2785</v>
      </c>
      <c r="W78" s="10" t="s">
        <v>51</v>
      </c>
      <c r="X78" s="10" t="s">
        <v>984</v>
      </c>
    </row>
    <row r="79">
      <c r="A79" s="9">
        <f t="shared" si="1"/>
        <v>78</v>
      </c>
      <c r="B79" s="11">
        <v>46223.66746527778</v>
      </c>
      <c r="C79" s="10" t="s">
        <v>499</v>
      </c>
      <c r="D79" s="10" t="s">
        <v>36</v>
      </c>
      <c r="E79" s="10" t="s">
        <v>37</v>
      </c>
      <c r="F79" s="13">
        <v>2.0</v>
      </c>
      <c r="G79" s="14">
        <v>114.59</v>
      </c>
      <c r="H79" s="10" t="s">
        <v>3626</v>
      </c>
      <c r="I79" s="10">
        <v>92.2</v>
      </c>
      <c r="L79" s="10" t="s">
        <v>3627</v>
      </c>
      <c r="M79" s="34" t="s">
        <v>1789</v>
      </c>
      <c r="N79" s="10" t="s">
        <v>925</v>
      </c>
      <c r="O79" s="15">
        <f>IFERROR(__xludf.DUMMYFUNCTION("IF(ISBLANK($C79), """", GOOGLEFINANCE($C79, ""price""))"),115.98)</f>
        <v>115.98</v>
      </c>
      <c r="P79" s="16">
        <f t="shared" si="2"/>
        <v>0.01213020333</v>
      </c>
      <c r="Q79" s="16">
        <f>IFERROR(__xludf.DUMMYFUNCTION("IF(OR(ISBLANK($G79), IFERROR(INDEX(GOOGLEFINANCE($C79, ""price"", WORKDAY(INT($B79), 1)), 2, 2), """")=""""), """", IF($D79=""LONG"", (IFERROR(INDEX(GOOGLEFINANCE($C79, ""price"", WORKDAY(INT($B79), 1)), 2, 2), """")-$G79)/$G79, ($G79-IFERROR(INDEX(GOOGLE"&amp;"FINANCE($C79, ""price"", WORKDAY(INT($B79), 1)), 2, 2), """"))/$G79))"),0.0)</f>
        <v>0</v>
      </c>
      <c r="R79" s="16">
        <f>IFERROR(__xludf.DUMMYFUNCTION("IF(OR(ISBLANK($G79), IFERROR(INDEX(GOOGLEFINANCE($C79, ""price"", WORKDAY(INT($B79), 5)), 2, 2), """")=""""), """", IF($D79=""LONG"", (IFERROR(INDEX(GOOGLEFINANCE($C79, ""price"", WORKDAY(INT($B79), 5)), 2, 2), """")-$G79)/$G79, ($G79-IFERROR(INDEX(GOOGLE"&amp;"FINANCE($C79, ""price"", WORKDAY(INT($B79), 5)), 2, 2), """"))/$G79))"),0.034470721703464546)</f>
        <v>0.0344707217</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3631</v>
      </c>
      <c r="U79" s="10" t="s">
        <v>240</v>
      </c>
      <c r="V79" s="10" t="s">
        <v>3632</v>
      </c>
      <c r="W79" s="10" t="s">
        <v>51</v>
      </c>
      <c r="X79" s="10" t="s">
        <v>1905</v>
      </c>
    </row>
    <row r="80">
      <c r="A80" s="9">
        <f t="shared" si="1"/>
        <v>79</v>
      </c>
      <c r="B80" s="11">
        <v>46223.66768518519</v>
      </c>
      <c r="C80" s="10" t="s">
        <v>323</v>
      </c>
      <c r="D80" s="10" t="s">
        <v>36</v>
      </c>
      <c r="E80" s="10" t="s">
        <v>37</v>
      </c>
      <c r="F80" s="13">
        <v>2.0</v>
      </c>
      <c r="G80" s="14">
        <v>209.26</v>
      </c>
      <c r="H80" s="10" t="s">
        <v>3633</v>
      </c>
      <c r="I80" s="10">
        <v>76.3</v>
      </c>
      <c r="O80" s="15">
        <f>IFERROR(__xludf.DUMMYFUNCTION("IF(ISBLANK($C80), """", GOOGLEFINANCE($C80, ""price""))"),209.7)</f>
        <v>209.7</v>
      </c>
      <c r="P80" s="16">
        <f t="shared" si="2"/>
        <v>0.002102647424</v>
      </c>
      <c r="Q80" s="16">
        <f>IFERROR(__xludf.DUMMYFUNCTION("IF(OR(ISBLANK($G80), IFERROR(INDEX(GOOGLEFINANCE($C80, ""price"", WORKDAY(INT($B80), 1)), 2, 2), """")=""""), """", IF($D80=""LONG"", (IFERROR(INDEX(GOOGLEFINANCE($C80, ""price"", WORKDAY(INT($B80), 1)), 2, 2), """")-$G80)/$G80, ($G80-IFERROR(INDEX(GOOGLE"&amp;"FINANCE($C80, ""price"", WORKDAY(INT($B80), 1)), 2, 2), """"))/$G80))"),-0.0010513237121284472)</f>
        <v>-0.001051323712</v>
      </c>
      <c r="R80" s="16">
        <f>IFERROR(__xludf.DUMMYFUNCTION("IF(OR(ISBLANK($G80), IFERROR(INDEX(GOOGLEFINANCE($C80, ""price"", WORKDAY(INT($B80), 5)), 2, 2), """")=""""), """", IF($D80=""LONG"", (IFERROR(INDEX(GOOGLEFINANCE($C80, ""price"", WORKDAY(INT($B80), 5)), 2, 2), """")-$G80)/$G80, ($G80-IFERROR(INDEX(GOOGLE"&amp;"FINANCE($C80, ""price"", WORKDAY(INT($B80), 5)), 2, 2), """"))/$G80))"),-9.079613877472892E-4)</f>
        <v>-0.0009079613877</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3636</v>
      </c>
      <c r="U80" s="10" t="s">
        <v>984</v>
      </c>
      <c r="V80" s="10" t="s">
        <v>2714</v>
      </c>
      <c r="W80" s="10" t="s">
        <v>51</v>
      </c>
      <c r="X80" s="10" t="s">
        <v>984</v>
      </c>
    </row>
    <row r="81">
      <c r="A81" s="9">
        <f t="shared" si="1"/>
        <v>80</v>
      </c>
      <c r="B81" s="11">
        <v>46223.667650462965</v>
      </c>
      <c r="C81" s="10" t="s">
        <v>99</v>
      </c>
      <c r="D81" s="10" t="s">
        <v>119</v>
      </c>
      <c r="E81" s="10" t="s">
        <v>120</v>
      </c>
      <c r="F81" s="13">
        <v>4.0</v>
      </c>
      <c r="G81" s="14">
        <v>30.45</v>
      </c>
      <c r="H81" s="10" t="s">
        <v>3638</v>
      </c>
      <c r="I81" s="10">
        <v>11.4</v>
      </c>
      <c r="O81" s="15">
        <f>IFERROR(__xludf.DUMMYFUNCTION("IF(ISBLANK($C81), """", GOOGLEFINANCE($C81, ""price""))"),30.37)</f>
        <v>30.37</v>
      </c>
      <c r="P81" s="16">
        <f t="shared" si="2"/>
        <v>0.0026272578</v>
      </c>
      <c r="Q81" s="16">
        <f>IFERROR(__xludf.DUMMYFUNCTION("IF(OR(ISBLANK($G81), IFERROR(INDEX(GOOGLEFINANCE($C81, ""price"", WORKDAY(INT($B81), 1)), 2, 2), """")=""""), """", IF($D81=""LONG"", (IFERROR(INDEX(GOOGLEFINANCE($C81, ""price"", WORKDAY(INT($B81), 1)), 2, 2), """")-$G81)/$G81, ($G81-IFERROR(INDEX(GOOGLE"&amp;"FINANCE($C81, ""price"", WORKDAY(INT($B81), 1)), 2, 2), """"))/$G81))"),0.007881773399014727)</f>
        <v>0.007881773399</v>
      </c>
      <c r="R81" s="16">
        <f>IFERROR(__xludf.DUMMYFUNCTION("IF(OR(ISBLANK($G81), IFERROR(INDEX(GOOGLEFINANCE($C81, ""price"", WORKDAY(INT($B81), 5)), 2, 2), """")=""""), """", IF($D81=""LONG"", (IFERROR(INDEX(GOOGLEFINANCE($C81, ""price"", WORKDAY(INT($B81), 5)), 2, 2), """")-$G81)/$G81, ($G81-IFERROR(INDEX(GOOGLE"&amp;"FINANCE($C81, ""price"", WORKDAY(INT($B81), 5)), 2, 2), """"))/$G81))"),0.010837438423645264)</f>
        <v>0.01083743842</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3641</v>
      </c>
      <c r="U81" s="10" t="s">
        <v>984</v>
      </c>
      <c r="V81" s="10" t="s">
        <v>985</v>
      </c>
      <c r="W81" s="10" t="s">
        <v>51</v>
      </c>
      <c r="X81" s="10" t="s">
        <v>984</v>
      </c>
    </row>
    <row r="82">
      <c r="A82" s="9">
        <f t="shared" si="1"/>
        <v>81</v>
      </c>
      <c r="B82" s="11">
        <v>46223.667662037034</v>
      </c>
      <c r="C82" s="10" t="s">
        <v>273</v>
      </c>
      <c r="D82" s="10" t="s">
        <v>119</v>
      </c>
      <c r="E82" s="10" t="s">
        <v>120</v>
      </c>
      <c r="F82" s="13">
        <v>4.0</v>
      </c>
      <c r="G82" s="14">
        <v>45.8</v>
      </c>
      <c r="H82" s="10" t="s">
        <v>3643</v>
      </c>
      <c r="I82" s="10">
        <v>16.0</v>
      </c>
      <c r="O82" s="15">
        <f>IFERROR(__xludf.DUMMYFUNCTION("IF(ISBLANK($C82), """", GOOGLEFINANCE($C82, ""price""))"),46.11)</f>
        <v>46.11</v>
      </c>
      <c r="P82" s="16">
        <f t="shared" si="2"/>
        <v>-0.006768558952</v>
      </c>
      <c r="Q82" s="16">
        <f>IFERROR(__xludf.DUMMYFUNCTION("IF(OR(ISBLANK($G82), IFERROR(INDEX(GOOGLEFINANCE($C82, ""price"", WORKDAY(INT($B82), 1)), 2, 2), """")=""""), """", IF($D82=""LONG"", (IFERROR(INDEX(GOOGLEFINANCE($C82, ""price"", WORKDAY(INT($B82), 1)), 2, 2), """")-$G82)/$G82, ($G82-IFERROR(INDEX(GOOGLE"&amp;"FINANCE($C82, ""price"", WORKDAY(INT($B82), 1)), 2, 2), """"))/$G82))"),0.007205240174672453)</f>
        <v>0.007205240175</v>
      </c>
      <c r="R82" s="16">
        <f>IFERROR(__xludf.DUMMYFUNCTION("IF(OR(ISBLANK($G82), IFERROR(INDEX(GOOGLEFINANCE($C82, ""price"", WORKDAY(INT($B82), 5)), 2, 2), """")=""""), """", IF($D82=""LONG"", (IFERROR(INDEX(GOOGLEFINANCE($C82, ""price"", WORKDAY(INT($B82), 5)), 2, 2), """")-$G82)/$G82, ($G82-IFERROR(INDEX(GOOGLE"&amp;"FINANCE($C82, ""price"", WORKDAY(INT($B82), 5)), 2, 2), """"))/$G82))"),-0.04279475982532753)</f>
        <v>-0.04279475983</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3646</v>
      </c>
      <c r="U82" s="10" t="s">
        <v>984</v>
      </c>
      <c r="V82" s="10" t="s">
        <v>933</v>
      </c>
      <c r="W82" s="10" t="s">
        <v>51</v>
      </c>
      <c r="X82" s="10" t="s">
        <v>984</v>
      </c>
    </row>
    <row r="83">
      <c r="A83" s="9">
        <f t="shared" si="1"/>
        <v>82</v>
      </c>
      <c r="B83" s="11">
        <v>46223.66773148148</v>
      </c>
      <c r="C83" s="10" t="s">
        <v>358</v>
      </c>
      <c r="D83" s="10" t="s">
        <v>119</v>
      </c>
      <c r="E83" s="10" t="s">
        <v>120</v>
      </c>
      <c r="F83" s="13">
        <v>4.0</v>
      </c>
      <c r="G83" s="14">
        <v>46.39</v>
      </c>
      <c r="H83" s="10" t="s">
        <v>3647</v>
      </c>
      <c r="I83" s="10">
        <v>6.0</v>
      </c>
      <c r="O83" s="15">
        <f>IFERROR(__xludf.DUMMYFUNCTION("IF(ISBLANK($C83), """", GOOGLEFINANCE($C83, ""price""))"),51.54)</f>
        <v>51.54</v>
      </c>
      <c r="P83" s="16">
        <f t="shared" si="2"/>
        <v>-0.111015305</v>
      </c>
      <c r="Q83" s="16">
        <f>IFERROR(__xludf.DUMMYFUNCTION("IF(OR(ISBLANK($G83), IFERROR(INDEX(GOOGLEFINANCE($C83, ""price"", WORKDAY(INT($B83), 1)), 2, 2), """")=""""), """", IF($D83=""LONG"", (IFERROR(INDEX(GOOGLEFINANCE($C83, ""price"", WORKDAY(INT($B83), 1)), 2, 2), """")-$G83)/$G83, ($G83-IFERROR(INDEX(GOOGLE"&amp;"FINANCE($C83, ""price"", WORKDAY(INT($B83), 1)), 2, 2), """"))/$G83))"),-0.004311273981461583)</f>
        <v>-0.004311273981</v>
      </c>
      <c r="R83" s="16">
        <f>IFERROR(__xludf.DUMMYFUNCTION("IF(OR(ISBLANK($G83), IFERROR(INDEX(GOOGLEFINANCE($C83, ""price"", WORKDAY(INT($B83), 5)), 2, 2), """")=""""), """", IF($D83=""LONG"", (IFERROR(INDEX(GOOGLEFINANCE($C83, ""price"", WORKDAY(INT($B83), 5)), 2, 2), """")-$G83)/$G83, ($G83-IFERROR(INDEX(GOOGLE"&amp;"FINANCE($C83, ""price"", WORKDAY(INT($B83), 5)), 2, 2), """"))/$G83))"),-0.11079974132356113)</f>
        <v>-0.1107997413</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3651</v>
      </c>
      <c r="U83" s="10" t="s">
        <v>984</v>
      </c>
      <c r="V83" s="10" t="s">
        <v>985</v>
      </c>
      <c r="W83" s="10" t="s">
        <v>51</v>
      </c>
      <c r="X83" s="10" t="s">
        <v>984</v>
      </c>
    </row>
    <row r="84">
      <c r="A84" s="9">
        <f t="shared" si="1"/>
        <v>83</v>
      </c>
      <c r="B84" s="11">
        <v>46223.66748842593</v>
      </c>
      <c r="C84" s="10" t="s">
        <v>398</v>
      </c>
      <c r="D84" s="10" t="s">
        <v>36</v>
      </c>
      <c r="E84" s="10" t="s">
        <v>37</v>
      </c>
      <c r="F84" s="13">
        <v>2.0</v>
      </c>
      <c r="G84" s="14">
        <v>71.63</v>
      </c>
      <c r="H84" s="10" t="s">
        <v>3654</v>
      </c>
      <c r="I84" s="10">
        <v>94.2</v>
      </c>
      <c r="L84" s="10" t="s">
        <v>3655</v>
      </c>
      <c r="M84" s="34" t="s">
        <v>951</v>
      </c>
      <c r="N84" s="10" t="s">
        <v>3656</v>
      </c>
      <c r="O84" s="15">
        <f>IFERROR(__xludf.DUMMYFUNCTION("IF(ISBLANK($C84), """", GOOGLEFINANCE($C84, ""price""))"),71.9)</f>
        <v>71.9</v>
      </c>
      <c r="P84" s="16">
        <f t="shared" si="2"/>
        <v>0.003769370376</v>
      </c>
      <c r="Q84" s="16">
        <f>IFERROR(__xludf.DUMMYFUNCTION("IF(OR(ISBLANK($G84), IFERROR(INDEX(GOOGLEFINANCE($C84, ""price"", WORKDAY(INT($B84), 1)), 2, 2), """")=""""), """", IF($D84=""LONG"", (IFERROR(INDEX(GOOGLEFINANCE($C84, ""price"", WORKDAY(INT($B84), 1)), 2, 2), """")-$G84)/$G84, ($G84-IFERROR(INDEX(GOOGLE"&amp;"FINANCE($C84, ""price"", WORKDAY(INT($B84), 1)), 2, 2), """"))/$G84))"),0.0)</f>
        <v>0</v>
      </c>
      <c r="R84" s="16">
        <f>IFERROR(__xludf.DUMMYFUNCTION("IF(OR(ISBLANK($G84), IFERROR(INDEX(GOOGLEFINANCE($C84, ""price"", WORKDAY(INT($B84), 5)), 2, 2), """")=""""), """", IF($D84=""LONG"", (IFERROR(INDEX(GOOGLEFINANCE($C84, ""price"", WORKDAY(INT($B84), 5)), 2, 2), """")-$G84)/$G84, ($G84-IFERROR(INDEX(GOOGLE"&amp;"FINANCE($C84, ""price"", WORKDAY(INT($B84), 5)), 2, 2), """"))/$G84))"),-1.3960631020509432E-4)</f>
        <v>-0.0001396063102</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3660</v>
      </c>
      <c r="U84" s="10" t="s">
        <v>240</v>
      </c>
      <c r="V84" s="10" t="s">
        <v>3661</v>
      </c>
      <c r="W84" s="10" t="s">
        <v>51</v>
      </c>
      <c r="X84" s="10" t="s">
        <v>1905</v>
      </c>
    </row>
    <row r="85">
      <c r="A85" s="9">
        <f t="shared" si="1"/>
        <v>84</v>
      </c>
      <c r="B85" s="11">
        <v>46223.667546296296</v>
      </c>
      <c r="C85" s="10" t="s">
        <v>222</v>
      </c>
      <c r="D85" s="10" t="s">
        <v>36</v>
      </c>
      <c r="E85" s="10" t="s">
        <v>37</v>
      </c>
      <c r="F85" s="13">
        <v>2.0</v>
      </c>
      <c r="G85" s="14">
        <v>480.43</v>
      </c>
      <c r="H85" s="10" t="s">
        <v>3664</v>
      </c>
      <c r="I85" s="10">
        <v>88.4</v>
      </c>
      <c r="O85" s="15">
        <f>IFERROR(__xludf.DUMMYFUNCTION("IF(ISBLANK($C85), """", GOOGLEFINANCE($C85, ""price""))"),484.03)</f>
        <v>484.03</v>
      </c>
      <c r="P85" s="16">
        <f t="shared" si="2"/>
        <v>0.007493287263</v>
      </c>
      <c r="Q85" s="16">
        <f>IFERROR(__xludf.DUMMYFUNCTION("IF(OR(ISBLANK($G85), IFERROR(INDEX(GOOGLEFINANCE($C85, ""price"", WORKDAY(INT($B85), 1)), 2, 2), """")=""""), """", IF($D85=""LONG"", (IFERROR(INDEX(GOOGLEFINANCE($C85, ""price"", WORKDAY(INT($B85), 1)), 2, 2), """")-$G85)/$G85, ($G85-IFERROR(INDEX(GOOGLE"&amp;"FINANCE($C85, ""price"", WORKDAY(INT($B85), 1)), 2, 2), """"))/$G85))"),0.003267905834356708)</f>
        <v>0.003267905834</v>
      </c>
      <c r="R85" s="16">
        <f>IFERROR(__xludf.DUMMYFUNCTION("IF(OR(ISBLANK($G85), IFERROR(INDEX(GOOGLEFINANCE($C85, ""price"", WORKDAY(INT($B85), 5)), 2, 2), """")=""""), """", IF($D85=""LONG"", (IFERROR(INDEX(GOOGLEFINANCE($C85, ""price"", WORKDAY(INT($B85), 5)), 2, 2), """")-$G85)/$G85, ($G85-IFERROR(INDEX(GOOGLE"&amp;"FINANCE($C85, ""price"", WORKDAY(INT($B85), 5)), 2, 2), """"))/$G85))"),-0.002976500218554226)</f>
        <v>-0.002976500219</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3670</v>
      </c>
      <c r="U85" s="10" t="s">
        <v>932</v>
      </c>
      <c r="V85" s="10" t="s">
        <v>933</v>
      </c>
      <c r="W85" s="10" t="s">
        <v>51</v>
      </c>
      <c r="X85" s="10" t="s">
        <v>3186</v>
      </c>
    </row>
    <row r="86">
      <c r="A86" s="9">
        <f t="shared" si="1"/>
        <v>85</v>
      </c>
      <c r="B86" s="11">
        <v>46223.66746527778</v>
      </c>
      <c r="C86" s="10" t="s">
        <v>185</v>
      </c>
      <c r="D86" s="10" t="s">
        <v>36</v>
      </c>
      <c r="E86" s="10" t="s">
        <v>37</v>
      </c>
      <c r="F86" s="13">
        <v>2.0</v>
      </c>
      <c r="G86" s="14">
        <v>77.49</v>
      </c>
      <c r="H86" s="10" t="s">
        <v>3672</v>
      </c>
      <c r="I86" s="10">
        <v>91.2</v>
      </c>
      <c r="O86" s="15">
        <f>IFERROR(__xludf.DUMMYFUNCTION("IF(ISBLANK($C86), """", GOOGLEFINANCE($C86, ""price""))"),75.47)</f>
        <v>75.47</v>
      </c>
      <c r="P86" s="16">
        <f t="shared" si="2"/>
        <v>-0.02606787973</v>
      </c>
      <c r="Q86" s="16">
        <f>IFERROR(__xludf.DUMMYFUNCTION("IF(OR(ISBLANK($G86), IFERROR(INDEX(GOOGLEFINANCE($C86, ""price"", WORKDAY(INT($B86), 1)), 2, 2), """")=""""), """", IF($D86=""LONG"", (IFERROR(INDEX(GOOGLEFINANCE($C86, ""price"", WORKDAY(INT($B86), 1)), 2, 2), """")-$G86)/$G86, ($G86-IFERROR(INDEX(GOOGLE"&amp;"FINANCE($C86, ""price"", WORKDAY(INT($B86), 1)), 2, 2), """"))/$G86))"),-0.008646276938959889)</f>
        <v>-0.008646276939</v>
      </c>
      <c r="R86" s="16">
        <f>IFERROR(__xludf.DUMMYFUNCTION("IF(OR(ISBLANK($G86), IFERROR(INDEX(GOOGLEFINANCE($C86, ""price"", WORKDAY(INT($B86), 5)), 2, 2), """")=""""), """", IF($D86=""LONG"", (IFERROR(INDEX(GOOGLEFINANCE($C86, ""price"", WORKDAY(INT($B86), 5)), 2, 2), """")-$G86)/$G86, ($G86-IFERROR(INDEX(GOOGLE"&amp;"FINANCE($C86, ""price"", WORKDAY(INT($B86), 5)), 2, 2), """"))/$G86))"),0.04736094979997422)</f>
        <v>0.0473609498</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3678</v>
      </c>
      <c r="U86" s="10" t="s">
        <v>984</v>
      </c>
      <c r="V86" s="10" t="s">
        <v>998</v>
      </c>
      <c r="W86" s="10" t="s">
        <v>51</v>
      </c>
      <c r="X86" s="10" t="s">
        <v>984</v>
      </c>
    </row>
    <row r="87">
      <c r="A87" s="9">
        <f t="shared" si="1"/>
        <v>86</v>
      </c>
      <c r="B87" s="11">
        <v>46223.66755787037</v>
      </c>
      <c r="C87" s="10" t="s">
        <v>1603</v>
      </c>
      <c r="D87" s="10" t="s">
        <v>36</v>
      </c>
      <c r="E87" s="10" t="s">
        <v>37</v>
      </c>
      <c r="F87" s="13">
        <v>2.0</v>
      </c>
      <c r="G87" s="14">
        <v>140.52</v>
      </c>
      <c r="H87" s="10" t="s">
        <v>3331</v>
      </c>
      <c r="I87" s="10">
        <v>94.1</v>
      </c>
      <c r="O87" s="15">
        <f>IFERROR(__xludf.DUMMYFUNCTION("IF(ISBLANK($C87), """", GOOGLEFINANCE($C87, ""price""))"),144.51)</f>
        <v>144.51</v>
      </c>
      <c r="P87" s="16">
        <f t="shared" si="2"/>
        <v>0.02839453459</v>
      </c>
      <c r="Q87" s="16">
        <f>IFERROR(__xludf.DUMMYFUNCTION("IF(OR(ISBLANK($G87), IFERROR(INDEX(GOOGLEFINANCE($C87, ""price"", WORKDAY(INT($B87), 1)), 2, 2), """")=""""), """", IF($D87=""LONG"", (IFERROR(INDEX(GOOGLEFINANCE($C87, ""price"", WORKDAY(INT($B87), 1)), 2, 2), """")-$G87)/$G87, ($G87-IFERROR(INDEX(GOOGLE"&amp;"FINANCE($C87, ""price"", WORKDAY(INT($B87), 1)), 2, 2), """"))/$G87))"),0.010389980074010671)</f>
        <v>0.01038998007</v>
      </c>
      <c r="R87" s="16">
        <f>IFERROR(__xludf.DUMMYFUNCTION("IF(OR(ISBLANK($G87), IFERROR(INDEX(GOOGLEFINANCE($C87, ""price"", WORKDAY(INT($B87), 5)), 2, 2), """")=""""), """", IF($D87=""LONG"", (IFERROR(INDEX(GOOGLEFINANCE($C87, ""price"", WORKDAY(INT($B87), 5)), 2, 2), """")-$G87)/$G87, ($G87-IFERROR(INDEX(GOOGLE"&amp;"FINANCE($C87, ""price"", WORKDAY(INT($B87), 5)), 2, 2), """"))/$G87))"),-0.002704241389126273)</f>
        <v>-0.002704241389</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3684</v>
      </c>
      <c r="U87" s="10" t="s">
        <v>932</v>
      </c>
      <c r="V87" s="10" t="s">
        <v>933</v>
      </c>
      <c r="W87" s="10" t="s">
        <v>51</v>
      </c>
      <c r="X87" s="10" t="s">
        <v>3186</v>
      </c>
    </row>
    <row r="88">
      <c r="A88" s="9">
        <f t="shared" si="1"/>
        <v>87</v>
      </c>
      <c r="B88" s="11">
        <v>46223.66747685185</v>
      </c>
      <c r="C88" s="10" t="s">
        <v>594</v>
      </c>
      <c r="D88" s="10" t="s">
        <v>36</v>
      </c>
      <c r="E88" s="10" t="s">
        <v>37</v>
      </c>
      <c r="F88" s="13">
        <v>2.0</v>
      </c>
      <c r="G88" s="14">
        <v>79.82</v>
      </c>
      <c r="H88" s="10" t="s">
        <v>3685</v>
      </c>
      <c r="I88" s="10">
        <v>97.8</v>
      </c>
      <c r="O88" s="15">
        <f>IFERROR(__xludf.DUMMYFUNCTION("IF(ISBLANK($C88), """", GOOGLEFINANCE($C88, ""price""))"),79.97)</f>
        <v>79.97</v>
      </c>
      <c r="P88" s="16">
        <f t="shared" si="2"/>
        <v>0.001879228264</v>
      </c>
      <c r="Q88" s="16">
        <f>IFERROR(__xludf.DUMMYFUNCTION("IF(OR(ISBLANK($G88), IFERROR(INDEX(GOOGLEFINANCE($C88, ""price"", WORKDAY(INT($B88), 1)), 2, 2), """")=""""), """", IF($D88=""LONG"", (IFERROR(INDEX(GOOGLEFINANCE($C88, ""price"", WORKDAY(INT($B88), 1)), 2, 2), """")-$G88)/$G88, ($G88-IFERROR(INDEX(GOOGLE"&amp;"FINANCE($C88, ""price"", WORKDAY(INT($B88), 1)), 2, 2), """"))/$G88))"),0.005261839138060658)</f>
        <v>0.005261839138</v>
      </c>
      <c r="R88" s="16">
        <f>IFERROR(__xludf.DUMMYFUNCTION("IF(OR(ISBLANK($G88), IFERROR(INDEX(GOOGLEFINANCE($C88, ""price"", WORKDAY(INT($B88), 5)), 2, 2), """")=""""), """", IF($D88=""LONG"", (IFERROR(INDEX(GOOGLEFINANCE($C88, ""price"", WORKDAY(INT($B88), 5)), 2, 2), """")-$G88)/$G88, ($G88-IFERROR(INDEX(GOOGLE"&amp;"FINANCE($C88, ""price"", WORKDAY(INT($B88), 5)), 2, 2), """"))/$G88))"),-0.00826860435980953)</f>
        <v>-0.00826860436</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3693</v>
      </c>
      <c r="U88" s="10" t="s">
        <v>704</v>
      </c>
      <c r="V88" s="10" t="s">
        <v>3695</v>
      </c>
      <c r="W88" s="10" t="s">
        <v>51</v>
      </c>
      <c r="X88" s="10" t="s">
        <v>1885</v>
      </c>
    </row>
    <row r="89">
      <c r="A89" s="9">
        <f t="shared" si="1"/>
        <v>88</v>
      </c>
      <c r="B89" s="11">
        <v>46223.667395833334</v>
      </c>
      <c r="C89" s="10" t="s">
        <v>3574</v>
      </c>
      <c r="D89" s="10" t="s">
        <v>36</v>
      </c>
      <c r="E89" s="10" t="s">
        <v>133</v>
      </c>
      <c r="F89" s="13">
        <v>2.0</v>
      </c>
      <c r="G89" s="14">
        <v>335.01</v>
      </c>
      <c r="H89" s="10" t="s">
        <v>3697</v>
      </c>
      <c r="I89" s="10">
        <v>87.6</v>
      </c>
      <c r="O89" s="15">
        <f>IFERROR(__xludf.DUMMYFUNCTION("IF(ISBLANK($C89), """", GOOGLEFINANCE($C89, ""price""))"),342.46)</f>
        <v>342.46</v>
      </c>
      <c r="P89" s="16">
        <f t="shared" si="2"/>
        <v>0.02223814215</v>
      </c>
      <c r="Q89" s="16">
        <f>IFERROR(__xludf.DUMMYFUNCTION("IF(OR(ISBLANK($G89), IFERROR(INDEX(GOOGLEFINANCE($C89, ""price"", WORKDAY(INT($B89), 1)), 2, 2), """")=""""), """", IF($D89=""LONG"", (IFERROR(INDEX(GOOGLEFINANCE($C89, ""price"", WORKDAY(INT($B89), 1)), 2, 2), """")-$G89)/$G89, ($G89-IFERROR(INDEX(GOOGLE"&amp;"FINANCE($C89, ""price"", WORKDAY(INT($B89), 1)), 2, 2), """"))/$G89))"),-0.011074296289662935)</f>
        <v>-0.01107429629</v>
      </c>
      <c r="R89" s="16">
        <f>IFERROR(__xludf.DUMMYFUNCTION("IF(OR(ISBLANK($G89), IFERROR(INDEX(GOOGLEFINANCE($C89, ""price"", WORKDAY(INT($B89), 5)), 2, 2), """")=""""), """", IF($D89=""LONG"", (IFERROR(INDEX(GOOGLEFINANCE($C89, ""price"", WORKDAY(INT($B89), 5)), 2, 2), """")-$G89)/$G89, ($G89-IFERROR(INDEX(GOOGLE"&amp;"FINANCE($C89, ""price"", WORKDAY(INT($B89), 5)), 2, 2), """"))/$G89))"),0.024894779260320684)</f>
        <v>0.02489477926</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3704</v>
      </c>
      <c r="U89" s="10" t="s">
        <v>932</v>
      </c>
      <c r="V89" s="10" t="s">
        <v>933</v>
      </c>
      <c r="W89" s="10" t="s">
        <v>51</v>
      </c>
      <c r="X89" s="10" t="s">
        <v>3186</v>
      </c>
    </row>
    <row r="90">
      <c r="A90" s="9">
        <f t="shared" si="1"/>
        <v>89</v>
      </c>
      <c r="B90" s="11">
        <v>46223.66755787037</v>
      </c>
      <c r="C90" s="10" t="s">
        <v>114</v>
      </c>
      <c r="D90" s="10" t="s">
        <v>36</v>
      </c>
      <c r="E90" s="10" t="s">
        <v>37</v>
      </c>
      <c r="F90" s="13">
        <v>2.0</v>
      </c>
      <c r="G90" s="14">
        <v>225.81</v>
      </c>
      <c r="H90" s="10" t="s">
        <v>3705</v>
      </c>
      <c r="I90" s="10">
        <v>96.1</v>
      </c>
      <c r="O90" s="15">
        <f>IFERROR(__xludf.DUMMYFUNCTION("IF(ISBLANK($C90), """", GOOGLEFINANCE($C90, ""price""))"),237.66)</f>
        <v>237.66</v>
      </c>
      <c r="P90" s="16">
        <f t="shared" si="2"/>
        <v>0.05247774678</v>
      </c>
      <c r="Q90" s="16">
        <f>IFERROR(__xludf.DUMMYFUNCTION("IF(OR(ISBLANK($G90), IFERROR(INDEX(GOOGLEFINANCE($C90, ""price"", WORKDAY(INT($B90), 1)), 2, 2), """")=""""), """", IF($D90=""LONG"", (IFERROR(INDEX(GOOGLEFINANCE($C90, ""price"", WORKDAY(INT($B90), 1)), 2, 2), """")-$G90)/$G90, ($G90-IFERROR(INDEX(GOOGLE"&amp;"FINANCE($C90, ""price"", WORKDAY(INT($B90), 1)), 2, 2), """"))/$G90))"),0.0056684823524201814)</f>
        <v>0.005668482352</v>
      </c>
      <c r="R90" s="16">
        <f>IFERROR(__xludf.DUMMYFUNCTION("IF(OR(ISBLANK($G90), IFERROR(INDEX(GOOGLEFINANCE($C90, ""price"", WORKDAY(INT($B90), 5)), 2, 2), """")=""""), """", IF($D90=""LONG"", (IFERROR(INDEX(GOOGLEFINANCE($C90, ""price"", WORKDAY(INT($B90), 5)), 2, 2), """")-$G90)/$G90, ($G90-IFERROR(INDEX(GOOGLE"&amp;"FINANCE($C90, ""price"", WORKDAY(INT($B90), 5)), 2, 2), """"))/$G90))"),0.015676896505912013)</f>
        <v>0.01567689651</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3711</v>
      </c>
      <c r="U90" s="10" t="s">
        <v>704</v>
      </c>
      <c r="V90" s="10" t="s">
        <v>3713</v>
      </c>
      <c r="W90" s="10" t="s">
        <v>51</v>
      </c>
      <c r="X90" s="10" t="s">
        <v>1885</v>
      </c>
    </row>
    <row r="91">
      <c r="A91" s="9">
        <f t="shared" si="1"/>
        <v>90</v>
      </c>
      <c r="B91" s="11">
        <v>46223.66736111111</v>
      </c>
      <c r="C91" s="10" t="s">
        <v>444</v>
      </c>
      <c r="D91" s="10" t="s">
        <v>36</v>
      </c>
      <c r="E91" s="10" t="s">
        <v>37</v>
      </c>
      <c r="F91" s="13">
        <v>2.0</v>
      </c>
      <c r="G91" s="14">
        <v>351.91</v>
      </c>
      <c r="H91" s="10" t="s">
        <v>3716</v>
      </c>
      <c r="I91" s="10">
        <v>95.6</v>
      </c>
      <c r="O91" s="15">
        <f>IFERROR(__xludf.DUMMYFUNCTION("IF(ISBLANK($C91), """", GOOGLEFINANCE($C91, ""price""))"),342.6)</f>
        <v>342.6</v>
      </c>
      <c r="P91" s="16">
        <f t="shared" si="2"/>
        <v>-0.02645562786</v>
      </c>
      <c r="Q91" s="16">
        <f>IFERROR(__xludf.DUMMYFUNCTION("IF(OR(ISBLANK($G91), IFERROR(INDEX(GOOGLEFINANCE($C91, ""price"", WORKDAY(INT($B91), 1)), 2, 2), """")=""""), """", IF($D91=""LONG"", (IFERROR(INDEX(GOOGLEFINANCE($C91, ""price"", WORKDAY(INT($B91), 1)), 2, 2), """")-$G91)/$G91, ($G91-IFERROR(INDEX(GOOGLE"&amp;"FINANCE($C91, ""price"", WORKDAY(INT($B91), 1)), 2, 2), """"))/$G91))"),-0.003182631922934854)</f>
        <v>-0.003182631923</v>
      </c>
      <c r="R91" s="16">
        <f>IFERROR(__xludf.DUMMYFUNCTION("IF(OR(ISBLANK($G91), IFERROR(INDEX(GOOGLEFINANCE($C91, ""price"", WORKDAY(INT($B91), 5)), 2, 2), """")=""""), """", IF($D91=""LONG"", (IFERROR(INDEX(GOOGLEFINANCE($C91, ""price"", WORKDAY(INT($B91), 5)), 2, 2), """")-$G91)/$G91, ($G91-IFERROR(INDEX(GOOGLE"&amp;"FINANCE($C91, ""price"", WORKDAY(INT($B91), 5)), 2, 2), """"))/$G91))"),-0.046943820863289014)</f>
        <v>-0.04694382086</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3722</v>
      </c>
      <c r="U91" s="10" t="s">
        <v>984</v>
      </c>
      <c r="V91" s="10" t="s">
        <v>933</v>
      </c>
      <c r="W91" s="10" t="s">
        <v>51</v>
      </c>
      <c r="X91" s="10" t="s">
        <v>984</v>
      </c>
    </row>
    <row r="92">
      <c r="A92" s="9">
        <f t="shared" si="1"/>
        <v>91</v>
      </c>
      <c r="B92" s="11">
        <v>46223.66741898148</v>
      </c>
      <c r="C92" s="10" t="s">
        <v>108</v>
      </c>
      <c r="D92" s="10" t="s">
        <v>36</v>
      </c>
      <c r="E92" s="10" t="s">
        <v>37</v>
      </c>
      <c r="F92" s="13">
        <v>2.0</v>
      </c>
      <c r="G92" s="14">
        <v>126.39</v>
      </c>
      <c r="H92" s="10" t="s">
        <v>1439</v>
      </c>
      <c r="I92" s="10">
        <v>96.0</v>
      </c>
      <c r="O92" s="15">
        <f>IFERROR(__xludf.DUMMYFUNCTION("IF(ISBLANK($C92), """", GOOGLEFINANCE($C92, ""price""))"),129.68)</f>
        <v>129.68</v>
      </c>
      <c r="P92" s="16">
        <f t="shared" si="2"/>
        <v>0.02603054039</v>
      </c>
      <c r="Q92" s="16">
        <f>IFERROR(__xludf.DUMMYFUNCTION("IF(OR(ISBLANK($G92), IFERROR(INDEX(GOOGLEFINANCE($C92, ""price"", WORKDAY(INT($B92), 1)), 2, 2), """")=""""), """", IF($D92=""LONG"", (IFERROR(INDEX(GOOGLEFINANCE($C92, ""price"", WORKDAY(INT($B92), 1)), 2, 2), """")-$G92)/$G92, ($G92-IFERROR(INDEX(GOOGLE"&amp;"FINANCE($C92, ""price"", WORKDAY(INT($B92), 1)), 2, 2), """"))/$G92))"),-0.005142811931323725)</f>
        <v>-0.005142811931</v>
      </c>
      <c r="R92" s="16">
        <f>IFERROR(__xludf.DUMMYFUNCTION("IF(OR(ISBLANK($G92), IFERROR(INDEX(GOOGLEFINANCE($C92, ""price"", WORKDAY(INT($B92), 5)), 2, 2), """")=""""), """", IF($D92=""LONG"", (IFERROR(INDEX(GOOGLEFINANCE($C92, ""price"", WORKDAY(INT($B92), 5)), 2, 2), """")-$G92)/$G92, ($G92-IFERROR(INDEX(GOOGLE"&amp;"FINANCE($C92, ""price"", WORKDAY(INT($B92), 5)), 2, 2), """"))/$G92))"),-0.006725215602500153)</f>
        <v>-0.006725215603</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3731</v>
      </c>
      <c r="U92" s="10" t="s">
        <v>984</v>
      </c>
      <c r="V92" s="10" t="s">
        <v>933</v>
      </c>
      <c r="W92" s="10" t="s">
        <v>51</v>
      </c>
      <c r="X92" s="10" t="s">
        <v>984</v>
      </c>
    </row>
    <row r="93">
      <c r="A93" s="9">
        <f t="shared" si="1"/>
        <v>92</v>
      </c>
      <c r="B93" s="11">
        <v>46223.66763888889</v>
      </c>
      <c r="C93" s="10" t="s">
        <v>248</v>
      </c>
      <c r="D93" s="10" t="s">
        <v>36</v>
      </c>
      <c r="E93" s="10" t="s">
        <v>37</v>
      </c>
      <c r="F93" s="13">
        <v>2.0</v>
      </c>
      <c r="G93" s="14">
        <v>71.5</v>
      </c>
      <c r="H93" s="10" t="s">
        <v>3732</v>
      </c>
      <c r="I93" s="10">
        <v>87.9</v>
      </c>
      <c r="O93" s="15">
        <f>IFERROR(__xludf.DUMMYFUNCTION("IF(ISBLANK($C93), """", GOOGLEFINANCE($C93, ""price""))"),72.43)</f>
        <v>72.43</v>
      </c>
      <c r="P93" s="16">
        <f t="shared" si="2"/>
        <v>0.01300699301</v>
      </c>
      <c r="Q93" s="16">
        <f>IFERROR(__xludf.DUMMYFUNCTION("IF(OR(ISBLANK($G93), IFERROR(INDEX(GOOGLEFINANCE($C93, ""price"", WORKDAY(INT($B93), 1)), 2, 2), """")=""""), """", IF($D93=""LONG"", (IFERROR(INDEX(GOOGLEFINANCE($C93, ""price"", WORKDAY(INT($B93), 1)), 2, 2), """")-$G93)/$G93, ($G93-IFERROR(INDEX(GOOGLE"&amp;"FINANCE($C93, ""price"", WORKDAY(INT($B93), 1)), 2, 2), """"))/$G93))"),0.006993006993006993)</f>
        <v>0.006993006993</v>
      </c>
      <c r="R93" s="16">
        <f>IFERROR(__xludf.DUMMYFUNCTION("IF(OR(ISBLANK($G93), IFERROR(INDEX(GOOGLEFINANCE($C93, ""price"", WORKDAY(INT($B93), 5)), 2, 2), """")=""""), """", IF($D93=""LONG"", (IFERROR(INDEX(GOOGLEFINANCE($C93, ""price"", WORKDAY(INT($B93), 5)), 2, 2), """")-$G93)/$G93, ($G93-IFERROR(INDEX(GOOGLE"&amp;"FINANCE($C93, ""price"", WORKDAY(INT($B93), 5)), 2, 2), """"))/$G93))"),-0.005594405594405674)</f>
        <v>-0.005594405594</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3737</v>
      </c>
      <c r="U93" s="10" t="s">
        <v>932</v>
      </c>
      <c r="V93" s="10" t="s">
        <v>933</v>
      </c>
      <c r="W93" s="10" t="s">
        <v>51</v>
      </c>
      <c r="X93" s="10" t="s">
        <v>3186</v>
      </c>
    </row>
    <row r="94">
      <c r="A94" s="9">
        <f t="shared" si="1"/>
        <v>93</v>
      </c>
      <c r="B94" s="11">
        <v>46223.66738425926</v>
      </c>
      <c r="C94" s="10" t="s">
        <v>191</v>
      </c>
      <c r="D94" s="10" t="s">
        <v>36</v>
      </c>
      <c r="E94" s="10" t="s">
        <v>37</v>
      </c>
      <c r="F94" s="13">
        <v>2.0</v>
      </c>
      <c r="G94" s="14">
        <v>22.09</v>
      </c>
      <c r="H94" s="10" t="s">
        <v>3739</v>
      </c>
      <c r="I94" s="10">
        <v>95.5</v>
      </c>
      <c r="O94" s="15">
        <f>IFERROR(__xludf.DUMMYFUNCTION("IF(ISBLANK($C94), """", GOOGLEFINANCE($C94, ""price""))"),27.01)</f>
        <v>27.01</v>
      </c>
      <c r="P94" s="16">
        <f t="shared" si="2"/>
        <v>0.222725215</v>
      </c>
      <c r="Q94" s="16">
        <f>IFERROR(__xludf.DUMMYFUNCTION("IF(OR(ISBLANK($G94), IFERROR(INDEX(GOOGLEFINANCE($C94, ""price"", WORKDAY(INT($B94), 1)), 2, 2), """")=""""), """", IF($D94=""LONG"", (IFERROR(INDEX(GOOGLEFINANCE($C94, ""price"", WORKDAY(INT($B94), 1)), 2, 2), """")-$G94)/$G94, ($G94-IFERROR(INDEX(GOOGLE"&amp;"FINANCE($C94, ""price"", WORKDAY(INT($B94), 1)), 2, 2), """"))/$G94))"),0.005432322317790901)</f>
        <v>0.005432322318</v>
      </c>
      <c r="R94" s="16">
        <f>IFERROR(__xludf.DUMMYFUNCTION("IF(OR(ISBLANK($G94), IFERROR(INDEX(GOOGLEFINANCE($C94, ""price"", WORKDAY(INT($B94), 5)), 2, 2), """")=""""), """", IF($D94=""LONG"", (IFERROR(INDEX(GOOGLEFINANCE($C94, ""price"", WORKDAY(INT($B94), 5)), 2, 2), """")-$G94)/$G94, ($G94-IFERROR(INDEX(GOOGLE"&amp;"FINANCE($C94, ""price"", WORKDAY(INT($B94), 5)), 2, 2), """"))/$G94))"),0.056586690810321416)</f>
        <v>0.05658669081</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3743</v>
      </c>
      <c r="U94" s="10" t="s">
        <v>984</v>
      </c>
      <c r="V94" s="10" t="s">
        <v>985</v>
      </c>
      <c r="W94" s="10" t="s">
        <v>51</v>
      </c>
      <c r="X94" s="10" t="s">
        <v>984</v>
      </c>
    </row>
    <row r="95">
      <c r="A95" s="9">
        <f t="shared" si="1"/>
        <v>94</v>
      </c>
      <c r="B95" s="11">
        <v>46223.66762731481</v>
      </c>
      <c r="C95" s="10" t="s">
        <v>1321</v>
      </c>
      <c r="D95" s="10" t="s">
        <v>119</v>
      </c>
      <c r="E95" s="10" t="s">
        <v>120</v>
      </c>
      <c r="F95" s="13">
        <v>4.0</v>
      </c>
      <c r="G95" s="14">
        <v>21.99</v>
      </c>
      <c r="H95" s="10" t="s">
        <v>3748</v>
      </c>
      <c r="I95" s="10">
        <v>25.8</v>
      </c>
      <c r="O95" s="15">
        <f>IFERROR(__xludf.DUMMYFUNCTION("IF(ISBLANK($C95), """", GOOGLEFINANCE($C95, ""price""))"),23.71)</f>
        <v>23.71</v>
      </c>
      <c r="P95" s="16">
        <f t="shared" si="2"/>
        <v>-0.07821737153</v>
      </c>
      <c r="Q95" s="16">
        <f>IFERROR(__xludf.DUMMYFUNCTION("IF(OR(ISBLANK($G95), IFERROR(INDEX(GOOGLEFINANCE($C95, ""price"", WORKDAY(INT($B95), 1)), 2, 2), """")=""""), """", IF($D95=""LONG"", (IFERROR(INDEX(GOOGLEFINANCE($C95, ""price"", WORKDAY(INT($B95), 1)), 2, 2), """")-$G95)/$G95, ($G95-IFERROR(INDEX(GOOGLE"&amp;"FINANCE($C95, ""price"", WORKDAY(INT($B95), 1)), 2, 2), """"))/$G95))"),-0.012278308321964672)</f>
        <v>-0.01227830832</v>
      </c>
      <c r="R95" s="16">
        <f>IFERROR(__xludf.DUMMYFUNCTION("IF(OR(ISBLANK($G95), IFERROR(INDEX(GOOGLEFINANCE($C95, ""price"", WORKDAY(INT($B95), 5)), 2, 2), """")=""""), """", IF($D95=""LONG"", (IFERROR(INDEX(GOOGLEFINANCE($C95, ""price"", WORKDAY(INT($B95), 5)), 2, 2), """")-$G95)/$G95, ($G95-IFERROR(INDEX(GOOGLE"&amp;"FINANCE($C95, ""price"", WORKDAY(INT($B95), 5)), 2, 2), """"))/$G95))"),-0.11050477489768092)</f>
        <v>-0.1105047749</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3753</v>
      </c>
      <c r="U95" s="10" t="s">
        <v>984</v>
      </c>
      <c r="V95" s="10" t="s">
        <v>985</v>
      </c>
      <c r="W95" s="10" t="s">
        <v>51</v>
      </c>
      <c r="X95" s="10" t="s">
        <v>984</v>
      </c>
    </row>
    <row r="96">
      <c r="A96" s="9">
        <f t="shared" si="1"/>
        <v>95</v>
      </c>
      <c r="B96" s="11">
        <v>46223.667592592596</v>
      </c>
      <c r="C96" s="10" t="s">
        <v>312</v>
      </c>
      <c r="D96" s="10" t="s">
        <v>36</v>
      </c>
      <c r="E96" s="10" t="s">
        <v>37</v>
      </c>
      <c r="F96" s="13">
        <v>2.0</v>
      </c>
      <c r="G96" s="14">
        <v>14.81</v>
      </c>
      <c r="H96" s="10" t="s">
        <v>3754</v>
      </c>
      <c r="I96" s="10">
        <v>88.1</v>
      </c>
      <c r="O96" s="15">
        <f>IFERROR(__xludf.DUMMYFUNCTION("IF(ISBLANK($C96), """", GOOGLEFINANCE($C96, ""price""))"),14.7)</f>
        <v>14.7</v>
      </c>
      <c r="P96" s="16">
        <f t="shared" si="2"/>
        <v>-0.00742741391</v>
      </c>
      <c r="Q96" s="16">
        <f>IFERROR(__xludf.DUMMYFUNCTION("IF(OR(ISBLANK($G96), IFERROR(INDEX(GOOGLEFINANCE($C96, ""price"", WORKDAY(INT($B96), 1)), 2, 2), """")=""""), """", IF($D96=""LONG"", (IFERROR(INDEX(GOOGLEFINANCE($C96, ""price"", WORKDAY(INT($B96), 1)), 2, 2), """")-$G96)/$G96, ($G96-IFERROR(INDEX(GOOGLE"&amp;"FINANCE($C96, ""price"", WORKDAY(INT($B96), 1)), 2, 2), """"))/$G96))"),6.752194463200396E-4)</f>
        <v>0.0006752194463</v>
      </c>
      <c r="R96" s="16">
        <f>IFERROR(__xludf.DUMMYFUNCTION("IF(OR(ISBLANK($G96), IFERROR(INDEX(GOOGLEFINANCE($C96, ""price"", WORKDAY(INT($B96), 5)), 2, 2), """")=""""), """", IF($D96=""LONG"", (IFERROR(INDEX(GOOGLEFINANCE($C96, ""price"", WORKDAY(INT($B96), 5)), 2, 2), """")-$G96)/$G96, ($G96-IFERROR(INDEX(GOOGLE"&amp;"FINANCE($C96, ""price"", WORKDAY(INT($B96), 5)), 2, 2), """"))/$G96))"),0.0013504388926400793)</f>
        <v>0.001350438893</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3759</v>
      </c>
      <c r="U96" s="10" t="s">
        <v>984</v>
      </c>
      <c r="V96" s="10" t="s">
        <v>2785</v>
      </c>
      <c r="W96" s="10" t="s">
        <v>51</v>
      </c>
      <c r="X96" s="10" t="s">
        <v>984</v>
      </c>
    </row>
    <row r="97">
      <c r="A97" s="9">
        <f t="shared" si="1"/>
        <v>96</v>
      </c>
      <c r="B97" s="11">
        <v>46223.66746527778</v>
      </c>
      <c r="C97" s="10" t="s">
        <v>471</v>
      </c>
      <c r="D97" s="10" t="s">
        <v>36</v>
      </c>
      <c r="E97" s="10" t="s">
        <v>37</v>
      </c>
      <c r="F97" s="13">
        <v>2.0</v>
      </c>
      <c r="G97" s="14">
        <v>370.61</v>
      </c>
      <c r="H97" s="10" t="s">
        <v>3761</v>
      </c>
      <c r="I97" s="10">
        <v>96.2</v>
      </c>
      <c r="O97" s="15">
        <f>IFERROR(__xludf.DUMMYFUNCTION("IF(ISBLANK($C97), """", GOOGLEFINANCE($C97, ""price""))"),386.92)</f>
        <v>386.92</v>
      </c>
      <c r="P97" s="16">
        <f t="shared" si="2"/>
        <v>0.04400852648</v>
      </c>
      <c r="Q97" s="16">
        <f>IFERROR(__xludf.DUMMYFUNCTION("IF(OR(ISBLANK($G97), IFERROR(INDEX(GOOGLEFINANCE($C97, ""price"", WORKDAY(INT($B97), 1)), 2, 2), """")=""""), """", IF($D97=""LONG"", (IFERROR(INDEX(GOOGLEFINANCE($C97, ""price"", WORKDAY(INT($B97), 1)), 2, 2), """")-$G97)/$G97, ($G97-IFERROR(INDEX(GOOGLE"&amp;"FINANCE($C97, ""price"", WORKDAY(INT($B97), 1)), 2, 2), """"))/$G97))"),-0.007770972180998881)</f>
        <v>-0.007770972181</v>
      </c>
      <c r="R97" s="16">
        <f>IFERROR(__xludf.DUMMYFUNCTION("IF(OR(ISBLANK($G97), IFERROR(INDEX(GOOGLEFINANCE($C97, ""price"", WORKDAY(INT($B97), 5)), 2, 2), """")=""""), """", IF($D97=""LONG"", (IFERROR(INDEX(GOOGLEFINANCE($C97, ""price"", WORKDAY(INT($B97), 5)), 2, 2), """")-$G97)/$G97, ($G97-IFERROR(INDEX(GOOGLE"&amp;"FINANCE($C97, ""price"", WORKDAY(INT($B97), 5)), 2, 2), """"))/$G97))"),0.049998650872885166)</f>
        <v>0.04999865087</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3768</v>
      </c>
      <c r="U97" s="10" t="s">
        <v>984</v>
      </c>
      <c r="V97" s="10" t="s">
        <v>933</v>
      </c>
      <c r="W97" s="10" t="s">
        <v>51</v>
      </c>
      <c r="X97" s="10" t="s">
        <v>984</v>
      </c>
    </row>
    <row r="98">
      <c r="A98" s="9">
        <f t="shared" si="1"/>
        <v>97</v>
      </c>
      <c r="B98" s="11">
        <v>46223.66736111111</v>
      </c>
      <c r="C98" s="10" t="s">
        <v>257</v>
      </c>
      <c r="D98" s="10" t="s">
        <v>36</v>
      </c>
      <c r="E98" s="10" t="s">
        <v>37</v>
      </c>
      <c r="F98" s="13">
        <v>2.0</v>
      </c>
      <c r="G98" s="14">
        <v>67.9</v>
      </c>
      <c r="H98" s="10" t="s">
        <v>3772</v>
      </c>
      <c r="I98" s="10">
        <v>94.3</v>
      </c>
      <c r="O98" s="15">
        <f>IFERROR(__xludf.DUMMYFUNCTION("IF(ISBLANK($C98), """", GOOGLEFINANCE($C98, ""price""))"),68.81)</f>
        <v>68.81</v>
      </c>
      <c r="P98" s="16">
        <f t="shared" si="2"/>
        <v>0.01340206186</v>
      </c>
      <c r="Q98" s="16">
        <f>IFERROR(__xludf.DUMMYFUNCTION("IF(OR(ISBLANK($G98), IFERROR(INDEX(GOOGLEFINANCE($C98, ""price"", WORKDAY(INT($B98), 1)), 2, 2), """")=""""), """", IF($D98=""LONG"", (IFERROR(INDEX(GOOGLEFINANCE($C98, ""price"", WORKDAY(INT($B98), 1)), 2, 2), """")-$G98)/$G98, ($G98-IFERROR(INDEX(GOOGLE"&amp;"FINANCE($C98, ""price"", WORKDAY(INT($B98), 1)), 2, 2), """"))/$G98))"),0.006038291605301864)</f>
        <v>0.006038291605</v>
      </c>
      <c r="R98" s="16">
        <f>IFERROR(__xludf.DUMMYFUNCTION("IF(OR(ISBLANK($G98), IFERROR(INDEX(GOOGLEFINANCE($C98, ""price"", WORKDAY(INT($B98), 5)), 2, 2), """")=""""), """", IF($D98=""LONG"", (IFERROR(INDEX(GOOGLEFINANCE($C98, ""price"", WORKDAY(INT($B98), 5)), 2, 2), """")-$G98)/$G98, ($G98-IFERROR(INDEX(GOOGLE"&amp;"FINANCE($C98, ""price"", WORKDAY(INT($B98), 5)), 2, 2), """"))/$G98))"),0.019293078055964478)</f>
        <v>0.01929307806</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3776</v>
      </c>
      <c r="U98" s="10" t="s">
        <v>507</v>
      </c>
      <c r="V98" s="10" t="s">
        <v>3777</v>
      </c>
      <c r="W98" s="10" t="s">
        <v>51</v>
      </c>
      <c r="X98" s="10" t="s">
        <v>2228</v>
      </c>
    </row>
    <row r="99">
      <c r="A99" s="9">
        <f t="shared" si="1"/>
        <v>98</v>
      </c>
      <c r="B99" s="11">
        <v>46223.66738425926</v>
      </c>
      <c r="C99" s="10" t="s">
        <v>123</v>
      </c>
      <c r="D99" s="10" t="s">
        <v>36</v>
      </c>
      <c r="E99" s="10" t="s">
        <v>37</v>
      </c>
      <c r="F99" s="13">
        <v>2.0</v>
      </c>
      <c r="G99" s="14">
        <v>18.07</v>
      </c>
      <c r="H99" s="10" t="s">
        <v>3780</v>
      </c>
      <c r="I99" s="10">
        <v>93.9</v>
      </c>
      <c r="O99" s="15">
        <f>IFERROR(__xludf.DUMMYFUNCTION("IF(ISBLANK($C99), """", GOOGLEFINANCE($C99, ""price""))"),17.36)</f>
        <v>17.36</v>
      </c>
      <c r="P99" s="16">
        <f t="shared" si="2"/>
        <v>-0.03929164361</v>
      </c>
      <c r="Q99" s="16">
        <f>IFERROR(__xludf.DUMMYFUNCTION("IF(OR(ISBLANK($G99), IFERROR(INDEX(GOOGLEFINANCE($C99, ""price"", WORKDAY(INT($B99), 1)), 2, 2), """")=""""), """", IF($D99=""LONG"", (IFERROR(INDEX(GOOGLEFINANCE($C99, ""price"", WORKDAY(INT($B99), 1)), 2, 2), """")-$G99)/$G99, ($G99-IFERROR(INDEX(GOOGLE"&amp;"FINANCE($C99, ""price"", WORKDAY(INT($B99), 1)), 2, 2), """"))/$G99))"),0.005534034311012807)</f>
        <v>0.005534034311</v>
      </c>
      <c r="R99" s="16">
        <f>IFERROR(__xludf.DUMMYFUNCTION("IF(OR(ISBLANK($G99), IFERROR(INDEX(GOOGLEFINANCE($C99, ""price"", WORKDAY(INT($B99), 5)), 2, 2), """")=""""), """", IF($D99=""LONG"", (IFERROR(INDEX(GOOGLEFINANCE($C99, ""price"", WORKDAY(INT($B99), 5)), 2, 2), """")-$G99)/$G99, ($G99-IFERROR(INDEX(GOOGLE"&amp;"FINANCE($C99, ""price"", WORKDAY(INT($B99), 5)), 2, 2), """"))/$G99))"),-0.05035971223021583)</f>
        <v>-0.05035971223</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3785</v>
      </c>
      <c r="U99" s="10" t="s">
        <v>932</v>
      </c>
      <c r="V99" s="10" t="s">
        <v>933</v>
      </c>
      <c r="W99" s="10" t="s">
        <v>51</v>
      </c>
      <c r="X99" s="10" t="s">
        <v>3186</v>
      </c>
    </row>
    <row r="100">
      <c r="A100" s="9">
        <f t="shared" si="1"/>
        <v>99</v>
      </c>
      <c r="B100" s="11">
        <v>46223.66736111111</v>
      </c>
      <c r="C100" s="10" t="s">
        <v>69</v>
      </c>
      <c r="D100" s="10" t="s">
        <v>36</v>
      </c>
      <c r="E100" s="10" t="s">
        <v>37</v>
      </c>
      <c r="F100" s="13">
        <v>2.0</v>
      </c>
      <c r="G100" s="14">
        <v>248.83</v>
      </c>
      <c r="H100" s="10" t="s">
        <v>3786</v>
      </c>
      <c r="I100" s="10">
        <v>94.6</v>
      </c>
      <c r="L100" s="10" t="s">
        <v>3787</v>
      </c>
      <c r="M100" s="34" t="s">
        <v>1789</v>
      </c>
      <c r="N100" s="10" t="s">
        <v>925</v>
      </c>
      <c r="O100" s="15">
        <f>IFERROR(__xludf.DUMMYFUNCTION("IF(ISBLANK($C100), """", GOOGLEFINANCE($C100, ""price""))"),256.98)</f>
        <v>256.98</v>
      </c>
      <c r="P100" s="16">
        <f t="shared" si="2"/>
        <v>0.03275328538</v>
      </c>
      <c r="Q100" s="16">
        <f>IFERROR(__xludf.DUMMYFUNCTION("IF(OR(ISBLANK($G100), IFERROR(INDEX(GOOGLEFINANCE($C100, ""price"", WORKDAY(INT($B100), 1)), 2, 2), """")=""""), """", IF($D100=""LONG"", (IFERROR(INDEX(GOOGLEFINANCE($C100, ""price"", WORKDAY(INT($B100), 1)), 2, 2), """")-$G100)/$G100, ($G100-IFERROR(IND"&amp;"EX(GOOGLEFINANCE($C100, ""price"", WORKDAY(INT($B100), 1)), 2, 2), """"))/$G100))"),0.007153478278342648)</f>
        <v>0.007153478278</v>
      </c>
      <c r="R100" s="16">
        <f>IFERROR(__xludf.DUMMYFUNCTION("IF(OR(ISBLANK($G100), IFERROR(INDEX(GOOGLEFINANCE($C100, ""price"", WORKDAY(INT($B100), 5)), 2, 2), """")=""""), """", IF($D100=""LONG"", (IFERROR(INDEX(GOOGLEFINANCE($C100, ""price"", WORKDAY(INT($B100), 5)), 2, 2), """")-$G100)/$G100, ($G100-IFERROR(IND"&amp;"EX(GOOGLEFINANCE($C100, ""price"", WORKDAY(INT($B100), 5)), 2, 2), """"))/$G100))"),0.06880199332877858)</f>
        <v>0.06880199333</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3792</v>
      </c>
      <c r="U100" s="10" t="s">
        <v>240</v>
      </c>
      <c r="V100" s="10" t="s">
        <v>3794</v>
      </c>
      <c r="W100" s="10" t="s">
        <v>51</v>
      </c>
      <c r="X100" s="10" t="s">
        <v>1905</v>
      </c>
    </row>
    <row r="101">
      <c r="A101" s="9">
        <f t="shared" si="1"/>
        <v>100</v>
      </c>
      <c r="B101" s="11">
        <v>46223.667662037034</v>
      </c>
      <c r="C101" s="10" t="s">
        <v>41</v>
      </c>
      <c r="D101" s="10" t="s">
        <v>36</v>
      </c>
      <c r="E101" s="10" t="s">
        <v>37</v>
      </c>
      <c r="F101" s="13">
        <v>2.0</v>
      </c>
      <c r="G101" s="14">
        <v>184.25</v>
      </c>
      <c r="H101" s="10" t="s">
        <v>3797</v>
      </c>
      <c r="I101" s="10">
        <v>75.0</v>
      </c>
      <c r="O101" s="15">
        <f>IFERROR(__xludf.DUMMYFUNCTION("IF(ISBLANK($C101), """", GOOGLEFINANCE($C101, ""price""))"),186.02)</f>
        <v>186.02</v>
      </c>
      <c r="P101" s="16">
        <f t="shared" si="2"/>
        <v>0.00960651289</v>
      </c>
      <c r="Q101" s="16">
        <f>IFERROR(__xludf.DUMMYFUNCTION("IF(OR(ISBLANK($G101), IFERROR(INDEX(GOOGLEFINANCE($C101, ""price"", WORKDAY(INT($B101), 1)), 2, 2), """")=""""), """", IF($D101=""LONG"", (IFERROR(INDEX(GOOGLEFINANCE($C101, ""price"", WORKDAY(INT($B101), 1)), 2, 2), """")-$G101)/$G101, ($G101-IFERROR(IND"&amp;"EX(GOOGLEFINANCE($C101, ""price"", WORKDAY(INT($B101), 1)), 2, 2), """"))/$G101))"),4.884667571234921E-4)</f>
        <v>0.0004884667571</v>
      </c>
      <c r="R101" s="16">
        <f>IFERROR(__xludf.DUMMYFUNCTION("IF(OR(ISBLANK($G101), IFERROR(INDEX(GOOGLEFINANCE($C101, ""price"", WORKDAY(INT($B101), 5)), 2, 2), """")=""""), """", IF($D101=""LONG"", (IFERROR(INDEX(GOOGLEFINANCE($C101, ""price"", WORKDAY(INT($B101), 5)), 2, 2), """")-$G101)/$G101, ($G101-IFERROR(IND"&amp;"EX(GOOGLEFINANCE($C101, ""price"", WORKDAY(INT($B101), 5)), 2, 2), """"))/$G101))"),-0.053622795115332404)</f>
        <v>-0.05362279512</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3802</v>
      </c>
      <c r="U101" s="10" t="s">
        <v>984</v>
      </c>
      <c r="V101" s="10" t="s">
        <v>933</v>
      </c>
      <c r="W101" s="10" t="s">
        <v>51</v>
      </c>
      <c r="X101" s="10" t="s">
        <v>984</v>
      </c>
    </row>
    <row r="102">
      <c r="A102" s="9">
        <f t="shared" si="1"/>
        <v>101</v>
      </c>
      <c r="B102" s="11">
        <v>46223.66751157407</v>
      </c>
      <c r="C102" s="10" t="s">
        <v>337</v>
      </c>
      <c r="D102" s="10" t="s">
        <v>119</v>
      </c>
      <c r="E102" s="10" t="s">
        <v>120</v>
      </c>
      <c r="F102" s="13">
        <v>4.0</v>
      </c>
      <c r="G102" s="14">
        <v>43.5</v>
      </c>
      <c r="H102" s="10" t="s">
        <v>3804</v>
      </c>
      <c r="I102" s="10">
        <v>9.6</v>
      </c>
      <c r="O102" s="15">
        <f>IFERROR(__xludf.DUMMYFUNCTION("IF(ISBLANK($C102), """", GOOGLEFINANCE($C102, ""price""))"),46.99)</f>
        <v>46.99</v>
      </c>
      <c r="P102" s="16">
        <f t="shared" si="2"/>
        <v>-0.08022988506</v>
      </c>
      <c r="Q102" s="16">
        <f>IFERROR(__xludf.DUMMYFUNCTION("IF(OR(ISBLANK($G102), IFERROR(INDEX(GOOGLEFINANCE($C102, ""price"", WORKDAY(INT($B102), 1)), 2, 2), """")=""""), """", IF($D102=""LONG"", (IFERROR(INDEX(GOOGLEFINANCE($C102, ""price"", WORKDAY(INT($B102), 1)), 2, 2), """")-$G102)/$G102, ($G102-IFERROR(IND"&amp;"EX(GOOGLEFINANCE($C102, ""price"", WORKDAY(INT($B102), 1)), 2, 2), """"))/$G102))"),-0.006436781609195428)</f>
        <v>-0.006436781609</v>
      </c>
      <c r="R102" s="16">
        <f>IFERROR(__xludf.DUMMYFUNCTION("IF(OR(ISBLANK($G102), IFERROR(INDEX(GOOGLEFINANCE($C102, ""price"", WORKDAY(INT($B102), 5)), 2, 2), """")=""""), """", IF($D102=""LONG"", (IFERROR(INDEX(GOOGLEFINANCE($C102, ""price"", WORKDAY(INT($B102), 5)), 2, 2), """")-$G102)/$G102, ($G102-IFERROR(IND"&amp;"EX(GOOGLEFINANCE($C102, ""price"", WORKDAY(INT($B102), 5)), 2, 2), """"))/$G102))"),-0.087816091954023)</f>
        <v>-0.08781609195</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3808</v>
      </c>
      <c r="U102" s="10" t="s">
        <v>492</v>
      </c>
      <c r="V102" s="10" t="s">
        <v>493</v>
      </c>
      <c r="W102" s="10" t="s">
        <v>51</v>
      </c>
      <c r="X102" s="10" t="s">
        <v>492</v>
      </c>
    </row>
    <row r="103">
      <c r="A103" s="9">
        <f t="shared" si="1"/>
        <v>102</v>
      </c>
      <c r="B103" s="11">
        <v>46223.66743055556</v>
      </c>
      <c r="C103" s="10" t="s">
        <v>1198</v>
      </c>
      <c r="D103" s="10" t="s">
        <v>36</v>
      </c>
      <c r="E103" s="10" t="s">
        <v>37</v>
      </c>
      <c r="F103" s="13">
        <v>2.0</v>
      </c>
      <c r="G103" s="14">
        <v>352.55</v>
      </c>
      <c r="H103" s="10" t="s">
        <v>3810</v>
      </c>
      <c r="I103" s="10">
        <v>95.1</v>
      </c>
      <c r="O103" s="15">
        <f>IFERROR(__xludf.DUMMYFUNCTION("IF(ISBLANK($C103), """", GOOGLEFINANCE($C103, ""price""))"),354.03)</f>
        <v>354.03</v>
      </c>
      <c r="P103" s="16">
        <f t="shared" si="2"/>
        <v>0.004197986101</v>
      </c>
      <c r="Q103" s="16">
        <f>IFERROR(__xludf.DUMMYFUNCTION("IF(OR(ISBLANK($G103), IFERROR(INDEX(GOOGLEFINANCE($C103, ""price"", WORKDAY(INT($B103), 1)), 2, 2), """")=""""), """", IF($D103=""LONG"", (IFERROR(INDEX(GOOGLEFINANCE($C103, ""price"", WORKDAY(INT($B103), 1)), 2, 2), """")-$G103)/$G103, ($G103-IFERROR(IND"&amp;"EX(GOOGLEFINANCE($C103, ""price"", WORKDAY(INT($B103), 1)), 2, 2), """"))/$G103))"),0.0063820734647567715)</f>
        <v>0.006382073465</v>
      </c>
      <c r="R103" s="16">
        <f>IFERROR(__xludf.DUMMYFUNCTION("IF(OR(ISBLANK($G103), IFERROR(INDEX(GOOGLEFINANCE($C103, ""price"", WORKDAY(INT($B103), 5)), 2, 2), """")=""""), """", IF($D103=""LONG"", (IFERROR(INDEX(GOOGLEFINANCE($C103, ""price"", WORKDAY(INT($B103), 5)), 2, 2), """")-$G103)/$G103, ($G103-IFERROR(IND"&amp;"EX(GOOGLEFINANCE($C103, ""price"", WORKDAY(INT($B103), 5)), 2, 2), """"))/$G103))"),0.01803999432704585)</f>
        <v>0.01803999433</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3815</v>
      </c>
      <c r="U103" s="10" t="s">
        <v>984</v>
      </c>
      <c r="V103" s="10" t="s">
        <v>933</v>
      </c>
      <c r="W103" s="10" t="s">
        <v>51</v>
      </c>
      <c r="X103" s="10" t="s">
        <v>984</v>
      </c>
    </row>
    <row r="104">
      <c r="A104" s="9">
        <f t="shared" si="1"/>
        <v>103</v>
      </c>
      <c r="B104" s="11">
        <v>46223.667662037034</v>
      </c>
      <c r="C104" s="10" t="s">
        <v>234</v>
      </c>
      <c r="D104" s="10" t="s">
        <v>36</v>
      </c>
      <c r="E104" s="10" t="s">
        <v>37</v>
      </c>
      <c r="F104" s="13">
        <v>2.0</v>
      </c>
      <c r="G104" s="14">
        <v>63.17</v>
      </c>
      <c r="H104" s="10" t="s">
        <v>3816</v>
      </c>
      <c r="I104" s="10">
        <v>92.5</v>
      </c>
      <c r="O104" s="15">
        <f>IFERROR(__xludf.DUMMYFUNCTION("IF(ISBLANK($C104), """", GOOGLEFINANCE($C104, ""price""))"),63.81)</f>
        <v>63.81</v>
      </c>
      <c r="P104" s="16">
        <f t="shared" si="2"/>
        <v>0.01013139148</v>
      </c>
      <c r="Q104" s="16">
        <f>IFERROR(__xludf.DUMMYFUNCTION("IF(OR(ISBLANK($G104), IFERROR(INDEX(GOOGLEFINANCE($C104, ""price"", WORKDAY(INT($B104), 1)), 2, 2), """")=""""), """", IF($D104=""LONG"", (IFERROR(INDEX(GOOGLEFINANCE($C104, ""price"", WORKDAY(INT($B104), 1)), 2, 2), """")-$G104)/$G104, ($G104-IFERROR(IND"&amp;"EX(GOOGLEFINANCE($C104, ""price"", WORKDAY(INT($B104), 1)), 2, 2), """"))/$G104))"),0.008548361564033546)</f>
        <v>0.008548361564</v>
      </c>
      <c r="R104" s="16">
        <f>IFERROR(__xludf.DUMMYFUNCTION("IF(OR(ISBLANK($G104), IFERROR(INDEX(GOOGLEFINANCE($C104, ""price"", WORKDAY(INT($B104), 5)), 2, 2), """")=""""), """", IF($D104=""LONG"", (IFERROR(INDEX(GOOGLEFINANCE($C104, ""price"", WORKDAY(INT($B104), 5)), 2, 2), """")-$G104)/$G104, ($G104-IFERROR(IND"&amp;"EX(GOOGLEFINANCE($C104, ""price"", WORKDAY(INT($B104), 5)), 2, 2), """"))/$G104))"),0.005065695741649522)</f>
        <v>0.005065695742</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3823</v>
      </c>
      <c r="U104" s="10" t="s">
        <v>932</v>
      </c>
      <c r="V104" s="10" t="s">
        <v>933</v>
      </c>
      <c r="W104" s="10" t="s">
        <v>51</v>
      </c>
      <c r="X104" s="10" t="s">
        <v>3186</v>
      </c>
    </row>
    <row r="105">
      <c r="A105" s="9">
        <f t="shared" si="1"/>
        <v>104</v>
      </c>
      <c r="B105" s="11">
        <v>46223.66774305556</v>
      </c>
      <c r="C105" s="10" t="s">
        <v>128</v>
      </c>
      <c r="D105" s="10" t="s">
        <v>36</v>
      </c>
      <c r="E105" s="10" t="s">
        <v>37</v>
      </c>
      <c r="F105" s="13">
        <v>2.0</v>
      </c>
      <c r="G105" s="14">
        <v>406.51</v>
      </c>
      <c r="H105" s="10" t="s">
        <v>3826</v>
      </c>
      <c r="I105" s="10">
        <v>86.6</v>
      </c>
      <c r="O105" s="15">
        <f>IFERROR(__xludf.DUMMYFUNCTION("IF(ISBLANK($C105), """", GOOGLEFINANCE($C105, ""price""))"),414.68)</f>
        <v>414.68</v>
      </c>
      <c r="P105" s="16">
        <f t="shared" si="2"/>
        <v>0.02009790657</v>
      </c>
      <c r="Q105" s="16">
        <f>IFERROR(__xludf.DUMMYFUNCTION("IF(OR(ISBLANK($G105), IFERROR(INDEX(GOOGLEFINANCE($C105, ""price"", WORKDAY(INT($B105), 1)), 2, 2), """")=""""), """", IF($D105=""LONG"", (IFERROR(INDEX(GOOGLEFINANCE($C105, ""price"", WORKDAY(INT($B105), 1)), 2, 2), """")-$G105)/$G105, ($G105-IFERROR(IND"&amp;"EX(GOOGLEFINANCE($C105, ""price"", WORKDAY(INT($B105), 1)), 2, 2), """"))/$G105))"),-0.006174509852156136)</f>
        <v>-0.006174509852</v>
      </c>
      <c r="R105" s="16">
        <f>IFERROR(__xludf.DUMMYFUNCTION("IF(OR(ISBLANK($G105), IFERROR(INDEX(GOOGLEFINANCE($C105, ""price"", WORKDAY(INT($B105), 5)), 2, 2), """")=""""), """", IF($D105=""LONG"", (IFERROR(INDEX(GOOGLEFINANCE($C105, ""price"", WORKDAY(INT($B105), 5)), 2, 2), """")-$G105)/$G105, ($G105-IFERROR(IND"&amp;"EX(GOOGLEFINANCE($C105, ""price"", WORKDAY(INT($B105), 5)), 2, 2), """"))/$G105))"),0.0022385673169172345)</f>
        <v>0.002238567317</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3831</v>
      </c>
      <c r="U105" s="10" t="s">
        <v>984</v>
      </c>
      <c r="V105" s="10" t="s">
        <v>998</v>
      </c>
      <c r="W105" s="10" t="s">
        <v>51</v>
      </c>
      <c r="X105" s="10" t="s">
        <v>984</v>
      </c>
    </row>
    <row r="106">
      <c r="A106" s="9">
        <f t="shared" si="1"/>
        <v>105</v>
      </c>
      <c r="B106" s="11">
        <v>46223.66769675926</v>
      </c>
      <c r="C106" s="10" t="s">
        <v>226</v>
      </c>
      <c r="D106" s="10" t="s">
        <v>36</v>
      </c>
      <c r="E106" s="10" t="s">
        <v>37</v>
      </c>
      <c r="F106" s="13">
        <v>2.0</v>
      </c>
      <c r="G106" s="14">
        <v>22.29</v>
      </c>
      <c r="H106" s="10" t="s">
        <v>3833</v>
      </c>
      <c r="I106" s="10">
        <v>87.8</v>
      </c>
      <c r="O106" s="15">
        <f>IFERROR(__xludf.DUMMYFUNCTION("IF(ISBLANK($C106), """", GOOGLEFINANCE($C106, ""price""))"),21.1)</f>
        <v>21.1</v>
      </c>
      <c r="P106" s="16">
        <f t="shared" si="2"/>
        <v>-0.05338716913</v>
      </c>
      <c r="Q106" s="16">
        <f>IFERROR(__xludf.DUMMYFUNCTION("IF(OR(ISBLANK($G106), IFERROR(INDEX(GOOGLEFINANCE($C106, ""price"", WORKDAY(INT($B106), 1)), 2, 2), """")=""""), """", IF($D106=""LONG"", (IFERROR(INDEX(GOOGLEFINANCE($C106, ""price"", WORKDAY(INT($B106), 1)), 2, 2), """")-$G106)/$G106, ($G106-IFERROR(IND"&amp;"EX(GOOGLEFINANCE($C106, ""price"", WORKDAY(INT($B106), 1)), 2, 2), """"))/$G106))"),0.013907581875280498)</f>
        <v>0.01390758188</v>
      </c>
      <c r="R106" s="16">
        <f>IFERROR(__xludf.DUMMYFUNCTION("IF(OR(ISBLANK($G106), IFERROR(INDEX(GOOGLEFINANCE($C106, ""price"", WORKDAY(INT($B106), 5)), 2, 2), """")=""""), """", IF($D106=""LONG"", (IFERROR(INDEX(GOOGLEFINANCE($C106, ""price"", WORKDAY(INT($B106), 5)), 2, 2), """")-$G106)/$G106, ($G106-IFERROR(IND"&amp;"EX(GOOGLEFINANCE($C106, ""price"", WORKDAY(INT($B106), 5)), 2, 2), """"))/$G106))"),0.010318528488111281)</f>
        <v>0.01031852849</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3839</v>
      </c>
      <c r="U106" s="10" t="s">
        <v>932</v>
      </c>
      <c r="V106" s="10" t="s">
        <v>933</v>
      </c>
      <c r="W106" s="10" t="s">
        <v>51</v>
      </c>
      <c r="X106" s="10" t="s">
        <v>3186</v>
      </c>
    </row>
    <row r="107">
      <c r="A107" s="9">
        <f t="shared" si="1"/>
        <v>106</v>
      </c>
      <c r="B107" s="11">
        <v>46223.66774305556</v>
      </c>
      <c r="C107" s="10" t="s">
        <v>3104</v>
      </c>
      <c r="D107" s="10" t="s">
        <v>36</v>
      </c>
      <c r="E107" s="10" t="s">
        <v>37</v>
      </c>
      <c r="F107" s="13">
        <v>2.0</v>
      </c>
      <c r="G107" s="14">
        <v>168.27</v>
      </c>
      <c r="H107" s="10" t="s">
        <v>3841</v>
      </c>
      <c r="I107" s="10">
        <v>89.0</v>
      </c>
      <c r="O107" s="15">
        <f>IFERROR(__xludf.DUMMYFUNCTION("IF(ISBLANK($C107), """", GOOGLEFINANCE($C107, ""price""))"),179.33)</f>
        <v>179.33</v>
      </c>
      <c r="P107" s="16">
        <f t="shared" si="2"/>
        <v>0.06572769953</v>
      </c>
      <c r="Q107" s="16">
        <f>IFERROR(__xludf.DUMMYFUNCTION("IF(OR(ISBLANK($G107), IFERROR(INDEX(GOOGLEFINANCE($C107, ""price"", WORKDAY(INT($B107), 1)), 2, 2), """")=""""), """", IF($D107=""LONG"", (IFERROR(INDEX(GOOGLEFINANCE($C107, ""price"", WORKDAY(INT($B107), 1)), 2, 2), """")-$G107)/$G107, ($G107-IFERROR(IND"&amp;"EX(GOOGLEFINANCE($C107, ""price"", WORKDAY(INT($B107), 1)), 2, 2), """"))/$G107))"),-0.002020562191715715)</f>
        <v>-0.002020562192</v>
      </c>
      <c r="R107" s="16">
        <f>IFERROR(__xludf.DUMMYFUNCTION("IF(OR(ISBLANK($G107), IFERROR(INDEX(GOOGLEFINANCE($C107, ""price"", WORKDAY(INT($B107), 5)), 2, 2), """")=""""), """", IF($D107=""LONG"", (IFERROR(INDEX(GOOGLEFINANCE($C107, ""price"", WORKDAY(INT($B107), 5)), 2, 2), """")-$G107)/$G107, ($G107-IFERROR(IND"&amp;"EX(GOOGLEFINANCE($C107, ""price"", WORKDAY(INT($B107), 5)), 2, 2), """"))/$G107))"),0.03167528377013124)</f>
        <v>0.03167528377</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3847</v>
      </c>
      <c r="U107" s="10" t="s">
        <v>984</v>
      </c>
      <c r="V107" s="10" t="s">
        <v>2785</v>
      </c>
      <c r="W107" s="10" t="s">
        <v>51</v>
      </c>
      <c r="X107" s="10" t="s">
        <v>984</v>
      </c>
    </row>
    <row r="108">
      <c r="A108" s="9">
        <f t="shared" si="1"/>
        <v>107</v>
      </c>
      <c r="B108" s="11">
        <v>46223.66773148148</v>
      </c>
      <c r="C108" s="10" t="s">
        <v>76</v>
      </c>
      <c r="D108" s="10" t="s">
        <v>36</v>
      </c>
      <c r="E108" s="10" t="s">
        <v>37</v>
      </c>
      <c r="F108" s="13">
        <v>2.0</v>
      </c>
      <c r="G108" s="14">
        <v>271.68</v>
      </c>
      <c r="H108" s="10" t="s">
        <v>3848</v>
      </c>
      <c r="I108" s="10">
        <v>94.8</v>
      </c>
      <c r="O108" s="15">
        <f>IFERROR(__xludf.DUMMYFUNCTION("IF(ISBLANK($C108), """", GOOGLEFINANCE($C108, ""price""))"),294.7)</f>
        <v>294.7</v>
      </c>
      <c r="P108" s="16">
        <f t="shared" si="2"/>
        <v>0.08473203769</v>
      </c>
      <c r="Q108" s="16">
        <f>IFERROR(__xludf.DUMMYFUNCTION("IF(OR(ISBLANK($G108), IFERROR(INDEX(GOOGLEFINANCE($C108, ""price"", WORKDAY(INT($B108), 1)), 2, 2), """")=""""), """", IF($D108=""LONG"", (IFERROR(INDEX(GOOGLEFINANCE($C108, ""price"", WORKDAY(INT($B108), 1)), 2, 2), """")-$G108)/$G108, ($G108-IFERROR(IND"&amp;"EX(GOOGLEFINANCE($C108, ""price"", WORKDAY(INT($B108), 1)), 2, 2), """"))/$G108))"),0.001141048292108371)</f>
        <v>0.001141048292</v>
      </c>
      <c r="R108" s="16">
        <f>IFERROR(__xludf.DUMMYFUNCTION("IF(OR(ISBLANK($G108), IFERROR(INDEX(GOOGLEFINANCE($C108, ""price"", WORKDAY(INT($B108), 5)), 2, 2), """")=""""), """", IF($D108=""LONG"", (IFERROR(INDEX(GOOGLEFINANCE($C108, ""price"", WORKDAY(INT($B108), 5)), 2, 2), """")-$G108)/$G108, ($G108-IFERROR(IND"&amp;"EX(GOOGLEFINANCE($C108, ""price"", WORKDAY(INT($B108), 5)), 2, 2), """"))/$G108))"),0.04836572438162539)</f>
        <v>0.04836572438</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3854</v>
      </c>
      <c r="U108" s="10" t="s">
        <v>932</v>
      </c>
      <c r="V108" s="10" t="s">
        <v>933</v>
      </c>
      <c r="W108" s="10" t="s">
        <v>51</v>
      </c>
      <c r="X108" s="10" t="s">
        <v>3186</v>
      </c>
    </row>
    <row r="109">
      <c r="A109" s="9">
        <f t="shared" si="1"/>
        <v>108</v>
      </c>
      <c r="B109" s="11">
        <v>46223.66752314815</v>
      </c>
      <c r="C109" s="10" t="s">
        <v>1255</v>
      </c>
      <c r="D109" s="10" t="s">
        <v>36</v>
      </c>
      <c r="E109" s="10" t="s">
        <v>37</v>
      </c>
      <c r="F109" s="13">
        <v>2.0</v>
      </c>
      <c r="G109" s="14">
        <v>77.25</v>
      </c>
      <c r="H109" s="10" t="s">
        <v>3858</v>
      </c>
      <c r="I109" s="10">
        <v>87.8</v>
      </c>
      <c r="O109" s="15">
        <f>IFERROR(__xludf.DUMMYFUNCTION("IF(ISBLANK($C109), """", GOOGLEFINANCE($C109, ""price""))"),67.23)</f>
        <v>67.23</v>
      </c>
      <c r="P109" s="16">
        <f t="shared" si="2"/>
        <v>-0.1297087379</v>
      </c>
      <c r="Q109" s="16">
        <f>IFERROR(__xludf.DUMMYFUNCTION("IF(OR(ISBLANK($G109), IFERROR(INDEX(GOOGLEFINANCE($C109, ""price"", WORKDAY(INT($B109), 1)), 2, 2), """")=""""), """", IF($D109=""LONG"", (IFERROR(INDEX(GOOGLEFINANCE($C109, ""price"", WORKDAY(INT($B109), 1)), 2, 2), """")-$G109)/$G109, ($G109-IFERROR(IND"&amp;"EX(GOOGLEFINANCE($C109, ""price"", WORKDAY(INT($B109), 1)), 2, 2), """"))/$G109))"),0.01190938511326863)</f>
        <v>0.01190938511</v>
      </c>
      <c r="R109" s="16">
        <f>IFERROR(__xludf.DUMMYFUNCTION("IF(OR(ISBLANK($G109), IFERROR(INDEX(GOOGLEFINANCE($C109, ""price"", WORKDAY(INT($B109), 5)), 2, 2), """")=""""), """", IF($D109=""LONG"", (IFERROR(INDEX(GOOGLEFINANCE($C109, ""price"", WORKDAY(INT($B109), 5)), 2, 2), """")-$G109)/$G109, ($G109-IFERROR(IND"&amp;"EX(GOOGLEFINANCE($C109, ""price"", WORKDAY(INT($B109), 5)), 2, 2), """"))/$G109))"),0.017993527508090624)</f>
        <v>0.01799352751</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3863</v>
      </c>
      <c r="U109" s="10" t="s">
        <v>984</v>
      </c>
      <c r="V109" s="10" t="s">
        <v>2714</v>
      </c>
      <c r="W109" s="10" t="s">
        <v>51</v>
      </c>
      <c r="X109" s="10" t="s">
        <v>984</v>
      </c>
    </row>
    <row r="110">
      <c r="A110" s="9">
        <f t="shared" si="1"/>
        <v>109</v>
      </c>
      <c r="B110" s="11">
        <v>46223.667905092596</v>
      </c>
      <c r="C110" s="10" t="s">
        <v>1778</v>
      </c>
      <c r="D110" s="10" t="s">
        <v>36</v>
      </c>
      <c r="E110" s="10" t="s">
        <v>37</v>
      </c>
      <c r="F110" s="13">
        <v>2.0</v>
      </c>
      <c r="G110" s="14">
        <v>86.79</v>
      </c>
      <c r="H110" s="10" t="s">
        <v>562</v>
      </c>
      <c r="I110" s="10">
        <v>94.8</v>
      </c>
      <c r="O110" s="15">
        <f>IFERROR(__xludf.DUMMYFUNCTION("IF(ISBLANK($C110), """", GOOGLEFINANCE($C110, ""price""))"),76.86)</f>
        <v>76.86</v>
      </c>
      <c r="P110" s="16">
        <f t="shared" si="2"/>
        <v>-0.114414103</v>
      </c>
      <c r="Q110" s="16">
        <f>IFERROR(__xludf.DUMMYFUNCTION("IF(OR(ISBLANK($G110), IFERROR(INDEX(GOOGLEFINANCE($C110, ""price"", WORKDAY(INT($B110), 1)), 2, 2), """")=""""), """", IF($D110=""LONG"", (IFERROR(INDEX(GOOGLEFINANCE($C110, ""price"", WORKDAY(INT($B110), 1)), 2, 2), """")-$G110)/$G110, ($G110-IFERROR(IND"&amp;"EX(GOOGLEFINANCE($C110, ""price"", WORKDAY(INT($B110), 1)), 2, 2), """"))/$G110))"),0.0017283097131004892)</f>
        <v>0.001728309713</v>
      </c>
      <c r="R110" s="16">
        <f>IFERROR(__xludf.DUMMYFUNCTION("IF(OR(ISBLANK($G110), IFERROR(INDEX(GOOGLEFINANCE($C110, ""price"", WORKDAY(INT($B110), 5)), 2, 2), """")=""""), """", IF($D110=""LONG"", (IFERROR(INDEX(GOOGLEFINANCE($C110, ""price"", WORKDAY(INT($B110), 5)), 2, 2), """")-$G110)/$G110, ($G110-IFERROR(IND"&amp;"EX(GOOGLEFINANCE($C110, ""price"", WORKDAY(INT($B110), 5)), 2, 2), """"))/$G110))"),0.009102431155663003)</f>
        <v>0.009102431156</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3869</v>
      </c>
      <c r="U110" s="10" t="s">
        <v>984</v>
      </c>
      <c r="V110" s="10" t="s">
        <v>2785</v>
      </c>
      <c r="W110" s="10" t="s">
        <v>51</v>
      </c>
      <c r="X110" s="10" t="s">
        <v>984</v>
      </c>
    </row>
    <row r="111">
      <c r="A111" s="9">
        <f t="shared" si="1"/>
        <v>110</v>
      </c>
      <c r="B111" s="11">
        <v>46223.667546296296</v>
      </c>
      <c r="C111" s="10" t="s">
        <v>2941</v>
      </c>
      <c r="D111" s="10" t="s">
        <v>119</v>
      </c>
      <c r="E111" s="10" t="s">
        <v>120</v>
      </c>
      <c r="F111" s="13">
        <v>4.0</v>
      </c>
      <c r="G111" s="14">
        <v>155.69</v>
      </c>
      <c r="H111" s="10" t="s">
        <v>3871</v>
      </c>
      <c r="I111" s="10">
        <v>4.2</v>
      </c>
      <c r="O111" s="15">
        <f>IFERROR(__xludf.DUMMYFUNCTION("IF(ISBLANK($C111), """", GOOGLEFINANCE($C111, ""price""))"),162.06)</f>
        <v>162.06</v>
      </c>
      <c r="P111" s="16">
        <f t="shared" si="2"/>
        <v>-0.04091463806</v>
      </c>
      <c r="Q111" s="16">
        <f>IFERROR(__xludf.DUMMYFUNCTION("IF(OR(ISBLANK($G111), IFERROR(INDEX(GOOGLEFINANCE($C111, ""price"", WORKDAY(INT($B111), 1)), 2, 2), """")=""""), """", IF($D111=""LONG"", (IFERROR(INDEX(GOOGLEFINANCE($C111, ""price"", WORKDAY(INT($B111), 1)), 2, 2), """")-$G111)/$G111, ($G111-IFERROR(IND"&amp;"EX(GOOGLEFINANCE($C111, ""price"", WORKDAY(INT($B111), 1)), 2, 2), """"))/$G111))"),0.004110732866593785)</f>
        <v>0.004110732867</v>
      </c>
      <c r="R111" s="16">
        <f>IFERROR(__xludf.DUMMYFUNCTION("IF(OR(ISBLANK($G111), IFERROR(INDEX(GOOGLEFINANCE($C111, ""price"", WORKDAY(INT($B111), 5)), 2, 2), """")=""""), """", IF($D111=""LONG"", (IFERROR(INDEX(GOOGLEFINANCE($C111, ""price"", WORKDAY(INT($B111), 5)), 2, 2), """")-$G111)/$G111, ($G111-IFERROR(IND"&amp;"EX(GOOGLEFINANCE($C111, ""price"", WORKDAY(INT($B111), 5)), 2, 2), """"))/$G111))"),-0.004431883871796504)</f>
        <v>-0.004431883872</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3879</v>
      </c>
      <c r="U111" s="10" t="s">
        <v>984</v>
      </c>
      <c r="V111" s="10" t="s">
        <v>985</v>
      </c>
      <c r="W111" s="10" t="s">
        <v>51</v>
      </c>
      <c r="X111" s="10" t="s">
        <v>984</v>
      </c>
    </row>
    <row r="112">
      <c r="A112" s="9">
        <f t="shared" si="1"/>
        <v>111</v>
      </c>
      <c r="B112" s="11">
        <v>46223.66774305556</v>
      </c>
      <c r="C112" s="10" t="s">
        <v>3081</v>
      </c>
      <c r="D112" s="10" t="s">
        <v>36</v>
      </c>
      <c r="E112" s="10" t="s">
        <v>37</v>
      </c>
      <c r="F112" s="13">
        <v>2.0</v>
      </c>
      <c r="G112" s="14">
        <v>17.43</v>
      </c>
      <c r="H112" s="10" t="s">
        <v>3881</v>
      </c>
      <c r="I112" s="10">
        <v>88.8</v>
      </c>
      <c r="O112" s="15">
        <f>IFERROR(__xludf.DUMMYFUNCTION("IF(ISBLANK($C112), """", GOOGLEFINANCE($C112, ""price""))"),17.0)</f>
        <v>17</v>
      </c>
      <c r="P112" s="16">
        <f t="shared" si="2"/>
        <v>-0.02467010901</v>
      </c>
      <c r="Q112" s="16">
        <f>IFERROR(__xludf.DUMMYFUNCTION("IF(OR(ISBLANK($G112), IFERROR(INDEX(GOOGLEFINANCE($C112, ""price"", WORKDAY(INT($B112), 1)), 2, 2), """")=""""), """", IF($D112=""LONG"", (IFERROR(INDEX(GOOGLEFINANCE($C112, ""price"", WORKDAY(INT($B112), 1)), 2, 2), """")-$G112)/$G112, ($G112-IFERROR(IND"&amp;"EX(GOOGLEFINANCE($C112, ""price"", WORKDAY(INT($B112), 1)), 2, 2), """"))/$G112))"),0.003442340791738309)</f>
        <v>0.003442340792</v>
      </c>
      <c r="R112" s="16">
        <f>IFERROR(__xludf.DUMMYFUNCTION("IF(OR(ISBLANK($G112), IFERROR(INDEX(GOOGLEFINANCE($C112, ""price"", WORKDAY(INT($B112), 5)), 2, 2), """")=""""), """", IF($D112=""LONG"", (IFERROR(INDEX(GOOGLEFINANCE($C112, ""price"", WORKDAY(INT($B112), 5)), 2, 2), """")-$G112)/$G112, ($G112-IFERROR(IND"&amp;"EX(GOOGLEFINANCE($C112, ""price"", WORKDAY(INT($B112), 5)), 2, 2), """"))/$G112))"),0.009753298909925514)</f>
        <v>0.00975329891</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3885</v>
      </c>
      <c r="U112" s="10" t="s">
        <v>984</v>
      </c>
      <c r="V112" s="10" t="s">
        <v>2714</v>
      </c>
      <c r="W112" s="10" t="s">
        <v>51</v>
      </c>
      <c r="X112" s="10" t="s">
        <v>984</v>
      </c>
    </row>
    <row r="113">
      <c r="A113" s="9">
        <f t="shared" si="1"/>
        <v>112</v>
      </c>
      <c r="B113" s="11">
        <v>46223.667395833334</v>
      </c>
      <c r="C113" s="10" t="s">
        <v>162</v>
      </c>
      <c r="D113" s="10" t="s">
        <v>36</v>
      </c>
      <c r="E113" s="10" t="s">
        <v>37</v>
      </c>
      <c r="F113" s="13">
        <v>2.0</v>
      </c>
      <c r="G113" s="14">
        <v>48.36</v>
      </c>
      <c r="H113" s="10" t="s">
        <v>3888</v>
      </c>
      <c r="I113" s="10">
        <v>89.6</v>
      </c>
      <c r="O113" s="15">
        <f>IFERROR(__xludf.DUMMYFUNCTION("IF(ISBLANK($C113), """", GOOGLEFINANCE($C113, ""price""))"),46.94)</f>
        <v>46.94</v>
      </c>
      <c r="P113" s="16">
        <f t="shared" si="2"/>
        <v>-0.02936311001</v>
      </c>
      <c r="Q113" s="16">
        <f>IFERROR(__xludf.DUMMYFUNCTION("IF(OR(ISBLANK($G113), IFERROR(INDEX(GOOGLEFINANCE($C113, ""price"", WORKDAY(INT($B113), 1)), 2, 2), """")=""""), """", IF($D113=""LONG"", (IFERROR(INDEX(GOOGLEFINANCE($C113, ""price"", WORKDAY(INT($B113), 1)), 2, 2), """")-$G113)/$G113, ($G113-IFERROR(IND"&amp;"EX(GOOGLEFINANCE($C113, ""price"", WORKDAY(INT($B113), 1)), 2, 2), """"))/$G113))"),0.006823821339950337)</f>
        <v>0.00682382134</v>
      </c>
      <c r="R113" s="16">
        <f>IFERROR(__xludf.DUMMYFUNCTION("IF(OR(ISBLANK($G113), IFERROR(INDEX(GOOGLEFINANCE($C113, ""price"", WORKDAY(INT($B113), 5)), 2, 2), """")=""""), """", IF($D113=""LONG"", (IFERROR(INDEX(GOOGLEFINANCE($C113, ""price"", WORKDAY(INT($B113), 5)), 2, 2), """")-$G113)/$G113, ($G113-IFERROR(IND"&amp;"EX(GOOGLEFINANCE($C113, ""price"", WORKDAY(INT($B113), 5)), 2, 2), """"))/$G113))"),-0.06162117452440027)</f>
        <v>-0.06162117452</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3892</v>
      </c>
      <c r="U113" s="10" t="s">
        <v>984</v>
      </c>
      <c r="V113" s="10" t="s">
        <v>933</v>
      </c>
      <c r="W113" s="10" t="s">
        <v>51</v>
      </c>
      <c r="X113" s="10" t="s">
        <v>984</v>
      </c>
    </row>
    <row r="114">
      <c r="A114" s="9">
        <f t="shared" si="1"/>
        <v>113</v>
      </c>
      <c r="B114" s="11">
        <v>46223.667719907404</v>
      </c>
      <c r="C114" s="10" t="s">
        <v>258</v>
      </c>
      <c r="D114" s="10" t="s">
        <v>36</v>
      </c>
      <c r="E114" s="10" t="s">
        <v>37</v>
      </c>
      <c r="F114" s="13">
        <v>2.0</v>
      </c>
      <c r="G114" s="14">
        <v>116.51</v>
      </c>
      <c r="H114" s="10" t="s">
        <v>881</v>
      </c>
      <c r="I114" s="10">
        <v>94.7</v>
      </c>
      <c r="L114" s="10" t="s">
        <v>3895</v>
      </c>
      <c r="M114" s="34" t="s">
        <v>951</v>
      </c>
      <c r="N114" s="10" t="s">
        <v>925</v>
      </c>
      <c r="O114" s="15">
        <f>IFERROR(__xludf.DUMMYFUNCTION("IF(ISBLANK($C114), """", GOOGLEFINANCE($C114, ""price""))"),113.62)</f>
        <v>113.62</v>
      </c>
      <c r="P114" s="16">
        <f t="shared" si="2"/>
        <v>-0.02480473779</v>
      </c>
      <c r="Q114" s="16">
        <f>IFERROR(__xludf.DUMMYFUNCTION("IF(OR(ISBLANK($G114), IFERROR(INDEX(GOOGLEFINANCE($C114, ""price"", WORKDAY(INT($B114), 1)), 2, 2), """")=""""), """", IF($D114=""LONG"", (IFERROR(INDEX(GOOGLEFINANCE($C114, ""price"", WORKDAY(INT($B114), 1)), 2, 2), """")-$G114)/$G114, ($G114-IFERROR(IND"&amp;"EX(GOOGLEFINANCE($C114, ""price"", WORKDAY(INT($B114), 1)), 2, 2), """"))/$G114))"),0.009441249678139167)</f>
        <v>0.009441249678</v>
      </c>
      <c r="R114" s="16">
        <f>IFERROR(__xludf.DUMMYFUNCTION("IF(OR(ISBLANK($G114), IFERROR(INDEX(GOOGLEFINANCE($C114, ""price"", WORKDAY(INT($B114), 5)), 2, 2), """")=""""), """", IF($D114=""LONG"", (IFERROR(INDEX(GOOGLEFINANCE($C114, ""price"", WORKDAY(INT($B114), 5)), 2, 2), """")-$G114)/$G114, ($G114-IFERROR(IND"&amp;"EX(GOOGLEFINANCE($C114, ""price"", WORKDAY(INT($B114), 5)), 2, 2), """"))/$G114))"),0.02317397648270525)</f>
        <v>0.02317397648</v>
      </c>
      <c r="S114" s="16" t="str">
        <f>IFERROR(__xludf.DUMMYFUNCTION("IF(OR(ISBLANK($G114), IFERROR(INDEX(GOOGLEFINANCE($C114, ""price"", WORKDAY(INT($B114), 20)), 2, 2), """")=""""), """", IF($D114=""LONG"", (IFERROR(INDEX(GOOGLEFINANCE($C114, ""price"", WORKDAY(INT($B114), 20)), 2, 2), """")-$G114)/$G114, ($G114-IFERROR(I"&amp;"NDEX(GOOGLEFINANCE($C114, ""price"", WORKDAY(INT($B114), 20)), 2, 2), """"))/$G114))"),"")</f>
        <v/>
      </c>
      <c r="T114" s="10" t="s">
        <v>3899</v>
      </c>
      <c r="U114" s="10" t="s">
        <v>507</v>
      </c>
      <c r="V114" s="10" t="s">
        <v>3900</v>
      </c>
      <c r="W114" s="10" t="s">
        <v>51</v>
      </c>
      <c r="X114" s="10" t="s">
        <v>2228</v>
      </c>
    </row>
    <row r="115">
      <c r="A115" s="9">
        <f t="shared" si="1"/>
        <v>114</v>
      </c>
      <c r="B115" s="11">
        <v>46223.667858796296</v>
      </c>
      <c r="C115" s="10" t="s">
        <v>424</v>
      </c>
      <c r="D115" s="10" t="s">
        <v>36</v>
      </c>
      <c r="E115" s="10" t="s">
        <v>37</v>
      </c>
      <c r="F115" s="13">
        <v>2.0</v>
      </c>
      <c r="G115" s="14">
        <v>80.79</v>
      </c>
      <c r="H115" s="10" t="s">
        <v>3902</v>
      </c>
      <c r="I115" s="10">
        <v>94.4</v>
      </c>
      <c r="O115" s="15">
        <f>IFERROR(__xludf.DUMMYFUNCTION("IF(ISBLANK($C115), """", GOOGLEFINANCE($C115, ""price""))"),84.35)</f>
        <v>84.35</v>
      </c>
      <c r="P115" s="16">
        <f t="shared" si="2"/>
        <v>0.04406485951</v>
      </c>
      <c r="Q115" s="16">
        <f>IFERROR(__xludf.DUMMYFUNCTION("IF(OR(ISBLANK($G115), IFERROR(INDEX(GOOGLEFINANCE($C115, ""price"", WORKDAY(INT($B115), 1)), 2, 2), """")=""""), """", IF($D115=""LONG"", (IFERROR(INDEX(GOOGLEFINANCE($C115, ""price"", WORKDAY(INT($B115), 1)), 2, 2), """")-$G115)/$G115, ($G115-IFERROR(IND"&amp;"EX(GOOGLEFINANCE($C115, ""price"", WORKDAY(INT($B115), 1)), 2, 2), """"))/$G115))"),0.0053224408961504216)</f>
        <v>0.005322440896</v>
      </c>
      <c r="R115" s="16">
        <f>IFERROR(__xludf.DUMMYFUNCTION("IF(OR(ISBLANK($G115), IFERROR(INDEX(GOOGLEFINANCE($C115, ""price"", WORKDAY(INT($B115), 5)), 2, 2), """")=""""), """", IF($D115=""LONG"", (IFERROR(INDEX(GOOGLEFINANCE($C115, ""price"", WORKDAY(INT($B115), 5)), 2, 2), """")-$G115)/$G115, ($G115-IFERROR(IND"&amp;"EX(GOOGLEFINANCE($C115, ""price"", WORKDAY(INT($B115), 5)), 2, 2), """"))/$G115))"),0.04084663943557367)</f>
        <v>0.04084663944</v>
      </c>
      <c r="S115" s="16" t="str">
        <f>IFERROR(__xludf.DUMMYFUNCTION("IF(OR(ISBLANK($G115), IFERROR(INDEX(GOOGLEFINANCE($C115, ""price"", WORKDAY(INT($B115), 20)), 2, 2), """")=""""), """", IF($D115=""LONG"", (IFERROR(INDEX(GOOGLEFINANCE($C115, ""price"", WORKDAY(INT($B115), 20)), 2, 2), """")-$G115)/$G115, ($G115-IFERROR(I"&amp;"NDEX(GOOGLEFINANCE($C115, ""price"", WORKDAY(INT($B115), 20)), 2, 2), """"))/$G115))"),"")</f>
        <v/>
      </c>
      <c r="T115" s="10" t="s">
        <v>3908</v>
      </c>
      <c r="U115" s="10" t="s">
        <v>984</v>
      </c>
      <c r="V115" s="10" t="s">
        <v>933</v>
      </c>
      <c r="W115" s="10" t="s">
        <v>51</v>
      </c>
      <c r="X115" s="10" t="s">
        <v>984</v>
      </c>
    </row>
    <row r="116">
      <c r="A116" s="9">
        <f t="shared" si="1"/>
        <v>115</v>
      </c>
      <c r="B116" s="11">
        <v>46223.66753472222</v>
      </c>
      <c r="C116" s="10" t="s">
        <v>422</v>
      </c>
      <c r="D116" s="10" t="s">
        <v>119</v>
      </c>
      <c r="E116" s="10" t="s">
        <v>120</v>
      </c>
      <c r="F116" s="13">
        <v>4.0</v>
      </c>
      <c r="G116" s="14">
        <v>250.1</v>
      </c>
      <c r="H116" s="10" t="s">
        <v>3911</v>
      </c>
      <c r="I116" s="10">
        <v>18.7</v>
      </c>
      <c r="O116" s="15">
        <f>IFERROR(__xludf.DUMMYFUNCTION("IF(ISBLANK($C116), """", GOOGLEFINANCE($C116, ""price""))"),272.26)</f>
        <v>272.26</v>
      </c>
      <c r="P116" s="16">
        <f t="shared" si="2"/>
        <v>-0.08860455818</v>
      </c>
      <c r="Q116" s="16">
        <f>IFERROR(__xludf.DUMMYFUNCTION("IF(OR(ISBLANK($G116), IFERROR(INDEX(GOOGLEFINANCE($C116, ""price"", WORKDAY(INT($B116), 1)), 2, 2), """")=""""), """", IF($D116=""LONG"", (IFERROR(INDEX(GOOGLEFINANCE($C116, ""price"", WORKDAY(INT($B116), 1)), 2, 2), """")-$G116)/$G116, ($G116-IFERROR(IND"&amp;"EX(GOOGLEFINANCE($C116, ""price"", WORKDAY(INT($B116), 1)), 2, 2), """"))/$G116))"),0.010195921631347393)</f>
        <v>0.01019592163</v>
      </c>
      <c r="R116" s="16">
        <f>IFERROR(__xludf.DUMMYFUNCTION("IF(OR(ISBLANK($G116), IFERROR(INDEX(GOOGLEFINANCE($C116, ""price"", WORKDAY(INT($B116), 5)), 2, 2), """")=""""), """", IF($D116=""LONG"", (IFERROR(INDEX(GOOGLEFINANCE($C116, ""price"", WORKDAY(INT($B116), 5)), 2, 2), """")-$G116)/$G116, ($G116-IFERROR(IND"&amp;"EX(GOOGLEFINANCE($C116, ""price"", WORKDAY(INT($B116), 5)), 2, 2), """"))/$G116))"),0.07481007596961219)</f>
        <v>0.07481007597</v>
      </c>
      <c r="S116" s="16" t="str">
        <f>IFERROR(__xludf.DUMMYFUNCTION("IF(OR(ISBLANK($G116), IFERROR(INDEX(GOOGLEFINANCE($C116, ""price"", WORKDAY(INT($B116), 20)), 2, 2), """")=""""), """", IF($D116=""LONG"", (IFERROR(INDEX(GOOGLEFINANCE($C116, ""price"", WORKDAY(INT($B116), 20)), 2, 2), """")-$G116)/$G116, ($G116-IFERROR(I"&amp;"NDEX(GOOGLEFINANCE($C116, ""price"", WORKDAY(INT($B116), 20)), 2, 2), """"))/$G116))"),"")</f>
        <v/>
      </c>
      <c r="T116" s="10" t="s">
        <v>3915</v>
      </c>
      <c r="U116" s="10" t="s">
        <v>984</v>
      </c>
      <c r="V116" s="10" t="s">
        <v>985</v>
      </c>
      <c r="W116" s="10" t="s">
        <v>51</v>
      </c>
      <c r="X116" s="10" t="s">
        <v>984</v>
      </c>
    </row>
    <row r="117">
      <c r="A117" s="9">
        <f t="shared" si="1"/>
        <v>116</v>
      </c>
      <c r="B117" s="11">
        <v>46223.667395833334</v>
      </c>
      <c r="C117" s="10" t="s">
        <v>1171</v>
      </c>
      <c r="D117" s="10" t="s">
        <v>36</v>
      </c>
      <c r="E117" s="10" t="s">
        <v>133</v>
      </c>
      <c r="F117" s="13">
        <v>2.0</v>
      </c>
      <c r="G117" s="14">
        <v>244.85</v>
      </c>
      <c r="H117" s="10" t="s">
        <v>3918</v>
      </c>
      <c r="I117" s="10">
        <v>74.9</v>
      </c>
      <c r="O117" s="15">
        <f>IFERROR(__xludf.DUMMYFUNCTION("IF(ISBLANK($C117), """", GOOGLEFINANCE($C117, ""price""))"),236.0)</f>
        <v>236</v>
      </c>
      <c r="P117" s="16">
        <f t="shared" si="2"/>
        <v>-0.03614457831</v>
      </c>
      <c r="Q117" s="16">
        <f>IFERROR(__xludf.DUMMYFUNCTION("IF(OR(ISBLANK($G117), IFERROR(INDEX(GOOGLEFINANCE($C117, ""price"", WORKDAY(INT($B117), 1)), 2, 2), """")=""""), """", IF($D117=""LONG"", (IFERROR(INDEX(GOOGLEFINANCE($C117, ""price"", WORKDAY(INT($B117), 1)), 2, 2), """")-$G117)/$G117, ($G117-IFERROR(IND"&amp;"EX(GOOGLEFINANCE($C117, ""price"", WORKDAY(INT($B117), 1)), 2, 2), """"))/$G117))"),0.006207882376965531)</f>
        <v>0.006207882377</v>
      </c>
      <c r="R117" s="16">
        <f>IFERROR(__xludf.DUMMYFUNCTION("IF(OR(ISBLANK($G117), IFERROR(INDEX(GOOGLEFINANCE($C117, ""price"", WORKDAY(INT($B117), 5)), 2, 2), """")=""""), """", IF($D117=""LONG"", (IFERROR(INDEX(GOOGLEFINANCE($C117, ""price"", WORKDAY(INT($B117), 5)), 2, 2), """")-$G117)/$G117, ($G117-IFERROR(IND"&amp;"EX(GOOGLEFINANCE($C117, ""price"", WORKDAY(INT($B117), 5)), 2, 2), """"))/$G117))"),0.01425362466816422)</f>
        <v>0.01425362467</v>
      </c>
      <c r="S117" s="16" t="str">
        <f>IFERROR(__xludf.DUMMYFUNCTION("IF(OR(ISBLANK($G117), IFERROR(INDEX(GOOGLEFINANCE($C117, ""price"", WORKDAY(INT($B117), 20)), 2, 2), """")=""""), """", IF($D117=""LONG"", (IFERROR(INDEX(GOOGLEFINANCE($C117, ""price"", WORKDAY(INT($B117), 20)), 2, 2), """")-$G117)/$G117, ($G117-IFERROR(I"&amp;"NDEX(GOOGLEFINANCE($C117, ""price"", WORKDAY(INT($B117), 20)), 2, 2), """"))/$G117))"),"")</f>
        <v/>
      </c>
      <c r="T117" s="10" t="s">
        <v>3926</v>
      </c>
      <c r="U117" s="10" t="s">
        <v>984</v>
      </c>
      <c r="V117" s="10" t="s">
        <v>985</v>
      </c>
      <c r="W117" s="10" t="s">
        <v>51</v>
      </c>
      <c r="X117" s="10" t="s">
        <v>984</v>
      </c>
    </row>
    <row r="118">
      <c r="A118" s="9">
        <f t="shared" si="1"/>
        <v>117</v>
      </c>
      <c r="B118" s="11">
        <v>46223.66758101852</v>
      </c>
      <c r="C118" s="10" t="s">
        <v>80</v>
      </c>
      <c r="D118" s="10" t="s">
        <v>36</v>
      </c>
      <c r="E118" s="10" t="s">
        <v>37</v>
      </c>
      <c r="F118" s="13">
        <v>2.0</v>
      </c>
      <c r="G118" s="14">
        <v>253.47</v>
      </c>
      <c r="H118" s="10" t="s">
        <v>3928</v>
      </c>
      <c r="I118" s="10">
        <v>88.7</v>
      </c>
      <c r="O118" s="15">
        <f>IFERROR(__xludf.DUMMYFUNCTION("IF(ISBLANK($C118), """", GOOGLEFINANCE($C118, ""price""))"),243.87)</f>
        <v>243.87</v>
      </c>
      <c r="P118" s="16">
        <f t="shared" si="2"/>
        <v>-0.03787430465</v>
      </c>
      <c r="Q118" s="16">
        <f>IFERROR(__xludf.DUMMYFUNCTION("IF(OR(ISBLANK($G118), IFERROR(INDEX(GOOGLEFINANCE($C118, ""price"", WORKDAY(INT($B118), 1)), 2, 2), """")=""""), """", IF($D118=""LONG"", (IFERROR(INDEX(GOOGLEFINANCE($C118, ""price"", WORKDAY(INT($B118), 1)), 2, 2), """")-$G118)/$G118, ($G118-IFERROR(IND"&amp;"EX(GOOGLEFINANCE($C118, ""price"", WORKDAY(INT($B118), 1)), 2, 2), """"))/$G118))"),0.010375981378466974)</f>
        <v>0.01037598138</v>
      </c>
      <c r="R118" s="16">
        <f>IFERROR(__xludf.DUMMYFUNCTION("IF(OR(ISBLANK($G118), IFERROR(INDEX(GOOGLEFINANCE($C118, ""price"", WORKDAY(INT($B118), 5)), 2, 2), """")=""""), """", IF($D118=""LONG"", (IFERROR(INDEX(GOOGLEFINANCE($C118, ""price"", WORKDAY(INT($B118), 5)), 2, 2), """")-$G118)/$G118, ($G118-IFERROR(IND"&amp;"EX(GOOGLEFINANCE($C118, ""price"", WORKDAY(INT($B118), 5)), 2, 2), """"))/$G118))"),0.013571625833432067)</f>
        <v>0.01357162583</v>
      </c>
      <c r="S118" s="16" t="str">
        <f>IFERROR(__xludf.DUMMYFUNCTION("IF(OR(ISBLANK($G118), IFERROR(INDEX(GOOGLEFINANCE($C118, ""price"", WORKDAY(INT($B118), 20)), 2, 2), """")=""""), """", IF($D118=""LONG"", (IFERROR(INDEX(GOOGLEFINANCE($C118, ""price"", WORKDAY(INT($B118), 20)), 2, 2), """")-$G118)/$G118, ($G118-IFERROR(I"&amp;"NDEX(GOOGLEFINANCE($C118, ""price"", WORKDAY(INT($B118), 20)), 2, 2), """"))/$G118))"),"")</f>
        <v/>
      </c>
      <c r="T118" s="10" t="s">
        <v>3932</v>
      </c>
      <c r="U118" s="10" t="s">
        <v>984</v>
      </c>
      <c r="V118" s="10" t="s">
        <v>998</v>
      </c>
      <c r="W118" s="10" t="s">
        <v>51</v>
      </c>
      <c r="X118" s="10" t="s">
        <v>984</v>
      </c>
    </row>
    <row r="119">
      <c r="A119" s="9">
        <f t="shared" si="1"/>
        <v>118</v>
      </c>
      <c r="B119" s="11">
        <v>46223.66751157407</v>
      </c>
      <c r="C119" s="10" t="s">
        <v>228</v>
      </c>
      <c r="D119" s="10" t="s">
        <v>36</v>
      </c>
      <c r="E119" s="10" t="s">
        <v>37</v>
      </c>
      <c r="F119" s="13">
        <v>2.0</v>
      </c>
      <c r="G119" s="14">
        <v>72.72</v>
      </c>
      <c r="H119" s="10" t="s">
        <v>3934</v>
      </c>
      <c r="I119" s="10">
        <v>96.7</v>
      </c>
      <c r="O119" s="15">
        <f>IFERROR(__xludf.DUMMYFUNCTION("IF(ISBLANK($C119), """", GOOGLEFINANCE($C119, ""price""))"),72.13)</f>
        <v>72.13</v>
      </c>
      <c r="P119" s="16">
        <f t="shared" si="2"/>
        <v>-0.008113311331</v>
      </c>
      <c r="Q119" s="16">
        <f>IFERROR(__xludf.DUMMYFUNCTION("IF(OR(ISBLANK($G119), IFERROR(INDEX(GOOGLEFINANCE($C119, ""price"", WORKDAY(INT($B119), 1)), 2, 2), """")=""""), """", IF($D119=""LONG"", (IFERROR(INDEX(GOOGLEFINANCE($C119, ""price"", WORKDAY(INT($B119), 1)), 2, 2), """")-$G119)/$G119, ($G119-IFERROR(IND"&amp;"EX(GOOGLEFINANCE($C119, ""price"", WORKDAY(INT($B119), 1)), 2, 2), """"))/$G119))"),-0.007700770077007732)</f>
        <v>-0.007700770077</v>
      </c>
      <c r="R119" s="16">
        <f>IFERROR(__xludf.DUMMYFUNCTION("IF(OR(ISBLANK($G119), IFERROR(INDEX(GOOGLEFINANCE($C119, ""price"", WORKDAY(INT($B119), 5)), 2, 2), """")=""""), """", IF($D119=""LONG"", (IFERROR(INDEX(GOOGLEFINANCE($C119, ""price"", WORKDAY(INT($B119), 5)), 2, 2), """")-$G119)/$G119, ($G119-IFERROR(IND"&amp;"EX(GOOGLEFINANCE($C119, ""price"", WORKDAY(INT($B119), 5)), 2, 2), """"))/$G119))"),0.04097909790979103)</f>
        <v>0.04097909791</v>
      </c>
      <c r="S119" s="16" t="str">
        <f>IFERROR(__xludf.DUMMYFUNCTION("IF(OR(ISBLANK($G119), IFERROR(INDEX(GOOGLEFINANCE($C119, ""price"", WORKDAY(INT($B119), 20)), 2, 2), """")=""""), """", IF($D119=""LONG"", (IFERROR(INDEX(GOOGLEFINANCE($C119, ""price"", WORKDAY(INT($B119), 20)), 2, 2), """")-$G119)/$G119, ($G119-IFERROR(I"&amp;"NDEX(GOOGLEFINANCE($C119, ""price"", WORKDAY(INT($B119), 20)), 2, 2), """"))/$G119))"),"")</f>
        <v/>
      </c>
      <c r="T119" s="10" t="s">
        <v>3938</v>
      </c>
      <c r="U119" s="10" t="s">
        <v>984</v>
      </c>
      <c r="V119" s="10" t="s">
        <v>998</v>
      </c>
      <c r="W119" s="10" t="s">
        <v>51</v>
      </c>
      <c r="X119" s="10" t="s">
        <v>984</v>
      </c>
    </row>
    <row r="120">
      <c r="A120" s="9">
        <f t="shared" si="1"/>
        <v>119</v>
      </c>
      <c r="B120" s="11">
        <v>46223.66747685185</v>
      </c>
      <c r="C120" s="10" t="s">
        <v>696</v>
      </c>
      <c r="D120" s="10" t="s">
        <v>36</v>
      </c>
      <c r="E120" s="10" t="s">
        <v>37</v>
      </c>
      <c r="F120" s="13">
        <v>2.0</v>
      </c>
      <c r="G120" s="14">
        <v>177.38</v>
      </c>
      <c r="H120" s="10" t="s">
        <v>3940</v>
      </c>
      <c r="I120" s="10">
        <v>89.3</v>
      </c>
      <c r="O120" s="15">
        <f>IFERROR(__xludf.DUMMYFUNCTION("IF(ISBLANK($C120), """", GOOGLEFINANCE($C120, ""price""))"),178.56)</f>
        <v>178.56</v>
      </c>
      <c r="P120" s="16">
        <f t="shared" si="2"/>
        <v>0.006652384711</v>
      </c>
      <c r="Q120" s="16">
        <f>IFERROR(__xludf.DUMMYFUNCTION("IF(OR(ISBLANK($G120), IFERROR(INDEX(GOOGLEFINANCE($C120, ""price"", WORKDAY(INT($B120), 1)), 2, 2), """")=""""), """", IF($D120=""LONG"", (IFERROR(INDEX(GOOGLEFINANCE($C120, ""price"", WORKDAY(INT($B120), 1)), 2, 2), """")-$G120)/$G120, ($G120-IFERROR(IND"&amp;"EX(GOOGLEFINANCE($C120, ""price"", WORKDAY(INT($B120), 1)), 2, 2), """"))/$G120))"),0.0067651369940242255)</f>
        <v>0.006765136994</v>
      </c>
      <c r="R120" s="16">
        <f>IFERROR(__xludf.DUMMYFUNCTION("IF(OR(ISBLANK($G120), IFERROR(INDEX(GOOGLEFINANCE($C120, ""price"", WORKDAY(INT($B120), 5)), 2, 2), """")=""""), """", IF($D120=""LONG"", (IFERROR(INDEX(GOOGLEFINANCE($C120, ""price"", WORKDAY(INT($B120), 5)), 2, 2), """")-$G120)/$G120, ($G120-IFERROR(IND"&amp;"EX(GOOGLEFINANCE($C120, ""price"", WORKDAY(INT($B120), 5)), 2, 2), """"))/$G120))"),-0.034051189536588075)</f>
        <v>-0.03405118954</v>
      </c>
      <c r="S120" s="16" t="str">
        <f>IFERROR(__xludf.DUMMYFUNCTION("IF(OR(ISBLANK($G120), IFERROR(INDEX(GOOGLEFINANCE($C120, ""price"", WORKDAY(INT($B120), 20)), 2, 2), """")=""""), """", IF($D120=""LONG"", (IFERROR(INDEX(GOOGLEFINANCE($C120, ""price"", WORKDAY(INT($B120), 20)), 2, 2), """")-$G120)/$G120, ($G120-IFERROR(I"&amp;"NDEX(GOOGLEFINANCE($C120, ""price"", WORKDAY(INT($B120), 20)), 2, 2), """"))/$G120))"),"")</f>
        <v/>
      </c>
      <c r="T120" s="10" t="s">
        <v>3943</v>
      </c>
      <c r="U120" s="10" t="s">
        <v>932</v>
      </c>
      <c r="V120" s="10" t="s">
        <v>933</v>
      </c>
      <c r="W120" s="10" t="s">
        <v>51</v>
      </c>
      <c r="X120" s="10" t="s">
        <v>3186</v>
      </c>
    </row>
    <row r="121">
      <c r="A121" s="9">
        <f t="shared" si="1"/>
        <v>120</v>
      </c>
      <c r="B121" s="11">
        <v>46223.667650462965</v>
      </c>
      <c r="C121" s="10" t="s">
        <v>60</v>
      </c>
      <c r="D121" s="10" t="s">
        <v>36</v>
      </c>
      <c r="E121" s="10" t="s">
        <v>37</v>
      </c>
      <c r="F121" s="13">
        <v>2.0</v>
      </c>
      <c r="G121" s="14">
        <v>43.23</v>
      </c>
      <c r="H121" s="10" t="s">
        <v>3944</v>
      </c>
      <c r="I121" s="10">
        <v>94.3</v>
      </c>
      <c r="O121" s="15">
        <f>IFERROR(__xludf.DUMMYFUNCTION("IF(ISBLANK($C121), """", GOOGLEFINANCE($C121, ""price""))"),47.06)</f>
        <v>47.06</v>
      </c>
      <c r="P121" s="16">
        <f t="shared" si="2"/>
        <v>0.08859588249</v>
      </c>
      <c r="Q121" s="16">
        <f>IFERROR(__xludf.DUMMYFUNCTION("IF(OR(ISBLANK($G121), IFERROR(INDEX(GOOGLEFINANCE($C121, ""price"", WORKDAY(INT($B121), 1)), 2, 2), """")=""""), """", IF($D121=""LONG"", (IFERROR(INDEX(GOOGLEFINANCE($C121, ""price"", WORKDAY(INT($B121), 1)), 2, 2), """")-$G121)/$G121, ($G121-IFERROR(IND"&amp;"EX(GOOGLEFINANCE($C121, ""price"", WORKDAY(INT($B121), 1)), 2, 2), """"))/$G121))"),0.004857737682165183)</f>
        <v>0.004857737682</v>
      </c>
      <c r="R121" s="16">
        <f>IFERROR(__xludf.DUMMYFUNCTION("IF(OR(ISBLANK($G121), IFERROR(INDEX(GOOGLEFINANCE($C121, ""price"", WORKDAY(INT($B121), 5)), 2, 2), """")=""""), """", IF($D121=""LONG"", (IFERROR(INDEX(GOOGLEFINANCE($C121, ""price"", WORKDAY(INT($B121), 5)), 2, 2), """")-$G121)/$G121, ($G121-IFERROR(IND"&amp;"EX(GOOGLEFINANCE($C121, ""price"", WORKDAY(INT($B121), 5)), 2, 2), """"))/$G121))"),0.04649548924358097)</f>
        <v>0.04649548924</v>
      </c>
      <c r="S121" s="16" t="str">
        <f>IFERROR(__xludf.DUMMYFUNCTION("IF(OR(ISBLANK($G121), IFERROR(INDEX(GOOGLEFINANCE($C121, ""price"", WORKDAY(INT($B121), 20)), 2, 2), """")=""""), """", IF($D121=""LONG"", (IFERROR(INDEX(GOOGLEFINANCE($C121, ""price"", WORKDAY(INT($B121), 20)), 2, 2), """")-$G121)/$G121, ($G121-IFERROR(I"&amp;"NDEX(GOOGLEFINANCE($C121, ""price"", WORKDAY(INT($B121), 20)), 2, 2), """"))/$G121))"),"")</f>
        <v/>
      </c>
      <c r="T121" s="10" t="s">
        <v>3948</v>
      </c>
      <c r="U121" s="10" t="s">
        <v>984</v>
      </c>
      <c r="V121" s="10" t="s">
        <v>933</v>
      </c>
      <c r="W121" s="10" t="s">
        <v>51</v>
      </c>
      <c r="X121" s="10" t="s">
        <v>984</v>
      </c>
    </row>
    <row r="122">
      <c r="A122" s="9">
        <f t="shared" si="1"/>
        <v>121</v>
      </c>
      <c r="B122" s="11">
        <v>46223.66747685185</v>
      </c>
      <c r="C122" s="10" t="s">
        <v>939</v>
      </c>
      <c r="D122" s="10" t="s">
        <v>36</v>
      </c>
      <c r="E122" s="10" t="s">
        <v>37</v>
      </c>
      <c r="F122" s="13">
        <v>2.0</v>
      </c>
      <c r="G122" s="14">
        <v>194.47</v>
      </c>
      <c r="H122" s="10" t="s">
        <v>3249</v>
      </c>
      <c r="I122" s="10">
        <v>93.3</v>
      </c>
      <c r="O122" s="15">
        <f>IFERROR(__xludf.DUMMYFUNCTION("IF(ISBLANK($C122), """", GOOGLEFINANCE($C122, ""price""))"),223.25)</f>
        <v>223.25</v>
      </c>
      <c r="P122" s="16">
        <f t="shared" si="2"/>
        <v>0.1479919782</v>
      </c>
      <c r="Q122" s="16">
        <f>IFERROR(__xludf.DUMMYFUNCTION("IF(OR(ISBLANK($G122), IFERROR(INDEX(GOOGLEFINANCE($C122, ""price"", WORKDAY(INT($B122), 1)), 2, 2), """")=""""), """", IF($D122=""LONG"", (IFERROR(INDEX(GOOGLEFINANCE($C122, ""price"", WORKDAY(INT($B122), 1)), 2, 2), """")-$G122)/$G122, ($G122-IFERROR(IND"&amp;"EX(GOOGLEFINANCE($C122, ""price"", WORKDAY(INT($B122), 1)), 2, 2), """"))/$G122))"),-0.004113745050650545)</f>
        <v>-0.004113745051</v>
      </c>
      <c r="R122" s="16">
        <f>IFERROR(__xludf.DUMMYFUNCTION("IF(OR(ISBLANK($G122), IFERROR(INDEX(GOOGLEFINANCE($C122, ""price"", WORKDAY(INT($B122), 5)), 2, 2), """")=""""), """", IF($D122=""LONG"", (IFERROR(INDEX(GOOGLEFINANCE($C122, ""price"", WORKDAY(INT($B122), 5)), 2, 2), """")-$G122)/$G122, ($G122-IFERROR(IND"&amp;"EX(GOOGLEFINANCE($C122, ""price"", WORKDAY(INT($B122), 5)), 2, 2), """"))/$G122))"),0.12315524245384886)</f>
        <v>0.1231552425</v>
      </c>
      <c r="S122" s="16" t="str">
        <f>IFERROR(__xludf.DUMMYFUNCTION("IF(OR(ISBLANK($G122), IFERROR(INDEX(GOOGLEFINANCE($C122, ""price"", WORKDAY(INT($B122), 20)), 2, 2), """")=""""), """", IF($D122=""LONG"", (IFERROR(INDEX(GOOGLEFINANCE($C122, ""price"", WORKDAY(INT($B122), 20)), 2, 2), """")-$G122)/$G122, ($G122-IFERROR(I"&amp;"NDEX(GOOGLEFINANCE($C122, ""price"", WORKDAY(INT($B122), 20)), 2, 2), """"))/$G122))"),"")</f>
        <v/>
      </c>
      <c r="T122" s="10" t="s">
        <v>3952</v>
      </c>
      <c r="U122" s="10" t="s">
        <v>704</v>
      </c>
      <c r="V122" s="10" t="s">
        <v>3954</v>
      </c>
      <c r="W122" s="10" t="s">
        <v>51</v>
      </c>
      <c r="X122" s="10" t="s">
        <v>1885</v>
      </c>
    </row>
    <row r="123">
      <c r="A123" s="9">
        <f t="shared" si="1"/>
        <v>122</v>
      </c>
      <c r="B123" s="11">
        <v>46223.66741898148</v>
      </c>
      <c r="C123" s="10" t="s">
        <v>86</v>
      </c>
      <c r="D123" s="10" t="s">
        <v>36</v>
      </c>
      <c r="E123" s="10" t="s">
        <v>37</v>
      </c>
      <c r="F123" s="13">
        <v>2.0</v>
      </c>
      <c r="G123" s="14">
        <v>80.19</v>
      </c>
      <c r="H123" s="10" t="s">
        <v>3955</v>
      </c>
      <c r="I123" s="10">
        <v>95.4</v>
      </c>
      <c r="O123" s="15">
        <f>IFERROR(__xludf.DUMMYFUNCTION("IF(ISBLANK($C123), """", GOOGLEFINANCE($C123, ""price""))"),88.24)</f>
        <v>88.24</v>
      </c>
      <c r="P123" s="16">
        <f t="shared" si="2"/>
        <v>0.1003865819</v>
      </c>
      <c r="Q123" s="16">
        <f>IFERROR(__xludf.DUMMYFUNCTION("IF(OR(ISBLANK($G123), IFERROR(INDEX(GOOGLEFINANCE($C123, ""price"", WORKDAY(INT($B123), 1)), 2, 2), """")=""""), """", IF($D123=""LONG"", (IFERROR(INDEX(GOOGLEFINANCE($C123, ""price"", WORKDAY(INT($B123), 1)), 2, 2), """")-$G123)/$G123, ($G123-IFERROR(IND"&amp;"EX(GOOGLEFINANCE($C123, ""price"", WORKDAY(INT($B123), 1)), 2, 2), """"))/$G123))"),0.00885397181693488)</f>
        <v>0.008853971817</v>
      </c>
      <c r="R123" s="16">
        <f>IFERROR(__xludf.DUMMYFUNCTION("IF(OR(ISBLANK($G123), IFERROR(INDEX(GOOGLEFINANCE($C123, ""price"", WORKDAY(INT($B123), 5)), 2, 2), """")=""""), """", IF($D123=""LONG"", (IFERROR(INDEX(GOOGLEFINANCE($C123, ""price"", WORKDAY(INT($B123), 5)), 2, 2), """")-$G123)/$G123, ($G123-IFERROR(IND"&amp;"EX(GOOGLEFINANCE($C123, ""price"", WORKDAY(INT($B123), 5)), 2, 2), """"))/$G123))"),0.05574261129816684)</f>
        <v>0.0557426113</v>
      </c>
      <c r="S123" s="16" t="str">
        <f>IFERROR(__xludf.DUMMYFUNCTION("IF(OR(ISBLANK($G123), IFERROR(INDEX(GOOGLEFINANCE($C123, ""price"", WORKDAY(INT($B123), 20)), 2, 2), """")=""""), """", IF($D123=""LONG"", (IFERROR(INDEX(GOOGLEFINANCE($C123, ""price"", WORKDAY(INT($B123), 20)), 2, 2), """")-$G123)/$G123, ($G123-IFERROR(I"&amp;"NDEX(GOOGLEFINANCE($C123, ""price"", WORKDAY(INT($B123), 20)), 2, 2), """"))/$G123))"),"")</f>
        <v/>
      </c>
      <c r="T123" s="10" t="s">
        <v>3958</v>
      </c>
      <c r="U123" s="10" t="s">
        <v>984</v>
      </c>
      <c r="V123" s="10" t="s">
        <v>985</v>
      </c>
      <c r="W123" s="10" t="s">
        <v>51</v>
      </c>
      <c r="X123" s="10" t="s">
        <v>984</v>
      </c>
    </row>
    <row r="124">
      <c r="A124" s="9">
        <f t="shared" si="1"/>
        <v>123</v>
      </c>
      <c r="B124" s="11">
        <v>46223.66751157407</v>
      </c>
      <c r="C124" s="10" t="s">
        <v>55</v>
      </c>
      <c r="D124" s="10" t="s">
        <v>36</v>
      </c>
      <c r="E124" s="10" t="s">
        <v>37</v>
      </c>
      <c r="F124" s="13">
        <v>2.0</v>
      </c>
      <c r="G124" s="14">
        <v>1146.8</v>
      </c>
      <c r="H124" s="10" t="s">
        <v>3959</v>
      </c>
      <c r="I124" s="10">
        <v>90.2</v>
      </c>
      <c r="O124" s="15">
        <f>IFERROR(__xludf.DUMMYFUNCTION("IF(ISBLANK($C124), """", GOOGLEFINANCE($C124, ""price""))"),1191.94)</f>
        <v>1191.94</v>
      </c>
      <c r="P124" s="16">
        <f t="shared" si="2"/>
        <v>0.03936170213</v>
      </c>
      <c r="Q124" s="16">
        <f>IFERROR(__xludf.DUMMYFUNCTION("IF(OR(ISBLANK($G124), IFERROR(INDEX(GOOGLEFINANCE($C124, ""price"", WORKDAY(INT($B124), 1)), 2, 2), """")=""""), """", IF($D124=""LONG"", (IFERROR(INDEX(GOOGLEFINANCE($C124, ""price"", WORKDAY(INT($B124), 1)), 2, 2), """")-$G124)/$G124, ($G124-IFERROR(IND"&amp;"EX(GOOGLEFINANCE($C124, ""price"", WORKDAY(INT($B124), 1)), 2, 2), """"))/$G124))"),0.02494768050226729)</f>
        <v>0.0249476805</v>
      </c>
      <c r="R124" s="16">
        <f>IFERROR(__xludf.DUMMYFUNCTION("IF(OR(ISBLANK($G124), IFERROR(INDEX(GOOGLEFINANCE($C124, ""price"", WORKDAY(INT($B124), 5)), 2, 2), """")=""""), """", IF($D124=""LONG"", (IFERROR(INDEX(GOOGLEFINANCE($C124, ""price"", WORKDAY(INT($B124), 5)), 2, 2), """")-$G124)/$G124, ($G124-IFERROR(IND"&amp;"EX(GOOGLEFINANCE($C124, ""price"", WORKDAY(INT($B124), 5)), 2, 2), """"))/$G124))"),0.04423613533310082)</f>
        <v>0.04423613533</v>
      </c>
      <c r="S124" s="16" t="str">
        <f>IFERROR(__xludf.DUMMYFUNCTION("IF(OR(ISBLANK($G124), IFERROR(INDEX(GOOGLEFINANCE($C124, ""price"", WORKDAY(INT($B124), 20)), 2, 2), """")=""""), """", IF($D124=""LONG"", (IFERROR(INDEX(GOOGLEFINANCE($C124, ""price"", WORKDAY(INT($B124), 20)), 2, 2), """")-$G124)/$G124, ($G124-IFERROR(I"&amp;"NDEX(GOOGLEFINANCE($C124, ""price"", WORKDAY(INT($B124), 20)), 2, 2), """"))/$G124))"),"")</f>
        <v/>
      </c>
      <c r="T124" s="10" t="s">
        <v>3963</v>
      </c>
      <c r="U124" s="10" t="s">
        <v>984</v>
      </c>
      <c r="V124" s="10" t="s">
        <v>985</v>
      </c>
      <c r="W124" s="10" t="s">
        <v>51</v>
      </c>
      <c r="X124" s="10" t="s">
        <v>984</v>
      </c>
    </row>
    <row r="125">
      <c r="A125" s="9">
        <f t="shared" si="1"/>
        <v>124</v>
      </c>
      <c r="B125" s="11">
        <v>46223.66746527778</v>
      </c>
      <c r="C125" s="10" t="s">
        <v>392</v>
      </c>
      <c r="D125" s="10" t="s">
        <v>36</v>
      </c>
      <c r="E125" s="10" t="s">
        <v>37</v>
      </c>
      <c r="F125" s="13">
        <v>2.0</v>
      </c>
      <c r="G125" s="14">
        <v>234.1</v>
      </c>
      <c r="H125" s="10" t="s">
        <v>3964</v>
      </c>
      <c r="I125" s="10">
        <v>93.9</v>
      </c>
      <c r="O125" s="15">
        <f>IFERROR(__xludf.DUMMYFUNCTION("IF(ISBLANK($C125), """", GOOGLEFINANCE($C125, ""price""))"),180.67)</f>
        <v>180.67</v>
      </c>
      <c r="P125" s="16">
        <f t="shared" si="2"/>
        <v>-0.2282357967</v>
      </c>
      <c r="Q125" s="16">
        <f>IFERROR(__xludf.DUMMYFUNCTION("IF(OR(ISBLANK($G125), IFERROR(INDEX(GOOGLEFINANCE($C125, ""price"", WORKDAY(INT($B125), 1)), 2, 2), """")=""""), """", IF($D125=""LONG"", (IFERROR(INDEX(GOOGLEFINANCE($C125, ""price"", WORKDAY(INT($B125), 1)), 2, 2), """")-$G125)/$G125, ($G125-IFERROR(IND"&amp;"EX(GOOGLEFINANCE($C125, ""price"", WORKDAY(INT($B125), 1)), 2, 2), """"))/$G125))"),0.013583938487825745)</f>
        <v>0.01358393849</v>
      </c>
      <c r="R125" s="16">
        <f>IFERROR(__xludf.DUMMYFUNCTION("IF(OR(ISBLANK($G125), IFERROR(INDEX(GOOGLEFINANCE($C125, ""price"", WORKDAY(INT($B125), 5)), 2, 2), """")=""""), """", IF($D125=""LONG"", (IFERROR(INDEX(GOOGLEFINANCE($C125, ""price"", WORKDAY(INT($B125), 5)), 2, 2), """")-$G125)/$G125, ($G125-IFERROR(IND"&amp;"EX(GOOGLEFINANCE($C125, ""price"", WORKDAY(INT($B125), 5)), 2, 2), """"))/$G125))"),0.009440410081161931)</f>
        <v>0.009440410081</v>
      </c>
      <c r="S125" s="16" t="str">
        <f>IFERROR(__xludf.DUMMYFUNCTION("IF(OR(ISBLANK($G125), IFERROR(INDEX(GOOGLEFINANCE($C125, ""price"", WORKDAY(INT($B125), 20)), 2, 2), """")=""""), """", IF($D125=""LONG"", (IFERROR(INDEX(GOOGLEFINANCE($C125, ""price"", WORKDAY(INT($B125), 20)), 2, 2), """")-$G125)/$G125, ($G125-IFERROR(I"&amp;"NDEX(GOOGLEFINANCE($C125, ""price"", WORKDAY(INT($B125), 20)), 2, 2), """"))/$G125))"),"")</f>
        <v/>
      </c>
      <c r="T125" s="10" t="s">
        <v>3966</v>
      </c>
      <c r="U125" s="10" t="s">
        <v>507</v>
      </c>
      <c r="V125" s="10" t="s">
        <v>3967</v>
      </c>
      <c r="W125" s="10" t="s">
        <v>51</v>
      </c>
      <c r="X125" s="10" t="s">
        <v>2228</v>
      </c>
    </row>
    <row r="126">
      <c r="A126" s="9">
        <f t="shared" si="1"/>
        <v>125</v>
      </c>
      <c r="B126" s="11">
        <v>46223.66746527778</v>
      </c>
      <c r="C126" s="10" t="s">
        <v>269</v>
      </c>
      <c r="D126" s="10" t="s">
        <v>36</v>
      </c>
      <c r="E126" s="10" t="s">
        <v>37</v>
      </c>
      <c r="F126" s="13">
        <v>2.0</v>
      </c>
      <c r="G126" s="14">
        <v>182.49</v>
      </c>
      <c r="H126" s="10" t="s">
        <v>3969</v>
      </c>
      <c r="I126" s="10">
        <v>88.5</v>
      </c>
      <c r="O126" s="15">
        <f>IFERROR(__xludf.DUMMYFUNCTION("IF(ISBLANK($C126), """", GOOGLEFINANCE($C126, ""price""))"),184.92)</f>
        <v>184.92</v>
      </c>
      <c r="P126" s="16">
        <f t="shared" si="2"/>
        <v>0.01331579813</v>
      </c>
      <c r="Q126" s="16">
        <f>IFERROR(__xludf.DUMMYFUNCTION("IF(OR(ISBLANK($G126), IFERROR(INDEX(GOOGLEFINANCE($C126, ""price"", WORKDAY(INT($B126), 1)), 2, 2), """")=""""), """", IF($D126=""LONG"", (IFERROR(INDEX(GOOGLEFINANCE($C126, ""price"", WORKDAY(INT($B126), 1)), 2, 2), """")-$G126)/$G126, ($G126-IFERROR(IND"&amp;"EX(GOOGLEFINANCE($C126, ""price"", WORKDAY(INT($B126), 1)), 2, 2), """"))/$G126))"),0.0044385993753082486)</f>
        <v>0.004438599375</v>
      </c>
      <c r="R126" s="16">
        <f>IFERROR(__xludf.DUMMYFUNCTION("IF(OR(ISBLANK($G126), IFERROR(INDEX(GOOGLEFINANCE($C126, ""price"", WORKDAY(INT($B126), 5)), 2, 2), """")=""""), """", IF($D126=""LONG"", (IFERROR(INDEX(GOOGLEFINANCE($C126, ""price"", WORKDAY(INT($B126), 5)), 2, 2), """")-$G126)/$G126, ($G126-IFERROR(IND"&amp;"EX(GOOGLEFINANCE($C126, ""price"", WORKDAY(INT($B126), 5)), 2, 2), """"))/$G126))"),0.011891062523973848)</f>
        <v>0.01189106252</v>
      </c>
      <c r="S126" s="16" t="str">
        <f>IFERROR(__xludf.DUMMYFUNCTION("IF(OR(ISBLANK($G126), IFERROR(INDEX(GOOGLEFINANCE($C126, ""price"", WORKDAY(INT($B126), 20)), 2, 2), """")=""""), """", IF($D126=""LONG"", (IFERROR(INDEX(GOOGLEFINANCE($C126, ""price"", WORKDAY(INT($B126), 20)), 2, 2), """")-$G126)/$G126, ($G126-IFERROR(I"&amp;"NDEX(GOOGLEFINANCE($C126, ""price"", WORKDAY(INT($B126), 20)), 2, 2), """"))/$G126))"),"")</f>
        <v/>
      </c>
      <c r="T126" s="10" t="s">
        <v>3971</v>
      </c>
      <c r="U126" s="10" t="s">
        <v>984</v>
      </c>
      <c r="V126" s="10" t="s">
        <v>933</v>
      </c>
      <c r="W126" s="10" t="s">
        <v>51</v>
      </c>
      <c r="X126" s="10" t="s">
        <v>984</v>
      </c>
    </row>
    <row r="127">
      <c r="A127" s="9">
        <f t="shared" si="1"/>
        <v>126</v>
      </c>
      <c r="B127" s="11">
        <v>46223.667604166665</v>
      </c>
      <c r="C127" s="10" t="s">
        <v>63</v>
      </c>
      <c r="D127" s="10" t="s">
        <v>36</v>
      </c>
      <c r="E127" s="10" t="s">
        <v>37</v>
      </c>
      <c r="F127" s="13">
        <v>2.0</v>
      </c>
      <c r="G127" s="14">
        <v>156.94</v>
      </c>
      <c r="H127" s="10" t="s">
        <v>3974</v>
      </c>
      <c r="I127" s="10">
        <v>88.8</v>
      </c>
      <c r="O127" s="15">
        <f>IFERROR(__xludf.DUMMYFUNCTION("IF(ISBLANK($C127), """", GOOGLEFINANCE($C127, ""price""))"),158.82)</f>
        <v>158.82</v>
      </c>
      <c r="P127" s="16">
        <f t="shared" si="2"/>
        <v>0.01197910029</v>
      </c>
      <c r="Q127" s="16">
        <f>IFERROR(__xludf.DUMMYFUNCTION("IF(OR(ISBLANK($G127), IFERROR(INDEX(GOOGLEFINANCE($C127, ""price"", WORKDAY(INT($B127), 1)), 2, 2), """")=""""), """", IF($D127=""LONG"", (IFERROR(INDEX(GOOGLEFINANCE($C127, ""price"", WORKDAY(INT($B127), 1)), 2, 2), """")-$G127)/$G127, ($G127-IFERROR(IND"&amp;"EX(GOOGLEFINANCE($C127, ""price"", WORKDAY(INT($B127), 1)), 2, 2), """"))/$G127))"),0.012425130623168017)</f>
        <v>0.01242513062</v>
      </c>
      <c r="R127" s="16">
        <f>IFERROR(__xludf.DUMMYFUNCTION("IF(OR(ISBLANK($G127), IFERROR(INDEX(GOOGLEFINANCE($C127, ""price"", WORKDAY(INT($B127), 5)), 2, 2), """")=""""), """", IF($D127=""LONG"", (IFERROR(INDEX(GOOGLEFINANCE($C127, ""price"", WORKDAY(INT($B127), 5)), 2, 2), """")-$G127)/$G127, ($G127-IFERROR(IND"&amp;"EX(GOOGLEFINANCE($C127, ""price"", WORKDAY(INT($B127), 5)), 2, 2), """"))/$G127))"),0.005288645342169061)</f>
        <v>0.005288645342</v>
      </c>
      <c r="S127" s="16" t="str">
        <f>IFERROR(__xludf.DUMMYFUNCTION("IF(OR(ISBLANK($G127), IFERROR(INDEX(GOOGLEFINANCE($C127, ""price"", WORKDAY(INT($B127), 20)), 2, 2), """")=""""), """", IF($D127=""LONG"", (IFERROR(INDEX(GOOGLEFINANCE($C127, ""price"", WORKDAY(INT($B127), 20)), 2, 2), """")-$G127)/$G127, ($G127-IFERROR(I"&amp;"NDEX(GOOGLEFINANCE($C127, ""price"", WORKDAY(INT($B127), 20)), 2, 2), """"))/$G127))"),"")</f>
        <v/>
      </c>
      <c r="T127" s="10" t="s">
        <v>3977</v>
      </c>
      <c r="U127" s="10" t="s">
        <v>932</v>
      </c>
      <c r="V127" s="10" t="s">
        <v>933</v>
      </c>
      <c r="W127" s="10" t="s">
        <v>51</v>
      </c>
      <c r="X127" s="10" t="s">
        <v>3186</v>
      </c>
    </row>
    <row r="128">
      <c r="A128" s="9">
        <f t="shared" si="1"/>
        <v>127</v>
      </c>
      <c r="B128" s="11">
        <v>46223.66751157407</v>
      </c>
      <c r="C128" s="10" t="s">
        <v>232</v>
      </c>
      <c r="D128" s="10" t="s">
        <v>119</v>
      </c>
      <c r="E128" s="10" t="s">
        <v>120</v>
      </c>
      <c r="F128" s="13">
        <v>4.0</v>
      </c>
      <c r="G128" s="14">
        <v>78.17</v>
      </c>
      <c r="H128" s="10" t="s">
        <v>3978</v>
      </c>
      <c r="I128" s="10">
        <v>10.2</v>
      </c>
      <c r="O128" s="15">
        <f>IFERROR(__xludf.DUMMYFUNCTION("IF(ISBLANK($C128), """", GOOGLEFINANCE($C128, ""price""))"),74.92)</f>
        <v>74.92</v>
      </c>
      <c r="P128" s="16">
        <f t="shared" si="2"/>
        <v>0.04157605219</v>
      </c>
      <c r="Q128" s="16">
        <f>IFERROR(__xludf.DUMMYFUNCTION("IF(OR(ISBLANK($G128), IFERROR(INDEX(GOOGLEFINANCE($C128, ""price"", WORKDAY(INT($B128), 1)), 2, 2), """")=""""), """", IF($D128=""LONG"", (IFERROR(INDEX(GOOGLEFINANCE($C128, ""price"", WORKDAY(INT($B128), 1)), 2, 2), """")-$G128)/$G128, ($G128-IFERROR(IND"&amp;"EX(GOOGLEFINANCE($C128, ""price"", WORKDAY(INT($B128), 1)), 2, 2), """"))/$G128))"),0.025201483945247523)</f>
        <v>0.02520148395</v>
      </c>
      <c r="R128" s="16">
        <f>IFERROR(__xludf.DUMMYFUNCTION("IF(OR(ISBLANK($G128), IFERROR(INDEX(GOOGLEFINANCE($C128, ""price"", WORKDAY(INT($B128), 5)), 2, 2), """")=""""), """", IF($D128=""LONG"", (IFERROR(INDEX(GOOGLEFINANCE($C128, ""price"", WORKDAY(INT($B128), 5)), 2, 2), """")-$G128)/$G128, ($G128-IFERROR(IND"&amp;"EX(GOOGLEFINANCE($C128, ""price"", WORKDAY(INT($B128), 5)), 2, 2), """"))/$G128))"),0.05168223103492396)</f>
        <v>0.05168223103</v>
      </c>
      <c r="S128" s="16" t="str">
        <f>IFERROR(__xludf.DUMMYFUNCTION("IF(OR(ISBLANK($G128), IFERROR(INDEX(GOOGLEFINANCE($C128, ""price"", WORKDAY(INT($B128), 20)), 2, 2), """")=""""), """", IF($D128=""LONG"", (IFERROR(INDEX(GOOGLEFINANCE($C128, ""price"", WORKDAY(INT($B128), 20)), 2, 2), """")-$G128)/$G128, ($G128-IFERROR(I"&amp;"NDEX(GOOGLEFINANCE($C128, ""price"", WORKDAY(INT($B128), 20)), 2, 2), """"))/$G128))"),"")</f>
        <v/>
      </c>
      <c r="T128" s="10" t="s">
        <v>3981</v>
      </c>
      <c r="U128" s="10" t="s">
        <v>984</v>
      </c>
      <c r="V128" s="10" t="s">
        <v>933</v>
      </c>
      <c r="W128" s="10" t="s">
        <v>51</v>
      </c>
      <c r="X128" s="10" t="s">
        <v>984</v>
      </c>
    </row>
    <row r="129">
      <c r="A129" s="9">
        <f t="shared" si="1"/>
        <v>128</v>
      </c>
      <c r="B129" s="11">
        <v>46223.6675</v>
      </c>
      <c r="C129" s="10" t="s">
        <v>641</v>
      </c>
      <c r="D129" s="10" t="s">
        <v>36</v>
      </c>
      <c r="E129" s="10" t="s">
        <v>37</v>
      </c>
      <c r="F129" s="13">
        <v>2.0</v>
      </c>
      <c r="G129" s="14">
        <v>62.25</v>
      </c>
      <c r="H129" s="10" t="s">
        <v>3982</v>
      </c>
      <c r="I129" s="10">
        <v>96.8</v>
      </c>
      <c r="O129" s="15">
        <f>IFERROR(__xludf.DUMMYFUNCTION("IF(ISBLANK($C129), """", GOOGLEFINANCE($C129, ""price""))"),63.13)</f>
        <v>63.13</v>
      </c>
      <c r="P129" s="16">
        <f t="shared" si="2"/>
        <v>0.01413654618</v>
      </c>
      <c r="Q129" s="16">
        <f>IFERROR(__xludf.DUMMYFUNCTION("IF(OR(ISBLANK($G129), IFERROR(INDEX(GOOGLEFINANCE($C129, ""price"", WORKDAY(INT($B129), 1)), 2, 2), """")=""""), """", IF($D129=""LONG"", (IFERROR(INDEX(GOOGLEFINANCE($C129, ""price"", WORKDAY(INT($B129), 1)), 2, 2), """")-$G129)/$G129, ($G129-IFERROR(IND"&amp;"EX(GOOGLEFINANCE($C129, ""price"", WORKDAY(INT($B129), 1)), 2, 2), """"))/$G129))"),0.004819277108433689)</f>
        <v>0.004819277108</v>
      </c>
      <c r="R129" s="16">
        <f>IFERROR(__xludf.DUMMYFUNCTION("IF(OR(ISBLANK($G129), IFERROR(INDEX(GOOGLEFINANCE($C129, ""price"", WORKDAY(INT($B129), 5)), 2, 2), """")=""""), """", IF($D129=""LONG"", (IFERROR(INDEX(GOOGLEFINANCE($C129, ""price"", WORKDAY(INT($B129), 5)), 2, 2), """")-$G129)/$G129, ($G129-IFERROR(IND"&amp;"EX(GOOGLEFINANCE($C129, ""price"", WORKDAY(INT($B129), 5)), 2, 2), """"))/$G129))"),0.03887550200803216)</f>
        <v>0.03887550201</v>
      </c>
      <c r="S129" s="16" t="str">
        <f>IFERROR(__xludf.DUMMYFUNCTION("IF(OR(ISBLANK($G129), IFERROR(INDEX(GOOGLEFINANCE($C129, ""price"", WORKDAY(INT($B129), 20)), 2, 2), """")=""""), """", IF($D129=""LONG"", (IFERROR(INDEX(GOOGLEFINANCE($C129, ""price"", WORKDAY(INT($B129), 20)), 2, 2), """")-$G129)/$G129, ($G129-IFERROR(I"&amp;"NDEX(GOOGLEFINANCE($C129, ""price"", WORKDAY(INT($B129), 20)), 2, 2), """"))/$G129))"),"")</f>
        <v/>
      </c>
      <c r="T129" s="10" t="s">
        <v>3985</v>
      </c>
      <c r="U129" s="10" t="s">
        <v>507</v>
      </c>
      <c r="V129" s="10" t="s">
        <v>3986</v>
      </c>
      <c r="W129" s="10" t="s">
        <v>51</v>
      </c>
      <c r="X129" s="10" t="s">
        <v>2228</v>
      </c>
    </row>
    <row r="130">
      <c r="A130" s="9">
        <f t="shared" si="1"/>
        <v>129</v>
      </c>
      <c r="B130" s="11">
        <v>46223.66753472222</v>
      </c>
      <c r="C130" s="10" t="s">
        <v>746</v>
      </c>
      <c r="D130" s="10" t="s">
        <v>119</v>
      </c>
      <c r="E130" s="10" t="s">
        <v>120</v>
      </c>
      <c r="F130" s="13">
        <v>4.0</v>
      </c>
      <c r="G130" s="14">
        <v>167.09</v>
      </c>
      <c r="H130" s="10" t="s">
        <v>3987</v>
      </c>
      <c r="I130" s="10">
        <v>10.5</v>
      </c>
      <c r="L130" s="10" t="s">
        <v>3988</v>
      </c>
      <c r="M130" s="34" t="s">
        <v>951</v>
      </c>
      <c r="N130" s="10" t="s">
        <v>3989</v>
      </c>
      <c r="O130" s="15">
        <f>IFERROR(__xludf.DUMMYFUNCTION("IF(ISBLANK($C130), """", GOOGLEFINANCE($C130, ""price""))"),171.2)</f>
        <v>171.2</v>
      </c>
      <c r="P130" s="16">
        <f t="shared" si="2"/>
        <v>-0.02459752229</v>
      </c>
      <c r="Q130" s="16">
        <f>IFERROR(__xludf.DUMMYFUNCTION("IF(OR(ISBLANK($G130), IFERROR(INDEX(GOOGLEFINANCE($C130, ""price"", WORKDAY(INT($B130), 1)), 2, 2), """")=""""), """", IF($D130=""LONG"", (IFERROR(INDEX(GOOGLEFINANCE($C130, ""price"", WORKDAY(INT($B130), 1)), 2, 2), """")-$G130)/$G130, ($G130-IFERROR(IND"&amp;"EX(GOOGLEFINANCE($C130, ""price"", WORKDAY(INT($B130), 1)), 2, 2), """"))/$G130))"),0.022143754862648975)</f>
        <v>0.02214375486</v>
      </c>
      <c r="R130" s="16">
        <f>IFERROR(__xludf.DUMMYFUNCTION("IF(OR(ISBLANK($G130), IFERROR(INDEX(GOOGLEFINANCE($C130, ""price"", WORKDAY(INT($B130), 5)), 2, 2), """")=""""), """", IF($D130=""LONG"", (IFERROR(INDEX(GOOGLEFINANCE($C130, ""price"", WORKDAY(INT($B130), 5)), 2, 2), """")-$G130)/$G130, ($G130-IFERROR(IND"&amp;"EX(GOOGLEFINANCE($C130, ""price"", WORKDAY(INT($B130), 5)), 2, 2), """"))/$G130))"),0.0020946795140343185)</f>
        <v>0.002094679514</v>
      </c>
      <c r="S130" s="16" t="str">
        <f>IFERROR(__xludf.DUMMYFUNCTION("IF(OR(ISBLANK($G130), IFERROR(INDEX(GOOGLEFINANCE($C130, ""price"", WORKDAY(INT($B130), 20)), 2, 2), """")=""""), """", IF($D130=""LONG"", (IFERROR(INDEX(GOOGLEFINANCE($C130, ""price"", WORKDAY(INT($B130), 20)), 2, 2), """")-$G130)/$G130, ($G130-IFERROR(I"&amp;"NDEX(GOOGLEFINANCE($C130, ""price"", WORKDAY(INT($B130), 20)), 2, 2), """"))/$G130))"),"")</f>
        <v/>
      </c>
      <c r="T130" s="10" t="s">
        <v>3992</v>
      </c>
      <c r="U130" s="10" t="s">
        <v>49</v>
      </c>
      <c r="V130" s="10" t="s">
        <v>3993</v>
      </c>
      <c r="W130" s="10" t="s">
        <v>51</v>
      </c>
      <c r="X130" s="10" t="s">
        <v>3975</v>
      </c>
    </row>
    <row r="131">
      <c r="A131" s="9">
        <f t="shared" si="1"/>
        <v>130</v>
      </c>
      <c r="B131" s="11">
        <v>46223.66746527778</v>
      </c>
      <c r="C131" s="10" t="s">
        <v>1183</v>
      </c>
      <c r="D131" s="10" t="s">
        <v>36</v>
      </c>
      <c r="E131" s="10" t="s">
        <v>37</v>
      </c>
      <c r="F131" s="13">
        <v>2.0</v>
      </c>
      <c r="G131" s="14">
        <v>182.77</v>
      </c>
      <c r="H131" s="10" t="s">
        <v>3994</v>
      </c>
      <c r="I131" s="10">
        <v>90.8</v>
      </c>
      <c r="O131" s="15">
        <f>IFERROR(__xludf.DUMMYFUNCTION("IF(ISBLANK($C131), """", GOOGLEFINANCE($C131, ""price""))"),184.14)</f>
        <v>184.14</v>
      </c>
      <c r="P131" s="16">
        <f t="shared" si="2"/>
        <v>0.007495759698</v>
      </c>
      <c r="Q131" s="16">
        <f>IFERROR(__xludf.DUMMYFUNCTION("IF(OR(ISBLANK($G131), IFERROR(INDEX(GOOGLEFINANCE($C131, ""price"", WORKDAY(INT($B131), 1)), 2, 2), """")=""""), """", IF($D131=""LONG"", (IFERROR(INDEX(GOOGLEFINANCE($C131, ""price"", WORKDAY(INT($B131), 1)), 2, 2), """")-$G131)/$G131, ($G131-IFERROR(IND"&amp;"EX(GOOGLEFINANCE($C131, ""price"", WORKDAY(INT($B131), 1)), 2, 2), """"))/$G131))"),0.012529408546260282)</f>
        <v>0.01252940855</v>
      </c>
      <c r="R131" s="16">
        <f>IFERROR(__xludf.DUMMYFUNCTION("IF(OR(ISBLANK($G131), IFERROR(INDEX(GOOGLEFINANCE($C131, ""price"", WORKDAY(INT($B131), 5)), 2, 2), """")=""""), """", IF($D131=""LONG"", (IFERROR(INDEX(GOOGLEFINANCE($C131, ""price"", WORKDAY(INT($B131), 5)), 2, 2), """")-$G131)/$G131, ($G131-IFERROR(IND"&amp;"EX(GOOGLEFINANCE($C131, ""price"", WORKDAY(INT($B131), 5)), 2, 2), """"))/$G131))"),-0.0013678393609454504)</f>
        <v>-0.001367839361</v>
      </c>
      <c r="S131" s="16" t="str">
        <f>IFERROR(__xludf.DUMMYFUNCTION("IF(OR(ISBLANK($G131), IFERROR(INDEX(GOOGLEFINANCE($C131, ""price"", WORKDAY(INT($B131), 20)), 2, 2), """")=""""), """", IF($D131=""LONG"", (IFERROR(INDEX(GOOGLEFINANCE($C131, ""price"", WORKDAY(INT($B131), 20)), 2, 2), """")-$G131)/$G131, ($G131-IFERROR(I"&amp;"NDEX(GOOGLEFINANCE($C131, ""price"", WORKDAY(INT($B131), 20)), 2, 2), """"))/$G131))"),"")</f>
        <v/>
      </c>
      <c r="T131" s="10" t="s">
        <v>3996</v>
      </c>
      <c r="U131" s="10" t="s">
        <v>984</v>
      </c>
      <c r="V131" s="10" t="s">
        <v>933</v>
      </c>
      <c r="W131" s="10" t="s">
        <v>51</v>
      </c>
      <c r="X131" s="10" t="s">
        <v>984</v>
      </c>
    </row>
    <row r="132">
      <c r="A132" s="9">
        <f t="shared" si="1"/>
        <v>131</v>
      </c>
      <c r="B132" s="11">
        <v>46223.66752314815</v>
      </c>
      <c r="C132" s="10" t="s">
        <v>1216</v>
      </c>
      <c r="D132" s="10" t="s">
        <v>36</v>
      </c>
      <c r="E132" s="10" t="s">
        <v>37</v>
      </c>
      <c r="F132" s="13">
        <v>2.0</v>
      </c>
      <c r="G132" s="14">
        <v>79.32</v>
      </c>
      <c r="H132" s="10" t="s">
        <v>3998</v>
      </c>
      <c r="I132" s="10">
        <v>92.7</v>
      </c>
      <c r="O132" s="15">
        <f>IFERROR(__xludf.DUMMYFUNCTION("IF(ISBLANK($C132), """", GOOGLEFINANCE($C132, ""price""))"),79.02)</f>
        <v>79.02</v>
      </c>
      <c r="P132" s="16">
        <f t="shared" si="2"/>
        <v>-0.00378214826</v>
      </c>
      <c r="Q132" s="16">
        <f>IFERROR(__xludf.DUMMYFUNCTION("IF(OR(ISBLANK($G132), IFERROR(INDEX(GOOGLEFINANCE($C132, ""price"", WORKDAY(INT($B132), 1)), 2, 2), """")=""""), """", IF($D132=""LONG"", (IFERROR(INDEX(GOOGLEFINANCE($C132, ""price"", WORKDAY(INT($B132), 1)), 2, 2), """")-$G132)/$G132, ($G132-IFERROR(IND"&amp;"EX(GOOGLEFINANCE($C132, ""price"", WORKDAY(INT($B132), 1)), 2, 2), """"))/$G132))"),0.013363590519415058)</f>
        <v>0.01336359052</v>
      </c>
      <c r="R132" s="16">
        <f>IFERROR(__xludf.DUMMYFUNCTION("IF(OR(ISBLANK($G132), IFERROR(INDEX(GOOGLEFINANCE($C132, ""price"", WORKDAY(INT($B132), 5)), 2, 2), """")=""""), """", IF($D132=""LONG"", (IFERROR(INDEX(GOOGLEFINANCE($C132, ""price"", WORKDAY(INT($B132), 5)), 2, 2), """")-$G132)/$G132, ($G132-IFERROR(IND"&amp;"EX(GOOGLEFINANCE($C132, ""price"", WORKDAY(INT($B132), 5)), 2, 2), """"))/$G132))"),0.024205748865355547)</f>
        <v>0.02420574887</v>
      </c>
      <c r="S132" s="16" t="str">
        <f>IFERROR(__xludf.DUMMYFUNCTION("IF(OR(ISBLANK($G132), IFERROR(INDEX(GOOGLEFINANCE($C132, ""price"", WORKDAY(INT($B132), 20)), 2, 2), """")=""""), """", IF($D132=""LONG"", (IFERROR(INDEX(GOOGLEFINANCE($C132, ""price"", WORKDAY(INT($B132), 20)), 2, 2), """")-$G132)/$G132, ($G132-IFERROR(I"&amp;"NDEX(GOOGLEFINANCE($C132, ""price"", WORKDAY(INT($B132), 20)), 2, 2), """"))/$G132))"),"")</f>
        <v/>
      </c>
      <c r="T132" s="10" t="s">
        <v>3999</v>
      </c>
      <c r="U132" s="10" t="s">
        <v>984</v>
      </c>
      <c r="V132" s="10" t="s">
        <v>2714</v>
      </c>
      <c r="W132" s="10" t="s">
        <v>51</v>
      </c>
      <c r="X132" s="10" t="s">
        <v>984</v>
      </c>
    </row>
    <row r="133">
      <c r="A133" s="9">
        <f t="shared" si="1"/>
        <v>132</v>
      </c>
      <c r="B133" s="11">
        <v>46223.66762731481</v>
      </c>
      <c r="C133" s="10" t="s">
        <v>1154</v>
      </c>
      <c r="D133" s="10" t="s">
        <v>36</v>
      </c>
      <c r="E133" s="10" t="s">
        <v>37</v>
      </c>
      <c r="F133" s="13">
        <v>2.0</v>
      </c>
      <c r="G133" s="14">
        <v>1271.75</v>
      </c>
      <c r="H133" s="10" t="s">
        <v>4001</v>
      </c>
      <c r="I133" s="10">
        <v>96.1</v>
      </c>
      <c r="O133" s="15">
        <f>IFERROR(__xludf.DUMMYFUNCTION("IF(ISBLANK($C133), """", GOOGLEFINANCE($C133, ""price""))"),1421.24)</f>
        <v>1421.24</v>
      </c>
      <c r="P133" s="16">
        <f t="shared" si="2"/>
        <v>0.1175466876</v>
      </c>
      <c r="Q133" s="16">
        <f>IFERROR(__xludf.DUMMYFUNCTION("IF(OR(ISBLANK($G133), IFERROR(INDEX(GOOGLEFINANCE($C133, ""price"", WORKDAY(INT($B133), 1)), 2, 2), """")=""""), """", IF($D133=""LONG"", (IFERROR(INDEX(GOOGLEFINANCE($C133, ""price"", WORKDAY(INT($B133), 1)), 2, 2), """")-$G133)/$G133, ($G133-IFERROR(IND"&amp;"EX(GOOGLEFINANCE($C133, ""price"", WORKDAY(INT($B133), 1)), 2, 2), """"))/$G133))"),0.02077452329467275)</f>
        <v>0.02077452329</v>
      </c>
      <c r="R133" s="16">
        <f>IFERROR(__xludf.DUMMYFUNCTION("IF(OR(ISBLANK($G133), IFERROR(INDEX(GOOGLEFINANCE($C133, ""price"", WORKDAY(INT($B133), 5)), 2, 2), """")=""""), """", IF($D133=""LONG"", (IFERROR(INDEX(GOOGLEFINANCE($C133, ""price"", WORKDAY(INT($B133), 5)), 2, 2), """")-$G133)/$G133, ($G133-IFERROR(IND"&amp;"EX(GOOGLEFINANCE($C133, ""price"", WORKDAY(INT($B133), 5)), 2, 2), """"))/$G133))"),0.0507489679575388)</f>
        <v>0.05074896796</v>
      </c>
      <c r="S133" s="16" t="str">
        <f>IFERROR(__xludf.DUMMYFUNCTION("IF(OR(ISBLANK($G133), IFERROR(INDEX(GOOGLEFINANCE($C133, ""price"", WORKDAY(INT($B133), 20)), 2, 2), """")=""""), """", IF($D133=""LONG"", (IFERROR(INDEX(GOOGLEFINANCE($C133, ""price"", WORKDAY(INT($B133), 20)), 2, 2), """")-$G133)/$G133, ($G133-IFERROR(I"&amp;"NDEX(GOOGLEFINANCE($C133, ""price"", WORKDAY(INT($B133), 20)), 2, 2), """"))/$G133))"),"")</f>
        <v/>
      </c>
      <c r="T133" s="10" t="s">
        <v>4003</v>
      </c>
      <c r="U133" s="10" t="s">
        <v>984</v>
      </c>
      <c r="V133" s="10" t="s">
        <v>985</v>
      </c>
      <c r="W133" s="10" t="s">
        <v>51</v>
      </c>
      <c r="X133" s="10" t="s">
        <v>984</v>
      </c>
    </row>
    <row r="134">
      <c r="A134" s="9">
        <f t="shared" si="1"/>
        <v>133</v>
      </c>
      <c r="B134" s="11">
        <v>46223.66751157407</v>
      </c>
      <c r="C134" s="10" t="s">
        <v>303</v>
      </c>
      <c r="D134" s="10" t="s">
        <v>36</v>
      </c>
      <c r="E134" s="10" t="s">
        <v>70</v>
      </c>
      <c r="F134" s="13">
        <v>2.0</v>
      </c>
      <c r="G134" s="14">
        <v>107.61</v>
      </c>
      <c r="H134" s="10" t="s">
        <v>4005</v>
      </c>
      <c r="I134" s="10">
        <v>82.2</v>
      </c>
      <c r="O134" s="15">
        <f>IFERROR(__xludf.DUMMYFUNCTION("IF(ISBLANK($C134), """", GOOGLEFINANCE($C134, ""price""))"),96.22)</f>
        <v>96.22</v>
      </c>
      <c r="P134" s="16">
        <f t="shared" si="2"/>
        <v>-0.1058451817</v>
      </c>
      <c r="Q134" s="16">
        <f>IFERROR(__xludf.DUMMYFUNCTION("IF(OR(ISBLANK($G134), IFERROR(INDEX(GOOGLEFINANCE($C134, ""price"", WORKDAY(INT($B134), 1)), 2, 2), """")=""""), """", IF($D134=""LONG"", (IFERROR(INDEX(GOOGLEFINANCE($C134, ""price"", WORKDAY(INT($B134), 1)), 2, 2), """")-$G134)/$G134, ($G134-IFERROR(IND"&amp;"EX(GOOGLEFINANCE($C134, ""price"", WORKDAY(INT($B134), 1)), 2, 2), """"))/$G134))"),0.027785521791655002)</f>
        <v>0.02778552179</v>
      </c>
      <c r="R134" s="16">
        <f>IFERROR(__xludf.DUMMYFUNCTION("IF(OR(ISBLANK($G134), IFERROR(INDEX(GOOGLEFINANCE($C134, ""price"", WORKDAY(INT($B134), 5)), 2, 2), """")=""""), """", IF($D134=""LONG"", (IFERROR(INDEX(GOOGLEFINANCE($C134, ""price"", WORKDAY(INT($B134), 5)), 2, 2), """")-$G134)/$G134, ($G134-IFERROR(IND"&amp;"EX(GOOGLEFINANCE($C134, ""price"", WORKDAY(INT($B134), 5)), 2, 2), """"))/$G134))"),-0.0050181209924728765)</f>
        <v>-0.005018120992</v>
      </c>
      <c r="S134" s="16" t="str">
        <f>IFERROR(__xludf.DUMMYFUNCTION("IF(OR(ISBLANK($G134), IFERROR(INDEX(GOOGLEFINANCE($C134, ""price"", WORKDAY(INT($B134), 20)), 2, 2), """")=""""), """", IF($D134=""LONG"", (IFERROR(INDEX(GOOGLEFINANCE($C134, ""price"", WORKDAY(INT($B134), 20)), 2, 2), """")-$G134)/$G134, ($G134-IFERROR(I"&amp;"NDEX(GOOGLEFINANCE($C134, ""price"", WORKDAY(INT($B134), 20)), 2, 2), """"))/$G134))"),"")</f>
        <v/>
      </c>
      <c r="T134" s="10" t="s">
        <v>4007</v>
      </c>
      <c r="U134" s="10" t="s">
        <v>984</v>
      </c>
      <c r="V134" s="10" t="s">
        <v>933</v>
      </c>
      <c r="W134" s="10" t="s">
        <v>51</v>
      </c>
      <c r="X134" s="10" t="s">
        <v>984</v>
      </c>
    </row>
    <row r="135">
      <c r="A135" s="9">
        <f t="shared" si="1"/>
        <v>134</v>
      </c>
      <c r="B135" s="11">
        <v>46223.667708333334</v>
      </c>
      <c r="C135" s="10" t="s">
        <v>342</v>
      </c>
      <c r="D135" s="10" t="s">
        <v>36</v>
      </c>
      <c r="E135" s="10" t="s">
        <v>37</v>
      </c>
      <c r="F135" s="13">
        <v>2.0</v>
      </c>
      <c r="G135" s="14">
        <v>60.44</v>
      </c>
      <c r="H135" s="10" t="s">
        <v>4008</v>
      </c>
      <c r="I135" s="10">
        <v>85.9</v>
      </c>
      <c r="O135" s="15">
        <f>IFERROR(__xludf.DUMMYFUNCTION("IF(ISBLANK($C135), """", GOOGLEFINANCE($C135, ""price""))"),63.0)</f>
        <v>63</v>
      </c>
      <c r="P135" s="16">
        <f t="shared" si="2"/>
        <v>0.04235605559</v>
      </c>
      <c r="Q135" s="16">
        <f>IFERROR(__xludf.DUMMYFUNCTION("IF(OR(ISBLANK($G135), IFERROR(INDEX(GOOGLEFINANCE($C135, ""price"", WORKDAY(INT($B135), 1)), 2, 2), """")=""""), """", IF($D135=""LONG"", (IFERROR(INDEX(GOOGLEFINANCE($C135, ""price"", WORKDAY(INT($B135), 1)), 2, 2), """")-$G135)/$G135, ($G135-IFERROR(IND"&amp;"EX(GOOGLEFINANCE($C135, ""price"", WORKDAY(INT($B135), 1)), 2, 2), """"))/$G135))"),0.012905360688285922)</f>
        <v>0.01290536069</v>
      </c>
      <c r="R135" s="16">
        <f>IFERROR(__xludf.DUMMYFUNCTION("IF(OR(ISBLANK($G135), IFERROR(INDEX(GOOGLEFINANCE($C135, ""price"", WORKDAY(INT($B135), 5)), 2, 2), """")=""""), """", IF($D135=""LONG"", (IFERROR(INDEX(GOOGLEFINANCE($C135, ""price"", WORKDAY(INT($B135), 5)), 2, 2), """")-$G135)/$G135, ($G135-IFERROR(IND"&amp;"EX(GOOGLEFINANCE($C135, ""price"", WORKDAY(INT($B135), 5)), 2, 2), """"))/$G135))"),0.02796161482461954)</f>
        <v>0.02796161482</v>
      </c>
      <c r="S135" s="16" t="str">
        <f>IFERROR(__xludf.DUMMYFUNCTION("IF(OR(ISBLANK($G135), IFERROR(INDEX(GOOGLEFINANCE($C135, ""price"", WORKDAY(INT($B135), 20)), 2, 2), """")=""""), """", IF($D135=""LONG"", (IFERROR(INDEX(GOOGLEFINANCE($C135, ""price"", WORKDAY(INT($B135), 20)), 2, 2), """")-$G135)/$G135, ($G135-IFERROR(I"&amp;"NDEX(GOOGLEFINANCE($C135, ""price"", WORKDAY(INT($B135), 20)), 2, 2), """"))/$G135))"),"")</f>
        <v/>
      </c>
      <c r="T135" s="10" t="s">
        <v>4012</v>
      </c>
      <c r="U135" s="10" t="s">
        <v>932</v>
      </c>
      <c r="V135" s="10" t="s">
        <v>933</v>
      </c>
      <c r="W135" s="10" t="s">
        <v>51</v>
      </c>
      <c r="X135" s="10" t="s">
        <v>3186</v>
      </c>
    </row>
    <row r="136">
      <c r="A136" s="9">
        <f t="shared" si="1"/>
        <v>135</v>
      </c>
      <c r="B136" s="11">
        <v>46223.66763888889</v>
      </c>
      <c r="C136" s="10" t="s">
        <v>1762</v>
      </c>
      <c r="D136" s="10" t="s">
        <v>36</v>
      </c>
      <c r="E136" s="10" t="s">
        <v>37</v>
      </c>
      <c r="F136" s="13">
        <v>2.0</v>
      </c>
      <c r="G136" s="14">
        <v>205.78</v>
      </c>
      <c r="H136" s="10" t="s">
        <v>4015</v>
      </c>
      <c r="I136" s="10">
        <v>82.3</v>
      </c>
      <c r="O136" s="15">
        <f>IFERROR(__xludf.DUMMYFUNCTION("IF(ISBLANK($C136), """", GOOGLEFINANCE($C136, ""price""))"),146.66)</f>
        <v>146.66</v>
      </c>
      <c r="P136" s="16">
        <f t="shared" si="2"/>
        <v>-0.2872971134</v>
      </c>
      <c r="Q136" s="16">
        <f>IFERROR(__xludf.DUMMYFUNCTION("IF(OR(ISBLANK($G136), IFERROR(INDEX(GOOGLEFINANCE($C136, ""price"", WORKDAY(INT($B136), 1)), 2, 2), """")=""""), """", IF($D136=""LONG"", (IFERROR(INDEX(GOOGLEFINANCE($C136, ""price"", WORKDAY(INT($B136), 1)), 2, 2), """")-$G136)/$G136, ($G136-IFERROR(IND"&amp;"EX(GOOGLEFINANCE($C136, ""price"", WORKDAY(INT($B136), 1)), 2, 2), """"))/$G136))"),0.017688793857517673)</f>
        <v>0.01768879386</v>
      </c>
      <c r="R136" s="16">
        <f>IFERROR(__xludf.DUMMYFUNCTION("IF(OR(ISBLANK($G136), IFERROR(INDEX(GOOGLEFINANCE($C136, ""price"", WORKDAY(INT($B136), 5)), 2, 2), """")=""""), """", IF($D136=""LONG"", (IFERROR(INDEX(GOOGLEFINANCE($C136, ""price"", WORKDAY(INT($B136), 5)), 2, 2), """")-$G136)/$G136, ($G136-IFERROR(IND"&amp;"EX(GOOGLEFINANCE($C136, ""price"", WORKDAY(INT($B136), 5)), 2, 2), """"))/$G136))"),-0.15220138011468556)</f>
        <v>-0.1522013801</v>
      </c>
      <c r="S136" s="16" t="str">
        <f>IFERROR(__xludf.DUMMYFUNCTION("IF(OR(ISBLANK($G136), IFERROR(INDEX(GOOGLEFINANCE($C136, ""price"", WORKDAY(INT($B136), 20)), 2, 2), """")=""""), """", IF($D136=""LONG"", (IFERROR(INDEX(GOOGLEFINANCE($C136, ""price"", WORKDAY(INT($B136), 20)), 2, 2), """")-$G136)/$G136, ($G136-IFERROR(I"&amp;"NDEX(GOOGLEFINANCE($C136, ""price"", WORKDAY(INT($B136), 20)), 2, 2), """"))/$G136))"),"")</f>
        <v/>
      </c>
      <c r="T136" s="10" t="s">
        <v>4020</v>
      </c>
      <c r="U136" s="10" t="s">
        <v>984</v>
      </c>
      <c r="V136" s="10" t="s">
        <v>2714</v>
      </c>
      <c r="W136" s="10" t="s">
        <v>51</v>
      </c>
      <c r="X136" s="10" t="s">
        <v>984</v>
      </c>
    </row>
    <row r="137">
      <c r="A137" s="9">
        <f t="shared" si="1"/>
        <v>136</v>
      </c>
      <c r="B137" s="11">
        <v>46223.66756944444</v>
      </c>
      <c r="C137" s="10" t="s">
        <v>272</v>
      </c>
      <c r="D137" s="10" t="s">
        <v>36</v>
      </c>
      <c r="E137" s="10" t="s">
        <v>37</v>
      </c>
      <c r="F137" s="13">
        <v>2.0</v>
      </c>
      <c r="G137" s="14">
        <v>338.92</v>
      </c>
      <c r="H137" s="10" t="s">
        <v>4021</v>
      </c>
      <c r="I137" s="10">
        <v>94.2</v>
      </c>
      <c r="O137" s="15">
        <f>IFERROR(__xludf.DUMMYFUNCTION("IF(ISBLANK($C137), """", GOOGLEFINANCE($C137, ""price""))"),356.3)</f>
        <v>356.3</v>
      </c>
      <c r="P137" s="16">
        <f t="shared" si="2"/>
        <v>0.05128053818</v>
      </c>
      <c r="Q137" s="16">
        <f>IFERROR(__xludf.DUMMYFUNCTION("IF(OR(ISBLANK($G137), IFERROR(INDEX(GOOGLEFINANCE($C137, ""price"", WORKDAY(INT($B137), 1)), 2, 2), """")=""""), """", IF($D137=""LONG"", (IFERROR(INDEX(GOOGLEFINANCE($C137, ""price"", WORKDAY(INT($B137), 1)), 2, 2), """")-$G137)/$G137, ($G137-IFERROR(IND"&amp;"EX(GOOGLEFINANCE($C137, ""price"", WORKDAY(INT($B137), 1)), 2, 2), """"))/$G137))"),0.01861796294110705)</f>
        <v>0.01861796294</v>
      </c>
      <c r="R137" s="16">
        <f>IFERROR(__xludf.DUMMYFUNCTION("IF(OR(ISBLANK($G137), IFERROR(INDEX(GOOGLEFINANCE($C137, ""price"", WORKDAY(INT($B137), 5)), 2, 2), """")=""""), """", IF($D137=""LONG"", (IFERROR(INDEX(GOOGLEFINANCE($C137, ""price"", WORKDAY(INT($B137), 5)), 2, 2), """")-$G137)/$G137, ($G137-IFERROR(IND"&amp;"EX(GOOGLEFINANCE($C137, ""price"", WORKDAY(INT($B137), 5)), 2, 2), """"))/$G137))"),0.0509854832998937)</f>
        <v>0.0509854833</v>
      </c>
      <c r="S137" s="16" t="str">
        <f>IFERROR(__xludf.DUMMYFUNCTION("IF(OR(ISBLANK($G137), IFERROR(INDEX(GOOGLEFINANCE($C137, ""price"", WORKDAY(INT($B137), 20)), 2, 2), """")=""""), """", IF($D137=""LONG"", (IFERROR(INDEX(GOOGLEFINANCE($C137, ""price"", WORKDAY(INT($B137), 20)), 2, 2), """")-$G137)/$G137, ($G137-IFERROR(I"&amp;"NDEX(GOOGLEFINANCE($C137, ""price"", WORKDAY(INT($B137), 20)), 2, 2), """"))/$G137))"),"")</f>
        <v/>
      </c>
      <c r="T137" s="10" t="s">
        <v>4025</v>
      </c>
      <c r="U137" s="10" t="s">
        <v>240</v>
      </c>
      <c r="V137" s="10" t="s">
        <v>4026</v>
      </c>
      <c r="W137" s="10" t="s">
        <v>51</v>
      </c>
      <c r="X137" s="10" t="s">
        <v>1905</v>
      </c>
    </row>
    <row r="138">
      <c r="A138" s="9">
        <f t="shared" si="1"/>
        <v>137</v>
      </c>
      <c r="B138" s="11">
        <v>46223.66751157407</v>
      </c>
      <c r="C138" s="10" t="s">
        <v>173</v>
      </c>
      <c r="D138" s="10" t="s">
        <v>36</v>
      </c>
      <c r="E138" s="10" t="s">
        <v>37</v>
      </c>
      <c r="F138" s="13">
        <v>2.0</v>
      </c>
      <c r="G138" s="14">
        <v>86.34</v>
      </c>
      <c r="H138" s="10" t="s">
        <v>4027</v>
      </c>
      <c r="I138" s="10">
        <v>93.0</v>
      </c>
      <c r="O138" s="15">
        <f>IFERROR(__xludf.DUMMYFUNCTION("IF(ISBLANK($C138), """", GOOGLEFINANCE($C138, ""price""))"),87.59)</f>
        <v>87.59</v>
      </c>
      <c r="P138" s="16">
        <f t="shared" si="2"/>
        <v>0.01447764651</v>
      </c>
      <c r="Q138" s="16">
        <f>IFERROR(__xludf.DUMMYFUNCTION("IF(OR(ISBLANK($G138), IFERROR(INDEX(GOOGLEFINANCE($C138, ""price"", WORKDAY(INT($B138), 1)), 2, 2), """")=""""), """", IF($D138=""LONG"", (IFERROR(INDEX(GOOGLEFINANCE($C138, ""price"", WORKDAY(INT($B138), 1)), 2, 2), """")-$G138)/$G138, ($G138-IFERROR(IND"&amp;"EX(GOOGLEFINANCE($C138, ""price"", WORKDAY(INT($B138), 1)), 2, 2), """"))/$G138))"),0.016214964095436546)</f>
        <v>0.0162149641</v>
      </c>
      <c r="R138" s="16">
        <f>IFERROR(__xludf.DUMMYFUNCTION("IF(OR(ISBLANK($G138), IFERROR(INDEX(GOOGLEFINANCE($C138, ""price"", WORKDAY(INT($B138), 5)), 2, 2), """")=""""), """", IF($D138=""LONG"", (IFERROR(INDEX(GOOGLEFINANCE($C138, ""price"", WORKDAY(INT($B138), 5)), 2, 2), """")-$G138)/$G138, ($G138-IFERROR(IND"&amp;"EX(GOOGLEFINANCE($C138, ""price"", WORKDAY(INT($B138), 5)), 2, 2), """"))/$G138))"),0.010771369006254257)</f>
        <v>0.01077136901</v>
      </c>
      <c r="S138" s="16" t="str">
        <f>IFERROR(__xludf.DUMMYFUNCTION("IF(OR(ISBLANK($G138), IFERROR(INDEX(GOOGLEFINANCE($C138, ""price"", WORKDAY(INT($B138), 20)), 2, 2), """")=""""), """", IF($D138=""LONG"", (IFERROR(INDEX(GOOGLEFINANCE($C138, ""price"", WORKDAY(INT($B138), 20)), 2, 2), """")-$G138)/$G138, ($G138-IFERROR(I"&amp;"NDEX(GOOGLEFINANCE($C138, ""price"", WORKDAY(INT($B138), 20)), 2, 2), """"))/$G138))"),"")</f>
        <v/>
      </c>
      <c r="T138" s="10" t="s">
        <v>4030</v>
      </c>
      <c r="U138" s="10" t="s">
        <v>932</v>
      </c>
      <c r="V138" s="10" t="s">
        <v>933</v>
      </c>
      <c r="W138" s="10" t="s">
        <v>51</v>
      </c>
      <c r="X138" s="10" t="s">
        <v>3186</v>
      </c>
    </row>
    <row r="139">
      <c r="A139" s="9">
        <f t="shared" si="1"/>
        <v>138</v>
      </c>
      <c r="B139" s="11">
        <v>46223.667592592596</v>
      </c>
      <c r="C139" s="10" t="s">
        <v>212</v>
      </c>
      <c r="D139" s="10" t="s">
        <v>119</v>
      </c>
      <c r="E139" s="10" t="s">
        <v>120</v>
      </c>
      <c r="F139" s="13">
        <v>4.0</v>
      </c>
      <c r="G139" s="14">
        <v>112.19</v>
      </c>
      <c r="H139" s="10" t="s">
        <v>4032</v>
      </c>
      <c r="I139" s="10">
        <v>5.7</v>
      </c>
      <c r="O139" s="15">
        <f>IFERROR(__xludf.DUMMYFUNCTION("IF(ISBLANK($C139), """", GOOGLEFINANCE($C139, ""price""))"),112.07)</f>
        <v>112.07</v>
      </c>
      <c r="P139" s="16">
        <f t="shared" si="2"/>
        <v>0.001069614048</v>
      </c>
      <c r="Q139" s="16">
        <f>IFERROR(__xludf.DUMMYFUNCTION("IF(OR(ISBLANK($G139), IFERROR(INDEX(GOOGLEFINANCE($C139, ""price"", WORKDAY(INT($B139), 1)), 2, 2), """")=""""), """", IF($D139=""LONG"", (IFERROR(INDEX(GOOGLEFINANCE($C139, ""price"", WORKDAY(INT($B139), 1)), 2, 2), """")-$G139)/$G139, ($G139-IFERROR(IND"&amp;"EX(GOOGLEFINANCE($C139, ""price"", WORKDAY(INT($B139), 1)), 2, 2), """"))/$G139))"),0.01604421071396735)</f>
        <v>0.01604421071</v>
      </c>
      <c r="R139" s="16">
        <f>IFERROR(__xludf.DUMMYFUNCTION("IF(OR(ISBLANK($G139), IFERROR(INDEX(GOOGLEFINANCE($C139, ""price"", WORKDAY(INT($B139), 5)), 2, 2), """")=""""), """", IF($D139=""LONG"", (IFERROR(INDEX(GOOGLEFINANCE($C139, ""price"", WORKDAY(INT($B139), 5)), 2, 2), """")-$G139)/$G139, ($G139-IFERROR(IND"&amp;"EX(GOOGLEFINANCE($C139, ""price"", WORKDAY(INT($B139), 5)), 2, 2), """"))/$G139))"),0.00401105267849187)</f>
        <v>0.004011052678</v>
      </c>
      <c r="S139" s="16" t="str">
        <f>IFERROR(__xludf.DUMMYFUNCTION("IF(OR(ISBLANK($G139), IFERROR(INDEX(GOOGLEFINANCE($C139, ""price"", WORKDAY(INT($B139), 20)), 2, 2), """")=""""), """", IF($D139=""LONG"", (IFERROR(INDEX(GOOGLEFINANCE($C139, ""price"", WORKDAY(INT($B139), 20)), 2, 2), """")-$G139)/$G139, ($G139-IFERROR(I"&amp;"NDEX(GOOGLEFINANCE($C139, ""price"", WORKDAY(INT($B139), 20)), 2, 2), """"))/$G139))"),"")</f>
        <v/>
      </c>
      <c r="T139" s="10" t="s">
        <v>4035</v>
      </c>
      <c r="U139" s="10" t="s">
        <v>984</v>
      </c>
      <c r="V139" s="10" t="s">
        <v>985</v>
      </c>
      <c r="W139" s="10" t="s">
        <v>51</v>
      </c>
      <c r="X139" s="10" t="s">
        <v>984</v>
      </c>
    </row>
    <row r="140">
      <c r="A140" s="9">
        <f t="shared" si="1"/>
        <v>139</v>
      </c>
      <c r="B140" s="11">
        <v>46223.66762731481</v>
      </c>
      <c r="C140" s="10" t="s">
        <v>166</v>
      </c>
      <c r="D140" s="10" t="s">
        <v>36</v>
      </c>
      <c r="E140" s="10" t="s">
        <v>37</v>
      </c>
      <c r="F140" s="13">
        <v>2.0</v>
      </c>
      <c r="G140" s="14">
        <v>124.31</v>
      </c>
      <c r="H140" s="10" t="s">
        <v>4038</v>
      </c>
      <c r="I140" s="10">
        <v>89.3</v>
      </c>
      <c r="O140" s="15">
        <f>IFERROR(__xludf.DUMMYFUNCTION("IF(ISBLANK($C140), """", GOOGLEFINANCE($C140, ""price""))"),132.06)</f>
        <v>132.06</v>
      </c>
      <c r="P140" s="16">
        <f t="shared" si="2"/>
        <v>0.06234413965</v>
      </c>
      <c r="Q140" s="16">
        <f>IFERROR(__xludf.DUMMYFUNCTION("IF(OR(ISBLANK($G140), IFERROR(INDEX(GOOGLEFINANCE($C140, ""price"", WORKDAY(INT($B140), 1)), 2, 2), """")=""""), """", IF($D140=""LONG"", (IFERROR(INDEX(GOOGLEFINANCE($C140, ""price"", WORKDAY(INT($B140), 1)), 2, 2), """")-$G140)/$G140, ($G140-IFERROR(IND"&amp;"EX(GOOGLEFINANCE($C140, ""price"", WORKDAY(INT($B140), 1)), 2, 2), """"))/$G140))"),0.01560614592550879)</f>
        <v>0.01560614593</v>
      </c>
      <c r="R140" s="16">
        <f>IFERROR(__xludf.DUMMYFUNCTION("IF(OR(ISBLANK($G140), IFERROR(INDEX(GOOGLEFINANCE($C140, ""price"", WORKDAY(INT($B140), 5)), 2, 2), """")=""""), """", IF($D140=""LONG"", (IFERROR(INDEX(GOOGLEFINANCE($C140, ""price"", WORKDAY(INT($B140), 5)), 2, 2), """")-$G140)/$G140, ($G140-IFERROR(IND"&amp;"EX(GOOGLEFINANCE($C140, ""price"", WORKDAY(INT($B140), 5)), 2, 2), """"))/$G140))"),0.07344541871128626)</f>
        <v>0.07344541871</v>
      </c>
      <c r="S140" s="16" t="str">
        <f>IFERROR(__xludf.DUMMYFUNCTION("IF(OR(ISBLANK($G140), IFERROR(INDEX(GOOGLEFINANCE($C140, ""price"", WORKDAY(INT($B140), 20)), 2, 2), """")=""""), """", IF($D140=""LONG"", (IFERROR(INDEX(GOOGLEFINANCE($C140, ""price"", WORKDAY(INT($B140), 20)), 2, 2), """")-$G140)/$G140, ($G140-IFERROR(I"&amp;"NDEX(GOOGLEFINANCE($C140, ""price"", WORKDAY(INT($B140), 20)), 2, 2), """"))/$G140))"),"")</f>
        <v/>
      </c>
      <c r="T140" s="10" t="s">
        <v>4041</v>
      </c>
      <c r="U140" s="10" t="s">
        <v>932</v>
      </c>
      <c r="V140" s="10" t="s">
        <v>933</v>
      </c>
      <c r="W140" s="10" t="s">
        <v>51</v>
      </c>
      <c r="X140" s="10" t="s">
        <v>3186</v>
      </c>
    </row>
    <row r="141">
      <c r="A141" s="9">
        <f t="shared" si="1"/>
        <v>140</v>
      </c>
      <c r="B141" s="11">
        <v>46223.6675</v>
      </c>
      <c r="C141" s="10" t="s">
        <v>52</v>
      </c>
      <c r="D141" s="10" t="s">
        <v>36</v>
      </c>
      <c r="E141" s="10" t="s">
        <v>37</v>
      </c>
      <c r="F141" s="13">
        <v>2.0</v>
      </c>
      <c r="G141" s="14">
        <v>115.65</v>
      </c>
      <c r="H141" s="10" t="s">
        <v>2919</v>
      </c>
      <c r="I141" s="10">
        <v>95.1</v>
      </c>
      <c r="O141" s="15">
        <f>IFERROR(__xludf.DUMMYFUNCTION("IF(ISBLANK($C141), """", GOOGLEFINANCE($C141, ""price""))"),118.38)</f>
        <v>118.38</v>
      </c>
      <c r="P141" s="16">
        <f t="shared" si="2"/>
        <v>0.02360570687</v>
      </c>
      <c r="Q141" s="16">
        <f>IFERROR(__xludf.DUMMYFUNCTION("IF(OR(ISBLANK($G141), IFERROR(INDEX(GOOGLEFINANCE($C141, ""price"", WORKDAY(INT($B141), 1)), 2, 2), """")=""""), """", IF($D141=""LONG"", (IFERROR(INDEX(GOOGLEFINANCE($C141, ""price"", WORKDAY(INT($B141), 1)), 2, 2), """")-$G141)/$G141, ($G141-IFERROR(IND"&amp;"EX(GOOGLEFINANCE($C141, ""price"", WORKDAY(INT($B141), 1)), 2, 2), """"))/$G141))"),0.015045395590142627)</f>
        <v>0.01504539559</v>
      </c>
      <c r="R141" s="16">
        <f>IFERROR(__xludf.DUMMYFUNCTION("IF(OR(ISBLANK($G141), IFERROR(INDEX(GOOGLEFINANCE($C141, ""price"", WORKDAY(INT($B141), 5)), 2, 2), """")=""""), """", IF($D141=""LONG"", (IFERROR(INDEX(GOOGLEFINANCE($C141, ""price"", WORKDAY(INT($B141), 5)), 2, 2), """")-$G141)/$G141, ($G141-IFERROR(IND"&amp;"EX(GOOGLEFINANCE($C141, ""price"", WORKDAY(INT($B141), 5)), 2, 2), """"))/$G141))"),0.027842628620838725)</f>
        <v>0.02784262862</v>
      </c>
      <c r="S141" s="16" t="str">
        <f>IFERROR(__xludf.DUMMYFUNCTION("IF(OR(ISBLANK($G141), IFERROR(INDEX(GOOGLEFINANCE($C141, ""price"", WORKDAY(INT($B141), 20)), 2, 2), """")=""""), """", IF($D141=""LONG"", (IFERROR(INDEX(GOOGLEFINANCE($C141, ""price"", WORKDAY(INT($B141), 20)), 2, 2), """")-$G141)/$G141, ($G141-IFERROR(I"&amp;"NDEX(GOOGLEFINANCE($C141, ""price"", WORKDAY(INT($B141), 20)), 2, 2), """"))/$G141))"),"")</f>
        <v/>
      </c>
      <c r="T141" s="10" t="s">
        <v>4044</v>
      </c>
      <c r="U141" s="10" t="s">
        <v>932</v>
      </c>
      <c r="V141" s="10" t="s">
        <v>933</v>
      </c>
      <c r="W141" s="10" t="s">
        <v>51</v>
      </c>
      <c r="X141" s="10" t="s">
        <v>3186</v>
      </c>
    </row>
    <row r="142">
      <c r="A142" s="9">
        <f t="shared" si="1"/>
        <v>141</v>
      </c>
      <c r="B142" s="11">
        <v>46223.667546296296</v>
      </c>
      <c r="C142" s="10" t="s">
        <v>386</v>
      </c>
      <c r="D142" s="10" t="s">
        <v>36</v>
      </c>
      <c r="E142" s="10" t="s">
        <v>37</v>
      </c>
      <c r="F142" s="13">
        <v>2.0</v>
      </c>
      <c r="G142" s="14">
        <v>398.09</v>
      </c>
      <c r="H142" s="10" t="s">
        <v>4046</v>
      </c>
      <c r="I142" s="10">
        <v>91.3</v>
      </c>
      <c r="O142" s="15">
        <f>IFERROR(__xludf.DUMMYFUNCTION("IF(ISBLANK($C142), """", GOOGLEFINANCE($C142, ""price""))"),367.24)</f>
        <v>367.24</v>
      </c>
      <c r="P142" s="16">
        <f t="shared" si="2"/>
        <v>-0.07749503881</v>
      </c>
      <c r="Q142" s="16">
        <f>IFERROR(__xludf.DUMMYFUNCTION("IF(OR(ISBLANK($G142), IFERROR(INDEX(GOOGLEFINANCE($C142, ""price"", WORKDAY(INT($B142), 1)), 2, 2), """")=""""), """", IF($D142=""LONG"", (IFERROR(INDEX(GOOGLEFINANCE($C142, ""price"", WORKDAY(INT($B142), 1)), 2, 2), """")-$G142)/$G142, ($G142-IFERROR(IND"&amp;"EX(GOOGLEFINANCE($C142, ""price"", WORKDAY(INT($B142), 1)), 2, 2), """"))/$G142))"),0.015699967344067926)</f>
        <v>0.01569996734</v>
      </c>
      <c r="R142" s="16">
        <f>IFERROR(__xludf.DUMMYFUNCTION("IF(OR(ISBLANK($G142), IFERROR(INDEX(GOOGLEFINANCE($C142, ""price"", WORKDAY(INT($B142), 5)), 2, 2), """")=""""), """", IF($D142=""LONG"", (IFERROR(INDEX(GOOGLEFINANCE($C142, ""price"", WORKDAY(INT($B142), 5)), 2, 2), """")-$G142)/$G142, ($G142-IFERROR(IND"&amp;"EX(GOOGLEFINANCE($C142, ""price"", WORKDAY(INT($B142), 5)), 2, 2), """"))/$G142))"),-0.0425531914893617)</f>
        <v>-0.04255319149</v>
      </c>
      <c r="S142" s="16" t="str">
        <f>IFERROR(__xludf.DUMMYFUNCTION("IF(OR(ISBLANK($G142), IFERROR(INDEX(GOOGLEFINANCE($C142, ""price"", WORKDAY(INT($B142), 20)), 2, 2), """")=""""), """", IF($D142=""LONG"", (IFERROR(INDEX(GOOGLEFINANCE($C142, ""price"", WORKDAY(INT($B142), 20)), 2, 2), """")-$G142)/$G142, ($G142-IFERROR(I"&amp;"NDEX(GOOGLEFINANCE($C142, ""price"", WORKDAY(INT($B142), 20)), 2, 2), """"))/$G142))"),"")</f>
        <v/>
      </c>
      <c r="T142" s="10" t="s">
        <v>4050</v>
      </c>
      <c r="U142" s="10" t="s">
        <v>984</v>
      </c>
      <c r="V142" s="10" t="s">
        <v>933</v>
      </c>
      <c r="W142" s="10" t="s">
        <v>51</v>
      </c>
      <c r="X142" s="10" t="s">
        <v>984</v>
      </c>
    </row>
    <row r="143">
      <c r="A143" s="9">
        <f t="shared" si="1"/>
        <v>142</v>
      </c>
      <c r="B143" s="11">
        <v>46223.66767361111</v>
      </c>
      <c r="C143" s="10" t="s">
        <v>691</v>
      </c>
      <c r="D143" s="10" t="s">
        <v>36</v>
      </c>
      <c r="E143" s="10" t="s">
        <v>37</v>
      </c>
      <c r="F143" s="13">
        <v>2.0</v>
      </c>
      <c r="G143" s="14">
        <v>29.67</v>
      </c>
      <c r="H143" s="10" t="s">
        <v>4051</v>
      </c>
      <c r="I143" s="10">
        <v>87.2</v>
      </c>
      <c r="O143" s="15">
        <f>IFERROR(__xludf.DUMMYFUNCTION("IF(ISBLANK($C143), """", GOOGLEFINANCE($C143, ""price""))"),31.69)</f>
        <v>31.69</v>
      </c>
      <c r="P143" s="16">
        <f t="shared" si="2"/>
        <v>0.06808223795</v>
      </c>
      <c r="Q143" s="16">
        <f>IFERROR(__xludf.DUMMYFUNCTION("IF(OR(ISBLANK($G143), IFERROR(INDEX(GOOGLEFINANCE($C143, ""price"", WORKDAY(INT($B143), 1)), 2, 2), """")=""""), """", IF($D143=""LONG"", (IFERROR(INDEX(GOOGLEFINANCE($C143, ""price"", WORKDAY(INT($B143), 1)), 2, 2), """")-$G143)/$G143, ($G143-IFERROR(IND"&amp;"EX(GOOGLEFINANCE($C143, ""price"", WORKDAY(INT($B143), 1)), 2, 2), """"))/$G143))"),0.014492753623188396)</f>
        <v>0.01449275362</v>
      </c>
      <c r="R143" s="16">
        <f>IFERROR(__xludf.DUMMYFUNCTION("IF(OR(ISBLANK($G143), IFERROR(INDEX(GOOGLEFINANCE($C143, ""price"", WORKDAY(INT($B143), 5)), 2, 2), """")=""""), """", IF($D143=""LONG"", (IFERROR(INDEX(GOOGLEFINANCE($C143, ""price"", WORKDAY(INT($B143), 5)), 2, 2), """")-$G143)/$G143, ($G143-IFERROR(IND"&amp;"EX(GOOGLEFINANCE($C143, ""price"", WORKDAY(INT($B143), 5)), 2, 2), """"))/$G143))"),0.014829794405122942)</f>
        <v>0.01482979441</v>
      </c>
      <c r="S143" s="16" t="str">
        <f>IFERROR(__xludf.DUMMYFUNCTION("IF(OR(ISBLANK($G143), IFERROR(INDEX(GOOGLEFINANCE($C143, ""price"", WORKDAY(INT($B143), 20)), 2, 2), """")=""""), """", IF($D143=""LONG"", (IFERROR(INDEX(GOOGLEFINANCE($C143, ""price"", WORKDAY(INT($B143), 20)), 2, 2), """")-$G143)/$G143, ($G143-IFERROR(I"&amp;"NDEX(GOOGLEFINANCE($C143, ""price"", WORKDAY(INT($B143), 20)), 2, 2), """"))/$G143))"),"")</f>
        <v/>
      </c>
      <c r="T143" s="10" t="s">
        <v>4054</v>
      </c>
      <c r="U143" s="10" t="s">
        <v>984</v>
      </c>
      <c r="V143" s="10" t="s">
        <v>933</v>
      </c>
      <c r="W143" s="10" t="s">
        <v>51</v>
      </c>
      <c r="X143" s="10" t="s">
        <v>984</v>
      </c>
    </row>
    <row r="144">
      <c r="A144" s="9">
        <f t="shared" si="1"/>
        <v>143</v>
      </c>
      <c r="B144" s="11">
        <v>46223.66761574074</v>
      </c>
      <c r="C144" s="10" t="s">
        <v>464</v>
      </c>
      <c r="D144" s="10" t="s">
        <v>119</v>
      </c>
      <c r="E144" s="10" t="s">
        <v>120</v>
      </c>
      <c r="F144" s="13">
        <v>4.0</v>
      </c>
      <c r="G144" s="14">
        <v>277.53</v>
      </c>
      <c r="H144" s="10" t="s">
        <v>4055</v>
      </c>
      <c r="I144" s="10">
        <v>10.6</v>
      </c>
      <c r="O144" s="15">
        <f>IFERROR(__xludf.DUMMYFUNCTION("IF(ISBLANK($C144), """", GOOGLEFINANCE($C144, ""price""))"),292.53)</f>
        <v>292.53</v>
      </c>
      <c r="P144" s="16">
        <f t="shared" si="2"/>
        <v>-0.054048211</v>
      </c>
      <c r="Q144" s="16">
        <f>IFERROR(__xludf.DUMMYFUNCTION("IF(OR(ISBLANK($G144), IFERROR(INDEX(GOOGLEFINANCE($C144, ""price"", WORKDAY(INT($B144), 1)), 2, 2), """")=""""), """", IF($D144=""LONG"", (IFERROR(INDEX(GOOGLEFINANCE($C144, ""price"", WORKDAY(INT($B144), 1)), 2, 2), """")-$G144)/$G144, ($G144-IFERROR(IND"&amp;"EX(GOOGLEFINANCE($C144, ""price"", WORKDAY(INT($B144), 1)), 2, 2), """"))/$G144))"),0.04100457608186501)</f>
        <v>0.04100457608</v>
      </c>
      <c r="R144" s="16">
        <f>IFERROR(__xludf.DUMMYFUNCTION("IF(OR(ISBLANK($G144), IFERROR(INDEX(GOOGLEFINANCE($C144, ""price"", WORKDAY(INT($B144), 5)), 2, 2), """")=""""), """", IF($D144=""LONG"", (IFERROR(INDEX(GOOGLEFINANCE($C144, ""price"", WORKDAY(INT($B144), 5)), 2, 2), """")-$G144)/$G144, ($G144-IFERROR(IND"&amp;"EX(GOOGLEFINANCE($C144, ""price"", WORKDAY(INT($B144), 5)), 2, 2), """"))/$G144))"),0.009764710121428242)</f>
        <v>0.009764710121</v>
      </c>
      <c r="S144" s="16" t="str">
        <f>IFERROR(__xludf.DUMMYFUNCTION("IF(OR(ISBLANK($G144), IFERROR(INDEX(GOOGLEFINANCE($C144, ""price"", WORKDAY(INT($B144), 20)), 2, 2), """")=""""), """", IF($D144=""LONG"", (IFERROR(INDEX(GOOGLEFINANCE($C144, ""price"", WORKDAY(INT($B144), 20)), 2, 2), """")-$G144)/$G144, ($G144-IFERROR(I"&amp;"NDEX(GOOGLEFINANCE($C144, ""price"", WORKDAY(INT($B144), 20)), 2, 2), """"))/$G144))"),"")</f>
        <v/>
      </c>
      <c r="T144" s="10" t="s">
        <v>4058</v>
      </c>
      <c r="U144" s="10" t="s">
        <v>984</v>
      </c>
      <c r="V144" s="10" t="s">
        <v>985</v>
      </c>
      <c r="W144" s="10" t="s">
        <v>51</v>
      </c>
      <c r="X144" s="10" t="s">
        <v>984</v>
      </c>
    </row>
    <row r="145">
      <c r="A145" s="9">
        <f t="shared" si="1"/>
        <v>144</v>
      </c>
      <c r="B145" s="11">
        <v>46223.667546296296</v>
      </c>
      <c r="C145" s="10" t="s">
        <v>434</v>
      </c>
      <c r="D145" s="10" t="s">
        <v>36</v>
      </c>
      <c r="E145" s="10" t="s">
        <v>37</v>
      </c>
      <c r="F145" s="13">
        <v>2.0</v>
      </c>
      <c r="G145" s="14">
        <v>106.25</v>
      </c>
      <c r="H145" s="10" t="s">
        <v>4060</v>
      </c>
      <c r="I145" s="10">
        <v>92.6</v>
      </c>
      <c r="O145" s="15">
        <f>IFERROR(__xludf.DUMMYFUNCTION("IF(ISBLANK($C145), """", GOOGLEFINANCE($C145, ""price""))"),114.24)</f>
        <v>114.24</v>
      </c>
      <c r="P145" s="16">
        <f t="shared" si="2"/>
        <v>0.0752</v>
      </c>
      <c r="Q145" s="16">
        <f>IFERROR(__xludf.DUMMYFUNCTION("IF(OR(ISBLANK($G145), IFERROR(INDEX(GOOGLEFINANCE($C145, ""price"", WORKDAY(INT($B145), 1)), 2, 2), """")=""""), """", IF($D145=""LONG"", (IFERROR(INDEX(GOOGLEFINANCE($C145, ""price"", WORKDAY(INT($B145), 1)), 2, 2), """")-$G145)/$G145, ($G145-IFERROR(IND"&amp;"EX(GOOGLEFINANCE($C145, ""price"", WORKDAY(INT($B145), 1)), 2, 2), """"))/$G145))"),0.04018823529411761)</f>
        <v>0.04018823529</v>
      </c>
      <c r="R145" s="16">
        <f>IFERROR(__xludf.DUMMYFUNCTION("IF(OR(ISBLANK($G145), IFERROR(INDEX(GOOGLEFINANCE($C145, ""price"", WORKDAY(INT($B145), 5)), 2, 2), """")=""""), """", IF($D145=""LONG"", (IFERROR(INDEX(GOOGLEFINANCE($C145, ""price"", WORKDAY(INT($B145), 5)), 2, 2), """")-$G145)/$G145, ($G145-IFERROR(IND"&amp;"EX(GOOGLEFINANCE($C145, ""price"", WORKDAY(INT($B145), 5)), 2, 2), """"))/$G145))"),0.017129411764705817)</f>
        <v>0.01712941176</v>
      </c>
      <c r="S145" s="16" t="str">
        <f>IFERROR(__xludf.DUMMYFUNCTION("IF(OR(ISBLANK($G145), IFERROR(INDEX(GOOGLEFINANCE($C145, ""price"", WORKDAY(INT($B145), 20)), 2, 2), """")=""""), """", IF($D145=""LONG"", (IFERROR(INDEX(GOOGLEFINANCE($C145, ""price"", WORKDAY(INT($B145), 20)), 2, 2), """")-$G145)/$G145, ($G145-IFERROR(I"&amp;"NDEX(GOOGLEFINANCE($C145, ""price"", WORKDAY(INT($B145), 20)), 2, 2), """"))/$G145))"),"")</f>
        <v/>
      </c>
      <c r="T145" s="10" t="s">
        <v>4063</v>
      </c>
      <c r="U145" s="10" t="s">
        <v>932</v>
      </c>
      <c r="V145" s="10" t="s">
        <v>933</v>
      </c>
      <c r="W145" s="10" t="s">
        <v>51</v>
      </c>
      <c r="X145" s="10" t="s">
        <v>3186</v>
      </c>
    </row>
    <row r="146">
      <c r="A146" s="9">
        <f t="shared" si="1"/>
        <v>145</v>
      </c>
      <c r="B146" s="11">
        <v>46223.667395833334</v>
      </c>
      <c r="C146" s="10" t="s">
        <v>1022</v>
      </c>
      <c r="D146" s="10" t="s">
        <v>119</v>
      </c>
      <c r="E146" s="10" t="s">
        <v>120</v>
      </c>
      <c r="F146" s="13">
        <v>4.0</v>
      </c>
      <c r="G146" s="14">
        <v>35.13</v>
      </c>
      <c r="H146" s="10" t="s">
        <v>4065</v>
      </c>
      <c r="I146" s="10">
        <v>1.3</v>
      </c>
      <c r="O146" s="15">
        <f>IFERROR(__xludf.DUMMYFUNCTION("IF(ISBLANK($C146), """", GOOGLEFINANCE($C146, ""price""))"),32.51)</f>
        <v>32.51</v>
      </c>
      <c r="P146" s="16">
        <f t="shared" si="2"/>
        <v>0.07458013094</v>
      </c>
      <c r="Q146" s="16">
        <f>IFERROR(__xludf.DUMMYFUNCTION("IF(OR(ISBLANK($G146), IFERROR(INDEX(GOOGLEFINANCE($C146, ""price"", WORKDAY(INT($B146), 1)), 2, 2), """")=""""), """", IF($D146=""LONG"", (IFERROR(INDEX(GOOGLEFINANCE($C146, ""price"", WORKDAY(INT($B146), 1)), 2, 2), """")-$G146)/$G146, ($G146-IFERROR(IND"&amp;"EX(GOOGLEFINANCE($C146, ""price"", WORKDAY(INT($B146), 1)), 2, 2), """"))/$G146))"),0.05522345573583845)</f>
        <v>0.05522345574</v>
      </c>
      <c r="R146" s="16">
        <f>IFERROR(__xludf.DUMMYFUNCTION("IF(OR(ISBLANK($G146), IFERROR(INDEX(GOOGLEFINANCE($C146, ""price"", WORKDAY(INT($B146), 5)), 2, 2), """")=""""), """", IF($D146=""LONG"", (IFERROR(INDEX(GOOGLEFINANCE($C146, ""price"", WORKDAY(INT($B146), 5)), 2, 2), """")-$G146)/$G146, ($G146-IFERROR(IND"&amp;"EX(GOOGLEFINANCE($C146, ""price"", WORKDAY(INT($B146), 5)), 2, 2), """"))/$G146))"),0.08539709649871904)</f>
        <v>0.0853970965</v>
      </c>
      <c r="S146" s="16" t="str">
        <f>IFERROR(__xludf.DUMMYFUNCTION("IF(OR(ISBLANK($G146), IFERROR(INDEX(GOOGLEFINANCE($C146, ""price"", WORKDAY(INT($B146), 20)), 2, 2), """")=""""), """", IF($D146=""LONG"", (IFERROR(INDEX(GOOGLEFINANCE($C146, ""price"", WORKDAY(INT($B146), 20)), 2, 2), """")-$G146)/$G146, ($G146-IFERROR(I"&amp;"NDEX(GOOGLEFINANCE($C146, ""price"", WORKDAY(INT($B146), 20)), 2, 2), """"))/$G146))"),"")</f>
        <v/>
      </c>
      <c r="T146" s="10" t="s">
        <v>4068</v>
      </c>
      <c r="U146" s="10" t="s">
        <v>984</v>
      </c>
      <c r="V146" s="10" t="s">
        <v>933</v>
      </c>
      <c r="W146" s="10" t="s">
        <v>51</v>
      </c>
      <c r="X146" s="10" t="s">
        <v>984</v>
      </c>
    </row>
    <row r="147">
      <c r="A147" s="9">
        <f t="shared" si="1"/>
        <v>146</v>
      </c>
      <c r="B147" s="11">
        <v>46223.66736111111</v>
      </c>
      <c r="C147" s="10" t="s">
        <v>260</v>
      </c>
      <c r="D147" s="10" t="s">
        <v>36</v>
      </c>
      <c r="E147" s="10" t="s">
        <v>37</v>
      </c>
      <c r="F147" s="13">
        <v>2.0</v>
      </c>
      <c r="G147" s="14">
        <v>99.29</v>
      </c>
      <c r="H147" s="10" t="s">
        <v>4069</v>
      </c>
      <c r="I147" s="10">
        <v>91.6</v>
      </c>
      <c r="O147" s="15">
        <f>IFERROR(__xludf.DUMMYFUNCTION("IF(ISBLANK($C147), """", GOOGLEFINANCE($C147, ""price""))"),90.71)</f>
        <v>90.71</v>
      </c>
      <c r="P147" s="16">
        <f t="shared" si="2"/>
        <v>-0.08641353611</v>
      </c>
      <c r="Q147" s="16">
        <f>IFERROR(__xludf.DUMMYFUNCTION("IF(OR(ISBLANK($G147), IFERROR(INDEX(GOOGLEFINANCE($C147, ""price"", WORKDAY(INT($B147), 1)), 2, 2), """")=""""), """", IF($D147=""LONG"", (IFERROR(INDEX(GOOGLEFINANCE($C147, ""price"", WORKDAY(INT($B147), 1)), 2, 2), """")-$G147)/$G147, ($G147-IFERROR(IND"&amp;"EX(GOOGLEFINANCE($C147, ""price"", WORKDAY(INT($B147), 1)), 2, 2), """"))/$G147))"),0.07120555947225292)</f>
        <v>0.07120555947</v>
      </c>
      <c r="R147" s="16">
        <f>IFERROR(__xludf.DUMMYFUNCTION("IF(OR(ISBLANK($G147), IFERROR(INDEX(GOOGLEFINANCE($C147, ""price"", WORKDAY(INT($B147), 5)), 2, 2), """")=""""), """", IF($D147=""LONG"", (IFERROR(INDEX(GOOGLEFINANCE($C147, ""price"", WORKDAY(INT($B147), 5)), 2, 2), """")-$G147)/$G147, ($G147-IFERROR(IND"&amp;"EX(GOOGLEFINANCE($C147, ""price"", WORKDAY(INT($B147), 5)), 2, 2), """"))/$G147))"),-0.03666028804512036)</f>
        <v>-0.03666028805</v>
      </c>
      <c r="S147" s="16" t="str">
        <f>IFERROR(__xludf.DUMMYFUNCTION("IF(OR(ISBLANK($G147), IFERROR(INDEX(GOOGLEFINANCE($C147, ""price"", WORKDAY(INT($B147), 20)), 2, 2), """")=""""), """", IF($D147=""LONG"", (IFERROR(INDEX(GOOGLEFINANCE($C147, ""price"", WORKDAY(INT($B147), 20)), 2, 2), """")-$G147)/$G147, ($G147-IFERROR(I"&amp;"NDEX(GOOGLEFINANCE($C147, ""price"", WORKDAY(INT($B147), 20)), 2, 2), """"))/$G147))"),"")</f>
        <v/>
      </c>
      <c r="T147" s="10" t="s">
        <v>4072</v>
      </c>
      <c r="U147" s="10" t="s">
        <v>240</v>
      </c>
      <c r="V147" s="10" t="s">
        <v>4073</v>
      </c>
      <c r="W147" s="10" t="s">
        <v>51</v>
      </c>
      <c r="X147" s="10" t="s">
        <v>1905</v>
      </c>
    </row>
    <row r="148">
      <c r="A148" s="9">
        <f t="shared" si="1"/>
        <v>147</v>
      </c>
      <c r="B148" s="11">
        <v>46223.66756944444</v>
      </c>
      <c r="C148" s="10" t="s">
        <v>161</v>
      </c>
      <c r="D148" s="10" t="s">
        <v>36</v>
      </c>
      <c r="E148" s="10" t="s">
        <v>37</v>
      </c>
      <c r="F148" s="13">
        <v>2.0</v>
      </c>
      <c r="G148" s="14">
        <v>159.32</v>
      </c>
      <c r="H148" s="10" t="s">
        <v>4075</v>
      </c>
      <c r="I148" s="10">
        <v>78.5</v>
      </c>
      <c r="O148" s="15">
        <f>IFERROR(__xludf.DUMMYFUNCTION("IF(ISBLANK($C148), """", GOOGLEFINANCE($C148, ""price""))"),180.71)</f>
        <v>180.71</v>
      </c>
      <c r="P148" s="16">
        <f t="shared" si="2"/>
        <v>0.1342580969</v>
      </c>
      <c r="Q148" s="16">
        <f>IFERROR(__xludf.DUMMYFUNCTION("IF(OR(ISBLANK($G148), IFERROR(INDEX(GOOGLEFINANCE($C148, ""price"", WORKDAY(INT($B148), 1)), 2, 2), """")=""""), """", IF($D148=""LONG"", (IFERROR(INDEX(GOOGLEFINANCE($C148, ""price"", WORKDAY(INT($B148), 1)), 2, 2), """")-$G148)/$G148, ($G148-IFERROR(IND"&amp;"EX(GOOGLEFINANCE($C148, ""price"", WORKDAY(INT($B148), 1)), 2, 2), """"))/$G148))"),0.07180517198091889)</f>
        <v>0.07180517198</v>
      </c>
      <c r="R148" s="16">
        <f>IFERROR(__xludf.DUMMYFUNCTION("IF(OR(ISBLANK($G148), IFERROR(INDEX(GOOGLEFINANCE($C148, ""price"", WORKDAY(INT($B148), 5)), 2, 2), """")=""""), """", IF($D148=""LONG"", (IFERROR(INDEX(GOOGLEFINANCE($C148, ""price"", WORKDAY(INT($B148), 5)), 2, 2), """")-$G148)/$G148, ($G148-IFERROR(IND"&amp;"EX(GOOGLEFINANCE($C148, ""price"", WORKDAY(INT($B148), 5)), 2, 2), """"))/$G148))"),0.11869194074817975)</f>
        <v>0.1186919407</v>
      </c>
      <c r="S148" s="16" t="str">
        <f>IFERROR(__xludf.DUMMYFUNCTION("IF(OR(ISBLANK($G148), IFERROR(INDEX(GOOGLEFINANCE($C148, ""price"", WORKDAY(INT($B148), 20)), 2, 2), """")=""""), """", IF($D148=""LONG"", (IFERROR(INDEX(GOOGLEFINANCE($C148, ""price"", WORKDAY(INT($B148), 20)), 2, 2), """")-$G148)/$G148, ($G148-IFERROR(I"&amp;"NDEX(GOOGLEFINANCE($C148, ""price"", WORKDAY(INT($B148), 20)), 2, 2), """"))/$G148))"),"")</f>
        <v/>
      </c>
      <c r="T148" s="10" t="s">
        <v>4079</v>
      </c>
      <c r="U148" s="10" t="s">
        <v>984</v>
      </c>
      <c r="V148" s="10" t="s">
        <v>933</v>
      </c>
      <c r="W148" s="10" t="s">
        <v>51</v>
      </c>
      <c r="X148" s="10" t="s">
        <v>984</v>
      </c>
    </row>
    <row r="149">
      <c r="A149" s="2" t="s">
        <v>0</v>
      </c>
      <c r="B149" s="2" t="s">
        <v>18</v>
      </c>
      <c r="C149" s="2" t="s">
        <v>2</v>
      </c>
      <c r="D149" s="2" t="s">
        <v>3</v>
      </c>
      <c r="E149" s="2" t="s">
        <v>4</v>
      </c>
      <c r="F149" s="2" t="s">
        <v>5</v>
      </c>
      <c r="G149" s="2" t="s">
        <v>6</v>
      </c>
      <c r="H149" s="2" t="s">
        <v>7</v>
      </c>
      <c r="I149" s="2" t="s">
        <v>8</v>
      </c>
      <c r="J149" s="2" t="s">
        <v>9</v>
      </c>
      <c r="K149" s="2" t="s">
        <v>10</v>
      </c>
      <c r="L149" s="2" t="s">
        <v>25</v>
      </c>
      <c r="M149" s="2" t="s">
        <v>27</v>
      </c>
      <c r="N149" s="2" t="s">
        <v>29</v>
      </c>
      <c r="O149" s="2" t="s">
        <v>11</v>
      </c>
      <c r="P149" s="2" t="s">
        <v>12</v>
      </c>
      <c r="Q149" s="2" t="s">
        <v>13</v>
      </c>
      <c r="R149" s="2" t="s">
        <v>14</v>
      </c>
      <c r="S149" s="2" t="s">
        <v>15</v>
      </c>
      <c r="T149" s="2" t="s">
        <v>16</v>
      </c>
      <c r="U149" s="10" t="s">
        <v>17</v>
      </c>
      <c r="V149" s="10" t="s">
        <v>19</v>
      </c>
      <c r="W149" s="10" t="s">
        <v>21</v>
      </c>
      <c r="X149" s="10" t="s">
        <v>474</v>
      </c>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10" t="s">
        <v>17</v>
      </c>
      <c r="V1" s="10" t="s">
        <v>19</v>
      </c>
      <c r="W1" s="10" t="s">
        <v>21</v>
      </c>
      <c r="X1" s="10" t="s">
        <v>474</v>
      </c>
    </row>
    <row r="2">
      <c r="A2" s="9">
        <f t="shared" ref="A2:A160" si="1">ROW()-1</f>
        <v>1</v>
      </c>
      <c r="B2" s="11">
        <v>46224.66736111111</v>
      </c>
      <c r="C2" s="10" t="s">
        <v>347</v>
      </c>
      <c r="D2" s="10" t="s">
        <v>36</v>
      </c>
      <c r="E2" s="10" t="s">
        <v>37</v>
      </c>
      <c r="F2" s="13">
        <v>2.0</v>
      </c>
      <c r="G2" s="14">
        <v>279.31</v>
      </c>
      <c r="H2" s="10" t="s">
        <v>3203</v>
      </c>
      <c r="I2" s="10">
        <v>91.7</v>
      </c>
      <c r="O2" s="15">
        <f>IFERROR(__xludf.DUMMYFUNCTION("IF(ISBLANK($C2), """", GOOGLEFINANCE($C2, ""price""))"),316.53)</f>
        <v>316.53</v>
      </c>
      <c r="P2" s="16">
        <f t="shared" ref="P2:P160" si="2">IF(OR(ISBLANK($G2), ISBLANK($O2)), "", IF($D2="LONG", ($O2-$G2)/$G2, ($G2-$O2)/$G2))</f>
        <v>0.1332569546</v>
      </c>
      <c r="Q2" s="16">
        <f>IFERROR(__xludf.DUMMYFUNCTION("IF(OR(ISBLANK($G2), IFERROR(INDEX(GOOGLEFINANCE($C2, ""price"", WORKDAY(INT($B2), 1)), 2, 2), """")=""""), """", IF($D2=""LONG"", (IFERROR(INDEX(GOOGLEFINANCE($C2, ""price"", WORKDAY(INT($B2), 1)), 2, 2), """")-$G2)/$G2, ($G2-IFERROR(INDEX(GOOGLEFINANCE($"&amp;"C2, ""price"", WORKDAY(INT($B2), 1)), 2, 2), """"))/$G2))"),0.007697540367333705)</f>
        <v>0.007697540367</v>
      </c>
      <c r="R2" s="16">
        <f>IFERROR(__xludf.DUMMYFUNCTION("IF(OR(ISBLANK($G2), IFERROR(INDEX(GOOGLEFINANCE($C2, ""price"", WORKDAY(INT($B2), 5)), 2, 2), """")=""""), """", IF($D2=""LONG"", (IFERROR(INDEX(GOOGLEFINANCE($C2, ""price"", WORKDAY(INT($B2), 5)), 2, 2), """")-$G2)/$G2, ($G2-IFERROR(INDEX(GOOGLEFINANCE($"&amp;"C2, ""price"", WORKDAY(INT($B2), 5)), 2, 2), """"))/$G2))"),0.12502237657083534)</f>
        <v>0.1250223766</v>
      </c>
      <c r="S2" s="16" t="str">
        <f>IFERROR(__xludf.DUMMYFUNCTION("IF(OR(ISBLANK($G2), IFERROR(INDEX(GOOGLEFINANCE($C2, ""price"", WORKDAY(INT($B2), 20)), 2, 2), """")=""""), """", IF($D2=""LONG"", (IFERROR(INDEX(GOOGLEFINANCE($C2, ""price"", WORKDAY(INT($B2), 20)), 2, 2), """")-$G2)/$G2, ($G2-IFERROR(INDEX(GOOGLEFINANCE"&amp;"($C2, ""price"", WORKDAY(INT($B2), 20)), 2, 2), """"))/$G2))"),"")</f>
        <v/>
      </c>
      <c r="T2" s="10" t="s">
        <v>3208</v>
      </c>
      <c r="U2" s="10" t="s">
        <v>984</v>
      </c>
      <c r="V2" s="10" t="s">
        <v>985</v>
      </c>
      <c r="W2" s="10" t="s">
        <v>51</v>
      </c>
      <c r="X2" s="10" t="s">
        <v>984</v>
      </c>
    </row>
    <row r="3">
      <c r="A3" s="9">
        <f t="shared" si="1"/>
        <v>2</v>
      </c>
      <c r="B3" s="11">
        <v>46224.66736111111</v>
      </c>
      <c r="C3" s="10" t="s">
        <v>696</v>
      </c>
      <c r="D3" s="10" t="s">
        <v>36</v>
      </c>
      <c r="E3" s="10" t="s">
        <v>37</v>
      </c>
      <c r="F3" s="13">
        <v>2.0</v>
      </c>
      <c r="G3" s="14">
        <v>178.42</v>
      </c>
      <c r="H3" s="10" t="s">
        <v>3210</v>
      </c>
      <c r="I3" s="10">
        <v>89.1</v>
      </c>
      <c r="O3" s="15">
        <f>IFERROR(__xludf.DUMMYFUNCTION("IF(ISBLANK($C3), """", GOOGLEFINANCE($C3, ""price""))"),178.56)</f>
        <v>178.56</v>
      </c>
      <c r="P3" s="16">
        <f t="shared" si="2"/>
        <v>0.0007846653963</v>
      </c>
      <c r="Q3" s="16">
        <f>IFERROR(__xludf.DUMMYFUNCTION("IF(OR(ISBLANK($G3), IFERROR(INDEX(GOOGLEFINANCE($C3, ""price"", WORKDAY(INT($B3), 1)), 2, 2), """")=""""), """", IF($D3=""LONG"", (IFERROR(INDEX(GOOGLEFINANCE($C3, ""price"", WORKDAY(INT($B3), 1)), 2, 2), """")-$G3)/$G3, ($G3-IFERROR(INDEX(GOOGLEFINANCE($"&amp;"C3, ""price"", WORKDAY(INT($B3), 1)), 2, 2), """"))/$G3))"),-0.005436610245488168)</f>
        <v>-0.005436610245</v>
      </c>
      <c r="R3" s="16">
        <f>IFERROR(__xludf.DUMMYFUNCTION("IF(OR(ISBLANK($G3), IFERROR(INDEX(GOOGLEFINANCE($C3, ""price"", WORKDAY(INT($B3), 5)), 2, 2), """")=""""), """", IF($D3=""LONG"", (IFERROR(INDEX(GOOGLEFINANCE($C3, ""price"", WORKDAY(INT($B3), 5)), 2, 2), """")-$G3)/$G3, ($G3-IFERROR(INDEX(GOOGLEFINANCE($"&amp;"C3, ""price"", WORKDAY(INT($B3), 5)), 2, 2), """"))/$G3))"),-0.03923326981280126)</f>
        <v>-0.03923326981</v>
      </c>
      <c r="S3" s="16" t="str">
        <f>IFERROR(__xludf.DUMMYFUNCTION("IF(OR(ISBLANK($G3), IFERROR(INDEX(GOOGLEFINANCE($C3, ""price"", WORKDAY(INT($B3), 20)), 2, 2), """")=""""), """", IF($D3=""LONG"", (IFERROR(INDEX(GOOGLEFINANCE($C3, ""price"", WORKDAY(INT($B3), 20)), 2, 2), """")-$G3)/$G3, ($G3-IFERROR(INDEX(GOOGLEFINANCE"&amp;"($C3, ""price"", WORKDAY(INT($B3), 20)), 2, 2), """"))/$G3))"),"")</f>
        <v/>
      </c>
      <c r="T3" s="10" t="s">
        <v>3212</v>
      </c>
      <c r="U3" s="10" t="s">
        <v>704</v>
      </c>
      <c r="V3" s="10" t="s">
        <v>3213</v>
      </c>
      <c r="W3" s="10" t="s">
        <v>51</v>
      </c>
      <c r="X3" s="10" t="s">
        <v>1885</v>
      </c>
    </row>
    <row r="4">
      <c r="A4" s="9">
        <f t="shared" si="1"/>
        <v>3</v>
      </c>
      <c r="B4" s="11">
        <v>46224.66737268519</v>
      </c>
      <c r="C4" s="10" t="s">
        <v>110</v>
      </c>
      <c r="D4" s="10" t="s">
        <v>36</v>
      </c>
      <c r="E4" s="10" t="s">
        <v>37</v>
      </c>
      <c r="F4" s="13">
        <v>2.0</v>
      </c>
      <c r="G4" s="14">
        <v>206.25</v>
      </c>
      <c r="H4" s="10" t="s">
        <v>3214</v>
      </c>
      <c r="I4" s="10">
        <v>97.0</v>
      </c>
      <c r="O4" s="15">
        <f>IFERROR(__xludf.DUMMYFUNCTION("IF(ISBLANK($C4), """", GOOGLEFINANCE($C4, ""price""))"),220.0)</f>
        <v>220</v>
      </c>
      <c r="P4" s="16">
        <f t="shared" si="2"/>
        <v>0.06666666667</v>
      </c>
      <c r="Q4" s="16">
        <f>IFERROR(__xludf.DUMMYFUNCTION("IF(OR(ISBLANK($G4), IFERROR(INDEX(GOOGLEFINANCE($C4, ""price"", WORKDAY(INT($B4), 1)), 2, 2), """")=""""), """", IF($D4=""LONG"", (IFERROR(INDEX(GOOGLEFINANCE($C4, ""price"", WORKDAY(INT($B4), 1)), 2, 2), """")-$G4)/$G4, ($G4-IFERROR(INDEX(GOOGLEFINANCE($"&amp;"C4, ""price"", WORKDAY(INT($B4), 1)), 2, 2), """"))/$G4))"),-0.023709090909090843)</f>
        <v>-0.02370909091</v>
      </c>
      <c r="R4" s="16">
        <f>IFERROR(__xludf.DUMMYFUNCTION("IF(OR(ISBLANK($G4), IFERROR(INDEX(GOOGLEFINANCE($C4, ""price"", WORKDAY(INT($B4), 5)), 2, 2), """")=""""), """", IF($D4=""LONG"", (IFERROR(INDEX(GOOGLEFINANCE($C4, ""price"", WORKDAY(INT($B4), 5)), 2, 2), """")-$G4)/$G4, ($G4-IFERROR(INDEX(GOOGLEFINANCE($"&amp;"C4, ""price"", WORKDAY(INT($B4), 5)), 2, 2), """"))/$G4))"),0.02986666666666665)</f>
        <v>0.02986666667</v>
      </c>
      <c r="S4" s="16" t="str">
        <f>IFERROR(__xludf.DUMMYFUNCTION("IF(OR(ISBLANK($G4), IFERROR(INDEX(GOOGLEFINANCE($C4, ""price"", WORKDAY(INT($B4), 20)), 2, 2), """")=""""), """", IF($D4=""LONG"", (IFERROR(INDEX(GOOGLEFINANCE($C4, ""price"", WORKDAY(INT($B4), 20)), 2, 2), """")-$G4)/$G4, ($G4-IFERROR(INDEX(GOOGLEFINANCE"&amp;"($C4, ""price"", WORKDAY(INT($B4), 20)), 2, 2), """"))/$G4))"),"")</f>
        <v/>
      </c>
      <c r="T4" s="10" t="s">
        <v>3217</v>
      </c>
      <c r="U4" s="10" t="s">
        <v>984</v>
      </c>
      <c r="V4" s="10" t="s">
        <v>985</v>
      </c>
      <c r="W4" s="10" t="s">
        <v>51</v>
      </c>
      <c r="X4" s="10" t="s">
        <v>984</v>
      </c>
    </row>
    <row r="5">
      <c r="A5" s="9">
        <f t="shared" si="1"/>
        <v>4</v>
      </c>
      <c r="B5" s="11">
        <v>46224.66737268519</v>
      </c>
      <c r="C5" s="10" t="s">
        <v>2084</v>
      </c>
      <c r="D5" s="10" t="s">
        <v>36</v>
      </c>
      <c r="E5" s="10" t="s">
        <v>37</v>
      </c>
      <c r="F5" s="13">
        <v>2.0</v>
      </c>
      <c r="G5" s="14">
        <v>288.73</v>
      </c>
      <c r="H5" s="10" t="s">
        <v>3219</v>
      </c>
      <c r="I5" s="10">
        <v>96.7</v>
      </c>
      <c r="O5" s="15">
        <f>IFERROR(__xludf.DUMMYFUNCTION("IF(ISBLANK($C5), """", GOOGLEFINANCE($C5, ""price""))"),340.01)</f>
        <v>340.01</v>
      </c>
      <c r="P5" s="16">
        <f t="shared" si="2"/>
        <v>0.1776053753</v>
      </c>
      <c r="Q5" s="16">
        <f>IFERROR(__xludf.DUMMYFUNCTION("IF(OR(ISBLANK($G5), IFERROR(INDEX(GOOGLEFINANCE($C5, ""price"", WORKDAY(INT($B5), 1)), 2, 2), """")=""""), """", IF($D5=""LONG"", (IFERROR(INDEX(GOOGLEFINANCE($C5, ""price"", WORKDAY(INT($B5), 1)), 2, 2), """")-$G5)/$G5, ($G5-IFERROR(INDEX(GOOGLEFINANCE($"&amp;"C5, ""price"", WORKDAY(INT($B5), 1)), 2, 2), """"))/$G5))"),-0.007688844248952402)</f>
        <v>-0.007688844249</v>
      </c>
      <c r="R5" s="16">
        <f>IFERROR(__xludf.DUMMYFUNCTION("IF(OR(ISBLANK($G5), IFERROR(INDEX(GOOGLEFINANCE($C5, ""price"", WORKDAY(INT($B5), 5)), 2, 2), """")=""""), """", IF($D5=""LONG"", (IFERROR(INDEX(GOOGLEFINANCE($C5, ""price"", WORKDAY(INT($B5), 5)), 2, 2), """")-$G5)/$G5, ($G5-IFERROR(INDEX(GOOGLEFINANCE($"&amp;"C5, ""price"", WORKDAY(INT($B5), 5)), 2, 2), """"))/$G5))"),0.09500225123818101)</f>
        <v>0.09500225124</v>
      </c>
      <c r="S5" s="16" t="str">
        <f>IFERROR(__xludf.DUMMYFUNCTION("IF(OR(ISBLANK($G5), IFERROR(INDEX(GOOGLEFINANCE($C5, ""price"", WORKDAY(INT($B5), 20)), 2, 2), """")=""""), """", IF($D5=""LONG"", (IFERROR(INDEX(GOOGLEFINANCE($C5, ""price"", WORKDAY(INT($B5), 20)), 2, 2), """")-$G5)/$G5, ($G5-IFERROR(INDEX(GOOGLEFINANCE"&amp;"($C5, ""price"", WORKDAY(INT($B5), 20)), 2, 2), """"))/$G5))"),"")</f>
        <v/>
      </c>
      <c r="T5" s="10" t="s">
        <v>3221</v>
      </c>
      <c r="U5" s="10" t="s">
        <v>984</v>
      </c>
      <c r="V5" s="10" t="s">
        <v>985</v>
      </c>
      <c r="W5" s="10" t="s">
        <v>51</v>
      </c>
      <c r="X5" s="10" t="s">
        <v>984</v>
      </c>
    </row>
    <row r="6">
      <c r="A6" s="9">
        <f t="shared" si="1"/>
        <v>5</v>
      </c>
      <c r="B6" s="11">
        <v>46224.66736111111</v>
      </c>
      <c r="C6" s="10" t="s">
        <v>204</v>
      </c>
      <c r="D6" s="10" t="s">
        <v>36</v>
      </c>
      <c r="E6" s="10" t="s">
        <v>133</v>
      </c>
      <c r="F6" s="13">
        <v>2.0</v>
      </c>
      <c r="G6" s="14">
        <v>359.17</v>
      </c>
      <c r="H6" s="10" t="s">
        <v>3222</v>
      </c>
      <c r="I6" s="10">
        <v>81.6</v>
      </c>
      <c r="O6" s="15">
        <f>IFERROR(__xludf.DUMMYFUNCTION("IF(ISBLANK($C6), """", GOOGLEFINANCE($C6, ""price""))"),348.6)</f>
        <v>348.6</v>
      </c>
      <c r="P6" s="16">
        <f t="shared" si="2"/>
        <v>-0.02942896122</v>
      </c>
      <c r="Q6" s="16">
        <f>IFERROR(__xludf.DUMMYFUNCTION("IF(OR(ISBLANK($G6), IFERROR(INDEX(GOOGLEFINANCE($C6, ""price"", WORKDAY(INT($B6), 1)), 2, 2), """")=""""), """", IF($D6=""LONG"", (IFERROR(INDEX(GOOGLEFINANCE($C6, ""price"", WORKDAY(INT($B6), 1)), 2, 2), """")-$G6)/$G6, ($G6-IFERROR(INDEX(GOOGLEFINANCE($"&amp;"C6, ""price"", WORKDAY(INT($B6), 1)), 2, 2), """"))/$G6))"),-0.0021159896427875124)</f>
        <v>-0.002115989643</v>
      </c>
      <c r="R6" s="16">
        <f>IFERROR(__xludf.DUMMYFUNCTION("IF(OR(ISBLANK($G6), IFERROR(INDEX(GOOGLEFINANCE($C6, ""price"", WORKDAY(INT($B6), 5)), 2, 2), """")=""""), """", IF($D6=""LONG"", (IFERROR(INDEX(GOOGLEFINANCE($C6, ""price"", WORKDAY(INT($B6), 5)), 2, 2), """")-$G6)/$G6, ($G6-IFERROR(INDEX(GOOGLEFINANCE($"&amp;"C6, ""price"", WORKDAY(INT($B6), 5)), 2, 2), """"))/$G6))"),-0.061725645237631244)</f>
        <v>-0.06172564524</v>
      </c>
      <c r="S6" s="16" t="str">
        <f>IFERROR(__xludf.DUMMYFUNCTION("IF(OR(ISBLANK($G6), IFERROR(INDEX(GOOGLEFINANCE($C6, ""price"", WORKDAY(INT($B6), 20)), 2, 2), """")=""""), """", IF($D6=""LONG"", (IFERROR(INDEX(GOOGLEFINANCE($C6, ""price"", WORKDAY(INT($B6), 20)), 2, 2), """")-$G6)/$G6, ($G6-IFERROR(INDEX(GOOGLEFINANCE"&amp;"($C6, ""price"", WORKDAY(INT($B6), 20)), 2, 2), """"))/$G6))"),"")</f>
        <v/>
      </c>
      <c r="T6" s="10" t="s">
        <v>3225</v>
      </c>
      <c r="U6" s="10" t="s">
        <v>984</v>
      </c>
      <c r="V6" s="10" t="s">
        <v>998</v>
      </c>
      <c r="W6" s="10" t="s">
        <v>51</v>
      </c>
      <c r="X6" s="10" t="s">
        <v>984</v>
      </c>
    </row>
    <row r="7">
      <c r="A7" s="9">
        <f t="shared" si="1"/>
        <v>6</v>
      </c>
      <c r="B7" s="11">
        <v>46224.66737268519</v>
      </c>
      <c r="C7" s="10" t="s">
        <v>1171</v>
      </c>
      <c r="D7" s="10" t="s">
        <v>36</v>
      </c>
      <c r="E7" s="10" t="s">
        <v>133</v>
      </c>
      <c r="F7" s="13">
        <v>2.0</v>
      </c>
      <c r="G7" s="14">
        <v>246.43</v>
      </c>
      <c r="H7" s="10" t="s">
        <v>3227</v>
      </c>
      <c r="I7" s="10">
        <v>71.0</v>
      </c>
      <c r="O7" s="15">
        <f>IFERROR(__xludf.DUMMYFUNCTION("IF(ISBLANK($C7), """", GOOGLEFINANCE($C7, ""price""))"),236.0)</f>
        <v>236</v>
      </c>
      <c r="P7" s="16">
        <f t="shared" si="2"/>
        <v>-0.04232439232</v>
      </c>
      <c r="Q7" s="16">
        <f>IFERROR(__xludf.DUMMYFUNCTION("IF(OR(ISBLANK($G7), IFERROR(INDEX(GOOGLEFINANCE($C7, ""price"", WORKDAY(INT($B7), 1)), 2, 2), """")=""""), """", IF($D7=""LONG"", (IFERROR(INDEX(GOOGLEFINANCE($C7, ""price"", WORKDAY(INT($B7), 1)), 2, 2), """")-$G7)/$G7, ($G7-IFERROR(INDEX(GOOGLEFINANCE($"&amp;"C7, ""price"", WORKDAY(INT($B7), 1)), 2, 2), """"))/$G7))"),-0.005640547011321734)</f>
        <v>-0.005640547011</v>
      </c>
      <c r="R7" s="16">
        <f>IFERROR(__xludf.DUMMYFUNCTION("IF(OR(ISBLANK($G7), IFERROR(INDEX(GOOGLEFINANCE($C7, ""price"", WORKDAY(INT($B7), 5)), 2, 2), """")=""""), """", IF($D7=""LONG"", (IFERROR(INDEX(GOOGLEFINANCE($C7, ""price"", WORKDAY(INT($B7), 5)), 2, 2), """")-$G7)/$G7, ($G7-IFERROR(INDEX(GOOGLEFINANCE($"&amp;"C7, ""price"", WORKDAY(INT($B7), 5)), 2, 2), """"))/$G7))"),-0.01160572982185616)</f>
        <v>-0.01160572982</v>
      </c>
      <c r="S7" s="16" t="str">
        <f>IFERROR(__xludf.DUMMYFUNCTION("IF(OR(ISBLANK($G7), IFERROR(INDEX(GOOGLEFINANCE($C7, ""price"", WORKDAY(INT($B7), 20)), 2, 2), """")=""""), """", IF($D7=""LONG"", (IFERROR(INDEX(GOOGLEFINANCE($C7, ""price"", WORKDAY(INT($B7), 20)), 2, 2), """")-$G7)/$G7, ($G7-IFERROR(INDEX(GOOGLEFINANCE"&amp;"($C7, ""price"", WORKDAY(INT($B7), 20)), 2, 2), """"))/$G7))"),"")</f>
        <v/>
      </c>
      <c r="T7" s="10" t="s">
        <v>3229</v>
      </c>
      <c r="U7" s="10" t="s">
        <v>984</v>
      </c>
      <c r="V7" s="10" t="s">
        <v>985</v>
      </c>
      <c r="W7" s="10" t="s">
        <v>51</v>
      </c>
      <c r="X7" s="10" t="s">
        <v>984</v>
      </c>
    </row>
    <row r="8">
      <c r="A8" s="9">
        <f t="shared" si="1"/>
        <v>7</v>
      </c>
      <c r="B8" s="11">
        <v>46224.66738425926</v>
      </c>
      <c r="C8" s="10" t="s">
        <v>2311</v>
      </c>
      <c r="D8" s="10" t="s">
        <v>36</v>
      </c>
      <c r="E8" s="10" t="s">
        <v>37</v>
      </c>
      <c r="F8" s="13">
        <v>2.0</v>
      </c>
      <c r="G8" s="14">
        <v>233.21</v>
      </c>
      <c r="H8" s="10" t="s">
        <v>3231</v>
      </c>
      <c r="I8" s="10">
        <v>96.0</v>
      </c>
      <c r="O8" s="15">
        <f>IFERROR(__xludf.DUMMYFUNCTION("IF(ISBLANK($C8), """", GOOGLEFINANCE($C8, ""price""))"),229.01)</f>
        <v>229.01</v>
      </c>
      <c r="P8" s="16">
        <f t="shared" si="2"/>
        <v>-0.01800951932</v>
      </c>
      <c r="Q8" s="16">
        <f>IFERROR(__xludf.DUMMYFUNCTION("IF(OR(ISBLANK($G8), IFERROR(INDEX(GOOGLEFINANCE($C8, ""price"", WORKDAY(INT($B8), 1)), 2, 2), """")=""""), """", IF($D8=""LONG"", (IFERROR(INDEX(GOOGLEFINANCE($C8, ""price"", WORKDAY(INT($B8), 1)), 2, 2), """")-$G8)/$G8, ($G8-IFERROR(INDEX(GOOGLEFINANCE($"&amp;"C8, ""price"", WORKDAY(INT($B8), 1)), 2, 2), """"))/$G8))"),0.013592899103811961)</f>
        <v>0.0135928991</v>
      </c>
      <c r="R8" s="16">
        <f>IFERROR(__xludf.DUMMYFUNCTION("IF(OR(ISBLANK($G8), IFERROR(INDEX(GOOGLEFINANCE($C8, ""price"", WORKDAY(INT($B8), 5)), 2, 2), """")=""""), """", IF($D8=""LONG"", (IFERROR(INDEX(GOOGLEFINANCE($C8, ""price"", WORKDAY(INT($B8), 5)), 2, 2), """")-$G8)/$G8, ($G8-IFERROR(INDEX(GOOGLEFINANCE($"&amp;"C8, ""price"", WORKDAY(INT($B8), 5)), 2, 2), """"))/$G8))"),0.026585480897045533)</f>
        <v>0.0265854809</v>
      </c>
      <c r="S8" s="16" t="str">
        <f>IFERROR(__xludf.DUMMYFUNCTION("IF(OR(ISBLANK($G8), IFERROR(INDEX(GOOGLEFINANCE($C8, ""price"", WORKDAY(INT($B8), 20)), 2, 2), """")=""""), """", IF($D8=""LONG"", (IFERROR(INDEX(GOOGLEFINANCE($C8, ""price"", WORKDAY(INT($B8), 20)), 2, 2), """")-$G8)/$G8, ($G8-IFERROR(INDEX(GOOGLEFINANCE"&amp;"($C8, ""price"", WORKDAY(INT($B8), 20)), 2, 2), """"))/$G8))"),"")</f>
        <v/>
      </c>
      <c r="T8" s="10" t="s">
        <v>3235</v>
      </c>
      <c r="U8" s="10" t="s">
        <v>704</v>
      </c>
      <c r="V8" s="10" t="s">
        <v>3236</v>
      </c>
      <c r="W8" s="10" t="s">
        <v>51</v>
      </c>
      <c r="X8" s="10" t="s">
        <v>1885</v>
      </c>
    </row>
    <row r="9">
      <c r="A9" s="9">
        <f t="shared" si="1"/>
        <v>8</v>
      </c>
      <c r="B9" s="11">
        <v>46224.66738425926</v>
      </c>
      <c r="C9" s="10" t="s">
        <v>170</v>
      </c>
      <c r="D9" s="10" t="s">
        <v>36</v>
      </c>
      <c r="E9" s="10" t="s">
        <v>37</v>
      </c>
      <c r="F9" s="13">
        <v>2.0</v>
      </c>
      <c r="G9" s="14">
        <v>69.86</v>
      </c>
      <c r="H9" s="10" t="s">
        <v>3237</v>
      </c>
      <c r="I9" s="10">
        <v>93.4</v>
      </c>
      <c r="O9" s="15">
        <f>IFERROR(__xludf.DUMMYFUNCTION("IF(ISBLANK($C9), """", GOOGLEFINANCE($C9, ""price""))"),66.8)</f>
        <v>66.8</v>
      </c>
      <c r="P9" s="16">
        <f t="shared" si="2"/>
        <v>-0.04380188949</v>
      </c>
      <c r="Q9" s="16">
        <f>IFERROR(__xludf.DUMMYFUNCTION("IF(OR(ISBLANK($G9), IFERROR(INDEX(GOOGLEFINANCE($C9, ""price"", WORKDAY(INT($B9), 1)), 2, 2), """")=""""), """", IF($D9=""LONG"", (IFERROR(INDEX(GOOGLEFINANCE($C9, ""price"", WORKDAY(INT($B9), 1)), 2, 2), """")-$G9)/$G9, ($G9-IFERROR(INDEX(GOOGLEFINANCE($"&amp;"C9, ""price"", WORKDAY(INT($B9), 1)), 2, 2), """"))/$G9))"),0.017606641855138907)</f>
        <v>0.01760664186</v>
      </c>
      <c r="R9" s="16">
        <f>IFERROR(__xludf.DUMMYFUNCTION("IF(OR(ISBLANK($G9), IFERROR(INDEX(GOOGLEFINANCE($C9, ""price"", WORKDAY(INT($B9), 5)), 2, 2), """")=""""), """", IF($D9=""LONG"", (IFERROR(INDEX(GOOGLEFINANCE($C9, ""price"", WORKDAY(INT($B9), 5)), 2, 2), """")-$G9)/$G9, ($G9-IFERROR(INDEX(GOOGLEFINANCE($"&amp;"C9, ""price"", WORKDAY(INT($B9), 5)), 2, 2), """"))/$G9))"),0.01087890065845985)</f>
        <v>0.01087890066</v>
      </c>
      <c r="S9" s="16" t="str">
        <f>IFERROR(__xludf.DUMMYFUNCTION("IF(OR(ISBLANK($G9), IFERROR(INDEX(GOOGLEFINANCE($C9, ""price"", WORKDAY(INT($B9), 20)), 2, 2), """")=""""), """", IF($D9=""LONG"", (IFERROR(INDEX(GOOGLEFINANCE($C9, ""price"", WORKDAY(INT($B9), 20)), 2, 2), """")-$G9)/$G9, ($G9-IFERROR(INDEX(GOOGLEFINANCE"&amp;"($C9, ""price"", WORKDAY(INT($B9), 20)), 2, 2), """"))/$G9))"),"")</f>
        <v/>
      </c>
      <c r="T9" s="10" t="s">
        <v>3239</v>
      </c>
      <c r="U9" s="10" t="s">
        <v>704</v>
      </c>
      <c r="V9" s="10" t="s">
        <v>3241</v>
      </c>
      <c r="W9" s="10" t="s">
        <v>51</v>
      </c>
      <c r="X9" s="10" t="s">
        <v>1885</v>
      </c>
    </row>
    <row r="10">
      <c r="A10" s="9">
        <f t="shared" si="1"/>
        <v>9</v>
      </c>
      <c r="B10" s="11">
        <v>46224.667395833334</v>
      </c>
      <c r="C10" s="10" t="s">
        <v>3242</v>
      </c>
      <c r="D10" s="10" t="s">
        <v>36</v>
      </c>
      <c r="E10" s="10" t="s">
        <v>133</v>
      </c>
      <c r="F10" s="13">
        <v>2.0</v>
      </c>
      <c r="G10" s="14">
        <v>327.61</v>
      </c>
      <c r="H10" s="10" t="s">
        <v>3243</v>
      </c>
      <c r="I10" s="10">
        <v>81.4</v>
      </c>
      <c r="O10" s="15">
        <f>IFERROR(__xludf.DUMMYFUNCTION("IF(ISBLANK($C10), """", GOOGLEFINANCE($C10, ""price""))"),312.41)</f>
        <v>312.41</v>
      </c>
      <c r="P10" s="16">
        <f t="shared" si="2"/>
        <v>-0.04639663014</v>
      </c>
      <c r="Q10" s="16">
        <f>IFERROR(__xludf.DUMMYFUNCTION("IF(OR(ISBLANK($G10), IFERROR(INDEX(GOOGLEFINANCE($C10, ""price"", WORKDAY(INT($B10), 1)), 2, 2), """")=""""), """", IF($D10=""LONG"", (IFERROR(INDEX(GOOGLEFINANCE($C10, ""price"", WORKDAY(INT($B10), 1)), 2, 2), """")-$G10)/$G10, ($G10-IFERROR(INDEX(GOOGLE"&amp;"FINANCE($C10, ""price"", WORKDAY(INT($B10), 1)), 2, 2), """"))/$G10))"),-0.005250144989469269)</f>
        <v>-0.005250144989</v>
      </c>
      <c r="R10" s="16">
        <f>IFERROR(__xludf.DUMMYFUNCTION("IF(OR(ISBLANK($G10), IFERROR(INDEX(GOOGLEFINANCE($C10, ""price"", WORKDAY(INT($B10), 5)), 2, 2), """")=""""), """", IF($D10=""LONG"", (IFERROR(INDEX(GOOGLEFINANCE($C10, ""price"", WORKDAY(INT($B10), 5)), 2, 2), """")-$G10)/$G10, ($G10-IFERROR(INDEX(GOOGLE"&amp;"FINANCE($C10, ""price"", WORKDAY(INT($B10), 5)), 2, 2), """"))/$G10))"),0.038063551173651504)</f>
        <v>0.03806355117</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3244</v>
      </c>
      <c r="U10" s="10" t="s">
        <v>984</v>
      </c>
      <c r="V10" s="10" t="s">
        <v>2785</v>
      </c>
      <c r="W10" s="10" t="s">
        <v>51</v>
      </c>
      <c r="X10" s="10" t="s">
        <v>984</v>
      </c>
    </row>
    <row r="11">
      <c r="A11" s="9">
        <f t="shared" si="1"/>
        <v>10</v>
      </c>
      <c r="B11" s="11">
        <v>46224.66740740741</v>
      </c>
      <c r="C11" s="10" t="s">
        <v>444</v>
      </c>
      <c r="D11" s="10" t="s">
        <v>36</v>
      </c>
      <c r="E11" s="10" t="s">
        <v>37</v>
      </c>
      <c r="F11" s="13">
        <v>2.0</v>
      </c>
      <c r="G11" s="14">
        <v>350.69</v>
      </c>
      <c r="H11" s="10" t="s">
        <v>2630</v>
      </c>
      <c r="I11" s="10">
        <v>95.5</v>
      </c>
      <c r="O11" s="15">
        <f>IFERROR(__xludf.DUMMYFUNCTION("IF(ISBLANK($C11), """", GOOGLEFINANCE($C11, ""price""))"),342.6)</f>
        <v>342.6</v>
      </c>
      <c r="P11" s="16">
        <f t="shared" si="2"/>
        <v>-0.02306880721</v>
      </c>
      <c r="Q11" s="16">
        <f>IFERROR(__xludf.DUMMYFUNCTION("IF(OR(ISBLANK($G11), IFERROR(INDEX(GOOGLEFINANCE($C11, ""price"", WORKDAY(INT($B11), 1)), 2, 2), """")=""""), """", IF($D11=""LONG"", (IFERROR(INDEX(GOOGLEFINANCE($C11, ""price"", WORKDAY(INT($B11), 1)), 2, 2), """")-$G11)/$G11, ($G11-IFERROR(INDEX(GOOGLE"&amp;"FINANCE($C11, ""price"", WORKDAY(INT($B11), 1)), 2, 2), """"))/$G11))"),-0.005560466508882456)</f>
        <v>-0.005560466509</v>
      </c>
      <c r="R11" s="16">
        <f>IFERROR(__xludf.DUMMYFUNCTION("IF(OR(ISBLANK($G11), IFERROR(INDEX(GOOGLEFINANCE($C11, ""price"", WORKDAY(INT($B11), 5)), 2, 2), """")=""""), """", IF($D11=""LONG"", (IFERROR(INDEX(GOOGLEFINANCE($C11, ""price"", WORKDAY(INT($B11), 5)), 2, 2), """")-$G11)/$G11, ($G11-IFERROR(INDEX(GOOGLE"&amp;"FINANCE($C11, ""price"", WORKDAY(INT($B11), 5)), 2, 2), """"))/$G11))"),-0.04009238928968605)</f>
        <v>-0.04009238929</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3248</v>
      </c>
      <c r="U11" s="10" t="s">
        <v>984</v>
      </c>
      <c r="V11" s="10" t="s">
        <v>933</v>
      </c>
      <c r="W11" s="10" t="s">
        <v>51</v>
      </c>
      <c r="X11" s="10" t="s">
        <v>984</v>
      </c>
    </row>
    <row r="12">
      <c r="A12" s="9">
        <f t="shared" si="1"/>
        <v>11</v>
      </c>
      <c r="B12" s="11">
        <v>46224.66740740741</v>
      </c>
      <c r="C12" s="10" t="s">
        <v>939</v>
      </c>
      <c r="D12" s="10" t="s">
        <v>36</v>
      </c>
      <c r="E12" s="10" t="s">
        <v>37</v>
      </c>
      <c r="F12" s="13">
        <v>2.0</v>
      </c>
      <c r="G12" s="14">
        <v>193.63</v>
      </c>
      <c r="H12" s="10" t="s">
        <v>3249</v>
      </c>
      <c r="I12" s="10">
        <v>93.3</v>
      </c>
      <c r="O12" s="15">
        <f>IFERROR(__xludf.DUMMYFUNCTION("IF(ISBLANK($C12), """", GOOGLEFINANCE($C12, ""price""))"),223.25)</f>
        <v>223.25</v>
      </c>
      <c r="P12" s="16">
        <f t="shared" si="2"/>
        <v>0.1529721634</v>
      </c>
      <c r="Q12" s="16">
        <f>IFERROR(__xludf.DUMMYFUNCTION("IF(OR(ISBLANK($G12), IFERROR(INDEX(GOOGLEFINANCE($C12, ""price"", WORKDAY(INT($B12), 1)), 2, 2), """")=""""), """", IF($D12=""LONG"", (IFERROR(INDEX(GOOGLEFINANCE($C12, ""price"", WORKDAY(INT($B12), 1)), 2, 2), """")-$G12)/$G12, ($G12-IFERROR(INDEX(GOOGLE"&amp;"FINANCE($C12, ""price"", WORKDAY(INT($B12), 1)), 2, 2), """"))/$G12))"),0.006455611217270051)</f>
        <v>0.006455611217</v>
      </c>
      <c r="R12" s="16">
        <f>IFERROR(__xludf.DUMMYFUNCTION("IF(OR(ISBLANK($G12), IFERROR(INDEX(GOOGLEFINANCE($C12, ""price"", WORKDAY(INT($B12), 5)), 2, 2), """")=""""), """", IF($D12=""LONG"", (IFERROR(INDEX(GOOGLEFINANCE($C12, ""price"", WORKDAY(INT($B12), 5)), 2, 2), """")-$G12)/$G12, ($G12-IFERROR(INDEX(GOOGLE"&amp;"FINANCE($C12, ""price"", WORKDAY(INT($B12), 5)), 2, 2), """"))/$G12))"),0.12885399989671031)</f>
        <v>0.1288539999</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3251</v>
      </c>
      <c r="U12" s="10" t="s">
        <v>984</v>
      </c>
      <c r="V12" s="10" t="s">
        <v>933</v>
      </c>
      <c r="W12" s="10" t="s">
        <v>51</v>
      </c>
      <c r="X12" s="10" t="s">
        <v>984</v>
      </c>
    </row>
    <row r="13">
      <c r="A13" s="9">
        <f t="shared" si="1"/>
        <v>12</v>
      </c>
      <c r="B13" s="11">
        <v>46224.66741898148</v>
      </c>
      <c r="C13" s="10" t="s">
        <v>67</v>
      </c>
      <c r="D13" s="10" t="s">
        <v>36</v>
      </c>
      <c r="E13" s="10" t="s">
        <v>133</v>
      </c>
      <c r="F13" s="13">
        <v>2.0</v>
      </c>
      <c r="G13" s="14">
        <v>85.18</v>
      </c>
      <c r="H13" s="10" t="s">
        <v>3253</v>
      </c>
      <c r="I13" s="10">
        <v>80.4</v>
      </c>
      <c r="O13" s="15">
        <f>IFERROR(__xludf.DUMMYFUNCTION("IF(ISBLANK($C13), """", GOOGLEFINANCE($C13, ""price""))"),80.02)</f>
        <v>80.02</v>
      </c>
      <c r="P13" s="16">
        <f t="shared" si="2"/>
        <v>-0.06057760038</v>
      </c>
      <c r="Q13" s="16">
        <f>IFERROR(__xludf.DUMMYFUNCTION("IF(OR(ISBLANK($G13), IFERROR(INDEX(GOOGLEFINANCE($C13, ""price"", WORKDAY(INT($B13), 1)), 2, 2), """")=""""), """", IF($D13=""LONG"", (IFERROR(INDEX(GOOGLEFINANCE($C13, ""price"", WORKDAY(INT($B13), 1)), 2, 2), """")-$G13)/$G13, ($G13-IFERROR(INDEX(GOOGLE"&amp;"FINANCE($C13, ""price"", WORKDAY(INT($B13), 1)), 2, 2), """"))/$G13))"),0.022657900915707824)</f>
        <v>0.02265790092</v>
      </c>
      <c r="R13" s="16">
        <f>IFERROR(__xludf.DUMMYFUNCTION("IF(OR(ISBLANK($G13), IFERROR(INDEX(GOOGLEFINANCE($C13, ""price"", WORKDAY(INT($B13), 5)), 2, 2), """")=""""), """", IF($D13=""LONG"", (IFERROR(INDEX(GOOGLEFINANCE($C13, ""price"", WORKDAY(INT($B13), 5)), 2, 2), """")-$G13)/$G13, ($G13-IFERROR(INDEX(GOOGLE"&amp;"FINANCE($C13, ""price"", WORKDAY(INT($B13), 5)), 2, 2), """"))/$G13))"),0.050363935196055316)</f>
        <v>0.0503639352</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3255</v>
      </c>
      <c r="U13" s="10" t="s">
        <v>984</v>
      </c>
      <c r="V13" s="10" t="s">
        <v>933</v>
      </c>
      <c r="W13" s="10" t="s">
        <v>51</v>
      </c>
      <c r="X13" s="10" t="s">
        <v>984</v>
      </c>
    </row>
    <row r="14">
      <c r="A14" s="9">
        <f t="shared" si="1"/>
        <v>13</v>
      </c>
      <c r="B14" s="11">
        <v>46224.66743055556</v>
      </c>
      <c r="C14" s="10" t="s">
        <v>765</v>
      </c>
      <c r="D14" s="10" t="s">
        <v>36</v>
      </c>
      <c r="E14" s="10" t="s">
        <v>37</v>
      </c>
      <c r="F14" s="13">
        <v>2.0</v>
      </c>
      <c r="G14" s="14">
        <v>123.6</v>
      </c>
      <c r="H14" s="10" t="s">
        <v>3257</v>
      </c>
      <c r="I14" s="10">
        <v>90.2</v>
      </c>
      <c r="O14" s="15">
        <f>IFERROR(__xludf.DUMMYFUNCTION("IF(ISBLANK($C14), """", GOOGLEFINANCE($C14, ""price""))"),126.66)</f>
        <v>126.66</v>
      </c>
      <c r="P14" s="16">
        <f t="shared" si="2"/>
        <v>0.02475728155</v>
      </c>
      <c r="Q14" s="16">
        <f>IFERROR(__xludf.DUMMYFUNCTION("IF(OR(ISBLANK($G14), IFERROR(INDEX(GOOGLEFINANCE($C14, ""price"", WORKDAY(INT($B14), 1)), 2, 2), """")=""""), """", IF($D14=""LONG"", (IFERROR(INDEX(GOOGLEFINANCE($C14, ""price"", WORKDAY(INT($B14), 1)), 2, 2), """")-$G14)/$G14, ($G14-IFERROR(INDEX(GOOGLE"&amp;"FINANCE($C14, ""price"", WORKDAY(INT($B14), 1)), 2, 2), """"))/$G14))"),-1.6181229773459563E-4)</f>
        <v>-0.0001618122977</v>
      </c>
      <c r="R14" s="16">
        <f>IFERROR(__xludf.DUMMYFUNCTION("IF(OR(ISBLANK($G14), IFERROR(INDEX(GOOGLEFINANCE($C14, ""price"", WORKDAY(INT($B14), 5)), 2, 2), """")=""""), """", IF($D14=""LONG"", (IFERROR(INDEX(GOOGLEFINANCE($C14, ""price"", WORKDAY(INT($B14), 5)), 2, 2), """")-$G14)/$G14, ($G14-IFERROR(INDEX(GOOGLE"&amp;"FINANCE($C14, ""price"", WORKDAY(INT($B14), 5)), 2, 2), """"))/$G14))"),0.04813915857605192)</f>
        <v>0.04813915858</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3261</v>
      </c>
      <c r="U14" s="10" t="s">
        <v>932</v>
      </c>
      <c r="V14" s="10" t="s">
        <v>933</v>
      </c>
      <c r="W14" s="10" t="s">
        <v>51</v>
      </c>
      <c r="X14" s="10" t="s">
        <v>3186</v>
      </c>
    </row>
    <row r="15">
      <c r="A15" s="9">
        <f t="shared" si="1"/>
        <v>14</v>
      </c>
      <c r="B15" s="11">
        <v>46224.66741898148</v>
      </c>
      <c r="C15" s="10" t="s">
        <v>499</v>
      </c>
      <c r="D15" s="10" t="s">
        <v>36</v>
      </c>
      <c r="E15" s="10" t="s">
        <v>37</v>
      </c>
      <c r="F15" s="13">
        <v>2.0</v>
      </c>
      <c r="G15" s="14">
        <v>114.58</v>
      </c>
      <c r="H15" s="10" t="s">
        <v>2168</v>
      </c>
      <c r="I15" s="10">
        <v>92.1</v>
      </c>
      <c r="O15" s="15">
        <f>IFERROR(__xludf.DUMMYFUNCTION("IF(ISBLANK($C15), """", GOOGLEFINANCE($C15, ""price""))"),115.98)</f>
        <v>115.98</v>
      </c>
      <c r="P15" s="16">
        <f t="shared" si="2"/>
        <v>0.01221853727</v>
      </c>
      <c r="Q15" s="16">
        <f>IFERROR(__xludf.DUMMYFUNCTION("IF(OR(ISBLANK($G15), IFERROR(INDEX(GOOGLEFINANCE($C15, ""price"", WORKDAY(INT($B15), 1)), 2, 2), """")=""""), """", IF($D15=""LONG"", (IFERROR(INDEX(GOOGLEFINANCE($C15, ""price"", WORKDAY(INT($B15), 1)), 2, 2), """")-$G15)/$G15, ($G15-IFERROR(INDEX(GOOGLE"&amp;"FINANCE($C15, ""price"", WORKDAY(INT($B15), 1)), 2, 2), """"))/$G15))"),0.0010473031942747823)</f>
        <v>0.001047303194</v>
      </c>
      <c r="R15" s="16">
        <f>IFERROR(__xludf.DUMMYFUNCTION("IF(OR(ISBLANK($G15), IFERROR(INDEX(GOOGLEFINANCE($C15, ""price"", WORKDAY(INT($B15), 5)), 2, 2), """")=""""), """", IF($D15=""LONG"", (IFERROR(INDEX(GOOGLEFINANCE($C15, ""price"", WORKDAY(INT($B15), 5)), 2, 2), """")-$G15)/$G15, ($G15-IFERROR(INDEX(GOOGLE"&amp;"FINANCE($C15, ""price"", WORKDAY(INT($B15), 5)), 2, 2), """"))/$G15))"),0.04206667830336889)</f>
        <v>0.0420666783</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3264</v>
      </c>
      <c r="U15" s="10" t="s">
        <v>984</v>
      </c>
      <c r="V15" s="10" t="s">
        <v>933</v>
      </c>
      <c r="W15" s="10" t="s">
        <v>51</v>
      </c>
      <c r="X15" s="10" t="s">
        <v>984</v>
      </c>
    </row>
    <row r="16">
      <c r="A16" s="9">
        <f t="shared" si="1"/>
        <v>15</v>
      </c>
      <c r="B16" s="11">
        <v>46224.66738425926</v>
      </c>
      <c r="C16" s="10" t="s">
        <v>2692</v>
      </c>
      <c r="D16" s="10" t="s">
        <v>36</v>
      </c>
      <c r="E16" s="10" t="s">
        <v>37</v>
      </c>
      <c r="F16" s="13">
        <v>2.0</v>
      </c>
      <c r="G16" s="14">
        <v>64.99</v>
      </c>
      <c r="H16" s="10" t="s">
        <v>3267</v>
      </c>
      <c r="I16" s="10">
        <v>91.9</v>
      </c>
      <c r="O16" s="15">
        <f>IFERROR(__xludf.DUMMYFUNCTION("IF(ISBLANK($C16), """", GOOGLEFINANCE($C16, ""price""))"),62.36)</f>
        <v>62.36</v>
      </c>
      <c r="P16" s="16">
        <f t="shared" si="2"/>
        <v>-0.04046776427</v>
      </c>
      <c r="Q16" s="16">
        <f>IFERROR(__xludf.DUMMYFUNCTION("IF(OR(ISBLANK($G16), IFERROR(INDEX(GOOGLEFINANCE($C16, ""price"", WORKDAY(INT($B16), 1)), 2, 2), """")=""""), """", IF($D16=""LONG"", (IFERROR(INDEX(GOOGLEFINANCE($C16, ""price"", WORKDAY(INT($B16), 1)), 2, 2), """")-$G16)/$G16, ($G16-IFERROR(INDEX(GOOGLE"&amp;"FINANCE($C16, ""price"", WORKDAY(INT($B16), 1)), 2, 2), """"))/$G16))"),6.154793045084822E-4)</f>
        <v>0.0006154793045</v>
      </c>
      <c r="R16" s="16">
        <f>IFERROR(__xludf.DUMMYFUNCTION("IF(OR(ISBLANK($G16), IFERROR(INDEX(GOOGLEFINANCE($C16, ""price"", WORKDAY(INT($B16), 5)), 2, 2), """")=""""), """", IF($D16=""LONG"", (IFERROR(INDEX(GOOGLEFINANCE($C16, ""price"", WORKDAY(INT($B16), 5)), 2, 2), """")-$G16)/$G16, ($G16-IFERROR(INDEX(GOOGLE"&amp;"FINANCE($C16, ""price"", WORKDAY(INT($B16), 5)), 2, 2), """"))/$G16))"),0.01138636713340528)</f>
        <v>0.01138636713</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3269</v>
      </c>
      <c r="U16" s="10" t="s">
        <v>984</v>
      </c>
      <c r="V16" s="10" t="s">
        <v>933</v>
      </c>
      <c r="W16" s="10" t="s">
        <v>51</v>
      </c>
      <c r="X16" s="10" t="s">
        <v>984</v>
      </c>
    </row>
    <row r="17">
      <c r="A17" s="9">
        <f t="shared" si="1"/>
        <v>16</v>
      </c>
      <c r="B17" s="11">
        <v>46224.66741898148</v>
      </c>
      <c r="C17" s="10" t="s">
        <v>228</v>
      </c>
      <c r="D17" s="10" t="s">
        <v>36</v>
      </c>
      <c r="E17" s="10" t="s">
        <v>37</v>
      </c>
      <c r="F17" s="13">
        <v>2.0</v>
      </c>
      <c r="G17" s="14">
        <v>72.18</v>
      </c>
      <c r="H17" s="10" t="s">
        <v>3271</v>
      </c>
      <c r="I17" s="10">
        <v>96.2</v>
      </c>
      <c r="O17" s="15">
        <f>IFERROR(__xludf.DUMMYFUNCTION("IF(ISBLANK($C17), """", GOOGLEFINANCE($C17, ""price""))"),72.13)</f>
        <v>72.13</v>
      </c>
      <c r="P17" s="16">
        <f t="shared" si="2"/>
        <v>-0.0006927126628</v>
      </c>
      <c r="Q17" s="16">
        <f>IFERROR(__xludf.DUMMYFUNCTION("IF(OR(ISBLANK($G17), IFERROR(INDEX(GOOGLEFINANCE($C17, ""price"", WORKDAY(INT($B17), 1)), 2, 2), """")=""""), """", IF($D17=""LONG"", (IFERROR(INDEX(GOOGLEFINANCE($C17, ""price"", WORKDAY(INT($B17), 1)), 2, 2), """")-$G17)/$G17, ($G17-IFERROR(INDEX(GOOGLE"&amp;"FINANCE($C17, ""price"", WORKDAY(INT($B17), 1)), 2, 2), """"))/$G17))"),0.0024937655860348103)</f>
        <v>0.002493765586</v>
      </c>
      <c r="R17" s="16">
        <f>IFERROR(__xludf.DUMMYFUNCTION("IF(OR(ISBLANK($G17), IFERROR(INDEX(GOOGLEFINANCE($C17, ""price"", WORKDAY(INT($B17), 5)), 2, 2), """")=""""), """", IF($D17=""LONG"", (IFERROR(INDEX(GOOGLEFINANCE($C17, ""price"", WORKDAY(INT($B17), 5)), 2, 2), """")-$G17)/$G17, ($G17-IFERROR(INDEX(GOOGLE"&amp;"FINANCE($C17, ""price"", WORKDAY(INT($B17), 5)), 2, 2), """"))/$G17))"),0.05527847049044049)</f>
        <v>0.05527847049</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3273</v>
      </c>
      <c r="U17" s="10" t="s">
        <v>984</v>
      </c>
      <c r="V17" s="10" t="s">
        <v>933</v>
      </c>
      <c r="W17" s="10" t="s">
        <v>51</v>
      </c>
      <c r="X17" s="10" t="s">
        <v>984</v>
      </c>
    </row>
    <row r="18">
      <c r="A18" s="9">
        <f t="shared" si="1"/>
        <v>17</v>
      </c>
      <c r="B18" s="11">
        <v>46224.66738425926</v>
      </c>
      <c r="C18" s="10" t="s">
        <v>3274</v>
      </c>
      <c r="D18" s="10" t="s">
        <v>119</v>
      </c>
      <c r="E18" s="10" t="s">
        <v>120</v>
      </c>
      <c r="F18" s="13">
        <v>4.0</v>
      </c>
      <c r="G18" s="14">
        <v>374.31</v>
      </c>
      <c r="H18" s="10" t="s">
        <v>3276</v>
      </c>
      <c r="I18" s="10">
        <v>0.9</v>
      </c>
      <c r="O18" s="15">
        <f>IFERROR(__xludf.DUMMYFUNCTION("IF(ISBLANK($C18), """", GOOGLEFINANCE($C18, ""price""))"),384.89)</f>
        <v>384.89</v>
      </c>
      <c r="P18" s="16">
        <f t="shared" si="2"/>
        <v>-0.02826534156</v>
      </c>
      <c r="Q18" s="16">
        <f>IFERROR(__xludf.DUMMYFUNCTION("IF(OR(ISBLANK($G18), IFERROR(INDEX(GOOGLEFINANCE($C18, ""price"", WORKDAY(INT($B18), 1)), 2, 2), """")=""""), """", IF($D18=""LONG"", (IFERROR(INDEX(GOOGLEFINANCE($C18, ""price"", WORKDAY(INT($B18), 1)), 2, 2), """")-$G18)/$G18, ($G18-IFERROR(INDEX(GOOGLE"&amp;"FINANCE($C18, ""price"", WORKDAY(INT($B18), 1)), 2, 2), """"))/$G18))"),0.012957174534476831)</f>
        <v>0.01295717453</v>
      </c>
      <c r="R18" s="16">
        <f>IFERROR(__xludf.DUMMYFUNCTION("IF(OR(ISBLANK($G18), IFERROR(INDEX(GOOGLEFINANCE($C18, ""price"", WORKDAY(INT($B18), 5)), 2, 2), """")=""""), """", IF($D18=""LONG"", (IFERROR(INDEX(GOOGLEFINANCE($C18, ""price"", WORKDAY(INT($B18), 5)), 2, 2), """")-$G18)/$G18, ($G18-IFERROR(INDEX(GOOGLE"&amp;"FINANCE($C18, ""price"", WORKDAY(INT($B18), 5)), 2, 2), """"))/$G18))"),0.14335711041649976)</f>
        <v>0.1433571104</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3279</v>
      </c>
      <c r="U18" s="10" t="s">
        <v>984</v>
      </c>
      <c r="V18" s="10" t="s">
        <v>985</v>
      </c>
      <c r="W18" s="10" t="s">
        <v>51</v>
      </c>
      <c r="X18" s="10" t="s">
        <v>984</v>
      </c>
    </row>
    <row r="19">
      <c r="A19" s="9">
        <f t="shared" si="1"/>
        <v>18</v>
      </c>
      <c r="B19" s="11">
        <v>46224.6674537037</v>
      </c>
      <c r="C19" s="10" t="s">
        <v>173</v>
      </c>
      <c r="D19" s="10" t="s">
        <v>36</v>
      </c>
      <c r="E19" s="10" t="s">
        <v>37</v>
      </c>
      <c r="F19" s="13">
        <v>2.0</v>
      </c>
      <c r="G19" s="14">
        <v>87.72</v>
      </c>
      <c r="H19" s="10" t="s">
        <v>3280</v>
      </c>
      <c r="I19" s="10">
        <v>93.9</v>
      </c>
      <c r="O19" s="15">
        <f>IFERROR(__xludf.DUMMYFUNCTION("IF(ISBLANK($C19), """", GOOGLEFINANCE($C19, ""price""))"),87.59)</f>
        <v>87.59</v>
      </c>
      <c r="P19" s="16">
        <f t="shared" si="2"/>
        <v>-0.001481988144</v>
      </c>
      <c r="Q19" s="16">
        <f>IFERROR(__xludf.DUMMYFUNCTION("IF(OR(ISBLANK($G19), IFERROR(INDEX(GOOGLEFINANCE($C19, ""price"", WORKDAY(INT($B19), 1)), 2, 2), """")=""""), """", IF($D19=""LONG"", (IFERROR(INDEX(GOOGLEFINANCE($C19, ""price"", WORKDAY(INT($B19), 1)), 2, 2), """")-$G19)/$G19, ($G19-IFERROR(INDEX(GOOGLE"&amp;"FINANCE($C19, ""price"", WORKDAY(INT($B19), 1)), 2, 2), """"))/$G19))"),-0.014819881440948441)</f>
        <v>-0.01481988144</v>
      </c>
      <c r="R19" s="16">
        <f>IFERROR(__xludf.DUMMYFUNCTION("IF(OR(ISBLANK($G19), IFERROR(INDEX(GOOGLEFINANCE($C19, ""price"", WORKDAY(INT($B19), 5)), 2, 2), """")=""""), """", IF($D19=""LONG"", (IFERROR(INDEX(GOOGLEFINANCE($C19, ""price"", WORKDAY(INT($B19), 5)), 2, 2), """")-$G19)/$G19, ($G19-IFERROR(INDEX(GOOGLE"&amp;"FINANCE($C19, ""price"", WORKDAY(INT($B19), 5)), 2, 2), """"))/$G19))"),-0.00968992248062009)</f>
        <v>-0.009689922481</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3283</v>
      </c>
      <c r="U19" s="10" t="s">
        <v>984</v>
      </c>
      <c r="V19" s="10" t="s">
        <v>2785</v>
      </c>
      <c r="W19" s="10" t="s">
        <v>51</v>
      </c>
      <c r="X19" s="10" t="s">
        <v>984</v>
      </c>
    </row>
    <row r="20">
      <c r="A20" s="9">
        <f t="shared" si="1"/>
        <v>19</v>
      </c>
      <c r="B20" s="11">
        <v>46224.66740740741</v>
      </c>
      <c r="C20" s="10" t="s">
        <v>426</v>
      </c>
      <c r="D20" s="10" t="s">
        <v>36</v>
      </c>
      <c r="E20" s="10" t="s">
        <v>37</v>
      </c>
      <c r="F20" s="13">
        <v>2.0</v>
      </c>
      <c r="G20" s="14">
        <v>523.3</v>
      </c>
      <c r="H20" s="10" t="s">
        <v>3284</v>
      </c>
      <c r="I20" s="10">
        <v>92.1</v>
      </c>
      <c r="O20" s="15">
        <f>IFERROR(__xludf.DUMMYFUNCTION("IF(ISBLANK($C20), """", GOOGLEFINANCE($C20, ""price""))"),580.02)</f>
        <v>580.02</v>
      </c>
      <c r="P20" s="16">
        <f t="shared" si="2"/>
        <v>0.1083890694</v>
      </c>
      <c r="Q20" s="16">
        <f>IFERROR(__xludf.DUMMYFUNCTION("IF(OR(ISBLANK($G20), IFERROR(INDEX(GOOGLEFINANCE($C20, ""price"", WORKDAY(INT($B20), 1)), 2, 2), """")=""""), """", IF($D20=""LONG"", (IFERROR(INDEX(GOOGLEFINANCE($C20, ""price"", WORKDAY(INT($B20), 1)), 2, 2), """")-$G20)/$G20, ($G20-IFERROR(INDEX(GOOGLE"&amp;"FINANCE($C20, ""price"", WORKDAY(INT($B20), 1)), 2, 2), """"))/$G20))"),0.006038601184788997)</f>
        <v>0.006038601185</v>
      </c>
      <c r="R20" s="16">
        <f>IFERROR(__xludf.DUMMYFUNCTION("IF(OR(ISBLANK($G20), IFERROR(INDEX(GOOGLEFINANCE($C20, ""price"", WORKDAY(INT($B20), 5)), 2, 2), """")=""""), """", IF($D20=""LONG"", (IFERROR(INDEX(GOOGLEFINANCE($C20, ""price"", WORKDAY(INT($B20), 5)), 2, 2), """")-$G20)/$G20, ($G20-IFERROR(INDEX(GOOGLE"&amp;"FINANCE($C20, ""price"", WORKDAY(INT($B20), 5)), 2, 2), """"))/$G20))"),0.10149054079877702)</f>
        <v>0.1014905408</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3287</v>
      </c>
      <c r="U20" s="10" t="s">
        <v>984</v>
      </c>
      <c r="V20" s="10" t="s">
        <v>985</v>
      </c>
      <c r="W20" s="10" t="s">
        <v>51</v>
      </c>
      <c r="X20" s="10" t="s">
        <v>984</v>
      </c>
    </row>
    <row r="21">
      <c r="A21" s="9">
        <f t="shared" si="1"/>
        <v>20</v>
      </c>
      <c r="B21" s="11">
        <v>46224.66744212963</v>
      </c>
      <c r="C21" s="10" t="s">
        <v>114</v>
      </c>
      <c r="D21" s="10" t="s">
        <v>36</v>
      </c>
      <c r="E21" s="10" t="s">
        <v>37</v>
      </c>
      <c r="F21" s="13">
        <v>2.0</v>
      </c>
      <c r="G21" s="14">
        <v>227.09</v>
      </c>
      <c r="H21" s="10" t="s">
        <v>3288</v>
      </c>
      <c r="I21" s="10">
        <v>95.3</v>
      </c>
      <c r="O21" s="15">
        <f>IFERROR(__xludf.DUMMYFUNCTION("IF(ISBLANK($C21), """", GOOGLEFINANCE($C21, ""price""))"),237.66)</f>
        <v>237.66</v>
      </c>
      <c r="P21" s="16">
        <f t="shared" si="2"/>
        <v>0.04654542252</v>
      </c>
      <c r="Q21" s="16">
        <f>IFERROR(__xludf.DUMMYFUNCTION("IF(OR(ISBLANK($G21), IFERROR(INDEX(GOOGLEFINANCE($C21, ""price"", WORKDAY(INT($B21), 1)), 2, 2), """")=""""), """", IF($D21=""LONG"", (IFERROR(INDEX(GOOGLEFINANCE($C21, ""price"", WORKDAY(INT($B21), 1)), 2, 2), """")-$G21)/$G21, ($G21-IFERROR(INDEX(GOOGLE"&amp;"FINANCE($C21, ""price"", WORKDAY(INT($B21), 1)), 2, 2), """"))/$G21))"),-0.02884318992469951)</f>
        <v>-0.02884318992</v>
      </c>
      <c r="R21" s="16">
        <f>IFERROR(__xludf.DUMMYFUNCTION("IF(OR(ISBLANK($G21), IFERROR(INDEX(GOOGLEFINANCE($C21, ""price"", WORKDAY(INT($B21), 5)), 2, 2), """")=""""), """", IF($D21=""LONG"", (IFERROR(INDEX(GOOGLEFINANCE($C21, ""price"", WORKDAY(INT($B21), 5)), 2, 2), """")-$G21)/$G21, ($G21-IFERROR(INDEX(GOOGLE"&amp;"FINANCE($C21, ""price"", WORKDAY(INT($B21), 5)), 2, 2), """"))/$G21))"),0.023867189220132933)</f>
        <v>0.02386718922</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3290</v>
      </c>
      <c r="U21" s="10" t="s">
        <v>984</v>
      </c>
      <c r="V21" s="10" t="s">
        <v>933</v>
      </c>
      <c r="W21" s="10" t="s">
        <v>51</v>
      </c>
      <c r="X21" s="10" t="s">
        <v>984</v>
      </c>
    </row>
    <row r="22">
      <c r="A22" s="9">
        <f t="shared" si="1"/>
        <v>21</v>
      </c>
      <c r="B22" s="11">
        <v>46224.6674537037</v>
      </c>
      <c r="C22" s="10" t="s">
        <v>2229</v>
      </c>
      <c r="D22" s="10" t="s">
        <v>36</v>
      </c>
      <c r="E22" s="10" t="s">
        <v>37</v>
      </c>
      <c r="F22" s="13">
        <v>2.0</v>
      </c>
      <c r="G22" s="14">
        <v>116.98</v>
      </c>
      <c r="H22" s="10" t="s">
        <v>3291</v>
      </c>
      <c r="I22" s="10">
        <v>97.6</v>
      </c>
      <c r="O22" s="15">
        <f>IFERROR(__xludf.DUMMYFUNCTION("IF(ISBLANK($C22), """", GOOGLEFINANCE($C22, ""price""))"),120.76)</f>
        <v>120.76</v>
      </c>
      <c r="P22" s="16">
        <f t="shared" si="2"/>
        <v>0.03231321593</v>
      </c>
      <c r="Q22" s="16">
        <f>IFERROR(__xludf.DUMMYFUNCTION("IF(OR(ISBLANK($G22), IFERROR(INDEX(GOOGLEFINANCE($C22, ""price"", WORKDAY(INT($B22), 1)), 2, 2), """")=""""), """", IF($D22=""LONG"", (IFERROR(INDEX(GOOGLEFINANCE($C22, ""price"", WORKDAY(INT($B22), 1)), 2, 2), """")-$G22)/$G22, ($G22-IFERROR(INDEX(GOOGLE"&amp;"FINANCE($C22, ""price"", WORKDAY(INT($B22), 1)), 2, 2), """"))/$G22))"),-0.0071807146520773074)</f>
        <v>-0.007180714652</v>
      </c>
      <c r="R22" s="16">
        <f>IFERROR(__xludf.DUMMYFUNCTION("IF(OR(ISBLANK($G22), IFERROR(INDEX(GOOGLEFINANCE($C22, ""price"", WORKDAY(INT($B22), 5)), 2, 2), """")=""""), """", IF($D22=""LONG"", (IFERROR(INDEX(GOOGLEFINANCE($C22, ""price"", WORKDAY(INT($B22), 5)), 2, 2), """")-$G22)/$G22, ($G22-IFERROR(INDEX(GOOGLE"&amp;"FINANCE($C22, ""price"", WORKDAY(INT($B22), 5)), 2, 2), """"))/$G22))"),0.06830227389297311)</f>
        <v>0.06830227389</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3293</v>
      </c>
      <c r="U22" s="10" t="s">
        <v>984</v>
      </c>
      <c r="V22" s="10" t="s">
        <v>985</v>
      </c>
      <c r="W22" s="10" t="s">
        <v>51</v>
      </c>
      <c r="X22" s="10" t="s">
        <v>984</v>
      </c>
    </row>
    <row r="23">
      <c r="A23" s="9">
        <f t="shared" si="1"/>
        <v>22</v>
      </c>
      <c r="B23" s="11">
        <v>46224.66747685185</v>
      </c>
      <c r="C23" s="10" t="s">
        <v>191</v>
      </c>
      <c r="D23" s="10" t="s">
        <v>36</v>
      </c>
      <c r="E23" s="10" t="s">
        <v>37</v>
      </c>
      <c r="F23" s="13">
        <v>2.0</v>
      </c>
      <c r="G23" s="14">
        <v>22.21</v>
      </c>
      <c r="H23" s="10" t="s">
        <v>3294</v>
      </c>
      <c r="I23" s="10">
        <v>94.6</v>
      </c>
      <c r="O23" s="15">
        <f>IFERROR(__xludf.DUMMYFUNCTION("IF(ISBLANK($C23), """", GOOGLEFINANCE($C23, ""price""))"),27.01)</f>
        <v>27.01</v>
      </c>
      <c r="P23" s="16">
        <f t="shared" si="2"/>
        <v>0.2161188654</v>
      </c>
      <c r="Q23" s="16">
        <f>IFERROR(__xludf.DUMMYFUNCTION("IF(OR(ISBLANK($G23), IFERROR(INDEX(GOOGLEFINANCE($C23, ""price"", WORKDAY(INT($B23), 1)), 2, 2), """")=""""), """", IF($D23=""LONG"", (IFERROR(INDEX(GOOGLEFINANCE($C23, ""price"", WORKDAY(INT($B23), 1)), 2, 2), """")-$G23)/$G23, ($G23-IFERROR(INDEX(GOOGLE"&amp;"FINANCE($C23, ""price"", WORKDAY(INT($B23), 1)), 2, 2), """"))/$G23))"),-0.021161638901395875)</f>
        <v>-0.0211616389</v>
      </c>
      <c r="R23" s="16">
        <f>IFERROR(__xludf.DUMMYFUNCTION("IF(OR(ISBLANK($G23), IFERROR(INDEX(GOOGLEFINANCE($C23, ""price"", WORKDAY(INT($B23), 5)), 2, 2), """")=""""), """", IF($D23=""LONG"", (IFERROR(INDEX(GOOGLEFINANCE($C23, ""price"", WORKDAY(INT($B23), 5)), 2, 2), """")-$G23)/$G23, ($G23-IFERROR(INDEX(GOOGLE"&amp;"FINANCE($C23, ""price"", WORKDAY(INT($B23), 5)), 2, 2), """"))/$G23))"),0.09725348941918055)</f>
        <v>0.09725348942</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3297</v>
      </c>
      <c r="U23" s="10" t="s">
        <v>984</v>
      </c>
      <c r="V23" s="10" t="s">
        <v>985</v>
      </c>
      <c r="W23" s="10" t="s">
        <v>51</v>
      </c>
      <c r="X23" s="10" t="s">
        <v>984</v>
      </c>
    </row>
    <row r="24">
      <c r="A24" s="9">
        <f t="shared" si="1"/>
        <v>23</v>
      </c>
      <c r="B24" s="11">
        <v>46224.66740740741</v>
      </c>
      <c r="C24" s="10" t="s">
        <v>288</v>
      </c>
      <c r="D24" s="10" t="s">
        <v>36</v>
      </c>
      <c r="E24" s="10" t="s">
        <v>37</v>
      </c>
      <c r="F24" s="13">
        <v>2.0</v>
      </c>
      <c r="G24" s="14">
        <v>18.99</v>
      </c>
      <c r="H24" s="10" t="s">
        <v>3298</v>
      </c>
      <c r="I24" s="10">
        <v>89.9</v>
      </c>
      <c r="O24" s="15">
        <f>IFERROR(__xludf.DUMMYFUNCTION("IF(ISBLANK($C24), """", GOOGLEFINANCE($C24, ""price""))"),19.18)</f>
        <v>19.18</v>
      </c>
      <c r="P24" s="16">
        <f t="shared" si="2"/>
        <v>0.01000526593</v>
      </c>
      <c r="Q24" s="16">
        <f>IFERROR(__xludf.DUMMYFUNCTION("IF(OR(ISBLANK($G24), IFERROR(INDEX(GOOGLEFINANCE($C24, ""price"", WORKDAY(INT($B24), 1)), 2, 2), """")=""""), """", IF($D24=""LONG"", (IFERROR(INDEX(GOOGLEFINANCE($C24, ""price"", WORKDAY(INT($B24), 1)), 2, 2), """")-$G24)/$G24, ($G24-IFERROR(INDEX(GOOGLE"&amp;"FINANCE($C24, ""price"", WORKDAY(INT($B24), 1)), 2, 2), """"))/$G24))"),0.007372301211163801)</f>
        <v>0.007372301211</v>
      </c>
      <c r="R24" s="16">
        <f>IFERROR(__xludf.DUMMYFUNCTION("IF(OR(ISBLANK($G24), IFERROR(INDEX(GOOGLEFINANCE($C24, ""price"", WORKDAY(INT($B24), 5)), 2, 2), """")=""""), """", IF($D24=""LONG"", (IFERROR(INDEX(GOOGLEFINANCE($C24, ""price"", WORKDAY(INT($B24), 5)), 2, 2), """")-$G24)/$G24, ($G24-IFERROR(INDEX(GOOGLE"&amp;"FINANCE($C24, ""price"", WORKDAY(INT($B24), 5)), 2, 2), """"))/$G24))"),0.04002106371774627)</f>
        <v>0.04002106372</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3301</v>
      </c>
      <c r="U24" s="10" t="s">
        <v>984</v>
      </c>
      <c r="V24" s="10" t="s">
        <v>933</v>
      </c>
      <c r="W24" s="10" t="s">
        <v>51</v>
      </c>
      <c r="X24" s="10" t="s">
        <v>984</v>
      </c>
    </row>
    <row r="25">
      <c r="A25" s="9">
        <f t="shared" si="1"/>
        <v>24</v>
      </c>
      <c r="B25" s="11">
        <v>46224.66747685185</v>
      </c>
      <c r="C25" s="10" t="s">
        <v>471</v>
      </c>
      <c r="D25" s="10" t="s">
        <v>36</v>
      </c>
      <c r="E25" s="10" t="s">
        <v>37</v>
      </c>
      <c r="F25" s="13">
        <v>2.0</v>
      </c>
      <c r="G25" s="14">
        <v>367.8</v>
      </c>
      <c r="H25" s="10" t="s">
        <v>3302</v>
      </c>
      <c r="I25" s="10">
        <v>95.2</v>
      </c>
      <c r="O25" s="15">
        <f>IFERROR(__xludf.DUMMYFUNCTION("IF(ISBLANK($C25), """", GOOGLEFINANCE($C25, ""price""))"),386.92)</f>
        <v>386.92</v>
      </c>
      <c r="P25" s="16">
        <f t="shared" si="2"/>
        <v>0.05198477433</v>
      </c>
      <c r="Q25" s="16">
        <f>IFERROR(__xludf.DUMMYFUNCTION("IF(OR(ISBLANK($G25), IFERROR(INDEX(GOOGLEFINANCE($C25, ""price"", WORKDAY(INT($B25), 1)), 2, 2), """")=""""), """", IF($D25=""LONG"", (IFERROR(INDEX(GOOGLEFINANCE($C25, ""price"", WORKDAY(INT($B25), 1)), 2, 2), """")-$G25)/$G25, ($G25-IFERROR(INDEX(GOOGLE"&amp;"FINANCE($C25, ""price"", WORKDAY(INT($B25), 1)), 2, 2), """"))/$G25))"),0.014573137574768932)</f>
        <v>0.01457313757</v>
      </c>
      <c r="R25" s="16">
        <f>IFERROR(__xludf.DUMMYFUNCTION("IF(OR(ISBLANK($G25), IFERROR(INDEX(GOOGLEFINANCE($C25, ""price"", WORKDAY(INT($B25), 5)), 2, 2), """")=""""), """", IF($D25=""LONG"", (IFERROR(INDEX(GOOGLEFINANCE($C25, ""price"", WORKDAY(INT($B25), 5)), 2, 2), """")-$G25)/$G25, ($G25-IFERROR(INDEX(GOOGLE"&amp;"FINANCE($C25, ""price"", WORKDAY(INT($B25), 5)), 2, 2), """"))/$G25))"),0.06903208265361606)</f>
        <v>0.06903208265</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3305</v>
      </c>
      <c r="U25" s="10" t="s">
        <v>507</v>
      </c>
      <c r="V25" s="10" t="s">
        <v>3306</v>
      </c>
      <c r="W25" s="10" t="s">
        <v>51</v>
      </c>
      <c r="X25" s="10" t="s">
        <v>2228</v>
      </c>
    </row>
    <row r="26">
      <c r="A26" s="9">
        <f t="shared" si="1"/>
        <v>25</v>
      </c>
      <c r="B26" s="11">
        <v>46224.66741898148</v>
      </c>
      <c r="C26" s="10" t="s">
        <v>212</v>
      </c>
      <c r="D26" s="10" t="s">
        <v>119</v>
      </c>
      <c r="E26" s="10" t="s">
        <v>120</v>
      </c>
      <c r="F26" s="13">
        <v>4.0</v>
      </c>
      <c r="G26" s="14">
        <v>110.36</v>
      </c>
      <c r="H26" s="10" t="s">
        <v>3307</v>
      </c>
      <c r="I26" s="10">
        <v>5.1</v>
      </c>
      <c r="O26" s="15">
        <f>IFERROR(__xludf.DUMMYFUNCTION("IF(ISBLANK($C26), """", GOOGLEFINANCE($C26, ""price""))"),112.07)</f>
        <v>112.07</v>
      </c>
      <c r="P26" s="16">
        <f t="shared" si="2"/>
        <v>-0.01549474447</v>
      </c>
      <c r="Q26" s="16">
        <f>IFERROR(__xludf.DUMMYFUNCTION("IF(OR(ISBLANK($G26), IFERROR(INDEX(GOOGLEFINANCE($C26, ""price"", WORKDAY(INT($B26), 1)), 2, 2), """")=""""), """", IF($D26=""LONG"", (IFERROR(INDEX(GOOGLEFINANCE($C26, ""price"", WORKDAY(INT($B26), 1)), 2, 2), """")-$G26)/$G26, ($G26-IFERROR(INDEX(GOOGLE"&amp;"FINANCE($C26, ""price"", WORKDAY(INT($B26), 1)), 2, 2), """"))/$G26))"),0.009333091699891275)</f>
        <v>0.0093330917</v>
      </c>
      <c r="R26" s="16">
        <f>IFERROR(__xludf.DUMMYFUNCTION("IF(OR(ISBLANK($G26), IFERROR(INDEX(GOOGLEFINANCE($C26, ""price"", WORKDAY(INT($B26), 5)), 2, 2), """")=""""), """", IF($D26=""LONG"", (IFERROR(INDEX(GOOGLEFINANCE($C26, ""price"", WORKDAY(INT($B26), 5)), 2, 2), """")-$G26)/$G26, ($G26-IFERROR(INDEX(GOOGLE"&amp;"FINANCE($C26, ""price"", WORKDAY(INT($B26), 5)), 2, 2), """"))/$G26))"),-0.024827836172526232)</f>
        <v>-0.02482783617</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3311</v>
      </c>
      <c r="U26" s="10" t="s">
        <v>984</v>
      </c>
      <c r="V26" s="10" t="s">
        <v>985</v>
      </c>
      <c r="W26" s="10" t="s">
        <v>51</v>
      </c>
      <c r="X26" s="10" t="s">
        <v>984</v>
      </c>
    </row>
    <row r="27">
      <c r="A27" s="9">
        <f t="shared" si="1"/>
        <v>26</v>
      </c>
      <c r="B27" s="11">
        <v>46224.66747685185</v>
      </c>
      <c r="C27" s="10" t="s">
        <v>1216</v>
      </c>
      <c r="D27" s="10" t="s">
        <v>36</v>
      </c>
      <c r="E27" s="10" t="s">
        <v>37</v>
      </c>
      <c r="F27" s="13">
        <v>2.0</v>
      </c>
      <c r="G27" s="14">
        <v>80.37</v>
      </c>
      <c r="H27" s="10" t="s">
        <v>3312</v>
      </c>
      <c r="I27" s="10">
        <v>92.8</v>
      </c>
      <c r="O27" s="15">
        <f>IFERROR(__xludf.DUMMYFUNCTION("IF(ISBLANK($C27), """", GOOGLEFINANCE($C27, ""price""))"),79.02)</f>
        <v>79.02</v>
      </c>
      <c r="P27" s="16">
        <f t="shared" si="2"/>
        <v>-0.01679731243</v>
      </c>
      <c r="Q27" s="16">
        <f>IFERROR(__xludf.DUMMYFUNCTION("IF(OR(ISBLANK($G27), IFERROR(INDEX(GOOGLEFINANCE($C27, ""price"", WORKDAY(INT($B27), 1)), 2, 2), """")=""""), """", IF($D27=""LONG"", (IFERROR(INDEX(GOOGLEFINANCE($C27, ""price"", WORKDAY(INT($B27), 1)), 2, 2), """")-$G27)/$G27, ($G27-IFERROR(INDEX(GOOGLE"&amp;"FINANCE($C27, ""price"", WORKDAY(INT($B27), 1)), 2, 2), """"))/$G27))"),-0.03620754012691316)</f>
        <v>-0.03620754013</v>
      </c>
      <c r="R27" s="16">
        <f>IFERROR(__xludf.DUMMYFUNCTION("IF(OR(ISBLANK($G27), IFERROR(INDEX(GOOGLEFINANCE($C27, ""price"", WORKDAY(INT($B27), 5)), 2, 2), """")=""""), """", IF($D27=""LONG"", (IFERROR(INDEX(GOOGLEFINANCE($C27, ""price"", WORKDAY(INT($B27), 5)), 2, 2), """")-$G27)/$G27, ($G27-IFERROR(INDEX(GOOGLE"&amp;"FINANCE($C27, ""price"", WORKDAY(INT($B27), 5)), 2, 2), """"))/$G27))"),0.033967898469578074)</f>
        <v>0.03396789847</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3314</v>
      </c>
      <c r="U27" s="10" t="s">
        <v>984</v>
      </c>
      <c r="V27" s="10" t="s">
        <v>2714</v>
      </c>
      <c r="W27" s="10" t="s">
        <v>51</v>
      </c>
      <c r="X27" s="10" t="s">
        <v>984</v>
      </c>
    </row>
    <row r="28">
      <c r="A28" s="9">
        <f t="shared" si="1"/>
        <v>27</v>
      </c>
      <c r="B28" s="11">
        <v>46224.66744212963</v>
      </c>
      <c r="C28" s="10" t="s">
        <v>94</v>
      </c>
      <c r="D28" s="10" t="s">
        <v>36</v>
      </c>
      <c r="E28" s="10" t="s">
        <v>37</v>
      </c>
      <c r="F28" s="13">
        <v>2.0</v>
      </c>
      <c r="G28" s="14">
        <v>57.64</v>
      </c>
      <c r="H28" s="10" t="s">
        <v>3315</v>
      </c>
      <c r="I28" s="10">
        <v>91.9</v>
      </c>
      <c r="O28" s="15">
        <f>IFERROR(__xludf.DUMMYFUNCTION("IF(ISBLANK($C28), """", GOOGLEFINANCE($C28, ""price""))"),56.96)</f>
        <v>56.96</v>
      </c>
      <c r="P28" s="16">
        <f t="shared" si="2"/>
        <v>-0.01179736294</v>
      </c>
      <c r="Q28" s="16">
        <f>IFERROR(__xludf.DUMMYFUNCTION("IF(OR(ISBLANK($G28), IFERROR(INDEX(GOOGLEFINANCE($C28, ""price"", WORKDAY(INT($B28), 1)), 2, 2), """")=""""), """", IF($D28=""LONG"", (IFERROR(INDEX(GOOGLEFINANCE($C28, ""price"", WORKDAY(INT($B28), 1)), 2, 2), """")-$G28)/$G28, ($G28-IFERROR(INDEX(GOOGLE"&amp;"FINANCE($C28, ""price"", WORKDAY(INT($B28), 1)), 2, 2), """"))/$G28))"),5.204718945177158E-4)</f>
        <v>0.0005204718945</v>
      </c>
      <c r="R28" s="16">
        <f>IFERROR(__xludf.DUMMYFUNCTION("IF(OR(ISBLANK($G28), IFERROR(INDEX(GOOGLEFINANCE($C28, ""price"", WORKDAY(INT($B28), 5)), 2, 2), """")=""""), """", IF($D28=""LONG"", (IFERROR(INDEX(GOOGLEFINANCE($C28, ""price"", WORKDAY(INT($B28), 5)), 2, 2), """")-$G28)/$G28, ($G28-IFERROR(INDEX(GOOGLE"&amp;"FINANCE($C28, ""price"", WORKDAY(INT($B28), 5)), 2, 2), """"))/$G28))"),0.00277585010409432)</f>
        <v>0.002775850104</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3316</v>
      </c>
      <c r="U28" s="10" t="s">
        <v>984</v>
      </c>
      <c r="V28" s="10" t="s">
        <v>933</v>
      </c>
      <c r="W28" s="10" t="s">
        <v>51</v>
      </c>
      <c r="X28" s="10" t="s">
        <v>984</v>
      </c>
    </row>
    <row r="29">
      <c r="A29" s="9">
        <f t="shared" si="1"/>
        <v>28</v>
      </c>
      <c r="B29" s="11">
        <v>46224.667708333334</v>
      </c>
      <c r="C29" s="10" t="s">
        <v>594</v>
      </c>
      <c r="D29" s="10" t="s">
        <v>36</v>
      </c>
      <c r="E29" s="10" t="s">
        <v>37</v>
      </c>
      <c r="F29" s="13">
        <v>2.0</v>
      </c>
      <c r="G29" s="14">
        <v>80.23</v>
      </c>
      <c r="H29" s="10" t="s">
        <v>3318</v>
      </c>
      <c r="I29" s="10">
        <v>97.7</v>
      </c>
      <c r="O29" s="15">
        <f>IFERROR(__xludf.DUMMYFUNCTION("IF(ISBLANK($C29), """", GOOGLEFINANCE($C29, ""price""))"),79.97)</f>
        <v>79.97</v>
      </c>
      <c r="P29" s="16">
        <f t="shared" si="2"/>
        <v>-0.003240683036</v>
      </c>
      <c r="Q29" s="16">
        <f>IFERROR(__xludf.DUMMYFUNCTION("IF(OR(ISBLANK($G29), IFERROR(INDEX(GOOGLEFINANCE($C29, ""price"", WORKDAY(INT($B29), 1)), 2, 2), """")=""""), """", IF($D29=""LONG"", (IFERROR(INDEX(GOOGLEFINANCE($C29, ""price"", WORKDAY(INT($B29), 1)), 2, 2), """")-$G29)/$G29, ($G29-IFERROR(INDEX(GOOGLE"&amp;"FINANCE($C29, ""price"", WORKDAY(INT($B29), 1)), 2, 2), """"))/$G29))"),-0.024679047737754006)</f>
        <v>-0.02467904774</v>
      </c>
      <c r="R29" s="16">
        <f>IFERROR(__xludf.DUMMYFUNCTION("IF(OR(ISBLANK($G29), IFERROR(INDEX(GOOGLEFINANCE($C29, ""price"", WORKDAY(INT($B29), 5)), 2, 2), """")=""""), """", IF($D29=""LONG"", (IFERROR(INDEX(GOOGLEFINANCE($C29, ""price"", WORKDAY(INT($B29), 5)), 2, 2), """")-$G29)/$G29, ($G29-IFERROR(INDEX(GOOGLE"&amp;"FINANCE($C29, ""price"", WORKDAY(INT($B29), 5)), 2, 2), """"))/$G29))"),0.007478499314470825)</f>
        <v>0.007478499314</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3320</v>
      </c>
      <c r="U29" s="10" t="s">
        <v>984</v>
      </c>
      <c r="V29" s="10" t="s">
        <v>933</v>
      </c>
      <c r="W29" s="10" t="s">
        <v>51</v>
      </c>
      <c r="X29" s="10" t="s">
        <v>984</v>
      </c>
    </row>
    <row r="30">
      <c r="A30" s="9">
        <f t="shared" si="1"/>
        <v>29</v>
      </c>
      <c r="B30" s="11">
        <v>46224.6675</v>
      </c>
      <c r="C30" s="10" t="s">
        <v>312</v>
      </c>
      <c r="D30" s="10" t="s">
        <v>36</v>
      </c>
      <c r="E30" s="10" t="s">
        <v>37</v>
      </c>
      <c r="F30" s="13">
        <v>2.0</v>
      </c>
      <c r="G30" s="14">
        <v>14.8</v>
      </c>
      <c r="H30" s="10" t="s">
        <v>3321</v>
      </c>
      <c r="I30" s="10">
        <v>88.5</v>
      </c>
      <c r="O30" s="15">
        <f>IFERROR(__xludf.DUMMYFUNCTION("IF(ISBLANK($C30), """", GOOGLEFINANCE($C30, ""price""))"),14.7)</f>
        <v>14.7</v>
      </c>
      <c r="P30" s="16">
        <f t="shared" si="2"/>
        <v>-0.006756756757</v>
      </c>
      <c r="Q30" s="16">
        <f>IFERROR(__xludf.DUMMYFUNCTION("IF(OR(ISBLANK($G30), IFERROR(INDEX(GOOGLEFINANCE($C30, ""price"", WORKDAY(INT($B30), 1)), 2, 2), """")=""""), """", IF($D30=""LONG"", (IFERROR(INDEX(GOOGLEFINANCE($C30, ""price"", WORKDAY(INT($B30), 1)), 2, 2), """")-$G30)/$G30, ($G30-IFERROR(INDEX(GOOGLE"&amp;"FINANCE($C30, ""price"", WORKDAY(INT($B30), 1)), 2, 2), """"))/$G30))"),0.0040540540540539675)</f>
        <v>0.004054054054</v>
      </c>
      <c r="R30" s="16">
        <f>IFERROR(__xludf.DUMMYFUNCTION("IF(OR(ISBLANK($G30), IFERROR(INDEX(GOOGLEFINANCE($C30, ""price"", WORKDAY(INT($B30), 5)), 2, 2), """")=""""), """", IF($D30=""LONG"", (IFERROR(INDEX(GOOGLEFINANCE($C30, ""price"", WORKDAY(INT($B30), 5)), 2, 2), """")-$G30)/$G30, ($G30-IFERROR(INDEX(GOOGLE"&amp;"FINANCE($C30, ""price"", WORKDAY(INT($B30), 5)), 2, 2), """"))/$G30))"),0.0020270270270269838)</f>
        <v>0.002027027027</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3322</v>
      </c>
      <c r="U30" s="10" t="s">
        <v>984</v>
      </c>
      <c r="V30" s="10" t="s">
        <v>2714</v>
      </c>
      <c r="W30" s="10" t="s">
        <v>51</v>
      </c>
      <c r="X30" s="10" t="s">
        <v>984</v>
      </c>
    </row>
    <row r="31">
      <c r="A31" s="9">
        <f t="shared" si="1"/>
        <v>30</v>
      </c>
      <c r="B31" s="11">
        <v>46224.66748842593</v>
      </c>
      <c r="C31" s="10" t="s">
        <v>238</v>
      </c>
      <c r="D31" s="10" t="s">
        <v>36</v>
      </c>
      <c r="E31" s="10" t="s">
        <v>37</v>
      </c>
      <c r="F31" s="13">
        <v>2.0</v>
      </c>
      <c r="G31" s="14">
        <v>221.1</v>
      </c>
      <c r="H31" s="10" t="s">
        <v>3324</v>
      </c>
      <c r="I31" s="10">
        <v>87.4</v>
      </c>
      <c r="L31" s="10" t="s">
        <v>3325</v>
      </c>
      <c r="M31" s="34" t="s">
        <v>2106</v>
      </c>
      <c r="N31" s="10" t="s">
        <v>925</v>
      </c>
      <c r="O31" s="15">
        <f>IFERROR(__xludf.DUMMYFUNCTION("IF(ISBLANK($C31), """", GOOGLEFINANCE($C31, ""price""))"),246.89)</f>
        <v>246.89</v>
      </c>
      <c r="P31" s="16">
        <f t="shared" si="2"/>
        <v>0.1166440525</v>
      </c>
      <c r="Q31" s="16">
        <f>IFERROR(__xludf.DUMMYFUNCTION("IF(OR(ISBLANK($G31), IFERROR(INDEX(GOOGLEFINANCE($C31, ""price"", WORKDAY(INT($B31), 1)), 2, 2), """")=""""), """", IF($D31=""LONG"", (IFERROR(INDEX(GOOGLEFINANCE($C31, ""price"", WORKDAY(INT($B31), 1)), 2, 2), """")-$G31)/$G31, ($G31-IFERROR(INDEX(GOOGLE"&amp;"FINANCE($C31, ""price"", WORKDAY(INT($B31), 1)), 2, 2), """"))/$G31))"),0.005608322026232515)</f>
        <v>0.005608322026</v>
      </c>
      <c r="R31" s="16">
        <f>IFERROR(__xludf.DUMMYFUNCTION("IF(OR(ISBLANK($G31), IFERROR(INDEX(GOOGLEFINANCE($C31, ""price"", WORKDAY(INT($B31), 5)), 2, 2), """")=""""), """", IF($D31=""LONG"", (IFERROR(INDEX(GOOGLEFINANCE($C31, ""price"", WORKDAY(INT($B31), 5)), 2, 2), """")-$G31)/$G31, ($G31-IFERROR(INDEX(GOOGLE"&amp;"FINANCE($C31, ""price"", WORKDAY(INT($B31), 5)), 2, 2), """"))/$G31))"),0.06883763003165988)</f>
        <v>0.06883763003</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3327</v>
      </c>
      <c r="U31" s="10" t="s">
        <v>240</v>
      </c>
      <c r="V31" s="10" t="s">
        <v>3329</v>
      </c>
      <c r="W31" s="10" t="s">
        <v>51</v>
      </c>
      <c r="X31" s="10" t="s">
        <v>1905</v>
      </c>
    </row>
    <row r="32">
      <c r="A32" s="9">
        <f t="shared" si="1"/>
        <v>31</v>
      </c>
      <c r="B32" s="11">
        <v>46224.66747685185</v>
      </c>
      <c r="C32" s="10" t="s">
        <v>41</v>
      </c>
      <c r="D32" s="10" t="s">
        <v>36</v>
      </c>
      <c r="E32" s="10" t="s">
        <v>37</v>
      </c>
      <c r="F32" s="13">
        <v>2.0</v>
      </c>
      <c r="G32" s="14">
        <v>184.43</v>
      </c>
      <c r="H32" s="10" t="s">
        <v>3330</v>
      </c>
      <c r="I32" s="10">
        <v>72.9</v>
      </c>
      <c r="O32" s="15">
        <f>IFERROR(__xludf.DUMMYFUNCTION("IF(ISBLANK($C32), """", GOOGLEFINANCE($C32, ""price""))"),186.02)</f>
        <v>186.02</v>
      </c>
      <c r="P32" s="16">
        <f t="shared" si="2"/>
        <v>0.008621157079</v>
      </c>
      <c r="Q32" s="16">
        <f>IFERROR(__xludf.DUMMYFUNCTION("IF(OR(ISBLANK($G32), IFERROR(INDEX(GOOGLEFINANCE($C32, ""price"", WORKDAY(INT($B32), 1)), 2, 2), """")=""""), """", IF($D32=""LONG"", (IFERROR(INDEX(GOOGLEFINANCE($C32, ""price"", WORKDAY(INT($B32), 1)), 2, 2), """")-$G32)/$G32, ($G32-IFERROR(INDEX(GOOGLE"&amp;"FINANCE($C32, ""price"", WORKDAY(INT($B32), 1)), 2, 2), """"))/$G32))"),-0.0023315078891720806)</f>
        <v>-0.002331507889</v>
      </c>
      <c r="R32" s="16">
        <f>IFERROR(__xludf.DUMMYFUNCTION("IF(OR(ISBLANK($G32), IFERROR(INDEX(GOOGLEFINANCE($C32, ""price"", WORKDAY(INT($B32), 5)), 2, 2), """")=""""), """", IF($D32=""LONG"", (IFERROR(INDEX(GOOGLEFINANCE($C32, ""price"", WORKDAY(INT($B32), 5)), 2, 2), """")-$G32)/$G32, ($G32-IFERROR(INDEX(GOOGLE"&amp;"FINANCE($C32, ""price"", WORKDAY(INT($B32), 5)), 2, 2), """"))/$G32))"),-0.02852030580708138)</f>
        <v>-0.02852030581</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3332</v>
      </c>
      <c r="U32" s="10" t="s">
        <v>984</v>
      </c>
      <c r="V32" s="10" t="s">
        <v>2714</v>
      </c>
      <c r="W32" s="10" t="s">
        <v>51</v>
      </c>
      <c r="X32" s="10" t="s">
        <v>984</v>
      </c>
    </row>
    <row r="33">
      <c r="A33" s="9">
        <f t="shared" si="1"/>
        <v>32</v>
      </c>
      <c r="B33" s="11">
        <v>46224.6675</v>
      </c>
      <c r="C33" s="10" t="s">
        <v>232</v>
      </c>
      <c r="D33" s="10" t="s">
        <v>119</v>
      </c>
      <c r="E33" s="10" t="s">
        <v>120</v>
      </c>
      <c r="F33" s="13">
        <v>4.0</v>
      </c>
      <c r="G33" s="14">
        <v>76.19</v>
      </c>
      <c r="H33" s="10" t="s">
        <v>3333</v>
      </c>
      <c r="I33" s="10">
        <v>11.3</v>
      </c>
      <c r="O33" s="15">
        <f>IFERROR(__xludf.DUMMYFUNCTION("IF(ISBLANK($C33), """", GOOGLEFINANCE($C33, ""price""))"),74.92)</f>
        <v>74.92</v>
      </c>
      <c r="P33" s="16">
        <f t="shared" si="2"/>
        <v>0.01666885418</v>
      </c>
      <c r="Q33" s="16">
        <f>IFERROR(__xludf.DUMMYFUNCTION("IF(OR(ISBLANK($G33), IFERROR(INDEX(GOOGLEFINANCE($C33, ""price"", WORKDAY(INT($B33), 1)), 2, 2), """")=""""), """", IF($D33=""LONG"", (IFERROR(INDEX(GOOGLEFINANCE($C33, ""price"", WORKDAY(INT($B33), 1)), 2, 2), """")-$G33)/$G33, ($G33-IFERROR(INDEX(GOOGLE"&amp;"FINANCE($C33, ""price"", WORKDAY(INT($B33), 1)), 2, 2), """"))/$G33))"),-0.017193857461609164)</f>
        <v>-0.01719385746</v>
      </c>
      <c r="R33" s="16">
        <f>IFERROR(__xludf.DUMMYFUNCTION("IF(OR(ISBLANK($G33), IFERROR(INDEX(GOOGLEFINANCE($C33, ""price"", WORKDAY(INT($B33), 5)), 2, 2), """")=""""), """", IF($D33=""LONG"", (IFERROR(INDEX(GOOGLEFINANCE($C33, ""price"", WORKDAY(INT($B33), 5)), 2, 2), """")-$G33)/$G33, ($G33-IFERROR(INDEX(GOOGLE"&amp;"FINANCE($C33, ""price"", WORKDAY(INT($B33), 5)), 2, 2), """"))/$G33))"),0.005775036093975557)</f>
        <v>0.005775036094</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3336</v>
      </c>
      <c r="U33" s="10" t="s">
        <v>984</v>
      </c>
      <c r="V33" s="10" t="s">
        <v>933</v>
      </c>
      <c r="W33" s="10" t="s">
        <v>51</v>
      </c>
      <c r="X33" s="10" t="s">
        <v>984</v>
      </c>
    </row>
    <row r="34">
      <c r="A34" s="9">
        <f t="shared" si="1"/>
        <v>33</v>
      </c>
      <c r="B34" s="11">
        <v>46224.667546296296</v>
      </c>
      <c r="C34" s="10" t="s">
        <v>556</v>
      </c>
      <c r="D34" s="10" t="s">
        <v>119</v>
      </c>
      <c r="E34" s="10" t="s">
        <v>120</v>
      </c>
      <c r="F34" s="13">
        <v>4.0</v>
      </c>
      <c r="G34" s="14">
        <v>51.47</v>
      </c>
      <c r="H34" s="10" t="s">
        <v>3337</v>
      </c>
      <c r="I34" s="10">
        <v>7.9</v>
      </c>
      <c r="L34" s="10" t="s">
        <v>3338</v>
      </c>
      <c r="M34" s="34" t="s">
        <v>2106</v>
      </c>
      <c r="N34" s="10" t="s">
        <v>925</v>
      </c>
      <c r="O34" s="15">
        <f>IFERROR(__xludf.DUMMYFUNCTION("IF(ISBLANK($C34), """", GOOGLEFINANCE($C34, ""price""))"),55.37)</f>
        <v>55.37</v>
      </c>
      <c r="P34" s="16">
        <f t="shared" si="2"/>
        <v>-0.07577229454</v>
      </c>
      <c r="Q34" s="16">
        <f>IFERROR(__xludf.DUMMYFUNCTION("IF(OR(ISBLANK($G34), IFERROR(INDEX(GOOGLEFINANCE($C34, ""price"", WORKDAY(INT($B34), 1)), 2, 2), """")=""""), """", IF($D34=""LONG"", (IFERROR(INDEX(GOOGLEFINANCE($C34, ""price"", WORKDAY(INT($B34), 1)), 2, 2), """")-$G34)/$G34, ($G34-IFERROR(INDEX(GOOGLE"&amp;"FINANCE($C34, ""price"", WORKDAY(INT($B34), 1)), 2, 2), """"))/$G34))"),0.01632018651641726)</f>
        <v>0.01632018652</v>
      </c>
      <c r="R34" s="16">
        <f>IFERROR(__xludf.DUMMYFUNCTION("IF(OR(ISBLANK($G34), IFERROR(INDEX(GOOGLEFINANCE($C34, ""price"", WORKDAY(INT($B34), 5)), 2, 2), """")=""""), """", IF($D34=""LONG"", (IFERROR(INDEX(GOOGLEFINANCE($C34, ""price"", WORKDAY(INT($B34), 5)), 2, 2), """")-$G34)/$G34, ($G34-IFERROR(INDEX(GOOGLE"&amp;"FINANCE($C34, ""price"", WORKDAY(INT($B34), 5)), 2, 2), """"))/$G34))"),-0.0031086069555081347)</f>
        <v>-0.003108606956</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3341</v>
      </c>
      <c r="U34" s="10" t="s">
        <v>176</v>
      </c>
      <c r="V34" s="10" t="s">
        <v>3342</v>
      </c>
      <c r="W34" s="10" t="s">
        <v>51</v>
      </c>
      <c r="X34" s="10" t="s">
        <v>962</v>
      </c>
    </row>
    <row r="35">
      <c r="A35" s="9">
        <f t="shared" si="1"/>
        <v>34</v>
      </c>
      <c r="B35" s="11">
        <v>46224.66741898148</v>
      </c>
      <c r="C35" s="10" t="s">
        <v>267</v>
      </c>
      <c r="D35" s="10" t="s">
        <v>36</v>
      </c>
      <c r="E35" s="10" t="s">
        <v>37</v>
      </c>
      <c r="F35" s="13">
        <v>2.0</v>
      </c>
      <c r="G35" s="14">
        <v>188.06</v>
      </c>
      <c r="H35" s="10" t="s">
        <v>3343</v>
      </c>
      <c r="I35" s="10">
        <v>96.7</v>
      </c>
      <c r="O35" s="15">
        <f>IFERROR(__xludf.DUMMYFUNCTION("IF(ISBLANK($C35), """", GOOGLEFINANCE($C35, ""price""))"),213.26)</f>
        <v>213.26</v>
      </c>
      <c r="P35" s="16">
        <f t="shared" si="2"/>
        <v>0.1339997873</v>
      </c>
      <c r="Q35" s="16">
        <f>IFERROR(__xludf.DUMMYFUNCTION("IF(OR(ISBLANK($G35), IFERROR(INDEX(GOOGLEFINANCE($C35, ""price"", WORKDAY(INT($B35), 1)), 2, 2), """")=""""), """", IF($D35=""LONG"", (IFERROR(INDEX(GOOGLEFINANCE($C35, ""price"", WORKDAY(INT($B35), 1)), 2, 2), """")-$G35)/$G35, ($G35-IFERROR(INDEX(GOOGLE"&amp;"FINANCE($C35, ""price"", WORKDAY(INT($B35), 1)), 2, 2), """"))/$G35))"),-0.05492927789003516)</f>
        <v>-0.05492927789</v>
      </c>
      <c r="R35" s="16">
        <f>IFERROR(__xludf.DUMMYFUNCTION("IF(OR(ISBLANK($G35), IFERROR(INDEX(GOOGLEFINANCE($C35, ""price"", WORKDAY(INT($B35), 5)), 2, 2), """")=""""), """", IF($D35=""LONG"", (IFERROR(INDEX(GOOGLEFINANCE($C35, ""price"", WORKDAY(INT($B35), 5)), 2, 2), """")-$G35)/$G35, ($G35-IFERROR(INDEX(GOOGLE"&amp;"FINANCE($C35, ""price"", WORKDAY(INT($B35), 5)), 2, 2), """"))/$G35))"),0.039668191002871465)</f>
        <v>0.039668191</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3345</v>
      </c>
      <c r="U35" s="10" t="s">
        <v>984</v>
      </c>
      <c r="V35" s="10" t="s">
        <v>985</v>
      </c>
      <c r="W35" s="10" t="s">
        <v>51</v>
      </c>
      <c r="X35" s="10" t="s">
        <v>984</v>
      </c>
    </row>
    <row r="36">
      <c r="A36" s="9">
        <f t="shared" si="1"/>
        <v>35</v>
      </c>
      <c r="B36" s="11">
        <v>46224.66753472222</v>
      </c>
      <c r="C36" s="10" t="s">
        <v>1255</v>
      </c>
      <c r="D36" s="10" t="s">
        <v>36</v>
      </c>
      <c r="E36" s="10" t="s">
        <v>37</v>
      </c>
      <c r="F36" s="13">
        <v>2.0</v>
      </c>
      <c r="G36" s="14">
        <v>78.14</v>
      </c>
      <c r="H36" s="10" t="s">
        <v>3347</v>
      </c>
      <c r="I36" s="10">
        <v>87.2</v>
      </c>
      <c r="O36" s="15">
        <f>IFERROR(__xludf.DUMMYFUNCTION("IF(ISBLANK($C36), """", GOOGLEFINANCE($C36, ""price""))"),67.23)</f>
        <v>67.23</v>
      </c>
      <c r="P36" s="16">
        <f t="shared" si="2"/>
        <v>-0.1396211927</v>
      </c>
      <c r="Q36" s="16">
        <f>IFERROR(__xludf.DUMMYFUNCTION("IF(OR(ISBLANK($G36), IFERROR(INDEX(GOOGLEFINANCE($C36, ""price"", WORKDAY(INT($B36), 1)), 2, 2), """")=""""), """", IF($D36=""LONG"", (IFERROR(INDEX(GOOGLEFINANCE($C36, ""price"", WORKDAY(INT($B36), 1)), 2, 2), """")-$G36)/$G36, ($G36-IFERROR(INDEX(GOOGLE"&amp;"FINANCE($C36, ""price"", WORKDAY(INT($B36), 1)), 2, 2), """"))/$G36))"),0.028666496032761644)</f>
        <v>0.02866649603</v>
      </c>
      <c r="R36" s="16">
        <f>IFERROR(__xludf.DUMMYFUNCTION("IF(OR(ISBLANK($G36), IFERROR(INDEX(GOOGLEFINANCE($C36, ""price"", WORKDAY(INT($B36), 5)), 2, 2), """")=""""), """", IF($D36=""LONG"", (IFERROR(INDEX(GOOGLEFINANCE($C36, ""price"", WORKDAY(INT($B36), 5)), 2, 2), """")-$G36)/$G36, ($G36-IFERROR(INDEX(GOOGLE"&amp;"FINANCE($C36, ""price"", WORKDAY(INT($B36), 5)), 2, 2), """"))/$G36))"),0.021115945738418296)</f>
        <v>0.02111594574</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3350</v>
      </c>
      <c r="U36" s="10" t="s">
        <v>984</v>
      </c>
      <c r="V36" s="10" t="s">
        <v>2714</v>
      </c>
      <c r="W36" s="10" t="s">
        <v>51</v>
      </c>
      <c r="X36" s="10" t="s">
        <v>984</v>
      </c>
    </row>
    <row r="37">
      <c r="A37" s="9">
        <f t="shared" si="1"/>
        <v>36</v>
      </c>
      <c r="B37" s="11">
        <v>46224.66752314815</v>
      </c>
      <c r="C37" s="10" t="s">
        <v>303</v>
      </c>
      <c r="D37" s="10" t="s">
        <v>36</v>
      </c>
      <c r="E37" s="10" t="s">
        <v>87</v>
      </c>
      <c r="F37" s="13">
        <v>2.0</v>
      </c>
      <c r="G37" s="14">
        <v>110.58</v>
      </c>
      <c r="H37" s="10" t="s">
        <v>3352</v>
      </c>
      <c r="I37" s="10">
        <v>69.5</v>
      </c>
      <c r="O37" s="15">
        <f>IFERROR(__xludf.DUMMYFUNCTION("IF(ISBLANK($C37), """", GOOGLEFINANCE($C37, ""price""))"),96.22)</f>
        <v>96.22</v>
      </c>
      <c r="P37" s="16">
        <f t="shared" si="2"/>
        <v>-0.1298607343</v>
      </c>
      <c r="Q37" s="16">
        <f>IFERROR(__xludf.DUMMYFUNCTION("IF(OR(ISBLANK($G37), IFERROR(INDEX(GOOGLEFINANCE($C37, ""price"", WORKDAY(INT($B37), 1)), 2, 2), """")=""""), """", IF($D37=""LONG"", (IFERROR(INDEX(GOOGLEFINANCE($C37, ""price"", WORKDAY(INT($B37), 1)), 2, 2), """")-$G37)/$G37, ($G37-IFERROR(INDEX(GOOGLE"&amp;"FINANCE($C37, ""price"", WORKDAY(INT($B37), 1)), 2, 2), """"))/$G37))"),-0.022608066558147948)</f>
        <v>-0.02260806656</v>
      </c>
      <c r="R37" s="16">
        <f>IFERROR(__xludf.DUMMYFUNCTION("IF(OR(ISBLANK($G37), IFERROR(INDEX(GOOGLEFINANCE($C37, ""price"", WORKDAY(INT($B37), 5)), 2, 2), """")=""""), """", IF($D37=""LONG"", (IFERROR(INDEX(GOOGLEFINANCE($C37, ""price"", WORKDAY(INT($B37), 5)), 2, 2), """")-$G37)/$G37, ($G37-IFERROR(INDEX(GOOGLE"&amp;"FINANCE($C37, ""price"", WORKDAY(INT($B37), 5)), 2, 2), """"))/$G37))"),-0.011213601012841336)</f>
        <v>-0.01121360101</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3354</v>
      </c>
      <c r="U37" s="10" t="s">
        <v>984</v>
      </c>
      <c r="V37" s="10" t="s">
        <v>2714</v>
      </c>
      <c r="W37" s="10" t="s">
        <v>51</v>
      </c>
      <c r="X37" s="10" t="s">
        <v>984</v>
      </c>
    </row>
    <row r="38">
      <c r="A38" s="9">
        <f t="shared" si="1"/>
        <v>37</v>
      </c>
      <c r="B38" s="11">
        <v>46224.66751157407</v>
      </c>
      <c r="C38" s="10" t="s">
        <v>3201</v>
      </c>
      <c r="D38" s="10" t="s">
        <v>119</v>
      </c>
      <c r="E38" s="10" t="s">
        <v>120</v>
      </c>
      <c r="F38" s="13">
        <v>4.0</v>
      </c>
      <c r="G38" s="14">
        <v>62.93</v>
      </c>
      <c r="H38" s="10" t="s">
        <v>3356</v>
      </c>
      <c r="I38" s="10">
        <v>7.6</v>
      </c>
      <c r="O38" s="15">
        <f>IFERROR(__xludf.DUMMYFUNCTION("IF(ISBLANK($C38), """", GOOGLEFINANCE($C38, ""price""))"),66.84)</f>
        <v>66.84</v>
      </c>
      <c r="P38" s="16">
        <f t="shared" si="2"/>
        <v>-0.06213252821</v>
      </c>
      <c r="Q38" s="16">
        <f>IFERROR(__xludf.DUMMYFUNCTION("IF(OR(ISBLANK($G38), IFERROR(INDEX(GOOGLEFINANCE($C38, ""price"", WORKDAY(INT($B38), 1)), 2, 2), """")=""""), """", IF($D38=""LONG"", (IFERROR(INDEX(GOOGLEFINANCE($C38, ""price"", WORKDAY(INT($B38), 1)), 2, 2), """")-$G38)/$G38, ($G38-IFERROR(INDEX(GOOGLE"&amp;"FINANCE($C38, ""price"", WORKDAY(INT($B38), 1)), 2, 2), """"))/$G38))"),-0.003654854600349545)</f>
        <v>-0.0036548546</v>
      </c>
      <c r="R38" s="16">
        <f>IFERROR(__xludf.DUMMYFUNCTION("IF(OR(ISBLANK($G38), IFERROR(INDEX(GOOGLEFINANCE($C38, ""price"", WORKDAY(INT($B38), 5)), 2, 2), """")=""""), """", IF($D38=""LONG"", (IFERROR(INDEX(GOOGLEFINANCE($C38, ""price"", WORKDAY(INT($B38), 5)), 2, 2), """")-$G38)/$G38, ($G38-IFERROR(INDEX(GOOGLE"&amp;"FINANCE($C38, ""price"", WORKDAY(INT($B38), 5)), 2, 2), """"))/$G38))"),-0.0278086763070079)</f>
        <v>-0.02780867631</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3358</v>
      </c>
      <c r="U38" s="10" t="s">
        <v>984</v>
      </c>
      <c r="V38" s="10" t="s">
        <v>985</v>
      </c>
      <c r="W38" s="10" t="s">
        <v>51</v>
      </c>
      <c r="X38" s="10" t="s">
        <v>984</v>
      </c>
    </row>
    <row r="39">
      <c r="A39" s="9">
        <f t="shared" si="1"/>
        <v>38</v>
      </c>
      <c r="B39" s="11">
        <v>46224.66756944444</v>
      </c>
      <c r="C39" s="10" t="s">
        <v>3359</v>
      </c>
      <c r="D39" s="10" t="s">
        <v>36</v>
      </c>
      <c r="E39" s="10" t="s">
        <v>37</v>
      </c>
      <c r="F39" s="13">
        <v>2.0</v>
      </c>
      <c r="G39" s="14">
        <v>431.21</v>
      </c>
      <c r="H39" s="10" t="s">
        <v>3360</v>
      </c>
      <c r="I39" s="10">
        <v>96.2</v>
      </c>
      <c r="O39" s="15">
        <f>IFERROR(__xludf.DUMMYFUNCTION("IF(ISBLANK($C39), """", GOOGLEFINANCE($C39, ""price""))"),405.24)</f>
        <v>405.24</v>
      </c>
      <c r="P39" s="16">
        <f t="shared" si="2"/>
        <v>-0.06022587602</v>
      </c>
      <c r="Q39" s="16">
        <f>IFERROR(__xludf.DUMMYFUNCTION("IF(OR(ISBLANK($G39), IFERROR(INDEX(GOOGLEFINANCE($C39, ""price"", WORKDAY(INT($B39), 1)), 2, 2), """")=""""), """", IF($D39=""LONG"", (IFERROR(INDEX(GOOGLEFINANCE($C39, ""price"", WORKDAY(INT($B39), 1)), 2, 2), """")-$G39)/$G39, ($G39-IFERROR(INDEX(GOOGLE"&amp;"FINANCE($C39, ""price"", WORKDAY(INT($B39), 1)), 2, 2), """"))/$G39))"),-0.00498596971313276)</f>
        <v>-0.004985969713</v>
      </c>
      <c r="R39" s="16">
        <f>IFERROR(__xludf.DUMMYFUNCTION("IF(OR(ISBLANK($G39), IFERROR(INDEX(GOOGLEFINANCE($C39, ""price"", WORKDAY(INT($B39), 5)), 2, 2), """")=""""), """", IF($D39=""LONG"", (IFERROR(INDEX(GOOGLEFINANCE($C39, ""price"", WORKDAY(INT($B39), 5)), 2, 2), """")-$G39)/$G39, ($G39-IFERROR(INDEX(GOOGLE"&amp;"FINANCE($C39, ""price"", WORKDAY(INT($B39), 5)), 2, 2), """"))/$G39))"),-0.015885531411609113)</f>
        <v>-0.01588553141</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3363</v>
      </c>
      <c r="U39" s="10" t="s">
        <v>984</v>
      </c>
      <c r="V39" s="10" t="s">
        <v>985</v>
      </c>
      <c r="W39" s="10" t="s">
        <v>51</v>
      </c>
      <c r="X39" s="10" t="s">
        <v>984</v>
      </c>
    </row>
    <row r="40">
      <c r="A40" s="9">
        <f t="shared" si="1"/>
        <v>39</v>
      </c>
      <c r="B40" s="11">
        <v>46224.667592592596</v>
      </c>
      <c r="C40" s="10" t="s">
        <v>3364</v>
      </c>
      <c r="D40" s="10" t="s">
        <v>36</v>
      </c>
      <c r="E40" s="10" t="s">
        <v>37</v>
      </c>
      <c r="F40" s="13">
        <v>2.0</v>
      </c>
      <c r="G40" s="14">
        <v>189.24</v>
      </c>
      <c r="H40" s="10" t="s">
        <v>3366</v>
      </c>
      <c r="I40" s="10">
        <v>99.1</v>
      </c>
      <c r="O40" s="15">
        <f>IFERROR(__xludf.DUMMYFUNCTION("IF(ISBLANK($C40), """", GOOGLEFINANCE($C40, ""price""))"),217.8)</f>
        <v>217.8</v>
      </c>
      <c r="P40" s="16">
        <f t="shared" si="2"/>
        <v>0.1509194673</v>
      </c>
      <c r="Q40" s="16">
        <f>IFERROR(__xludf.DUMMYFUNCTION("IF(OR(ISBLANK($G40), IFERROR(INDEX(GOOGLEFINANCE($C40, ""price"", WORKDAY(INT($B40), 1)), 2, 2), """")=""""), """", IF($D40=""LONG"", (IFERROR(INDEX(GOOGLEFINANCE($C40, ""price"", WORKDAY(INT($B40), 1)), 2, 2), """")-$G40)/$G40, ($G40-IFERROR(INDEX(GOOGLE"&amp;"FINANCE($C40, ""price"", WORKDAY(INT($B40), 1)), 2, 2), """"))/$G40))"),-0.02478334390192347)</f>
        <v>-0.0247833439</v>
      </c>
      <c r="R40" s="16">
        <f>IFERROR(__xludf.DUMMYFUNCTION("IF(OR(ISBLANK($G40), IFERROR(INDEX(GOOGLEFINANCE($C40, ""price"", WORKDAY(INT($B40), 5)), 2, 2), """")=""""), """", IF($D40=""LONG"", (IFERROR(INDEX(GOOGLEFINANCE($C40, ""price"", WORKDAY(INT($B40), 5)), 2, 2), """")-$G40)/$G40, ($G40-IFERROR(INDEX(GOOGLE"&amp;"FINANCE($C40, ""price"", WORKDAY(INT($B40), 5)), 2, 2), """"))/$G40))"),0.06320016909744229)</f>
        <v>0.0632001691</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3369</v>
      </c>
      <c r="U40" s="10" t="s">
        <v>984</v>
      </c>
      <c r="V40" s="10" t="s">
        <v>985</v>
      </c>
      <c r="W40" s="10" t="s">
        <v>51</v>
      </c>
      <c r="X40" s="10" t="s">
        <v>984</v>
      </c>
    </row>
    <row r="41">
      <c r="A41" s="9">
        <f t="shared" si="1"/>
        <v>40</v>
      </c>
      <c r="B41" s="11">
        <v>46224.66758101852</v>
      </c>
      <c r="C41" s="10" t="s">
        <v>1672</v>
      </c>
      <c r="D41" s="10" t="s">
        <v>36</v>
      </c>
      <c r="E41" s="10" t="s">
        <v>37</v>
      </c>
      <c r="F41" s="13">
        <v>2.0</v>
      </c>
      <c r="G41" s="14">
        <v>100.54</v>
      </c>
      <c r="H41" s="10" t="s">
        <v>3372</v>
      </c>
      <c r="I41" s="10">
        <v>95.5</v>
      </c>
      <c r="L41" s="10" t="s">
        <v>3373</v>
      </c>
      <c r="M41" s="34" t="s">
        <v>3374</v>
      </c>
      <c r="N41" s="10" t="s">
        <v>925</v>
      </c>
      <c r="O41" s="15">
        <f>IFERROR(__xludf.DUMMYFUNCTION("IF(ISBLANK($C41), """", GOOGLEFINANCE($C41, ""price""))"),99.29)</f>
        <v>99.29</v>
      </c>
      <c r="P41" s="16">
        <f t="shared" si="2"/>
        <v>-0.01243286254</v>
      </c>
      <c r="Q41" s="16">
        <f>IFERROR(__xludf.DUMMYFUNCTION("IF(OR(ISBLANK($G41), IFERROR(INDEX(GOOGLEFINANCE($C41, ""price"", WORKDAY(INT($B41), 1)), 2, 2), """")=""""), """", IF($D41=""LONG"", (IFERROR(INDEX(GOOGLEFINANCE($C41, ""price"", WORKDAY(INT($B41), 1)), 2, 2), """")-$G41)/$G41, ($G41-IFERROR(INDEX(GOOGLE"&amp;"FINANCE($C41, ""price"", WORKDAY(INT($B41), 1)), 2, 2), """"))/$G41))"),-0.018997413964591314)</f>
        <v>-0.01899741396</v>
      </c>
      <c r="R41" s="16">
        <f>IFERROR(__xludf.DUMMYFUNCTION("IF(OR(ISBLANK($G41), IFERROR(INDEX(GOOGLEFINANCE($C41, ""price"", WORKDAY(INT($B41), 5)), 2, 2), """")=""""), """", IF($D41=""LONG"", (IFERROR(INDEX(GOOGLEFINANCE($C41, ""price"", WORKDAY(INT($B41), 5)), 2, 2), """")-$G41)/$G41, ($G41-IFERROR(INDEX(GOOGLE"&amp;"FINANCE($C41, ""price"", WORKDAY(INT($B41), 5)), 2, 2), """"))/$G41))"),0.05908096280087525)</f>
        <v>0.0590809628</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3376</v>
      </c>
      <c r="U41" s="10" t="s">
        <v>507</v>
      </c>
      <c r="V41" s="10" t="s">
        <v>3378</v>
      </c>
      <c r="W41" s="10" t="s">
        <v>51</v>
      </c>
      <c r="X41" s="10" t="s">
        <v>2228</v>
      </c>
    </row>
    <row r="42">
      <c r="A42" s="9">
        <f t="shared" si="1"/>
        <v>41</v>
      </c>
      <c r="B42" s="11">
        <v>46224.66741898148</v>
      </c>
      <c r="C42" s="10" t="s">
        <v>1321</v>
      </c>
      <c r="D42" s="10" t="s">
        <v>119</v>
      </c>
      <c r="E42" s="10" t="s">
        <v>120</v>
      </c>
      <c r="F42" s="13">
        <v>4.0</v>
      </c>
      <c r="G42" s="14">
        <v>22.28</v>
      </c>
      <c r="H42" s="10" t="s">
        <v>3380</v>
      </c>
      <c r="I42" s="10">
        <v>35.9</v>
      </c>
      <c r="O42" s="15">
        <f>IFERROR(__xludf.DUMMYFUNCTION("IF(ISBLANK($C42), """", GOOGLEFINANCE($C42, ""price""))"),23.71)</f>
        <v>23.71</v>
      </c>
      <c r="P42" s="16">
        <f t="shared" si="2"/>
        <v>-0.06418312388</v>
      </c>
      <c r="Q42" s="16">
        <f>IFERROR(__xludf.DUMMYFUNCTION("IF(OR(ISBLANK($G42), IFERROR(INDEX(GOOGLEFINANCE($C42, ""price"", WORKDAY(INT($B42), 1)), 2, 2), """")=""""), """", IF($D42=""LONG"", (IFERROR(INDEX(GOOGLEFINANCE($C42, ""price"", WORKDAY(INT($B42), 1)), 2, 2), """")-$G42)/$G42, ($G42-IFERROR(INDEX(GOOGLE"&amp;"FINANCE($C42, ""price"", WORKDAY(INT($B42), 1)), 2, 2), """"))/$G42))"),-0.03411131059245951)</f>
        <v>-0.03411131059</v>
      </c>
      <c r="R42" s="16">
        <f>IFERROR(__xludf.DUMMYFUNCTION("IF(OR(ISBLANK($G42), IFERROR(INDEX(GOOGLEFINANCE($C42, ""price"", WORKDAY(INT($B42), 5)), 2, 2), """")=""""), """", IF($D42=""LONG"", (IFERROR(INDEX(GOOGLEFINANCE($C42, ""price"", WORKDAY(INT($B42), 5)), 2, 2), """")-$G42)/$G42, ($G42-IFERROR(INDEX(GOOGLE"&amp;"FINANCE($C42, ""price"", WORKDAY(INT($B42), 5)), 2, 2), """"))/$G42))"),-0.10682226211849187)</f>
        <v>-0.1068222621</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3381</v>
      </c>
      <c r="U42" s="10" t="s">
        <v>984</v>
      </c>
      <c r="V42" s="10" t="s">
        <v>985</v>
      </c>
      <c r="W42" s="10" t="s">
        <v>51</v>
      </c>
      <c r="X42" s="10" t="s">
        <v>984</v>
      </c>
    </row>
    <row r="43">
      <c r="A43" s="9">
        <f t="shared" si="1"/>
        <v>42</v>
      </c>
      <c r="B43" s="11">
        <v>46224.66756944444</v>
      </c>
      <c r="C43" s="10" t="s">
        <v>264</v>
      </c>
      <c r="D43" s="10" t="s">
        <v>36</v>
      </c>
      <c r="E43" s="10" t="s">
        <v>37</v>
      </c>
      <c r="F43" s="13">
        <v>2.0</v>
      </c>
      <c r="G43" s="14">
        <v>342.07</v>
      </c>
      <c r="H43" s="10" t="s">
        <v>3382</v>
      </c>
      <c r="I43" s="10">
        <v>92.5</v>
      </c>
      <c r="O43" s="15">
        <f>IFERROR(__xludf.DUMMYFUNCTION("IF(ISBLANK($C43), """", GOOGLEFINANCE($C43, ""price""))"),359.49)</f>
        <v>359.49</v>
      </c>
      <c r="P43" s="16">
        <f t="shared" si="2"/>
        <v>0.05092524922</v>
      </c>
      <c r="Q43" s="16">
        <f>IFERROR(__xludf.DUMMYFUNCTION("IF(OR(ISBLANK($G43), IFERROR(INDEX(GOOGLEFINANCE($C43, ""price"", WORKDAY(INT($B43), 1)), 2, 2), """")=""""), """", IF($D43=""LONG"", (IFERROR(INDEX(GOOGLEFINANCE($C43, ""price"", WORKDAY(INT($B43), 1)), 2, 2), """")-$G43)/$G43, ($G43-IFERROR(INDEX(GOOGLE"&amp;"FINANCE($C43, ""price"", WORKDAY(INT($B43), 1)), 2, 2), """"))/$G43))"),-0.019849738357646154)</f>
        <v>-0.01984973836</v>
      </c>
      <c r="R43" s="16">
        <f>IFERROR(__xludf.DUMMYFUNCTION("IF(OR(ISBLANK($G43), IFERROR(INDEX(GOOGLEFINANCE($C43, ""price"", WORKDAY(INT($B43), 5)), 2, 2), """")=""""), """", IF($D43=""LONG"", (IFERROR(INDEX(GOOGLEFINANCE($C43, ""price"", WORKDAY(INT($B43), 5)), 2, 2), """")-$G43)/$G43, ($G43-IFERROR(INDEX(GOOGLE"&amp;"FINANCE($C43, ""price"", WORKDAY(INT($B43), 5)), 2, 2), """"))/$G43))"),-0.06744233636390211)</f>
        <v>-0.06744233636</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3386</v>
      </c>
      <c r="U43" s="10" t="s">
        <v>984</v>
      </c>
      <c r="V43" s="10" t="s">
        <v>933</v>
      </c>
      <c r="W43" s="10" t="s">
        <v>51</v>
      </c>
      <c r="X43" s="10" t="s">
        <v>984</v>
      </c>
    </row>
    <row r="44">
      <c r="A44" s="9">
        <f t="shared" si="1"/>
        <v>43</v>
      </c>
      <c r="B44" s="11">
        <v>46224.667604166665</v>
      </c>
      <c r="C44" s="10" t="s">
        <v>66</v>
      </c>
      <c r="D44" s="10" t="s">
        <v>36</v>
      </c>
      <c r="E44" s="10" t="s">
        <v>37</v>
      </c>
      <c r="F44" s="13">
        <v>2.0</v>
      </c>
      <c r="G44" s="14">
        <v>275.81</v>
      </c>
      <c r="H44" s="10" t="s">
        <v>3387</v>
      </c>
      <c r="I44" s="10">
        <v>89.0</v>
      </c>
      <c r="O44" s="15">
        <f>IFERROR(__xludf.DUMMYFUNCTION("IF(ISBLANK($C44), """", GOOGLEFINANCE($C44, ""price""))"),296.4)</f>
        <v>296.4</v>
      </c>
      <c r="P44" s="16">
        <f t="shared" si="2"/>
        <v>0.07465284072</v>
      </c>
      <c r="Q44" s="16">
        <f>IFERROR(__xludf.DUMMYFUNCTION("IF(OR(ISBLANK($G44), IFERROR(INDEX(GOOGLEFINANCE($C44, ""price"", WORKDAY(INT($B44), 1)), 2, 2), """")=""""), """", IF($D44=""LONG"", (IFERROR(INDEX(GOOGLEFINANCE($C44, ""price"", WORKDAY(INT($B44), 1)), 2, 2), """")-$G44)/$G44, ($G44-IFERROR(INDEX(GOOGLE"&amp;"FINANCE($C44, ""price"", WORKDAY(INT($B44), 1)), 2, 2), """"))/$G44))"),-0.009644320365469073)</f>
        <v>-0.009644320365</v>
      </c>
      <c r="R44" s="16">
        <f>IFERROR(__xludf.DUMMYFUNCTION("IF(OR(ISBLANK($G44), IFERROR(INDEX(GOOGLEFINANCE($C44, ""price"", WORKDAY(INT($B44), 5)), 2, 2), """")=""""), """", IF($D44=""LONG"", (IFERROR(INDEX(GOOGLEFINANCE($C44, ""price"", WORKDAY(INT($B44), 5)), 2, 2), """")-$G44)/$G44, ($G44-IFERROR(INDEX(GOOGLE"&amp;"FINANCE($C44, ""price"", WORKDAY(INT($B44), 5)), 2, 2), """"))/$G44))"),0.026358725209383205)</f>
        <v>0.02635872521</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3389</v>
      </c>
      <c r="U44" s="10" t="s">
        <v>984</v>
      </c>
      <c r="V44" s="10" t="s">
        <v>998</v>
      </c>
      <c r="W44" s="10" t="s">
        <v>51</v>
      </c>
      <c r="X44" s="10" t="s">
        <v>984</v>
      </c>
    </row>
    <row r="45">
      <c r="A45" s="9">
        <f t="shared" si="1"/>
        <v>44</v>
      </c>
      <c r="B45" s="11">
        <v>46224.66756944444</v>
      </c>
      <c r="C45" s="10" t="s">
        <v>207</v>
      </c>
      <c r="D45" s="10" t="s">
        <v>36</v>
      </c>
      <c r="E45" s="10" t="s">
        <v>37</v>
      </c>
      <c r="F45" s="13">
        <v>2.0</v>
      </c>
      <c r="G45" s="14">
        <v>318.43</v>
      </c>
      <c r="H45" s="10" t="s">
        <v>3391</v>
      </c>
      <c r="I45" s="10">
        <v>95.4</v>
      </c>
      <c r="O45" s="15">
        <f>IFERROR(__xludf.DUMMYFUNCTION("IF(ISBLANK($C45), """", GOOGLEFINANCE($C45, ""price""))"),363.42)</f>
        <v>363.42</v>
      </c>
      <c r="P45" s="16">
        <f t="shared" si="2"/>
        <v>0.141286939</v>
      </c>
      <c r="Q45" s="16">
        <f>IFERROR(__xludf.DUMMYFUNCTION("IF(OR(ISBLANK($G45), IFERROR(INDEX(GOOGLEFINANCE($C45, ""price"", WORKDAY(INT($B45), 1)), 2, 2), """")=""""), """", IF($D45=""LONG"", (IFERROR(INDEX(GOOGLEFINANCE($C45, ""price"", WORKDAY(INT($B45), 1)), 2, 2), """")-$G45)/$G45, ($G45-IFERROR(INDEX(GOOGLE"&amp;"FINANCE($C45, ""price"", WORKDAY(INT($B45), 1)), 2, 2), """"))/$G45))"),0.004647803284866432)</f>
        <v>0.004647803285</v>
      </c>
      <c r="R45" s="16">
        <f>IFERROR(__xludf.DUMMYFUNCTION("IF(OR(ISBLANK($G45), IFERROR(INDEX(GOOGLEFINANCE($C45, ""price"", WORKDAY(INT($B45), 5)), 2, 2), """")=""""), """", IF($D45=""LONG"", (IFERROR(INDEX(GOOGLEFINANCE($C45, ""price"", WORKDAY(INT($B45), 5)), 2, 2), """")-$G45)/$G45, ($G45-IFERROR(INDEX(GOOGLE"&amp;"FINANCE($C45, ""price"", WORKDAY(INT($B45), 5)), 2, 2), """"))/$G45))"),0.11255220927676404)</f>
        <v>0.1125522093</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3392</v>
      </c>
      <c r="U45" s="10" t="s">
        <v>984</v>
      </c>
      <c r="V45" s="10" t="s">
        <v>985</v>
      </c>
      <c r="W45" s="10" t="s">
        <v>51</v>
      </c>
      <c r="X45" s="10" t="s">
        <v>984</v>
      </c>
    </row>
    <row r="46">
      <c r="A46" s="9">
        <f t="shared" si="1"/>
        <v>45</v>
      </c>
      <c r="B46" s="11">
        <v>46224.66758101852</v>
      </c>
      <c r="C46" s="10" t="s">
        <v>197</v>
      </c>
      <c r="D46" s="10" t="s">
        <v>36</v>
      </c>
      <c r="E46" s="10" t="s">
        <v>37</v>
      </c>
      <c r="F46" s="13">
        <v>2.0</v>
      </c>
      <c r="G46" s="14">
        <v>206.85</v>
      </c>
      <c r="H46" s="10" t="s">
        <v>3393</v>
      </c>
      <c r="I46" s="10">
        <v>90.4</v>
      </c>
      <c r="O46" s="15">
        <f>IFERROR(__xludf.DUMMYFUNCTION("IF(ISBLANK($C46), """", GOOGLEFINANCE($C46, ""price""))"),238.5)</f>
        <v>238.5</v>
      </c>
      <c r="P46" s="16">
        <f t="shared" si="2"/>
        <v>0.1530094271</v>
      </c>
      <c r="Q46" s="16">
        <f>IFERROR(__xludf.DUMMYFUNCTION("IF(OR(ISBLANK($G46), IFERROR(INDEX(GOOGLEFINANCE($C46, ""price"", WORKDAY(INT($B46), 1)), 2, 2), """")=""""), """", IF($D46=""LONG"", (IFERROR(INDEX(GOOGLEFINANCE($C46, ""price"", WORKDAY(INT($B46), 1)), 2, 2), """")-$G46)/$G46, ($G46-IFERROR(INDEX(GOOGLE"&amp;"FINANCE($C46, ""price"", WORKDAY(INT($B46), 1)), 2, 2), """"))/$G46))"),0.014406574812666271)</f>
        <v>0.01440657481</v>
      </c>
      <c r="R46" s="16">
        <f>IFERROR(__xludf.DUMMYFUNCTION("IF(OR(ISBLANK($G46), IFERROR(INDEX(GOOGLEFINANCE($C46, ""price"", WORKDAY(INT($B46), 5)), 2, 2), """")=""""), """", IF($D46=""LONG"", (IFERROR(INDEX(GOOGLEFINANCE($C46, ""price"", WORKDAY(INT($B46), 5)), 2, 2), """")-$G46)/$G46, ($G46-IFERROR(INDEX(GOOGLE"&amp;"FINANCE($C46, ""price"", WORKDAY(INT($B46), 5)), 2, 2), """"))/$G46))"),0.14063330916122796)</f>
        <v>0.1406333092</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3396</v>
      </c>
      <c r="U46" s="10" t="s">
        <v>984</v>
      </c>
      <c r="V46" s="10" t="s">
        <v>933</v>
      </c>
      <c r="W46" s="10" t="s">
        <v>51</v>
      </c>
      <c r="X46" s="10" t="s">
        <v>984</v>
      </c>
    </row>
    <row r="47">
      <c r="A47" s="9">
        <f t="shared" si="1"/>
        <v>46</v>
      </c>
      <c r="B47" s="11">
        <v>46224.66756944444</v>
      </c>
      <c r="C47" s="10" t="s">
        <v>374</v>
      </c>
      <c r="D47" s="10" t="s">
        <v>36</v>
      </c>
      <c r="E47" s="10" t="s">
        <v>37</v>
      </c>
      <c r="F47" s="13">
        <v>2.0</v>
      </c>
      <c r="G47" s="14">
        <v>70.99</v>
      </c>
      <c r="H47" s="10" t="s">
        <v>699</v>
      </c>
      <c r="I47" s="10">
        <v>95.6</v>
      </c>
      <c r="O47" s="15">
        <f>IFERROR(__xludf.DUMMYFUNCTION("IF(ISBLANK($C47), """", GOOGLEFINANCE($C47, ""price""))"),73.32)</f>
        <v>73.32</v>
      </c>
      <c r="P47" s="16">
        <f t="shared" si="2"/>
        <v>0.03282152416</v>
      </c>
      <c r="Q47" s="16">
        <f>IFERROR(__xludf.DUMMYFUNCTION("IF(OR(ISBLANK($G47), IFERROR(INDEX(GOOGLEFINANCE($C47, ""price"", WORKDAY(INT($B47), 1)), 2, 2), """")=""""), """", IF($D47=""LONG"", (IFERROR(INDEX(GOOGLEFINANCE($C47, ""price"", WORKDAY(INT($B47), 1)), 2, 2), """")-$G47)/$G47, ($G47-IFERROR(INDEX(GOOGLE"&amp;"FINANCE($C47, ""price"", WORKDAY(INT($B47), 1)), 2, 2), """"))/$G47))"),-0.006902380616988237)</f>
        <v>-0.006902380617</v>
      </c>
      <c r="R47" s="16">
        <f>IFERROR(__xludf.DUMMYFUNCTION("IF(OR(ISBLANK($G47), IFERROR(INDEX(GOOGLEFINANCE($C47, ""price"", WORKDAY(INT($B47), 5)), 2, 2), """")=""""), """", IF($D47=""LONG"", (IFERROR(INDEX(GOOGLEFINANCE($C47, ""price"", WORKDAY(INT($B47), 5)), 2, 2), """")-$G47)/$G47, ($G47-IFERROR(INDEX(GOOGLE"&amp;"FINANCE($C47, ""price"", WORKDAY(INT($B47), 5)), 2, 2), """"))/$G47))"),0.015072545428933758)</f>
        <v>0.01507254543</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3399</v>
      </c>
      <c r="U47" s="10" t="s">
        <v>984</v>
      </c>
      <c r="V47" s="10" t="s">
        <v>985</v>
      </c>
      <c r="W47" s="10" t="s">
        <v>51</v>
      </c>
      <c r="X47" s="10" t="s">
        <v>984</v>
      </c>
    </row>
    <row r="48">
      <c r="A48" s="9">
        <f t="shared" si="1"/>
        <v>47</v>
      </c>
      <c r="B48" s="11">
        <v>46224.66756944444</v>
      </c>
      <c r="C48" s="10" t="s">
        <v>310</v>
      </c>
      <c r="D48" s="10" t="s">
        <v>36</v>
      </c>
      <c r="E48" s="10" t="s">
        <v>37</v>
      </c>
      <c r="F48" s="13">
        <v>2.0</v>
      </c>
      <c r="G48" s="14">
        <v>201.62</v>
      </c>
      <c r="H48" s="10" t="s">
        <v>3400</v>
      </c>
      <c r="I48" s="10">
        <v>92.9</v>
      </c>
      <c r="O48" s="15">
        <f>IFERROR(__xludf.DUMMYFUNCTION("IF(ISBLANK($C48), """", GOOGLEFINANCE($C48, ""price""))"),232.43)</f>
        <v>232.43</v>
      </c>
      <c r="P48" s="16">
        <f t="shared" si="2"/>
        <v>0.152812221</v>
      </c>
      <c r="Q48" s="16">
        <f>IFERROR(__xludf.DUMMYFUNCTION("IF(OR(ISBLANK($G48), IFERROR(INDEX(GOOGLEFINANCE($C48, ""price"", WORKDAY(INT($B48), 1)), 2, 2), """")=""""), """", IF($D48=""LONG"", (IFERROR(INDEX(GOOGLEFINANCE($C48, ""price"", WORKDAY(INT($B48), 1)), 2, 2), """")-$G48)/$G48, ($G48-IFERROR(INDEX(GOOGLE"&amp;"FINANCE($C48, ""price"", WORKDAY(INT($B48), 1)), 2, 2), """"))/$G48))"),-0.01537545878385078)</f>
        <v>-0.01537545878</v>
      </c>
      <c r="R48" s="16">
        <f>IFERROR(__xludf.DUMMYFUNCTION("IF(OR(ISBLANK($G48), IFERROR(INDEX(GOOGLEFINANCE($C48, ""price"", WORKDAY(INT($B48), 5)), 2, 2), """")=""""), """", IF($D48=""LONG"", (IFERROR(INDEX(GOOGLEFINANCE($C48, ""price"", WORKDAY(INT($B48), 5)), 2, 2), """")-$G48)/$G48, ($G48-IFERROR(INDEX(GOOGLE"&amp;"FINANCE($C48, ""price"", WORKDAY(INT($B48), 5)), 2, 2), """"))/$G48))"),0.20493998611248881)</f>
        <v>0.2049399861</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3401</v>
      </c>
      <c r="U48" s="10" t="s">
        <v>984</v>
      </c>
      <c r="V48" s="10" t="s">
        <v>933</v>
      </c>
      <c r="W48" s="10" t="s">
        <v>51</v>
      </c>
      <c r="X48" s="10" t="s">
        <v>984</v>
      </c>
    </row>
    <row r="49">
      <c r="A49" s="9">
        <f t="shared" si="1"/>
        <v>48</v>
      </c>
      <c r="B49" s="11">
        <v>46224.66761574074</v>
      </c>
      <c r="C49" s="10" t="s">
        <v>397</v>
      </c>
      <c r="D49" s="10" t="s">
        <v>36</v>
      </c>
      <c r="E49" s="10" t="s">
        <v>37</v>
      </c>
      <c r="F49" s="13">
        <v>2.0</v>
      </c>
      <c r="G49" s="14">
        <v>264.87</v>
      </c>
      <c r="H49" s="10" t="s">
        <v>3403</v>
      </c>
      <c r="I49" s="10">
        <v>91.4</v>
      </c>
      <c r="O49" s="15">
        <f>IFERROR(__xludf.DUMMYFUNCTION("IF(ISBLANK($C49), """", GOOGLEFINANCE($C49, ""price""))"),306.57)</f>
        <v>306.57</v>
      </c>
      <c r="P49" s="16">
        <f t="shared" si="2"/>
        <v>0.1574357232</v>
      </c>
      <c r="Q49" s="16">
        <f>IFERROR(__xludf.DUMMYFUNCTION("IF(OR(ISBLANK($G49), IFERROR(INDEX(GOOGLEFINANCE($C49, ""price"", WORKDAY(INT($B49), 1)), 2, 2), """")=""""), """", IF($D49=""LONG"", (IFERROR(INDEX(GOOGLEFINANCE($C49, ""price"", WORKDAY(INT($B49), 1)), 2, 2), """")-$G49)/$G49, ($G49-IFERROR(INDEX(GOOGLE"&amp;"FINANCE($C49, ""price"", WORKDAY(INT($B49), 1)), 2, 2), """"))/$G49))"),-0.014308906255899197)</f>
        <v>-0.01430890626</v>
      </c>
      <c r="R49" s="16">
        <f>IFERROR(__xludf.DUMMYFUNCTION("IF(OR(ISBLANK($G49), IFERROR(INDEX(GOOGLEFINANCE($C49, ""price"", WORKDAY(INT($B49), 5)), 2, 2), """")=""""), """", IF($D49=""LONG"", (IFERROR(INDEX(GOOGLEFINANCE($C49, ""price"", WORKDAY(INT($B49), 5)), 2, 2), """")-$G49)/$G49, ($G49-IFERROR(INDEX(GOOGLE"&amp;"FINANCE($C49, ""price"", WORKDAY(INT($B49), 5)), 2, 2), """"))/$G49))"),0.11673651225129314)</f>
        <v>0.1167365123</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3405</v>
      </c>
      <c r="U49" s="10" t="s">
        <v>984</v>
      </c>
      <c r="V49" s="10" t="s">
        <v>933</v>
      </c>
      <c r="W49" s="10" t="s">
        <v>51</v>
      </c>
      <c r="X49" s="10" t="s">
        <v>984</v>
      </c>
    </row>
    <row r="50">
      <c r="A50" s="9">
        <f t="shared" si="1"/>
        <v>49</v>
      </c>
      <c r="B50" s="11">
        <v>46224.667604166665</v>
      </c>
      <c r="C50" s="10" t="s">
        <v>600</v>
      </c>
      <c r="D50" s="10" t="s">
        <v>36</v>
      </c>
      <c r="E50" s="10" t="s">
        <v>37</v>
      </c>
      <c r="F50" s="13">
        <v>2.0</v>
      </c>
      <c r="G50" s="14">
        <v>219.42</v>
      </c>
      <c r="H50" s="10" t="s">
        <v>3406</v>
      </c>
      <c r="I50" s="10">
        <v>94.6</v>
      </c>
      <c r="L50" s="10" t="s">
        <v>3407</v>
      </c>
      <c r="M50" s="34" t="s">
        <v>921</v>
      </c>
      <c r="N50" s="10" t="s">
        <v>925</v>
      </c>
      <c r="O50" s="15">
        <f>IFERROR(__xludf.DUMMYFUNCTION("IF(ISBLANK($C50), """", GOOGLEFINANCE($C50, ""price""))"),265.51)</f>
        <v>265.51</v>
      </c>
      <c r="P50" s="16">
        <f t="shared" si="2"/>
        <v>0.2100537781</v>
      </c>
      <c r="Q50" s="16">
        <f>IFERROR(__xludf.DUMMYFUNCTION("IF(OR(ISBLANK($G50), IFERROR(INDEX(GOOGLEFINANCE($C50, ""price"", WORKDAY(INT($B50), 1)), 2, 2), """")=""""), """", IF($D50=""LONG"", (IFERROR(INDEX(GOOGLEFINANCE($C50, ""price"", WORKDAY(INT($B50), 1)), 2, 2), """")-$G50)/$G50, ($G50-IFERROR(INDEX(GOOGLE"&amp;"FINANCE($C50, ""price"", WORKDAY(INT($B50), 1)), 2, 2), """"))/$G50))"),-0.0032813781788351057)</f>
        <v>-0.003281378179</v>
      </c>
      <c r="R50" s="16">
        <f>IFERROR(__xludf.DUMMYFUNCTION("IF(OR(ISBLANK($G50), IFERROR(INDEX(GOOGLEFINANCE($C50, ""price"", WORKDAY(INT($B50), 5)), 2, 2), """")=""""), """", IF($D50=""LONG"", (IFERROR(INDEX(GOOGLEFINANCE($C50, ""price"", WORKDAY(INT($B50), 5)), 2, 2), """")-$G50)/$G50, ($G50-IFERROR(INDEX(GOOGLE"&amp;"FINANCE($C50, ""price"", WORKDAY(INT($B50), 5)), 2, 2), """"))/$G50))"),0.09575243824628575)</f>
        <v>0.09575243825</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3411</v>
      </c>
      <c r="U50" s="10" t="s">
        <v>507</v>
      </c>
      <c r="V50" s="10" t="s">
        <v>3412</v>
      </c>
      <c r="W50" s="10" t="s">
        <v>51</v>
      </c>
      <c r="X50" s="10" t="s">
        <v>2228</v>
      </c>
    </row>
    <row r="51">
      <c r="A51" s="9">
        <f t="shared" si="1"/>
        <v>50</v>
      </c>
      <c r="B51" s="11">
        <v>46224.66762731481</v>
      </c>
      <c r="C51" s="10" t="s">
        <v>2066</v>
      </c>
      <c r="D51" s="10" t="s">
        <v>36</v>
      </c>
      <c r="E51" s="10" t="s">
        <v>37</v>
      </c>
      <c r="F51" s="13">
        <v>2.0</v>
      </c>
      <c r="G51" s="14">
        <v>90.17</v>
      </c>
      <c r="H51" s="10" t="s">
        <v>928</v>
      </c>
      <c r="I51" s="10">
        <v>98.8</v>
      </c>
      <c r="O51" s="15">
        <f>IFERROR(__xludf.DUMMYFUNCTION("IF(ISBLANK($C51), """", GOOGLEFINANCE($C51, ""price""))"),98.02)</f>
        <v>98.02</v>
      </c>
      <c r="P51" s="16">
        <f t="shared" si="2"/>
        <v>0.08705777975</v>
      </c>
      <c r="Q51" s="16">
        <f>IFERROR(__xludf.DUMMYFUNCTION("IF(OR(ISBLANK($G51), IFERROR(INDEX(GOOGLEFINANCE($C51, ""price"", WORKDAY(INT($B51), 1)), 2, 2), """")=""""), """", IF($D51=""LONG"", (IFERROR(INDEX(GOOGLEFINANCE($C51, ""price"", WORKDAY(INT($B51), 1)), 2, 2), """")-$G51)/$G51, ($G51-IFERROR(INDEX(GOOGLE"&amp;"FINANCE($C51, ""price"", WORKDAY(INT($B51), 1)), 2, 2), """"))/$G51))"),0.010868359764888588)</f>
        <v>0.01086835976</v>
      </c>
      <c r="R51" s="16">
        <f>IFERROR(__xludf.DUMMYFUNCTION("IF(OR(ISBLANK($G51), IFERROR(INDEX(GOOGLEFINANCE($C51, ""price"", WORKDAY(INT($B51), 5)), 2, 2), """")=""""), """", IF($D51=""LONG"", (IFERROR(INDEX(GOOGLEFINANCE($C51, ""price"", WORKDAY(INT($B51), 5)), 2, 2), """")-$G51)/$G51, ($G51-IFERROR(INDEX(GOOGLE"&amp;"FINANCE($C51, ""price"", WORKDAY(INT($B51), 5)), 2, 2), """"))/$G51))"),0.0920483531107907)</f>
        <v>0.09204835311</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3415</v>
      </c>
      <c r="U51" s="10" t="s">
        <v>984</v>
      </c>
      <c r="V51" s="10" t="s">
        <v>985</v>
      </c>
      <c r="W51" s="10" t="s">
        <v>51</v>
      </c>
      <c r="X51" s="10" t="s">
        <v>984</v>
      </c>
    </row>
    <row r="52">
      <c r="A52" s="9">
        <f t="shared" si="1"/>
        <v>51</v>
      </c>
      <c r="B52" s="11">
        <v>46224.667592592596</v>
      </c>
      <c r="C52" s="10" t="s">
        <v>834</v>
      </c>
      <c r="D52" s="10" t="s">
        <v>119</v>
      </c>
      <c r="E52" s="10" t="s">
        <v>120</v>
      </c>
      <c r="F52" s="13">
        <v>4.0</v>
      </c>
      <c r="G52" s="14">
        <v>118.43</v>
      </c>
      <c r="H52" s="10" t="s">
        <v>3417</v>
      </c>
      <c r="I52" s="10">
        <v>15.7</v>
      </c>
      <c r="L52" s="10" t="s">
        <v>3418</v>
      </c>
      <c r="M52" s="34" t="s">
        <v>2106</v>
      </c>
      <c r="N52" s="10" t="s">
        <v>925</v>
      </c>
      <c r="O52" s="15">
        <f>IFERROR(__xludf.DUMMYFUNCTION("IF(ISBLANK($C52), """", GOOGLEFINANCE($C52, ""price""))"),127.99)</f>
        <v>127.99</v>
      </c>
      <c r="P52" s="16">
        <f t="shared" si="2"/>
        <v>-0.08072278983</v>
      </c>
      <c r="Q52" s="16">
        <f>IFERROR(__xludf.DUMMYFUNCTION("IF(OR(ISBLANK($G52), IFERROR(INDEX(GOOGLEFINANCE($C52, ""price"", WORKDAY(INT($B52), 1)), 2, 2), """")=""""), """", IF($D52=""LONG"", (IFERROR(INDEX(GOOGLEFINANCE($C52, ""price"", WORKDAY(INT($B52), 1)), 2, 2), """")-$G52)/$G52, ($G52-IFERROR(INDEX(GOOGLE"&amp;"FINANCE($C52, ""price"", WORKDAY(INT($B52), 1)), 2, 2), """"))/$G52))"),-0.005150721945453005)</f>
        <v>-0.005150721945</v>
      </c>
      <c r="R52" s="16">
        <f>IFERROR(__xludf.DUMMYFUNCTION("IF(OR(ISBLANK($G52), IFERROR(INDEX(GOOGLEFINANCE($C52, ""price"", WORKDAY(INT($B52), 5)), 2, 2), """")=""""), """", IF($D52=""LONG"", (IFERROR(INDEX(GOOGLEFINANCE($C52, ""price"", WORKDAY(INT($B52), 5)), 2, 2), """")-$G52)/$G52, ($G52-IFERROR(INDEX(GOOGLE"&amp;"FINANCE($C52, ""price"", WORKDAY(INT($B52), 5)), 2, 2), """"))/$G52))"),-0.05285822848940294)</f>
        <v>-0.05285822849</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3419</v>
      </c>
      <c r="U52" s="10" t="s">
        <v>545</v>
      </c>
      <c r="V52" s="10" t="s">
        <v>3420</v>
      </c>
      <c r="W52" s="10" t="s">
        <v>51</v>
      </c>
      <c r="X52" s="10" t="s">
        <v>3421</v>
      </c>
    </row>
    <row r="53">
      <c r="A53" s="9">
        <f t="shared" si="1"/>
        <v>52</v>
      </c>
      <c r="B53" s="11">
        <v>46224.667650462965</v>
      </c>
      <c r="C53" s="10" t="s">
        <v>234</v>
      </c>
      <c r="D53" s="10" t="s">
        <v>36</v>
      </c>
      <c r="E53" s="10" t="s">
        <v>37</v>
      </c>
      <c r="F53" s="13">
        <v>2.0</v>
      </c>
      <c r="G53" s="14">
        <v>63.72</v>
      </c>
      <c r="H53" s="10" t="s">
        <v>3422</v>
      </c>
      <c r="I53" s="10">
        <v>92.1</v>
      </c>
      <c r="O53" s="15">
        <f>IFERROR(__xludf.DUMMYFUNCTION("IF(ISBLANK($C53), """", GOOGLEFINANCE($C53, ""price""))"),63.81)</f>
        <v>63.81</v>
      </c>
      <c r="P53" s="16">
        <f t="shared" si="2"/>
        <v>0.001412429379</v>
      </c>
      <c r="Q53" s="16">
        <f>IFERROR(__xludf.DUMMYFUNCTION("IF(OR(ISBLANK($G53), IFERROR(INDEX(GOOGLEFINANCE($C53, ""price"", WORKDAY(INT($B53), 1)), 2, 2), """")=""""), """", IF($D53=""LONG"", (IFERROR(INDEX(GOOGLEFINANCE($C53, ""price"", WORKDAY(INT($B53), 1)), 2, 2), """")-$G53)/$G53, ($G53-IFERROR(INDEX(GOOGLE"&amp;"FINANCE($C53, ""price"", WORKDAY(INT($B53), 1)), 2, 2), """"))/$G53))"),0.011770244821092278)</f>
        <v>0.01177024482</v>
      </c>
      <c r="R53" s="16">
        <f>IFERROR(__xludf.DUMMYFUNCTION("IF(OR(ISBLANK($G53), IFERROR(INDEX(GOOGLEFINANCE($C53, ""price"", WORKDAY(INT($B53), 5)), 2, 2), """")=""""), """", IF($D53=""LONG"", (IFERROR(INDEX(GOOGLEFINANCE($C53, ""price"", WORKDAY(INT($B53), 5)), 2, 2), """")-$G53)/$G53, ($G53-IFERROR(INDEX(GOOGLE"&amp;"FINANCE($C53, ""price"", WORKDAY(INT($B53), 5)), 2, 2), """"))/$G53))"),0.011142498430634149)</f>
        <v>0.01114249843</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3425</v>
      </c>
      <c r="U53" s="10" t="s">
        <v>984</v>
      </c>
      <c r="V53" s="10" t="s">
        <v>2785</v>
      </c>
      <c r="W53" s="10" t="s">
        <v>51</v>
      </c>
      <c r="X53" s="10" t="s">
        <v>984</v>
      </c>
    </row>
    <row r="54">
      <c r="A54" s="9">
        <f t="shared" si="1"/>
        <v>53</v>
      </c>
      <c r="B54" s="11">
        <v>46224.667592592596</v>
      </c>
      <c r="C54" s="10" t="s">
        <v>273</v>
      </c>
      <c r="D54" s="10" t="s">
        <v>119</v>
      </c>
      <c r="E54" s="10" t="s">
        <v>120</v>
      </c>
      <c r="F54" s="13">
        <v>4.0</v>
      </c>
      <c r="G54" s="14">
        <v>45.48</v>
      </c>
      <c r="H54" s="10" t="s">
        <v>3426</v>
      </c>
      <c r="I54" s="10">
        <v>17.3</v>
      </c>
      <c r="O54" s="15">
        <f>IFERROR(__xludf.DUMMYFUNCTION("IF(ISBLANK($C54), """", GOOGLEFINANCE($C54, ""price""))"),46.11)</f>
        <v>46.11</v>
      </c>
      <c r="P54" s="16">
        <f t="shared" si="2"/>
        <v>-0.01385224274</v>
      </c>
      <c r="Q54" s="16">
        <f>IFERROR(__xludf.DUMMYFUNCTION("IF(OR(ISBLANK($G54), IFERROR(INDEX(GOOGLEFINANCE($C54, ""price"", WORKDAY(INT($B54), 1)), 2, 2), """")=""""), """", IF($D54=""LONG"", (IFERROR(INDEX(GOOGLEFINANCE($C54, ""price"", WORKDAY(INT($B54), 1)), 2, 2), """")-$G54)/$G54, ($G54-IFERROR(INDEX(GOOGLE"&amp;"FINANCE($C54, ""price"", WORKDAY(INT($B54), 1)), 2, 2), """"))/$G54))"),0.005057167985927812)</f>
        <v>0.005057167986</v>
      </c>
      <c r="R54" s="16">
        <f>IFERROR(__xludf.DUMMYFUNCTION("IF(OR(ISBLANK($G54), IFERROR(INDEX(GOOGLEFINANCE($C54, ""price"", WORKDAY(INT($B54), 5)), 2, 2), """")=""""), """", IF($D54=""LONG"", (IFERROR(INDEX(GOOGLEFINANCE($C54, ""price"", WORKDAY(INT($B54), 5)), 2, 2), """")-$G54)/$G54, ($G54-IFERROR(INDEX(GOOGLE"&amp;"FINANCE($C54, ""price"", WORKDAY(INT($B54), 5)), 2, 2), """"))/$G54))"),-0.060905892700088025)</f>
        <v>-0.0609058927</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3428</v>
      </c>
      <c r="U54" s="10" t="s">
        <v>984</v>
      </c>
      <c r="V54" s="10" t="s">
        <v>933</v>
      </c>
      <c r="W54" s="10" t="s">
        <v>51</v>
      </c>
      <c r="X54" s="10" t="s">
        <v>984</v>
      </c>
    </row>
    <row r="55">
      <c r="A55" s="9">
        <f t="shared" si="1"/>
        <v>54</v>
      </c>
      <c r="B55" s="11">
        <v>46224.66762731481</v>
      </c>
      <c r="C55" s="10" t="s">
        <v>1147</v>
      </c>
      <c r="D55" s="10" t="s">
        <v>36</v>
      </c>
      <c r="E55" s="10" t="s">
        <v>133</v>
      </c>
      <c r="F55" s="13">
        <v>2.0</v>
      </c>
      <c r="G55" s="14">
        <v>125.54</v>
      </c>
      <c r="H55" s="10" t="s">
        <v>3429</v>
      </c>
      <c r="I55" s="10">
        <v>55.7</v>
      </c>
      <c r="O55" s="15">
        <f>IFERROR(__xludf.DUMMYFUNCTION("IF(ISBLANK($C55), """", GOOGLEFINANCE($C55, ""price""))"),117.91)</f>
        <v>117.91</v>
      </c>
      <c r="P55" s="16">
        <f t="shared" si="2"/>
        <v>-0.06077744145</v>
      </c>
      <c r="Q55" s="16">
        <f>IFERROR(__xludf.DUMMYFUNCTION("IF(OR(ISBLANK($G55), IFERROR(INDEX(GOOGLEFINANCE($C55, ""price"", WORKDAY(INT($B55), 1)), 2, 2), """")=""""), """", IF($D55=""LONG"", (IFERROR(INDEX(GOOGLEFINANCE($C55, ""price"", WORKDAY(INT($B55), 1)), 2, 2), """")-$G55)/$G55, ($G55-IFERROR(INDEX(GOOGLE"&amp;"FINANCE($C55, ""price"", WORKDAY(INT($B55), 1)), 2, 2), """"))/$G55))"),-0.003903138441930931)</f>
        <v>-0.003903138442</v>
      </c>
      <c r="R55" s="16">
        <f>IFERROR(__xludf.DUMMYFUNCTION("IF(OR(ISBLANK($G55), IFERROR(INDEX(GOOGLEFINANCE($C55, ""price"", WORKDAY(INT($B55), 5)), 2, 2), """")=""""), """", IF($D55=""LONG"", (IFERROR(INDEX(GOOGLEFINANCE($C55, ""price"", WORKDAY(INT($B55), 5)), 2, 2), """")-$G55)/$G55, ($G55-IFERROR(INDEX(GOOGLE"&amp;"FINANCE($C55, ""price"", WORKDAY(INT($B55), 5)), 2, 2), """"))/$G55))"),0.004620041421061003)</f>
        <v>0.004620041421</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3431</v>
      </c>
      <c r="U55" s="10" t="s">
        <v>722</v>
      </c>
      <c r="V55" s="10" t="s">
        <v>3432</v>
      </c>
      <c r="W55" s="10" t="s">
        <v>51</v>
      </c>
      <c r="X55" s="10" t="s">
        <v>3433</v>
      </c>
    </row>
    <row r="56">
      <c r="A56" s="9">
        <f t="shared" si="1"/>
        <v>55</v>
      </c>
      <c r="B56" s="11">
        <v>46224.66763888889</v>
      </c>
      <c r="C56" s="10" t="s">
        <v>408</v>
      </c>
      <c r="D56" s="10" t="s">
        <v>36</v>
      </c>
      <c r="E56" s="10" t="s">
        <v>37</v>
      </c>
      <c r="F56" s="13">
        <v>2.0</v>
      </c>
      <c r="G56" s="14">
        <v>248.51</v>
      </c>
      <c r="H56" s="10" t="s">
        <v>3434</v>
      </c>
      <c r="I56" s="10">
        <v>93.6</v>
      </c>
      <c r="O56" s="15">
        <f>IFERROR(__xludf.DUMMYFUNCTION("IF(ISBLANK($C56), """", GOOGLEFINANCE($C56, ""price""))"),250.14)</f>
        <v>250.14</v>
      </c>
      <c r="P56" s="16">
        <f t="shared" si="2"/>
        <v>0.006559092189</v>
      </c>
      <c r="Q56" s="16">
        <f>IFERROR(__xludf.DUMMYFUNCTION("IF(OR(ISBLANK($G56), IFERROR(INDEX(GOOGLEFINANCE($C56, ""price"", WORKDAY(INT($B56), 1)), 2, 2), """")=""""), """", IF($D56=""LONG"", (IFERROR(INDEX(GOOGLEFINANCE($C56, ""price"", WORKDAY(INT($B56), 1)), 2, 2), """")-$G56)/$G56, ($G56-IFERROR(INDEX(GOOGLE"&amp;"FINANCE($C56, ""price"", WORKDAY(INT($B56), 1)), 2, 2), """"))/$G56))"),0.008933242123053395)</f>
        <v>0.008933242123</v>
      </c>
      <c r="R56" s="16">
        <f>IFERROR(__xludf.DUMMYFUNCTION("IF(OR(ISBLANK($G56), IFERROR(INDEX(GOOGLEFINANCE($C56, ""price"", WORKDAY(INT($B56), 5)), 2, 2), """")=""""), """", IF($D56=""LONG"", (IFERROR(INDEX(GOOGLEFINANCE($C56, ""price"", WORKDAY(INT($B56), 5)), 2, 2), """")-$G56)/$G56, ($G56-IFERROR(INDEX(GOOGLE"&amp;"FINANCE($C56, ""price"", WORKDAY(INT($B56), 5)), 2, 2), """"))/$G56))"),0.016498330047080692)</f>
        <v>0.01649833005</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3437</v>
      </c>
      <c r="U56" s="10" t="s">
        <v>240</v>
      </c>
      <c r="V56" s="10" t="s">
        <v>3438</v>
      </c>
      <c r="W56" s="10" t="s">
        <v>51</v>
      </c>
      <c r="X56" s="10" t="s">
        <v>1905</v>
      </c>
    </row>
    <row r="57">
      <c r="A57" s="9">
        <f t="shared" si="1"/>
        <v>56</v>
      </c>
      <c r="B57" s="11">
        <v>46224.66767361111</v>
      </c>
      <c r="C57" s="10" t="s">
        <v>3081</v>
      </c>
      <c r="D57" s="10" t="s">
        <v>36</v>
      </c>
      <c r="E57" s="10" t="s">
        <v>37</v>
      </c>
      <c r="F57" s="13">
        <v>2.0</v>
      </c>
      <c r="G57" s="14">
        <v>17.48</v>
      </c>
      <c r="H57" s="10" t="s">
        <v>3439</v>
      </c>
      <c r="I57" s="10">
        <v>90.7</v>
      </c>
      <c r="O57" s="15">
        <f>IFERROR(__xludf.DUMMYFUNCTION("IF(ISBLANK($C57), """", GOOGLEFINANCE($C57, ""price""))"),17.0)</f>
        <v>17</v>
      </c>
      <c r="P57" s="16">
        <f t="shared" si="2"/>
        <v>-0.02745995423</v>
      </c>
      <c r="Q57" s="16">
        <f>IFERROR(__xludf.DUMMYFUNCTION("IF(OR(ISBLANK($G57), IFERROR(INDEX(GOOGLEFINANCE($C57, ""price"", WORKDAY(INT($B57), 1)), 2, 2), """")=""""), """", IF($D57=""LONG"", (IFERROR(INDEX(GOOGLEFINANCE($C57, ""price"", WORKDAY(INT($B57), 1)), 2, 2), """")-$G57)/$G57, ($G57-IFERROR(INDEX(GOOGLE"&amp;"FINANCE($C57, ""price"", WORKDAY(INT($B57), 1)), 2, 2), """"))/$G57))"),0.036041189931350054)</f>
        <v>0.03604118993</v>
      </c>
      <c r="R57" s="16">
        <f>IFERROR(__xludf.DUMMYFUNCTION("IF(OR(ISBLANK($G57), IFERROR(INDEX(GOOGLEFINANCE($C57, ""price"", WORKDAY(INT($B57), 5)), 2, 2), """")=""""), """", IF($D57=""LONG"", (IFERROR(INDEX(GOOGLEFINANCE($C57, ""price"", WORKDAY(INT($B57), 5)), 2, 2), """")-$G57)/$G57, ($G57-IFERROR(INDEX(GOOGLE"&amp;"FINANCE($C57, ""price"", WORKDAY(INT($B57), 5)), 2, 2), """"))/$G57))"),0.01716247139588105)</f>
        <v>0.0171624714</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3441</v>
      </c>
      <c r="U57" s="10" t="s">
        <v>984</v>
      </c>
      <c r="V57" s="10" t="s">
        <v>2785</v>
      </c>
      <c r="W57" s="10" t="s">
        <v>51</v>
      </c>
      <c r="X57" s="10" t="s">
        <v>984</v>
      </c>
    </row>
    <row r="58">
      <c r="A58" s="9">
        <f t="shared" si="1"/>
        <v>57</v>
      </c>
      <c r="B58" s="11">
        <v>46224.66767361111</v>
      </c>
      <c r="C58" s="10" t="s">
        <v>34</v>
      </c>
      <c r="D58" s="10" t="s">
        <v>36</v>
      </c>
      <c r="E58" s="10" t="s">
        <v>37</v>
      </c>
      <c r="F58" s="13">
        <v>2.0</v>
      </c>
      <c r="G58" s="14">
        <v>195.18</v>
      </c>
      <c r="H58" s="10" t="s">
        <v>3442</v>
      </c>
      <c r="I58" s="10">
        <v>97.4</v>
      </c>
      <c r="O58" s="15">
        <f>IFERROR(__xludf.DUMMYFUNCTION("IF(ISBLANK($C58), """", GOOGLEFINANCE($C58, ""price""))"),189.75)</f>
        <v>189.75</v>
      </c>
      <c r="P58" s="16">
        <f t="shared" si="2"/>
        <v>-0.02782047341</v>
      </c>
      <c r="Q58" s="16">
        <f>IFERROR(__xludf.DUMMYFUNCTION("IF(OR(ISBLANK($G58), IFERROR(INDEX(GOOGLEFINANCE($C58, ""price"", WORKDAY(INT($B58), 1)), 2, 2), """")=""""), """", IF($D58=""LONG"", (IFERROR(INDEX(GOOGLEFINANCE($C58, ""price"", WORKDAY(INT($B58), 1)), 2, 2), """")-$G58)/$G58, ($G58-IFERROR(INDEX(GOOGLE"&amp;"FINANCE($C58, ""price"", WORKDAY(INT($B58), 1)), 2, 2), """"))/$G58))"),-0.014858079721282946)</f>
        <v>-0.01485807972</v>
      </c>
      <c r="R58" s="16">
        <f>IFERROR(__xludf.DUMMYFUNCTION("IF(OR(ISBLANK($G58), IFERROR(INDEX(GOOGLEFINANCE($C58, ""price"", WORKDAY(INT($B58), 5)), 2, 2), """")=""""), """", IF($D58=""LONG"", (IFERROR(INDEX(GOOGLEFINANCE($C58, ""price"", WORKDAY(INT($B58), 5)), 2, 2), """")-$G58)/$G58, ($G58-IFERROR(INDEX(GOOGLE"&amp;"FINANCE($C58, ""price"", WORKDAY(INT($B58), 5)), 2, 2), """"))/$G58))"),0.08750896608259034)</f>
        <v>0.08750896608</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3444</v>
      </c>
      <c r="U58" s="10" t="s">
        <v>984</v>
      </c>
      <c r="V58" s="10" t="s">
        <v>985</v>
      </c>
      <c r="W58" s="10" t="s">
        <v>51</v>
      </c>
      <c r="X58" s="10" t="s">
        <v>984</v>
      </c>
    </row>
    <row r="59">
      <c r="A59" s="9">
        <f t="shared" si="1"/>
        <v>58</v>
      </c>
      <c r="B59" s="11">
        <v>46224.66767361111</v>
      </c>
      <c r="C59" s="10" t="s">
        <v>3445</v>
      </c>
      <c r="D59" s="10" t="s">
        <v>36</v>
      </c>
      <c r="E59" s="10" t="s">
        <v>37</v>
      </c>
      <c r="F59" s="13">
        <v>2.0</v>
      </c>
      <c r="G59" s="14">
        <v>246.16</v>
      </c>
      <c r="H59" s="10" t="s">
        <v>3446</v>
      </c>
      <c r="I59" s="10">
        <v>99.2</v>
      </c>
      <c r="O59" s="15">
        <f>IFERROR(__xludf.DUMMYFUNCTION("IF(ISBLANK($C59), """", GOOGLEFINANCE($C59, ""price""))"),273.51)</f>
        <v>273.51</v>
      </c>
      <c r="P59" s="16">
        <f t="shared" si="2"/>
        <v>0.1111065973</v>
      </c>
      <c r="Q59" s="16">
        <f>IFERROR(__xludf.DUMMYFUNCTION("IF(OR(ISBLANK($G59), IFERROR(INDEX(GOOGLEFINANCE($C59, ""price"", WORKDAY(INT($B59), 1)), 2, 2), """")=""""), """", IF($D59=""LONG"", (IFERROR(INDEX(GOOGLEFINANCE($C59, ""price"", WORKDAY(INT($B59), 1)), 2, 2), """")-$G59)/$G59, ($G59-IFERROR(INDEX(GOOGLE"&amp;"FINANCE($C59, ""price"", WORKDAY(INT($B59), 1)), 2, 2), """"))/$G59))"),-0.012349691257718525)</f>
        <v>-0.01234969126</v>
      </c>
      <c r="R59" s="16">
        <f>IFERROR(__xludf.DUMMYFUNCTION("IF(OR(ISBLANK($G59), IFERROR(INDEX(GOOGLEFINANCE($C59, ""price"", WORKDAY(INT($B59), 5)), 2, 2), """")=""""), """", IF($D59=""LONG"", (IFERROR(INDEX(GOOGLEFINANCE($C59, ""price"", WORKDAY(INT($B59), 5)), 2, 2), """")-$G59)/$G59, ($G59-IFERROR(INDEX(GOOGLE"&amp;"FINANCE($C59, ""price"", WORKDAY(INT($B59), 5)), 2, 2), """"))/$G59))"),0.07316379590510246)</f>
        <v>0.07316379591</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3450</v>
      </c>
      <c r="U59" s="10" t="s">
        <v>984</v>
      </c>
      <c r="V59" s="10" t="s">
        <v>985</v>
      </c>
      <c r="W59" s="10" t="s">
        <v>51</v>
      </c>
      <c r="X59" s="10" t="s">
        <v>984</v>
      </c>
    </row>
    <row r="60">
      <c r="A60" s="9">
        <f t="shared" si="1"/>
        <v>59</v>
      </c>
      <c r="B60" s="11">
        <v>46224.66763888889</v>
      </c>
      <c r="C60" s="10" t="s">
        <v>185</v>
      </c>
      <c r="D60" s="10" t="s">
        <v>36</v>
      </c>
      <c r="E60" s="10" t="s">
        <v>37</v>
      </c>
      <c r="F60" s="13">
        <v>2.0</v>
      </c>
      <c r="G60" s="14">
        <v>76.81</v>
      </c>
      <c r="H60" s="10" t="s">
        <v>3452</v>
      </c>
      <c r="I60" s="10">
        <v>90.8</v>
      </c>
      <c r="O60" s="15">
        <f>IFERROR(__xludf.DUMMYFUNCTION("IF(ISBLANK($C60), """", GOOGLEFINANCE($C60, ""price""))"),75.47)</f>
        <v>75.47</v>
      </c>
      <c r="P60" s="16">
        <f t="shared" si="2"/>
        <v>-0.0174456451</v>
      </c>
      <c r="Q60" s="16">
        <f>IFERROR(__xludf.DUMMYFUNCTION("IF(OR(ISBLANK($G60), IFERROR(INDEX(GOOGLEFINANCE($C60, ""price"", WORKDAY(INT($B60), 1)), 2, 2), """")=""""), """", IF($D60=""LONG"", (IFERROR(INDEX(GOOGLEFINANCE($C60, ""price"", WORKDAY(INT($B60), 1)), 2, 2), """")-$G60)/$G60, ($G60-IFERROR(INDEX(GOOGLE"&amp;"FINANCE($C60, ""price"", WORKDAY(INT($B60), 1)), 2, 2), """"))/$G60))"),0.015622965759666747)</f>
        <v>0.01562296576</v>
      </c>
      <c r="R60" s="16">
        <f>IFERROR(__xludf.DUMMYFUNCTION("IF(OR(ISBLANK($G60), IFERROR(INDEX(GOOGLEFINANCE($C60, ""price"", WORKDAY(INT($B60), 5)), 2, 2), """")=""""), """", IF($D60=""LONG"", (IFERROR(INDEX(GOOGLEFINANCE($C60, ""price"", WORKDAY(INT($B60), 5)), 2, 2), """")-$G60)/$G60, ($G60-IFERROR(INDEX(GOOGLE"&amp;"FINANCE($C60, ""price"", WORKDAY(INT($B60), 5)), 2, 2), """"))/$G60))"),0.0624918630386668)</f>
        <v>0.06249186304</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3453</v>
      </c>
      <c r="U60" s="10" t="s">
        <v>984</v>
      </c>
      <c r="V60" s="10" t="s">
        <v>998</v>
      </c>
      <c r="W60" s="10" t="s">
        <v>51</v>
      </c>
      <c r="X60" s="10" t="s">
        <v>984</v>
      </c>
    </row>
    <row r="61">
      <c r="A61" s="9">
        <f t="shared" si="1"/>
        <v>60</v>
      </c>
      <c r="B61" s="11">
        <v>46224.667650462965</v>
      </c>
      <c r="C61" s="10" t="s">
        <v>158</v>
      </c>
      <c r="D61" s="10" t="s">
        <v>36</v>
      </c>
      <c r="E61" s="10" t="s">
        <v>37</v>
      </c>
      <c r="F61" s="13">
        <v>2.0</v>
      </c>
      <c r="G61" s="14">
        <v>73.05</v>
      </c>
      <c r="H61" s="10" t="s">
        <v>3454</v>
      </c>
      <c r="I61" s="10">
        <v>94.7</v>
      </c>
      <c r="L61" s="10" t="s">
        <v>3456</v>
      </c>
      <c r="M61" s="34" t="s">
        <v>921</v>
      </c>
      <c r="N61" s="10" t="s">
        <v>3457</v>
      </c>
      <c r="O61" s="15">
        <f>IFERROR(__xludf.DUMMYFUNCTION("IF(ISBLANK($C61), """", GOOGLEFINANCE($C61, ""price""))"),72.06)</f>
        <v>72.06</v>
      </c>
      <c r="P61" s="16">
        <f t="shared" si="2"/>
        <v>-0.0135523614</v>
      </c>
      <c r="Q61" s="16">
        <f>IFERROR(__xludf.DUMMYFUNCTION("IF(OR(ISBLANK($G61), IFERROR(INDEX(GOOGLEFINANCE($C61, ""price"", WORKDAY(INT($B61), 1)), 2, 2), """")=""""), """", IF($D61=""LONG"", (IFERROR(INDEX(GOOGLEFINANCE($C61, ""price"", WORKDAY(INT($B61), 1)), 2, 2), """")-$G61)/$G61, ($G61-IFERROR(INDEX(GOOGLE"&amp;"FINANCE($C61, ""price"", WORKDAY(INT($B61), 1)), 2, 2), """"))/$G61))"),0.01930184804928127)</f>
        <v>0.01930184805</v>
      </c>
      <c r="R61" s="16">
        <f>IFERROR(__xludf.DUMMYFUNCTION("IF(OR(ISBLANK($G61), IFERROR(INDEX(GOOGLEFINANCE($C61, ""price"", WORKDAY(INT($B61), 5)), 2, 2), """")=""""), """", IF($D61=""LONG"", (IFERROR(INDEX(GOOGLEFINANCE($C61, ""price"", WORKDAY(INT($B61), 5)), 2, 2), """")-$G61)/$G61, ($G61-IFERROR(INDEX(GOOGLE"&amp;"FINANCE($C61, ""price"", WORKDAY(INT($B61), 5)), 2, 2), """"))/$G61))"),0.032032854209445634)</f>
        <v>0.03203285421</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3461</v>
      </c>
      <c r="U61" s="10" t="s">
        <v>240</v>
      </c>
      <c r="V61" s="10" t="s">
        <v>3462</v>
      </c>
      <c r="W61" s="10" t="s">
        <v>51</v>
      </c>
      <c r="X61" s="10" t="s">
        <v>1905</v>
      </c>
    </row>
    <row r="62">
      <c r="A62" s="9">
        <f t="shared" si="1"/>
        <v>61</v>
      </c>
      <c r="B62" s="11">
        <v>46224.667708333334</v>
      </c>
      <c r="C62" s="10" t="s">
        <v>248</v>
      </c>
      <c r="D62" s="10" t="s">
        <v>36</v>
      </c>
      <c r="E62" s="10" t="s">
        <v>37</v>
      </c>
      <c r="F62" s="13">
        <v>2.0</v>
      </c>
      <c r="G62" s="14">
        <v>72.0</v>
      </c>
      <c r="H62" s="10" t="s">
        <v>3463</v>
      </c>
      <c r="I62" s="10">
        <v>89.0</v>
      </c>
      <c r="O62" s="15">
        <f>IFERROR(__xludf.DUMMYFUNCTION("IF(ISBLANK($C62), """", GOOGLEFINANCE($C62, ""price""))"),72.43)</f>
        <v>72.43</v>
      </c>
      <c r="P62" s="16">
        <f t="shared" si="2"/>
        <v>0.005972222222</v>
      </c>
      <c r="Q62" s="16">
        <f>IFERROR(__xludf.DUMMYFUNCTION("IF(OR(ISBLANK($G62), IFERROR(INDEX(GOOGLEFINANCE($C62, ""price"", WORKDAY(INT($B62), 1)), 2, 2), """")=""""), """", IF($D62=""LONG"", (IFERROR(INDEX(GOOGLEFINANCE($C62, ""price"", WORKDAY(INT($B62), 1)), 2, 2), """")-$G62)/$G62, ($G62-IFERROR(INDEX(GOOGLE"&amp;"FINANCE($C62, ""price"", WORKDAY(INT($B62), 1)), 2, 2), """"))/$G62))"),0.006111111111111079)</f>
        <v>0.006111111111</v>
      </c>
      <c r="R62" s="16">
        <f>IFERROR(__xludf.DUMMYFUNCTION("IF(OR(ISBLANK($G62), IFERROR(INDEX(GOOGLEFINANCE($C62, ""price"", WORKDAY(INT($B62), 5)), 2, 2), """")=""""), """", IF($D62=""LONG"", (IFERROR(INDEX(GOOGLEFINANCE($C62, ""price"", WORKDAY(INT($B62), 5)), 2, 2), """")-$G62)/$G62, ($G62-IFERROR(INDEX(GOOGLE"&amp;"FINANCE($C62, ""price"", WORKDAY(INT($B62), 5)), 2, 2), """"))/$G62))"),0.013055555555555523)</f>
        <v>0.01305555556</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3466</v>
      </c>
      <c r="U62" s="10" t="s">
        <v>984</v>
      </c>
      <c r="V62" s="10" t="s">
        <v>933</v>
      </c>
      <c r="W62" s="10" t="s">
        <v>51</v>
      </c>
      <c r="X62" s="10" t="s">
        <v>984</v>
      </c>
    </row>
    <row r="63">
      <c r="A63" s="9">
        <f t="shared" si="1"/>
        <v>62</v>
      </c>
      <c r="B63" s="11">
        <v>46224.667719907404</v>
      </c>
      <c r="C63" s="10" t="s">
        <v>2588</v>
      </c>
      <c r="D63" s="10" t="s">
        <v>119</v>
      </c>
      <c r="E63" s="10" t="s">
        <v>120</v>
      </c>
      <c r="F63" s="13">
        <v>4.0</v>
      </c>
      <c r="G63" s="14">
        <v>72.24</v>
      </c>
      <c r="H63" s="10" t="s">
        <v>3468</v>
      </c>
      <c r="I63" s="10">
        <v>27.2</v>
      </c>
      <c r="O63" s="15">
        <f>IFERROR(__xludf.DUMMYFUNCTION("IF(ISBLANK($C63), """", GOOGLEFINANCE($C63, ""price""))"),78.67)</f>
        <v>78.67</v>
      </c>
      <c r="P63" s="16">
        <f t="shared" si="2"/>
        <v>-0.08900885936</v>
      </c>
      <c r="Q63" s="16">
        <f>IFERROR(__xludf.DUMMYFUNCTION("IF(OR(ISBLANK($G63), IFERROR(INDEX(GOOGLEFINANCE($C63, ""price"", WORKDAY(INT($B63), 1)), 2, 2), """")=""""), """", IF($D63=""LONG"", (IFERROR(INDEX(GOOGLEFINANCE($C63, ""price"", WORKDAY(INT($B63), 1)), 2, 2), """")-$G63)/$G63, ($G63-IFERROR(INDEX(GOOGLE"&amp;"FINANCE($C63, ""price"", WORKDAY(INT($B63), 1)), 2, 2), """"))/$G63))"),-0.007890365448505085)</f>
        <v>-0.007890365449</v>
      </c>
      <c r="R63" s="16">
        <f>IFERROR(__xludf.DUMMYFUNCTION("IF(OR(ISBLANK($G63), IFERROR(INDEX(GOOGLEFINANCE($C63, ""price"", WORKDAY(INT($B63), 5)), 2, 2), """")=""""), """", IF($D63=""LONG"", (IFERROR(INDEX(GOOGLEFINANCE($C63, ""price"", WORKDAY(INT($B63), 5)), 2, 2), """")-$G63)/$G63, ($G63-IFERROR(INDEX(GOOGLE"&amp;"FINANCE($C63, ""price"", WORKDAY(INT($B63), 5)), 2, 2), """"))/$G63))"),-0.06755260243632351)</f>
        <v>-0.06755260244</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3469</v>
      </c>
      <c r="U63" s="10" t="s">
        <v>984</v>
      </c>
      <c r="V63" s="10" t="s">
        <v>1059</v>
      </c>
      <c r="W63" s="10" t="s">
        <v>51</v>
      </c>
      <c r="X63" s="10" t="s">
        <v>984</v>
      </c>
    </row>
    <row r="64">
      <c r="A64" s="9">
        <f t="shared" si="1"/>
        <v>63</v>
      </c>
      <c r="B64" s="11">
        <v>46224.667719907404</v>
      </c>
      <c r="C64" s="10" t="s">
        <v>108</v>
      </c>
      <c r="D64" s="10" t="s">
        <v>36</v>
      </c>
      <c r="E64" s="10" t="s">
        <v>37</v>
      </c>
      <c r="F64" s="13">
        <v>2.0</v>
      </c>
      <c r="G64" s="14">
        <v>125.75</v>
      </c>
      <c r="H64" s="10" t="s">
        <v>3470</v>
      </c>
      <c r="I64" s="10">
        <v>96.2</v>
      </c>
      <c r="O64" s="15">
        <f>IFERROR(__xludf.DUMMYFUNCTION("IF(ISBLANK($C64), """", GOOGLEFINANCE($C64, ""price""))"),129.68)</f>
        <v>129.68</v>
      </c>
      <c r="P64" s="16">
        <f t="shared" si="2"/>
        <v>0.03125248509</v>
      </c>
      <c r="Q64" s="16">
        <f>IFERROR(__xludf.DUMMYFUNCTION("IF(OR(ISBLANK($G64), IFERROR(INDEX(GOOGLEFINANCE($C64, ""price"", WORKDAY(INT($B64), 1)), 2, 2), """")=""""), """", IF($D64=""LONG"", (IFERROR(INDEX(GOOGLEFINANCE($C64, ""price"", WORKDAY(INT($B64), 1)), 2, 2), """")-$G64)/$G64, ($G64-IFERROR(INDEX(GOOGLE"&amp;"FINANCE($C64, ""price"", WORKDAY(INT($B64), 1)), 2, 2), """"))/$G64))"),-0.028628230616302142)</f>
        <v>-0.02862823062</v>
      </c>
      <c r="R64" s="16">
        <f>IFERROR(__xludf.DUMMYFUNCTION("IF(OR(ISBLANK($G64), IFERROR(INDEX(GOOGLEFINANCE($C64, ""price"", WORKDAY(INT($B64), 5)), 2, 2), """")=""""), """", IF($D64=""LONG"", (IFERROR(INDEX(GOOGLEFINANCE($C64, ""price"", WORKDAY(INT($B64), 5)), 2, 2), """")-$G64)/$G64, ($G64-IFERROR(INDEX(GOOGLE"&amp;"FINANCE($C64, ""price"", WORKDAY(INT($B64), 5)), 2, 2), """"))/$G64))"),0.008031809145129265)</f>
        <v>0.008031809145</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3472</v>
      </c>
      <c r="U64" s="10" t="s">
        <v>984</v>
      </c>
      <c r="V64" s="10" t="s">
        <v>933</v>
      </c>
      <c r="W64" s="10" t="s">
        <v>51</v>
      </c>
      <c r="X64" s="10" t="s">
        <v>984</v>
      </c>
    </row>
    <row r="65">
      <c r="A65" s="9">
        <f t="shared" si="1"/>
        <v>64</v>
      </c>
      <c r="B65" s="11">
        <v>46224.66775462963</v>
      </c>
      <c r="C65" s="10" t="s">
        <v>358</v>
      </c>
      <c r="D65" s="10" t="s">
        <v>119</v>
      </c>
      <c r="E65" s="10" t="s">
        <v>120</v>
      </c>
      <c r="F65" s="13">
        <v>4.0</v>
      </c>
      <c r="G65" s="14">
        <v>46.58</v>
      </c>
      <c r="H65" s="10" t="s">
        <v>3473</v>
      </c>
      <c r="I65" s="10">
        <v>6.7</v>
      </c>
      <c r="O65" s="15">
        <f>IFERROR(__xludf.DUMMYFUNCTION("IF(ISBLANK($C65), """", GOOGLEFINANCE($C65, ""price""))"),51.54)</f>
        <v>51.54</v>
      </c>
      <c r="P65" s="16">
        <f t="shared" si="2"/>
        <v>-0.1064834693</v>
      </c>
      <c r="Q65" s="16">
        <f>IFERROR(__xludf.DUMMYFUNCTION("IF(OR(ISBLANK($G65), IFERROR(INDEX(GOOGLEFINANCE($C65, ""price"", WORKDAY(INT($B65), 1)), 2, 2), """")=""""), """", IF($D65=""LONG"", (IFERROR(INDEX(GOOGLEFINANCE($C65, ""price"", WORKDAY(INT($B65), 1)), 2, 2), """")-$G65)/$G65, ($G65-IFERROR(INDEX(GOOGLE"&amp;"FINANCE($C65, ""price"", WORKDAY(INT($B65), 1)), 2, 2), """"))/$G65))"),-0.023400601116359027)</f>
        <v>-0.02340060112</v>
      </c>
      <c r="R65" s="16">
        <f>IFERROR(__xludf.DUMMYFUNCTION("IF(OR(ISBLANK($G65), IFERROR(INDEX(GOOGLEFINANCE($C65, ""price"", WORKDAY(INT($B65), 5)), 2, 2), """")=""""), """", IF($D65=""LONG"", (IFERROR(INDEX(GOOGLEFINANCE($C65, ""price"", WORKDAY(INT($B65), 5)), 2, 2), """")-$G65)/$G65, ($G65-IFERROR(INDEX(GOOGLE"&amp;"FINANCE($C65, ""price"", WORKDAY(INT($B65), 5)), 2, 2), """"))/$G65))"),-0.07299270072992697)</f>
        <v>-0.07299270073</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3475</v>
      </c>
      <c r="U65" s="10" t="s">
        <v>984</v>
      </c>
      <c r="V65" s="10" t="s">
        <v>985</v>
      </c>
      <c r="W65" s="10" t="s">
        <v>51</v>
      </c>
      <c r="X65" s="10" t="s">
        <v>984</v>
      </c>
    </row>
    <row r="66">
      <c r="A66" s="9">
        <f t="shared" si="1"/>
        <v>65</v>
      </c>
      <c r="B66" s="11">
        <v>46224.66774305556</v>
      </c>
      <c r="C66" s="10" t="s">
        <v>76</v>
      </c>
      <c r="D66" s="10" t="s">
        <v>36</v>
      </c>
      <c r="E66" s="10" t="s">
        <v>37</v>
      </c>
      <c r="F66" s="13">
        <v>2.0</v>
      </c>
      <c r="G66" s="14">
        <v>272.04</v>
      </c>
      <c r="H66" s="10" t="s">
        <v>3477</v>
      </c>
      <c r="I66" s="10">
        <v>94.9</v>
      </c>
      <c r="O66" s="15">
        <f>IFERROR(__xludf.DUMMYFUNCTION("IF(ISBLANK($C66), """", GOOGLEFINANCE($C66, ""price""))"),294.7)</f>
        <v>294.7</v>
      </c>
      <c r="P66" s="16">
        <f t="shared" si="2"/>
        <v>0.08329657403</v>
      </c>
      <c r="Q66" s="16">
        <f>IFERROR(__xludf.DUMMYFUNCTION("IF(OR(ISBLANK($G66), IFERROR(INDEX(GOOGLEFINANCE($C66, ""price"", WORKDAY(INT($B66), 1)), 2, 2), """")=""""), """", IF($D66=""LONG"", (IFERROR(INDEX(GOOGLEFINANCE($C66, ""price"", WORKDAY(INT($B66), 1)), 2, 2), """")-$G66)/$G66, ($G66-IFERROR(INDEX(GOOGLE"&amp;"FINANCE($C66, ""price"", WORKDAY(INT($B66), 1)), 2, 2), """"))/$G66))"),0.006947507719452971)</f>
        <v>0.006947507719</v>
      </c>
      <c r="R66" s="16">
        <f>IFERROR(__xludf.DUMMYFUNCTION("IF(OR(ISBLANK($G66), IFERROR(INDEX(GOOGLEFINANCE($C66, ""price"", WORKDAY(INT($B66), 5)), 2, 2), """")=""""), """", IF($D66=""LONG"", (IFERROR(INDEX(GOOGLEFINANCE($C66, ""price"", WORKDAY(INT($B66), 5)), 2, 2), """")-$G66)/$G66, ($G66-IFERROR(INDEX(GOOGLE"&amp;"FINANCE($C66, ""price"", WORKDAY(INT($B66), 5)), 2, 2), """"))/$G66))"),0.08498750183796501)</f>
        <v>0.08498750184</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3478</v>
      </c>
      <c r="U66" s="10" t="s">
        <v>507</v>
      </c>
      <c r="V66" s="10" t="s">
        <v>3479</v>
      </c>
      <c r="W66" s="10" t="s">
        <v>51</v>
      </c>
      <c r="X66" s="10" t="s">
        <v>2228</v>
      </c>
    </row>
    <row r="67">
      <c r="A67" s="9">
        <f t="shared" si="1"/>
        <v>66</v>
      </c>
      <c r="B67" s="11">
        <v>46224.66775462963</v>
      </c>
      <c r="C67" s="10" t="s">
        <v>3480</v>
      </c>
      <c r="D67" s="10" t="s">
        <v>36</v>
      </c>
      <c r="E67" s="10" t="s">
        <v>133</v>
      </c>
      <c r="F67" s="13">
        <v>2.0</v>
      </c>
      <c r="G67" s="14">
        <v>26.09</v>
      </c>
      <c r="H67" s="10" t="s">
        <v>3482</v>
      </c>
      <c r="I67" s="10">
        <v>83.6</v>
      </c>
      <c r="O67" s="15">
        <f>IFERROR(__xludf.DUMMYFUNCTION("IF(ISBLANK($C67), """", GOOGLEFINANCE($C67, ""price""))"),24.43)</f>
        <v>24.43</v>
      </c>
      <c r="P67" s="16">
        <f t="shared" si="2"/>
        <v>-0.06362591031</v>
      </c>
      <c r="Q67" s="16">
        <f>IFERROR(__xludf.DUMMYFUNCTION("IF(OR(ISBLANK($G67), IFERROR(INDEX(GOOGLEFINANCE($C67, ""price"", WORKDAY(INT($B67), 1)), 2, 2), """")=""""), """", IF($D67=""LONG"", (IFERROR(INDEX(GOOGLEFINANCE($C67, ""price"", WORKDAY(INT($B67), 1)), 2, 2), """")-$G67)/$G67, ($G67-IFERROR(INDEX(GOOGLE"&amp;"FINANCE($C67, ""price"", WORKDAY(INT($B67), 1)), 2, 2), """"))/$G67))"),0.0019164430816405026)</f>
        <v>0.001916443082</v>
      </c>
      <c r="R67" s="16">
        <f>IFERROR(__xludf.DUMMYFUNCTION("IF(OR(ISBLANK($G67), IFERROR(INDEX(GOOGLEFINANCE($C67, ""price"", WORKDAY(INT($B67), 5)), 2, 2), """")=""""), """", IF($D67=""LONG"", (IFERROR(INDEX(GOOGLEFINANCE($C67, ""price"", WORKDAY(INT($B67), 5)), 2, 2), """")-$G67)/$G67, ($G67-IFERROR(INDEX(GOOGLE"&amp;"FINANCE($C67, ""price"", WORKDAY(INT($B67), 5)), 2, 2), """"))/$G67))"),0.0057493292449213714)</f>
        <v>0.005749329245</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3484</v>
      </c>
      <c r="U67" s="10" t="s">
        <v>932</v>
      </c>
      <c r="V67" s="10" t="s">
        <v>933</v>
      </c>
      <c r="W67" s="10" t="s">
        <v>51</v>
      </c>
      <c r="X67" s="10" t="s">
        <v>3186</v>
      </c>
    </row>
    <row r="68">
      <c r="A68" s="9">
        <f t="shared" si="1"/>
        <v>67</v>
      </c>
      <c r="B68" s="11">
        <v>46224.66756944444</v>
      </c>
      <c r="C68" s="10" t="s">
        <v>707</v>
      </c>
      <c r="D68" s="10" t="s">
        <v>36</v>
      </c>
      <c r="E68" s="10" t="s">
        <v>37</v>
      </c>
      <c r="F68" s="13">
        <v>2.0</v>
      </c>
      <c r="G68" s="14">
        <v>109.8</v>
      </c>
      <c r="H68" s="10" t="s">
        <v>3485</v>
      </c>
      <c r="I68" s="10">
        <v>94.4</v>
      </c>
      <c r="L68" s="10" t="s">
        <v>3486</v>
      </c>
      <c r="M68" s="34" t="s">
        <v>921</v>
      </c>
      <c r="N68" s="10" t="s">
        <v>925</v>
      </c>
      <c r="O68" s="15">
        <f>IFERROR(__xludf.DUMMYFUNCTION("IF(ISBLANK($C68), """", GOOGLEFINANCE($C68, ""price""))"),108.95)</f>
        <v>108.95</v>
      </c>
      <c r="P68" s="16">
        <f t="shared" si="2"/>
        <v>-0.007741347905</v>
      </c>
      <c r="Q68" s="16">
        <f>IFERROR(__xludf.DUMMYFUNCTION("IF(OR(ISBLANK($G68), IFERROR(INDEX(GOOGLEFINANCE($C68, ""price"", WORKDAY(INT($B68), 1)), 2, 2), """")=""""), """", IF($D68=""LONG"", (IFERROR(INDEX(GOOGLEFINANCE($C68, ""price"", WORKDAY(INT($B68), 1)), 2, 2), """")-$G68)/$G68, ($G68-IFERROR(INDEX(GOOGLE"&amp;"FINANCE($C68, ""price"", WORKDAY(INT($B68), 1)), 2, 2), """"))/$G68))"),0.020856102003643046)</f>
        <v>0.020856102</v>
      </c>
      <c r="R68" s="16">
        <f>IFERROR(__xludf.DUMMYFUNCTION("IF(OR(ISBLANK($G68), IFERROR(INDEX(GOOGLEFINANCE($C68, ""price"", WORKDAY(INT($B68), 5)), 2, 2), """")=""""), """", IF($D68=""LONG"", (IFERROR(INDEX(GOOGLEFINANCE($C68, ""price"", WORKDAY(INT($B68), 5)), 2, 2), """")-$G68)/$G68, ($G68-IFERROR(INDEX(GOOGLE"&amp;"FINANCE($C68, ""price"", WORKDAY(INT($B68), 5)), 2, 2), """"))/$G68))"),0.019854280510018276)</f>
        <v>0.01985428051</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3489</v>
      </c>
      <c r="U68" s="10" t="s">
        <v>722</v>
      </c>
      <c r="V68" s="10" t="s">
        <v>3490</v>
      </c>
      <c r="W68" s="10" t="s">
        <v>51</v>
      </c>
      <c r="X68" s="10" t="s">
        <v>3433</v>
      </c>
    </row>
    <row r="69">
      <c r="A69" s="9">
        <f t="shared" si="1"/>
        <v>68</v>
      </c>
      <c r="B69" s="11">
        <v>46224.66780092593</v>
      </c>
      <c r="C69" s="10" t="s">
        <v>2447</v>
      </c>
      <c r="D69" s="10" t="s">
        <v>119</v>
      </c>
      <c r="E69" s="10" t="s">
        <v>120</v>
      </c>
      <c r="F69" s="13">
        <v>4.0</v>
      </c>
      <c r="G69" s="14">
        <v>87.96</v>
      </c>
      <c r="H69" s="10" t="s">
        <v>3491</v>
      </c>
      <c r="I69" s="10">
        <v>19.6</v>
      </c>
      <c r="O69" s="15">
        <f>IFERROR(__xludf.DUMMYFUNCTION("IF(ISBLANK($C69), """", GOOGLEFINANCE($C69, ""price""))"),93.37)</f>
        <v>93.37</v>
      </c>
      <c r="P69" s="16">
        <f t="shared" si="2"/>
        <v>-0.06150522965</v>
      </c>
      <c r="Q69" s="16">
        <f>IFERROR(__xludf.DUMMYFUNCTION("IF(OR(ISBLANK($G69), IFERROR(INDEX(GOOGLEFINANCE($C69, ""price"", WORKDAY(INT($B69), 1)), 2, 2), """")=""""), """", IF($D69=""LONG"", (IFERROR(INDEX(GOOGLEFINANCE($C69, ""price"", WORKDAY(INT($B69), 1)), 2, 2), """")-$G69)/$G69, ($G69-IFERROR(INDEX(GOOGLE"&amp;"FINANCE($C69, ""price"", WORKDAY(INT($B69), 1)), 2, 2), """"))/$G69))"),0.0162573897226011)</f>
        <v>0.01625738972</v>
      </c>
      <c r="R69" s="16">
        <f>IFERROR(__xludf.DUMMYFUNCTION("IF(OR(ISBLANK($G69), IFERROR(INDEX(GOOGLEFINANCE($C69, ""price"", WORKDAY(INT($B69), 5)), 2, 2), """")=""""), """", IF($D69=""LONG"", (IFERROR(INDEX(GOOGLEFINANCE($C69, ""price"", WORKDAY(INT($B69), 5)), 2, 2), """")-$G69)/$G69, ($G69-IFERROR(INDEX(GOOGLE"&amp;"FINANCE($C69, ""price"", WORKDAY(INT($B69), 5)), 2, 2), """"))/$G69))"),-0.03649386084583911)</f>
        <v>-0.03649386085</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3492</v>
      </c>
      <c r="U69" s="10" t="s">
        <v>984</v>
      </c>
      <c r="V69" s="10" t="s">
        <v>985</v>
      </c>
      <c r="W69" s="10" t="s">
        <v>51</v>
      </c>
      <c r="X69" s="10" t="s">
        <v>984</v>
      </c>
    </row>
    <row r="70">
      <c r="A70" s="9">
        <f t="shared" si="1"/>
        <v>69</v>
      </c>
      <c r="B70" s="11">
        <v>46224.66775462963</v>
      </c>
      <c r="C70" s="10" t="s">
        <v>1022</v>
      </c>
      <c r="D70" s="10" t="s">
        <v>119</v>
      </c>
      <c r="E70" s="10" t="s">
        <v>120</v>
      </c>
      <c r="F70" s="13">
        <v>4.0</v>
      </c>
      <c r="G70" s="14">
        <v>33.2</v>
      </c>
      <c r="H70" s="10" t="s">
        <v>3494</v>
      </c>
      <c r="I70" s="10">
        <v>3.4</v>
      </c>
      <c r="O70" s="15">
        <f>IFERROR(__xludf.DUMMYFUNCTION("IF(ISBLANK($C70), """", GOOGLEFINANCE($C70, ""price""))"),32.51)</f>
        <v>32.51</v>
      </c>
      <c r="P70" s="16">
        <f t="shared" si="2"/>
        <v>0.02078313253</v>
      </c>
      <c r="Q70" s="16">
        <f>IFERROR(__xludf.DUMMYFUNCTION("IF(OR(ISBLANK($G70), IFERROR(INDEX(GOOGLEFINANCE($C70, ""price"", WORKDAY(INT($B70), 1)), 2, 2), """")=""""), """", IF($D70=""LONG"", (IFERROR(INDEX(GOOGLEFINANCE($C70, ""price"", WORKDAY(INT($B70), 1)), 2, 2), """")-$G70)/$G70, ($G70-IFERROR(INDEX(GOOGLE"&amp;"FINANCE($C70, ""price"", WORKDAY(INT($B70), 1)), 2, 2), """"))/$G70))"),0.005120481927710895)</f>
        <v>0.005120481928</v>
      </c>
      <c r="R70" s="16">
        <f>IFERROR(__xludf.DUMMYFUNCTION("IF(OR(ISBLANK($G70), IFERROR(INDEX(GOOGLEFINANCE($C70, ""price"", WORKDAY(INT($B70), 5)), 2, 2), """")=""""), """", IF($D70=""LONG"", (IFERROR(INDEX(GOOGLEFINANCE($C70, ""price"", WORKDAY(INT($B70), 5)), 2, 2), """")-$G70)/$G70, ($G70-IFERROR(INDEX(GOOGLE"&amp;"FINANCE($C70, ""price"", WORKDAY(INT($B70), 5)), 2, 2), """"))/$G70))"),0.05933734939759043)</f>
        <v>0.0593373494</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3496</v>
      </c>
      <c r="U70" s="10" t="s">
        <v>984</v>
      </c>
      <c r="V70" s="10" t="s">
        <v>2714</v>
      </c>
      <c r="W70" s="10" t="s">
        <v>51</v>
      </c>
      <c r="X70" s="10" t="s">
        <v>984</v>
      </c>
    </row>
    <row r="71">
      <c r="A71" s="9">
        <f t="shared" si="1"/>
        <v>70</v>
      </c>
      <c r="B71" s="11">
        <v>46224.66777777778</v>
      </c>
      <c r="C71" s="10" t="s">
        <v>295</v>
      </c>
      <c r="D71" s="10" t="s">
        <v>119</v>
      </c>
      <c r="E71" s="10" t="s">
        <v>120</v>
      </c>
      <c r="F71" s="13">
        <v>4.0</v>
      </c>
      <c r="G71" s="14">
        <v>1383.09</v>
      </c>
      <c r="H71" s="10" t="s">
        <v>3497</v>
      </c>
      <c r="I71" s="10">
        <v>5.4</v>
      </c>
      <c r="O71" s="15">
        <f>IFERROR(__xludf.DUMMYFUNCTION("IF(ISBLANK($C71), """", GOOGLEFINANCE($C71, ""price""))"),1359.08)</f>
        <v>1359.08</v>
      </c>
      <c r="P71" s="16">
        <f t="shared" si="2"/>
        <v>0.01735968014</v>
      </c>
      <c r="Q71" s="16">
        <f>IFERROR(__xludf.DUMMYFUNCTION("IF(OR(ISBLANK($G71), IFERROR(INDEX(GOOGLEFINANCE($C71, ""price"", WORKDAY(INT($B71), 1)), 2, 2), """")=""""), """", IF($D71=""LONG"", (IFERROR(INDEX(GOOGLEFINANCE($C71, ""price"", WORKDAY(INT($B71), 1)), 2, 2), """")-$G71)/$G71, ($G71-IFERROR(INDEX(GOOGLE"&amp;"FINANCE($C71, ""price"", WORKDAY(INT($B71), 1)), 2, 2), """"))/$G71))"),-0.011105567967377487)</f>
        <v>-0.01110556797</v>
      </c>
      <c r="R71" s="16">
        <f>IFERROR(__xludf.DUMMYFUNCTION("IF(OR(ISBLANK($G71), IFERROR(INDEX(GOOGLEFINANCE($C71, ""price"", WORKDAY(INT($B71), 5)), 2, 2), """")=""""), """", IF($D71=""LONG"", (IFERROR(INDEX(GOOGLEFINANCE($C71, ""price"", WORKDAY(INT($B71), 5)), 2, 2), """")-$G71)/$G71, ($G71-IFERROR(INDEX(GOOGLE"&amp;"FINANCE($C71, ""price"", WORKDAY(INT($B71), 5)), 2, 2), """"))/$G71))"),0.07308273503531942)</f>
        <v>0.07308273504</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3500</v>
      </c>
      <c r="U71" s="10" t="s">
        <v>984</v>
      </c>
      <c r="V71" s="10" t="s">
        <v>985</v>
      </c>
      <c r="W71" s="10" t="s">
        <v>51</v>
      </c>
      <c r="X71" s="10" t="s">
        <v>984</v>
      </c>
    </row>
    <row r="72">
      <c r="A72" s="9">
        <f t="shared" si="1"/>
        <v>71</v>
      </c>
      <c r="B72" s="11">
        <v>46224.6678125</v>
      </c>
      <c r="C72" s="10" t="s">
        <v>98</v>
      </c>
      <c r="D72" s="10" t="s">
        <v>36</v>
      </c>
      <c r="E72" s="10" t="s">
        <v>37</v>
      </c>
      <c r="F72" s="13">
        <v>2.0</v>
      </c>
      <c r="G72" s="14">
        <v>30.83</v>
      </c>
      <c r="H72" s="10" t="s">
        <v>3501</v>
      </c>
      <c r="I72" s="10">
        <v>93.0</v>
      </c>
      <c r="O72" s="15">
        <f>IFERROR(__xludf.DUMMYFUNCTION("IF(ISBLANK($C72), """", GOOGLEFINANCE($C72, ""price""))"),31.39)</f>
        <v>31.39</v>
      </c>
      <c r="P72" s="16">
        <f t="shared" si="2"/>
        <v>0.01816412585</v>
      </c>
      <c r="Q72" s="16">
        <f>IFERROR(__xludf.DUMMYFUNCTION("IF(OR(ISBLANK($G72), IFERROR(INDEX(GOOGLEFINANCE($C72, ""price"", WORKDAY(INT($B72), 1)), 2, 2), """")=""""), """", IF($D72=""LONG"", (IFERROR(INDEX(GOOGLEFINANCE($C72, ""price"", WORKDAY(INT($B72), 1)), 2, 2), """")-$G72)/$G72, ($G72-IFERROR(INDEX(GOOGLE"&amp;"FINANCE($C72, ""price"", WORKDAY(INT($B72), 1)), 2, 2), """"))/$G72))"),9.730781706130761E-4)</f>
        <v>0.0009730781706</v>
      </c>
      <c r="R72" s="16">
        <f>IFERROR(__xludf.DUMMYFUNCTION("IF(OR(ISBLANK($G72), IFERROR(INDEX(GOOGLEFINANCE($C72, ""price"", WORKDAY(INT($B72), 5)), 2, 2), """")=""""), """", IF($D72=""LONG"", (IFERROR(INDEX(GOOGLEFINANCE($C72, ""price"", WORKDAY(INT($B72), 5)), 2, 2), """")-$G72)/$G72, ($G72-IFERROR(INDEX(GOOGLE"&amp;"FINANCE($C72, ""price"", WORKDAY(INT($B72), 5)), 2, 2), """"))/$G72))"),0.014271813168991284)</f>
        <v>0.01427181317</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3504</v>
      </c>
      <c r="U72" s="10" t="s">
        <v>932</v>
      </c>
      <c r="V72" s="10" t="s">
        <v>933</v>
      </c>
      <c r="W72" s="10" t="s">
        <v>51</v>
      </c>
      <c r="X72" s="10" t="s">
        <v>3186</v>
      </c>
    </row>
    <row r="73">
      <c r="A73" s="9">
        <f t="shared" si="1"/>
        <v>72</v>
      </c>
      <c r="B73" s="11">
        <v>46224.667766203704</v>
      </c>
      <c r="C73" s="10" t="s">
        <v>222</v>
      </c>
      <c r="D73" s="10" t="s">
        <v>36</v>
      </c>
      <c r="E73" s="10" t="s">
        <v>37</v>
      </c>
      <c r="F73" s="13">
        <v>2.0</v>
      </c>
      <c r="G73" s="14">
        <v>481.85</v>
      </c>
      <c r="H73" s="10" t="s">
        <v>3505</v>
      </c>
      <c r="I73" s="10">
        <v>86.4</v>
      </c>
      <c r="O73" s="15">
        <f>IFERROR(__xludf.DUMMYFUNCTION("IF(ISBLANK($C73), """", GOOGLEFINANCE($C73, ""price""))"),484.03)</f>
        <v>484.03</v>
      </c>
      <c r="P73" s="16">
        <f t="shared" si="2"/>
        <v>0.004524229532</v>
      </c>
      <c r="Q73" s="16">
        <f>IFERROR(__xludf.DUMMYFUNCTION("IF(OR(ISBLANK($G73), IFERROR(INDEX(GOOGLEFINANCE($C73, ""price"", WORKDAY(INT($B73), 1)), 2, 2), """")=""""), """", IF($D73=""LONG"", (IFERROR(INDEX(GOOGLEFINANCE($C73, ""price"", WORKDAY(INT($B73), 1)), 2, 2), """")-$G73)/$G73, ($G73-IFERROR(INDEX(GOOGLE"&amp;"FINANCE($C73, ""price"", WORKDAY(INT($B73), 1)), 2, 2), """"))/$G73))"),-0.019259105530766898)</f>
        <v>-0.01925910553</v>
      </c>
      <c r="R73" s="16">
        <f>IFERROR(__xludf.DUMMYFUNCTION("IF(OR(ISBLANK($G73), IFERROR(INDEX(GOOGLEFINANCE($C73, ""price"", WORKDAY(INT($B73), 5)), 2, 2), """")=""""), """", IF($D73=""LONG"", (IFERROR(INDEX(GOOGLEFINANCE($C73, ""price"", WORKDAY(INT($B73), 5)), 2, 2), """")-$G73)/$G73, ($G73-IFERROR(INDEX(GOOGLE"&amp;"FINANCE($C73, ""price"", WORKDAY(INT($B73), 5)), 2, 2), """"))/$G73))"),0.017723357891459922)</f>
        <v>0.01772335789</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3508</v>
      </c>
      <c r="U73" s="10" t="s">
        <v>984</v>
      </c>
      <c r="V73" s="10" t="s">
        <v>933</v>
      </c>
      <c r="W73" s="10" t="s">
        <v>51</v>
      </c>
      <c r="X73" s="10" t="s">
        <v>984</v>
      </c>
    </row>
    <row r="74">
      <c r="A74" s="9">
        <f t="shared" si="1"/>
        <v>73</v>
      </c>
      <c r="B74" s="11">
        <v>46224.6678125</v>
      </c>
      <c r="C74" s="10" t="s">
        <v>306</v>
      </c>
      <c r="D74" s="10" t="s">
        <v>119</v>
      </c>
      <c r="E74" s="10" t="s">
        <v>120</v>
      </c>
      <c r="F74" s="13">
        <v>4.0</v>
      </c>
      <c r="G74" s="14">
        <v>94.77</v>
      </c>
      <c r="H74" s="10" t="s">
        <v>3509</v>
      </c>
      <c r="I74" s="10">
        <v>11.4</v>
      </c>
      <c r="O74" s="15">
        <f>IFERROR(__xludf.DUMMYFUNCTION("IF(ISBLANK($C74), """", GOOGLEFINANCE($C74, ""price""))"),87.03)</f>
        <v>87.03</v>
      </c>
      <c r="P74" s="16">
        <f t="shared" si="2"/>
        <v>0.081671415</v>
      </c>
      <c r="Q74" s="16">
        <f>IFERROR(__xludf.DUMMYFUNCTION("IF(OR(ISBLANK($G74), IFERROR(INDEX(GOOGLEFINANCE($C74, ""price"", WORKDAY(INT($B74), 1)), 2, 2), """")=""""), """", IF($D74=""LONG"", (IFERROR(INDEX(GOOGLEFINANCE($C74, ""price"", WORKDAY(INT($B74), 1)), 2, 2), """")-$G74)/$G74, ($G74-IFERROR(INDEX(GOOGLE"&amp;"FINANCE($C74, ""price"", WORKDAY(INT($B74), 1)), 2, 2), """"))/$G74))"),0.026274137385248444)</f>
        <v>0.02627413739</v>
      </c>
      <c r="R74" s="16">
        <f>IFERROR(__xludf.DUMMYFUNCTION("IF(OR(ISBLANK($G74), IFERROR(INDEX(GOOGLEFINANCE($C74, ""price"", WORKDAY(INT($B74), 5)), 2, 2), """")=""""), """", IF($D74=""LONG"", (IFERROR(INDEX(GOOGLEFINANCE($C74, ""price"", WORKDAY(INT($B74), 5)), 2, 2), """")-$G74)/$G74, ($G74-IFERROR(INDEX(GOOGLE"&amp;"FINANCE($C74, ""price"", WORKDAY(INT($B74), 5)), 2, 2), """"))/$G74))"),0.09327846364883391)</f>
        <v>0.09327846365</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3510</v>
      </c>
      <c r="U74" s="10" t="s">
        <v>984</v>
      </c>
      <c r="V74" s="10" t="s">
        <v>985</v>
      </c>
      <c r="W74" s="10" t="s">
        <v>51</v>
      </c>
      <c r="X74" s="10" t="s">
        <v>984</v>
      </c>
    </row>
    <row r="75">
      <c r="A75" s="9">
        <f t="shared" si="1"/>
        <v>74</v>
      </c>
      <c r="B75" s="11">
        <v>46224.667766203704</v>
      </c>
      <c r="C75" s="10" t="s">
        <v>424</v>
      </c>
      <c r="D75" s="10" t="s">
        <v>36</v>
      </c>
      <c r="E75" s="10" t="s">
        <v>37</v>
      </c>
      <c r="F75" s="13">
        <v>2.0</v>
      </c>
      <c r="G75" s="14">
        <v>81.22</v>
      </c>
      <c r="H75" s="10" t="s">
        <v>3511</v>
      </c>
      <c r="I75" s="10">
        <v>93.5</v>
      </c>
      <c r="O75" s="15">
        <f>IFERROR(__xludf.DUMMYFUNCTION("IF(ISBLANK($C75), """", GOOGLEFINANCE($C75, ""price""))"),84.35)</f>
        <v>84.35</v>
      </c>
      <c r="P75" s="16">
        <f t="shared" si="2"/>
        <v>0.03853730608</v>
      </c>
      <c r="Q75" s="16">
        <f>IFERROR(__xludf.DUMMYFUNCTION("IF(OR(ISBLANK($G75), IFERROR(INDEX(GOOGLEFINANCE($C75, ""price"", WORKDAY(INT($B75), 1)), 2, 2), """")=""""), """", IF($D75=""LONG"", (IFERROR(INDEX(GOOGLEFINANCE($C75, ""price"", WORKDAY(INT($B75), 1)), 2, 2), """")-$G75)/$G75, ($G75-IFERROR(INDEX(GOOGLE"&amp;"FINANCE($C75, ""price"", WORKDAY(INT($B75), 1)), 2, 2), """"))/$G75))"),0.011081014528441341)</f>
        <v>0.01108101453</v>
      </c>
      <c r="R75" s="16">
        <f>IFERROR(__xludf.DUMMYFUNCTION("IF(OR(ISBLANK($G75), IFERROR(INDEX(GOOGLEFINANCE($C75, ""price"", WORKDAY(INT($B75), 5)), 2, 2), """")=""""), """", IF($D75=""LONG"", (IFERROR(INDEX(GOOGLEFINANCE($C75, ""price"", WORKDAY(INT($B75), 5)), 2, 2), """")-$G75)/$G75, ($G75-IFERROR(INDEX(GOOGLE"&amp;"FINANCE($C75, ""price"", WORKDAY(INT($B75), 5)), 2, 2), """"))/$G75))"),0.04900270869244033)</f>
        <v>0.04900270869</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3513</v>
      </c>
      <c r="U75" s="10" t="s">
        <v>984</v>
      </c>
      <c r="V75" s="10" t="s">
        <v>933</v>
      </c>
      <c r="W75" s="10" t="s">
        <v>51</v>
      </c>
      <c r="X75" s="10" t="s">
        <v>984</v>
      </c>
    </row>
    <row r="76">
      <c r="A76" s="9">
        <f t="shared" si="1"/>
        <v>75</v>
      </c>
      <c r="B76" s="11">
        <v>46224.667708333334</v>
      </c>
      <c r="C76" s="10" t="s">
        <v>52</v>
      </c>
      <c r="D76" s="10" t="s">
        <v>36</v>
      </c>
      <c r="E76" s="10" t="s">
        <v>37</v>
      </c>
      <c r="F76" s="13">
        <v>2.0</v>
      </c>
      <c r="G76" s="14">
        <v>117.32</v>
      </c>
      <c r="H76" s="10" t="s">
        <v>1056</v>
      </c>
      <c r="I76" s="10">
        <v>94.8</v>
      </c>
      <c r="O76" s="15">
        <f>IFERROR(__xludf.DUMMYFUNCTION("IF(ISBLANK($C76), """", GOOGLEFINANCE($C76, ""price""))"),118.38)</f>
        <v>118.38</v>
      </c>
      <c r="P76" s="16">
        <f t="shared" si="2"/>
        <v>0.009035117627</v>
      </c>
      <c r="Q76" s="16">
        <f>IFERROR(__xludf.DUMMYFUNCTION("IF(OR(ISBLANK($G76), IFERROR(INDEX(GOOGLEFINANCE($C76, ""price"", WORKDAY(INT($B76), 1)), 2, 2), """")=""""), """", IF($D76=""LONG"", (IFERROR(INDEX(GOOGLEFINANCE($C76, ""price"", WORKDAY(INT($B76), 1)), 2, 2), """")-$G76)/$G76, ($G76-IFERROR(INDEX(GOOGLE"&amp;"FINANCE($C76, ""price"", WORKDAY(INT($B76), 1)), 2, 2), """"))/$G76))"),-0.01304125468803262)</f>
        <v>-0.01304125469</v>
      </c>
      <c r="R76" s="16">
        <f>IFERROR(__xludf.DUMMYFUNCTION("IF(OR(ISBLANK($G76), IFERROR(INDEX(GOOGLEFINANCE($C76, ""price"", WORKDAY(INT($B76), 5)), 2, 2), """")=""""), """", IF($D76=""LONG"", (IFERROR(INDEX(GOOGLEFINANCE($C76, ""price"", WORKDAY(INT($B76), 5)), 2, 2), """")-$G76)/$G76, ($G76-IFERROR(INDEX(GOOGLE"&amp;"FINANCE($C76, ""price"", WORKDAY(INT($B76), 5)), 2, 2), """"))/$G76))"),0.1074838049778385)</f>
        <v>0.107483805</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3514</v>
      </c>
      <c r="U76" s="10" t="s">
        <v>984</v>
      </c>
      <c r="V76" s="10" t="s">
        <v>2785</v>
      </c>
      <c r="W76" s="10" t="s">
        <v>51</v>
      </c>
      <c r="X76" s="10" t="s">
        <v>984</v>
      </c>
    </row>
    <row r="77">
      <c r="A77" s="9">
        <f t="shared" si="1"/>
        <v>76</v>
      </c>
      <c r="B77" s="11">
        <v>46224.66788194444</v>
      </c>
      <c r="C77" s="10" t="s">
        <v>322</v>
      </c>
      <c r="D77" s="10" t="s">
        <v>119</v>
      </c>
      <c r="E77" s="10" t="s">
        <v>120</v>
      </c>
      <c r="F77" s="13">
        <v>4.0</v>
      </c>
      <c r="G77" s="14">
        <v>127.04</v>
      </c>
      <c r="H77" s="10" t="s">
        <v>3516</v>
      </c>
      <c r="I77" s="10">
        <v>8.3</v>
      </c>
      <c r="O77" s="15">
        <f>IFERROR(__xludf.DUMMYFUNCTION("IF(ISBLANK($C77), """", GOOGLEFINANCE($C77, ""price""))"),143.47)</f>
        <v>143.47</v>
      </c>
      <c r="P77" s="16">
        <f t="shared" si="2"/>
        <v>-0.1293293451</v>
      </c>
      <c r="Q77" s="16">
        <f>IFERROR(__xludf.DUMMYFUNCTION("IF(OR(ISBLANK($G77), IFERROR(INDEX(GOOGLEFINANCE($C77, ""price"", WORKDAY(INT($B77), 1)), 2, 2), """")=""""), """", IF($D77=""LONG"", (IFERROR(INDEX(GOOGLEFINANCE($C77, ""price"", WORKDAY(INT($B77), 1)), 2, 2), """")-$G77)/$G77, ($G77-IFERROR(INDEX(GOOGLE"&amp;"FINANCE($C77, ""price"", WORKDAY(INT($B77), 1)), 2, 2), """"))/$G77))"),0.009445843828715387)</f>
        <v>0.009445843829</v>
      </c>
      <c r="R77" s="16">
        <f>IFERROR(__xludf.DUMMYFUNCTION("IF(OR(ISBLANK($G77), IFERROR(INDEX(GOOGLEFINANCE($C77, ""price"", WORKDAY(INT($B77), 5)), 2, 2), """")=""""), """", IF($D77=""LONG"", (IFERROR(INDEX(GOOGLEFINANCE($C77, ""price"", WORKDAY(INT($B77), 5)), 2, 2), """")-$G77)/$G77, ($G77-IFERROR(INDEX(GOOGLE"&amp;"FINANCE($C77, ""price"", WORKDAY(INT($B77), 5)), 2, 2), """"))/$G77))"),0.05573047858942075)</f>
        <v>0.05573047859</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3518</v>
      </c>
      <c r="U77" s="10" t="s">
        <v>984</v>
      </c>
      <c r="V77" s="10" t="s">
        <v>933</v>
      </c>
      <c r="W77" s="10" t="s">
        <v>51</v>
      </c>
      <c r="X77" s="10" t="s">
        <v>984</v>
      </c>
    </row>
    <row r="78">
      <c r="A78" s="9">
        <f t="shared" si="1"/>
        <v>77</v>
      </c>
      <c r="B78" s="11">
        <v>46224.6678125</v>
      </c>
      <c r="C78" s="10" t="s">
        <v>464</v>
      </c>
      <c r="D78" s="10" t="s">
        <v>119</v>
      </c>
      <c r="E78" s="10" t="s">
        <v>120</v>
      </c>
      <c r="F78" s="13">
        <v>4.0</v>
      </c>
      <c r="G78" s="14">
        <v>266.17</v>
      </c>
      <c r="H78" s="10" t="s">
        <v>3519</v>
      </c>
      <c r="I78" s="10">
        <v>19.4</v>
      </c>
      <c r="O78" s="15">
        <f>IFERROR(__xludf.DUMMYFUNCTION("IF(ISBLANK($C78), """", GOOGLEFINANCE($C78, ""price""))"),292.53)</f>
        <v>292.53</v>
      </c>
      <c r="P78" s="16">
        <f t="shared" si="2"/>
        <v>-0.09903445167</v>
      </c>
      <c r="Q78" s="16">
        <f>IFERROR(__xludf.DUMMYFUNCTION("IF(OR(ISBLANK($G78), IFERROR(INDEX(GOOGLEFINANCE($C78, ""price"", WORKDAY(INT($B78), 1)), 2, 2), """")=""""), """", IF($D78=""LONG"", (IFERROR(INDEX(GOOGLEFINANCE($C78, ""price"", WORKDAY(INT($B78), 1)), 2, 2), """")-$G78)/$G78, ($G78-IFERROR(INDEX(GOOGLE"&amp;"FINANCE($C78, ""price"", WORKDAY(INT($B78), 1)), 2, 2), """"))/$G78))"),0.013450050719465156)</f>
        <v>0.01345005072</v>
      </c>
      <c r="R78" s="16">
        <f>IFERROR(__xludf.DUMMYFUNCTION("IF(OR(ISBLANK($G78), IFERROR(INDEX(GOOGLEFINANCE($C78, ""price"", WORKDAY(INT($B78), 5)), 2, 2), """")=""""), """", IF($D78=""LONG"", (IFERROR(INDEX(GOOGLEFINANCE($C78, ""price"", WORKDAY(INT($B78), 5)), 2, 2), """")-$G78)/$G78, ($G78-IFERROR(INDEX(GOOGLE"&amp;"FINANCE($C78, ""price"", WORKDAY(INT($B78), 5)), 2, 2), """"))/$G78))"),-0.05627982116692325)</f>
        <v>-0.05627982117</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3522</v>
      </c>
      <c r="U78" s="10" t="s">
        <v>984</v>
      </c>
      <c r="V78" s="10" t="s">
        <v>985</v>
      </c>
      <c r="W78" s="10" t="s">
        <v>51</v>
      </c>
      <c r="X78" s="10" t="s">
        <v>984</v>
      </c>
    </row>
    <row r="79">
      <c r="A79" s="9">
        <f t="shared" si="1"/>
        <v>78</v>
      </c>
      <c r="B79" s="11">
        <v>46224.66787037037</v>
      </c>
      <c r="C79" s="10" t="s">
        <v>2941</v>
      </c>
      <c r="D79" s="10" t="s">
        <v>119</v>
      </c>
      <c r="E79" s="10" t="s">
        <v>120</v>
      </c>
      <c r="F79" s="13">
        <v>4.0</v>
      </c>
      <c r="G79" s="14">
        <v>155.01</v>
      </c>
      <c r="H79" s="10" t="s">
        <v>3523</v>
      </c>
      <c r="I79" s="10">
        <v>4.1</v>
      </c>
      <c r="O79" s="15">
        <f>IFERROR(__xludf.DUMMYFUNCTION("IF(ISBLANK($C79), """", GOOGLEFINANCE($C79, ""price""))"),162.06)</f>
        <v>162.06</v>
      </c>
      <c r="P79" s="16">
        <f t="shared" si="2"/>
        <v>-0.04548093671</v>
      </c>
      <c r="Q79" s="16">
        <f>IFERROR(__xludf.DUMMYFUNCTION("IF(OR(ISBLANK($G79), IFERROR(INDEX(GOOGLEFINANCE($C79, ""price"", WORKDAY(INT($B79), 1)), 2, 2), """")=""""), """", IF($D79=""LONG"", (IFERROR(INDEX(GOOGLEFINANCE($C79, ""price"", WORKDAY(INT($B79), 1)), 2, 2), """")-$G79)/$G79, ($G79-IFERROR(INDEX(GOOGLE"&amp;"FINANCE($C79, ""price"", WORKDAY(INT($B79), 1)), 2, 2), """"))/$G79))"),-0.002580478678794953)</f>
        <v>-0.002580478679</v>
      </c>
      <c r="R79" s="16">
        <f>IFERROR(__xludf.DUMMYFUNCTION("IF(OR(ISBLANK($G79), IFERROR(INDEX(GOOGLEFINANCE($C79, ""price"", WORKDAY(INT($B79), 5)), 2, 2), """")=""""), """", IF($D79=""LONG"", (IFERROR(INDEX(GOOGLEFINANCE($C79, ""price"", WORKDAY(INT($B79), 5)), 2, 2), """")-$G79)/$G79, ($G79-IFERROR(INDEX(GOOGLE"&amp;"FINANCE($C79, ""price"", WORKDAY(INT($B79), 5)), 2, 2), """"))/$G79))"),-0.03735242887555655)</f>
        <v>-0.03735242888</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3526</v>
      </c>
      <c r="U79" s="10" t="s">
        <v>984</v>
      </c>
      <c r="V79" s="10" t="s">
        <v>985</v>
      </c>
      <c r="W79" s="10" t="s">
        <v>51</v>
      </c>
      <c r="X79" s="10" t="s">
        <v>984</v>
      </c>
    </row>
    <row r="80">
      <c r="A80" s="9">
        <f t="shared" si="1"/>
        <v>79</v>
      </c>
      <c r="B80" s="11">
        <v>46224.66784722222</v>
      </c>
      <c r="C80" s="10" t="s">
        <v>332</v>
      </c>
      <c r="D80" s="10" t="s">
        <v>36</v>
      </c>
      <c r="E80" s="10" t="s">
        <v>37</v>
      </c>
      <c r="F80" s="13">
        <v>2.0</v>
      </c>
      <c r="G80" s="14">
        <v>85.88</v>
      </c>
      <c r="H80" s="10" t="s">
        <v>3527</v>
      </c>
      <c r="I80" s="10">
        <v>94.8</v>
      </c>
      <c r="O80" s="15">
        <f>IFERROR(__xludf.DUMMYFUNCTION("IF(ISBLANK($C80), """", GOOGLEFINANCE($C80, ""price""))"),88.23)</f>
        <v>88.23</v>
      </c>
      <c r="P80" s="16">
        <f t="shared" si="2"/>
        <v>0.02736376339</v>
      </c>
      <c r="Q80" s="16">
        <f>IFERROR(__xludf.DUMMYFUNCTION("IF(OR(ISBLANK($G80), IFERROR(INDEX(GOOGLEFINANCE($C80, ""price"", WORKDAY(INT($B80), 1)), 2, 2), """")=""""), """", IF($D80=""LONG"", (IFERROR(INDEX(GOOGLEFINANCE($C80, ""price"", WORKDAY(INT($B80), 1)), 2, 2), """")-$G80)/$G80, ($G80-IFERROR(INDEX(GOOGLE"&amp;"FINANCE($C80, ""price"", WORKDAY(INT($B80), 1)), 2, 2), """"))/$G80))"),-0.012459245458779614)</f>
        <v>-0.01245924546</v>
      </c>
      <c r="R80" s="16">
        <f>IFERROR(__xludf.DUMMYFUNCTION("IF(OR(ISBLANK($G80), IFERROR(INDEX(GOOGLEFINANCE($C80, ""price"", WORKDAY(INT($B80), 5)), 2, 2), """")=""""), """", IF($D80=""LONG"", (IFERROR(INDEX(GOOGLEFINANCE($C80, ""price"", WORKDAY(INT($B80), 5)), 2, 2), """")-$G80)/$G80, ($G80-IFERROR(INDEX(GOOGLE"&amp;"FINANCE($C80, ""price"", WORKDAY(INT($B80), 5)), 2, 2), """"))/$G80))"),-0.0019795062878435227)</f>
        <v>-0.001979506288</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3528</v>
      </c>
      <c r="U80" s="10" t="s">
        <v>984</v>
      </c>
      <c r="V80" s="10" t="s">
        <v>998</v>
      </c>
      <c r="W80" s="10" t="s">
        <v>51</v>
      </c>
      <c r="X80" s="10" t="s">
        <v>984</v>
      </c>
    </row>
    <row r="81">
      <c r="A81" s="9">
        <f t="shared" si="1"/>
        <v>80</v>
      </c>
      <c r="B81" s="11">
        <v>46224.667858796296</v>
      </c>
      <c r="C81" s="10" t="s">
        <v>2793</v>
      </c>
      <c r="D81" s="10" t="s">
        <v>36</v>
      </c>
      <c r="E81" s="10" t="s">
        <v>37</v>
      </c>
      <c r="F81" s="13">
        <v>2.0</v>
      </c>
      <c r="G81" s="14">
        <v>48.38</v>
      </c>
      <c r="H81" s="10" t="s">
        <v>3530</v>
      </c>
      <c r="I81" s="10">
        <v>92.2</v>
      </c>
      <c r="O81" s="15">
        <f>IFERROR(__xludf.DUMMYFUNCTION("IF(ISBLANK($C81), """", GOOGLEFINANCE($C81, ""price""))"),47.37)</f>
        <v>47.37</v>
      </c>
      <c r="P81" s="16">
        <f t="shared" si="2"/>
        <v>-0.0208763952</v>
      </c>
      <c r="Q81" s="16">
        <f>IFERROR(__xludf.DUMMYFUNCTION("IF(OR(ISBLANK($G81), IFERROR(INDEX(GOOGLEFINANCE($C81, ""price"", WORKDAY(INT($B81), 1)), 2, 2), """")=""""), """", IF($D81=""LONG"", (IFERROR(INDEX(GOOGLEFINANCE($C81, ""price"", WORKDAY(INT($B81), 1)), 2, 2), """")-$G81)/$G81, ($G81-IFERROR(INDEX(GOOGLE"&amp;"FINANCE($C81, ""price"", WORKDAY(INT($B81), 1)), 2, 2), """"))/$G81))"),0.019636213311285566)</f>
        <v>0.01963621331</v>
      </c>
      <c r="R81" s="16">
        <f>IFERROR(__xludf.DUMMYFUNCTION("IF(OR(ISBLANK($G81), IFERROR(INDEX(GOOGLEFINANCE($C81, ""price"", WORKDAY(INT($B81), 5)), 2, 2), """")=""""), """", IF($D81=""LONG"", (IFERROR(INDEX(GOOGLEFINANCE($C81, ""price"", WORKDAY(INT($B81), 5)), 2, 2), """")-$G81)/$G81, ($G81-IFERROR(INDEX(GOOGLE"&amp;"FINANCE($C81, ""price"", WORKDAY(INT($B81), 5)), 2, 2), """"))/$G81))"),0.026250516742455477)</f>
        <v>0.02625051674</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3532</v>
      </c>
      <c r="U81" s="10" t="s">
        <v>984</v>
      </c>
      <c r="V81" s="10" t="s">
        <v>933</v>
      </c>
      <c r="W81" s="10" t="s">
        <v>51</v>
      </c>
      <c r="X81" s="10" t="s">
        <v>984</v>
      </c>
    </row>
    <row r="82">
      <c r="A82" s="9">
        <f t="shared" si="1"/>
        <v>81</v>
      </c>
      <c r="B82" s="11">
        <v>46224.66782407407</v>
      </c>
      <c r="C82" s="10" t="s">
        <v>3533</v>
      </c>
      <c r="D82" s="10" t="s">
        <v>36</v>
      </c>
      <c r="E82" s="10" t="s">
        <v>37</v>
      </c>
      <c r="F82" s="13">
        <v>2.0</v>
      </c>
      <c r="G82" s="14">
        <v>82.08</v>
      </c>
      <c r="H82" s="10" t="s">
        <v>3534</v>
      </c>
      <c r="I82" s="10">
        <v>94.5</v>
      </c>
      <c r="O82" s="15">
        <f>IFERROR(__xludf.DUMMYFUNCTION("IF(ISBLANK($C82), """", GOOGLEFINANCE($C82, ""price""))"),76.96)</f>
        <v>76.96</v>
      </c>
      <c r="P82" s="16">
        <f t="shared" si="2"/>
        <v>-0.06237816764</v>
      </c>
      <c r="Q82" s="16">
        <f>IFERROR(__xludf.DUMMYFUNCTION("IF(OR(ISBLANK($G82), IFERROR(INDEX(GOOGLEFINANCE($C82, ""price"", WORKDAY(INT($B82), 1)), 2, 2), """")=""""), """", IF($D82=""LONG"", (IFERROR(INDEX(GOOGLEFINANCE($C82, ""price"", WORKDAY(INT($B82), 1)), 2, 2), """")-$G82)/$G82, ($G82-IFERROR(INDEX(GOOGLE"&amp;"FINANCE($C82, ""price"", WORKDAY(INT($B82), 1)), 2, 2), """"))/$G82))"),0.0017056530214425022)</f>
        <v>0.001705653021</v>
      </c>
      <c r="R82" s="16">
        <f>IFERROR(__xludf.DUMMYFUNCTION("IF(OR(ISBLANK($G82), IFERROR(INDEX(GOOGLEFINANCE($C82, ""price"", WORKDAY(INT($B82), 5)), 2, 2), """")=""""), """", IF($D82=""LONG"", (IFERROR(INDEX(GOOGLEFINANCE($C82, ""price"", WORKDAY(INT($B82), 5)), 2, 2), """")-$G82)/$G82, ($G82-IFERROR(INDEX(GOOGLE"&amp;"FINANCE($C82, ""price"", WORKDAY(INT($B82), 5)), 2, 2), """"))/$G82))"),-0.013523391812865491)</f>
        <v>-0.01352339181</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3536</v>
      </c>
      <c r="U82" s="10" t="s">
        <v>984</v>
      </c>
      <c r="V82" s="10" t="s">
        <v>933</v>
      </c>
      <c r="W82" s="10" t="s">
        <v>51</v>
      </c>
      <c r="X82" s="10" t="s">
        <v>984</v>
      </c>
    </row>
    <row r="83">
      <c r="A83" s="9">
        <f t="shared" si="1"/>
        <v>82</v>
      </c>
      <c r="B83" s="11">
        <v>46224.667858796296</v>
      </c>
      <c r="C83" s="10" t="s">
        <v>3537</v>
      </c>
      <c r="D83" s="10" t="s">
        <v>119</v>
      </c>
      <c r="E83" s="10" t="s">
        <v>120</v>
      </c>
      <c r="F83" s="13">
        <v>4.0</v>
      </c>
      <c r="G83" s="14">
        <v>759.95</v>
      </c>
      <c r="H83" s="10" t="s">
        <v>3539</v>
      </c>
      <c r="I83" s="10">
        <v>11.2</v>
      </c>
      <c r="O83" s="15">
        <f>IFERROR(__xludf.DUMMYFUNCTION("IF(ISBLANK($C83), """", GOOGLEFINANCE($C83, ""price""))"),808.43)</f>
        <v>808.43</v>
      </c>
      <c r="P83" s="16">
        <f t="shared" si="2"/>
        <v>-0.06379367064</v>
      </c>
      <c r="Q83" s="16">
        <f>IFERROR(__xludf.DUMMYFUNCTION("IF(OR(ISBLANK($G83), IFERROR(INDEX(GOOGLEFINANCE($C83, ""price"", WORKDAY(INT($B83), 1)), 2, 2), """")=""""), """", IF($D83=""LONG"", (IFERROR(INDEX(GOOGLEFINANCE($C83, ""price"", WORKDAY(INT($B83), 1)), 2, 2), """")-$G83)/$G83, ($G83-IFERROR(INDEX(GOOGLE"&amp;"FINANCE($C83, ""price"", WORKDAY(INT($B83), 1)), 2, 2), """"))/$G83))"),0.006316205013487819)</f>
        <v>0.006316205013</v>
      </c>
      <c r="R83" s="16">
        <f>IFERROR(__xludf.DUMMYFUNCTION("IF(OR(ISBLANK($G83), IFERROR(INDEX(GOOGLEFINANCE($C83, ""price"", WORKDAY(INT($B83), 5)), 2, 2), """")=""""), """", IF($D83=""LONG"", (IFERROR(INDEX(GOOGLEFINANCE($C83, ""price"", WORKDAY(INT($B83), 5)), 2, 2), """")-$G83)/$G83, ($G83-IFERROR(INDEX(GOOGLE"&amp;"FINANCE($C83, ""price"", WORKDAY(INT($B83), 5)), 2, 2), """"))/$G83))"),0.07122837028751891)</f>
        <v>0.07122837029</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3540</v>
      </c>
      <c r="U83" s="10" t="s">
        <v>984</v>
      </c>
      <c r="V83" s="10" t="s">
        <v>985</v>
      </c>
      <c r="W83" s="10" t="s">
        <v>51</v>
      </c>
      <c r="X83" s="10" t="s">
        <v>984</v>
      </c>
    </row>
    <row r="84">
      <c r="A84" s="9">
        <f t="shared" si="1"/>
        <v>83</v>
      </c>
      <c r="B84" s="11">
        <v>46224.667858796296</v>
      </c>
      <c r="C84" s="10" t="s">
        <v>398</v>
      </c>
      <c r="D84" s="10" t="s">
        <v>36</v>
      </c>
      <c r="E84" s="10" t="s">
        <v>37</v>
      </c>
      <c r="F84" s="13">
        <v>2.0</v>
      </c>
      <c r="G84" s="14">
        <v>71.63</v>
      </c>
      <c r="H84" s="10" t="s">
        <v>3541</v>
      </c>
      <c r="I84" s="10">
        <v>95.8</v>
      </c>
      <c r="L84" s="10" t="s">
        <v>3542</v>
      </c>
      <c r="M84" s="34" t="s">
        <v>951</v>
      </c>
      <c r="N84" s="10" t="s">
        <v>925</v>
      </c>
      <c r="O84" s="15">
        <f>IFERROR(__xludf.DUMMYFUNCTION("IF(ISBLANK($C84), """", GOOGLEFINANCE($C84, ""price""))"),71.9)</f>
        <v>71.9</v>
      </c>
      <c r="P84" s="16">
        <f t="shared" si="2"/>
        <v>0.003769370376</v>
      </c>
      <c r="Q84" s="16">
        <f>IFERROR(__xludf.DUMMYFUNCTION("IF(OR(ISBLANK($G84), IFERROR(INDEX(GOOGLEFINANCE($C84, ""price"", WORKDAY(INT($B84), 1)), 2, 2), """")=""""), """", IF($D84=""LONG"", (IFERROR(INDEX(GOOGLEFINANCE($C84, ""price"", WORKDAY(INT($B84), 1)), 2, 2), """")-$G84)/$G84, ($G84-IFERROR(INDEX(GOOGLE"&amp;"FINANCE($C84, ""price"", WORKDAY(INT($B84), 1)), 2, 2), """"))/$G84))"),0.0020940946530783986)</f>
        <v>0.002094094653</v>
      </c>
      <c r="R84" s="16">
        <f>IFERROR(__xludf.DUMMYFUNCTION("IF(OR(ISBLANK($G84), IFERROR(INDEX(GOOGLEFINANCE($C84, ""price"", WORKDAY(INT($B84), 5)), 2, 2), """")=""""), """", IF($D84=""LONG"", (IFERROR(INDEX(GOOGLEFINANCE($C84, ""price"", WORKDAY(INT($B84), 5)), 2, 2), """")-$G84)/$G84, ($G84-IFERROR(INDEX(GOOGLE"&amp;"FINANCE($C84, ""price"", WORKDAY(INT($B84), 5)), 2, 2), """"))/$G84))"),0.006142677649029705)</f>
        <v>0.006142677649</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3545</v>
      </c>
      <c r="U84" s="10" t="s">
        <v>240</v>
      </c>
      <c r="V84" s="10" t="s">
        <v>3546</v>
      </c>
      <c r="W84" s="10" t="s">
        <v>51</v>
      </c>
      <c r="X84" s="10" t="s">
        <v>1905</v>
      </c>
    </row>
    <row r="85">
      <c r="A85" s="9">
        <f t="shared" si="1"/>
        <v>84</v>
      </c>
      <c r="B85" s="11">
        <v>46224.66788194444</v>
      </c>
      <c r="C85" s="10" t="s">
        <v>691</v>
      </c>
      <c r="D85" s="10" t="s">
        <v>36</v>
      </c>
      <c r="E85" s="10" t="s">
        <v>133</v>
      </c>
      <c r="F85" s="13">
        <v>2.0</v>
      </c>
      <c r="G85" s="14">
        <v>30.1</v>
      </c>
      <c r="H85" s="10" t="s">
        <v>3547</v>
      </c>
      <c r="I85" s="10">
        <v>81.9</v>
      </c>
      <c r="O85" s="15">
        <f>IFERROR(__xludf.DUMMYFUNCTION("IF(ISBLANK($C85), """", GOOGLEFINANCE($C85, ""price""))"),31.69)</f>
        <v>31.69</v>
      </c>
      <c r="P85" s="16">
        <f t="shared" si="2"/>
        <v>0.05282392027</v>
      </c>
      <c r="Q85" s="16">
        <f>IFERROR(__xludf.DUMMYFUNCTION("IF(OR(ISBLANK($G85), IFERROR(INDEX(GOOGLEFINANCE($C85, ""price"", WORKDAY(INT($B85), 1)), 2, 2), """")=""""), """", IF($D85=""LONG"", (IFERROR(INDEX(GOOGLEFINANCE($C85, ""price"", WORKDAY(INT($B85), 1)), 2, 2), """")-$G85)/$G85, ($G85-IFERROR(INDEX(GOOGLE"&amp;"FINANCE($C85, ""price"", WORKDAY(INT($B85), 1)), 2, 2), """"))/$G85))"),0.01328903654485045)</f>
        <v>0.01328903654</v>
      </c>
      <c r="R85" s="16">
        <f>IFERROR(__xludf.DUMMYFUNCTION("IF(OR(ISBLANK($G85), IFERROR(INDEX(GOOGLEFINANCE($C85, ""price"", WORKDAY(INT($B85), 5)), 2, 2), """")=""""), """", IF($D85=""LONG"", (IFERROR(INDEX(GOOGLEFINANCE($C85, ""price"", WORKDAY(INT($B85), 5)), 2, 2), """")-$G85)/$G85, ($G85-IFERROR(INDEX(GOOGLE"&amp;"FINANCE($C85, ""price"", WORKDAY(INT($B85), 5)), 2, 2), """"))/$G85))"),-0.02225913621262464)</f>
        <v>-0.02225913621</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3552</v>
      </c>
      <c r="U85" s="10" t="s">
        <v>984</v>
      </c>
      <c r="V85" s="10" t="s">
        <v>2785</v>
      </c>
      <c r="W85" s="10" t="s">
        <v>51</v>
      </c>
      <c r="X85" s="10" t="s">
        <v>984</v>
      </c>
    </row>
    <row r="86">
      <c r="A86" s="9">
        <f t="shared" si="1"/>
        <v>85</v>
      </c>
      <c r="B86" s="11">
        <v>46224.66777777778</v>
      </c>
      <c r="C86" s="10" t="s">
        <v>800</v>
      </c>
      <c r="D86" s="10" t="s">
        <v>36</v>
      </c>
      <c r="E86" s="10" t="s">
        <v>37</v>
      </c>
      <c r="F86" s="13">
        <v>2.0</v>
      </c>
      <c r="G86" s="14">
        <v>303.14</v>
      </c>
      <c r="H86" s="10" t="s">
        <v>250</v>
      </c>
      <c r="I86" s="10">
        <v>97.0</v>
      </c>
      <c r="O86" s="15">
        <f>IFERROR(__xludf.DUMMYFUNCTION("IF(ISBLANK($C86), """", GOOGLEFINANCE($C86, ""price""))"),325.01)</f>
        <v>325.01</v>
      </c>
      <c r="P86" s="16">
        <f t="shared" si="2"/>
        <v>0.07214488355</v>
      </c>
      <c r="Q86" s="16">
        <f>IFERROR(__xludf.DUMMYFUNCTION("IF(OR(ISBLANK($G86), IFERROR(INDEX(GOOGLEFINANCE($C86, ""price"", WORKDAY(INT($B86), 1)), 2, 2), """")=""""), """", IF($D86=""LONG"", (IFERROR(INDEX(GOOGLEFINANCE($C86, ""price"", WORKDAY(INT($B86), 1)), 2, 2), """")-$G86)/$G86, ($G86-IFERROR(INDEX(GOOGLE"&amp;"FINANCE($C86, ""price"", WORKDAY(INT($B86), 1)), 2, 2), """"))/$G86))"),-0.00844494293065911)</f>
        <v>-0.008444942931</v>
      </c>
      <c r="R86" s="16">
        <f>IFERROR(__xludf.DUMMYFUNCTION("IF(OR(ISBLANK($G86), IFERROR(INDEX(GOOGLEFINANCE($C86, ""price"", WORKDAY(INT($B86), 5)), 2, 2), """")=""""), """", IF($D86=""LONG"", (IFERROR(INDEX(GOOGLEFINANCE($C86, ""price"", WORKDAY(INT($B86), 5)), 2, 2), """")-$G86)/$G86, ($G86-IFERROR(INDEX(GOOGLE"&amp;"FINANCE($C86, ""price"", WORKDAY(INT($B86), 5)), 2, 2), """"))/$G86))"),0.05423236788282641)</f>
        <v>0.05423236788</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3555</v>
      </c>
      <c r="U86" s="10" t="s">
        <v>984</v>
      </c>
      <c r="V86" s="10" t="s">
        <v>985</v>
      </c>
      <c r="W86" s="10" t="s">
        <v>51</v>
      </c>
      <c r="X86" s="10" t="s">
        <v>984</v>
      </c>
    </row>
    <row r="87">
      <c r="A87" s="9">
        <f t="shared" si="1"/>
        <v>86</v>
      </c>
      <c r="B87" s="11">
        <v>46224.66768518519</v>
      </c>
      <c r="C87" s="10" t="s">
        <v>3104</v>
      </c>
      <c r="D87" s="10" t="s">
        <v>36</v>
      </c>
      <c r="E87" s="10" t="s">
        <v>37</v>
      </c>
      <c r="F87" s="13">
        <v>2.0</v>
      </c>
      <c r="G87" s="14">
        <v>167.96</v>
      </c>
      <c r="H87" s="10" t="s">
        <v>3556</v>
      </c>
      <c r="I87" s="10">
        <v>92.6</v>
      </c>
      <c r="O87" s="15">
        <f>IFERROR(__xludf.DUMMYFUNCTION("IF(ISBLANK($C87), """", GOOGLEFINANCE($C87, ""price""))"),179.33)</f>
        <v>179.33</v>
      </c>
      <c r="P87" s="16">
        <f t="shared" si="2"/>
        <v>0.06769468921</v>
      </c>
      <c r="Q87" s="16">
        <f>IFERROR(__xludf.DUMMYFUNCTION("IF(OR(ISBLANK($G87), IFERROR(INDEX(GOOGLEFINANCE($C87, ""price"", WORKDAY(INT($B87), 1)), 2, 2), """")=""""), """", IF($D87=""LONG"", (IFERROR(INDEX(GOOGLEFINANCE($C87, ""price"", WORKDAY(INT($B87), 1)), 2, 2), """")-$G87)/$G87, ($G87-IFERROR(INDEX(GOOGLE"&amp;"FINANCE($C87, ""price"", WORKDAY(INT($B87), 1)), 2, 2), """"))/$G87))"),2.976899261727968E-4)</f>
        <v>0.0002976899262</v>
      </c>
      <c r="R87" s="16">
        <f>IFERROR(__xludf.DUMMYFUNCTION("IF(OR(ISBLANK($G87), IFERROR(INDEX(GOOGLEFINANCE($C87, ""price"", WORKDAY(INT($B87), 5)), 2, 2), """")=""""), """", IF($D87=""LONG"", (IFERROR(INDEX(GOOGLEFINANCE($C87, ""price"", WORKDAY(INT($B87), 5)), 2, 2), """")-$G87)/$G87, ($G87-IFERROR(INDEX(GOOGLE"&amp;"FINANCE($C87, ""price"", WORKDAY(INT($B87), 5)), 2, 2), """"))/$G87))"),0.05489402238628244)</f>
        <v>0.05489402239</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3558</v>
      </c>
      <c r="U87" s="10" t="s">
        <v>984</v>
      </c>
      <c r="V87" s="10" t="s">
        <v>933</v>
      </c>
      <c r="W87" s="10" t="s">
        <v>51</v>
      </c>
      <c r="X87" s="10" t="s">
        <v>984</v>
      </c>
    </row>
    <row r="88">
      <c r="A88" s="9">
        <f t="shared" si="1"/>
        <v>87</v>
      </c>
      <c r="B88" s="11">
        <v>46224.66775462963</v>
      </c>
      <c r="C88" s="10" t="s">
        <v>406</v>
      </c>
      <c r="D88" s="10" t="s">
        <v>36</v>
      </c>
      <c r="E88" s="10" t="s">
        <v>37</v>
      </c>
      <c r="F88" s="13">
        <v>2.0</v>
      </c>
      <c r="G88" s="14">
        <v>180.48</v>
      </c>
      <c r="H88" s="10" t="s">
        <v>3560</v>
      </c>
      <c r="I88" s="10">
        <v>92.6</v>
      </c>
      <c r="L88" s="10" t="s">
        <v>2174</v>
      </c>
      <c r="M88" s="10" t="s">
        <v>2174</v>
      </c>
      <c r="N88" s="10" t="s">
        <v>3561</v>
      </c>
      <c r="O88" s="15">
        <f>IFERROR(__xludf.DUMMYFUNCTION("IF(ISBLANK($C88), """", GOOGLEFINANCE($C88, ""price""))"),179.04)</f>
        <v>179.04</v>
      </c>
      <c r="P88" s="16">
        <f t="shared" si="2"/>
        <v>-0.007978723404</v>
      </c>
      <c r="Q88" s="16">
        <f>IFERROR(__xludf.DUMMYFUNCTION("IF(OR(ISBLANK($G88), IFERROR(INDEX(GOOGLEFINANCE($C88, ""price"", WORKDAY(INT($B88), 1)), 2, 2), """")=""""), """", IF($D88=""LONG"", (IFERROR(INDEX(GOOGLEFINANCE($C88, ""price"", WORKDAY(INT($B88), 1)), 2, 2), """")-$G88)/$G88, ($G88-IFERROR(INDEX(GOOGLE"&amp;"FINANCE($C88, ""price"", WORKDAY(INT($B88), 1)), 2, 2), """"))/$G88))"),-0.006925975177304965)</f>
        <v>-0.006925975177</v>
      </c>
      <c r="R88" s="16">
        <f>IFERROR(__xludf.DUMMYFUNCTION("IF(OR(ISBLANK($G88), IFERROR(INDEX(GOOGLEFINANCE($C88, ""price"", WORKDAY(INT($B88), 5)), 2, 2), """")=""""), """", IF($D88=""LONG"", (IFERROR(INDEX(GOOGLEFINANCE($C88, ""price"", WORKDAY(INT($B88), 5)), 2, 2), """")-$G88)/$G88, ($G88-IFERROR(INDEX(GOOGLE"&amp;"FINANCE($C88, ""price"", WORKDAY(INT($B88), 5)), 2, 2), """"))/$G88))"),0.011912677304964571)</f>
        <v>0.0119126773</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3563</v>
      </c>
      <c r="U88" s="10" t="s">
        <v>704</v>
      </c>
      <c r="V88" s="10" t="s">
        <v>3564</v>
      </c>
      <c r="W88" s="10" t="s">
        <v>51</v>
      </c>
      <c r="X88" s="10" t="s">
        <v>1885</v>
      </c>
    </row>
    <row r="89">
      <c r="A89" s="9">
        <f t="shared" si="1"/>
        <v>88</v>
      </c>
      <c r="B89" s="11">
        <v>46224.6678125</v>
      </c>
      <c r="C89" s="10" t="s">
        <v>3566</v>
      </c>
      <c r="D89" s="10" t="s">
        <v>36</v>
      </c>
      <c r="E89" s="10" t="s">
        <v>37</v>
      </c>
      <c r="F89" s="13">
        <v>2.0</v>
      </c>
      <c r="G89" s="14">
        <v>359.39</v>
      </c>
      <c r="H89" s="10" t="s">
        <v>3567</v>
      </c>
      <c r="I89" s="10">
        <v>97.4</v>
      </c>
      <c r="O89" s="15">
        <f>IFERROR(__xludf.DUMMYFUNCTION("IF(ISBLANK($C89), """", GOOGLEFINANCE($C89, ""price""))"),360.75)</f>
        <v>360.75</v>
      </c>
      <c r="P89" s="16">
        <f t="shared" si="2"/>
        <v>0.003784189877</v>
      </c>
      <c r="Q89" s="16">
        <f>IFERROR(__xludf.DUMMYFUNCTION("IF(OR(ISBLANK($G89), IFERROR(INDEX(GOOGLEFINANCE($C89, ""price"", WORKDAY(INT($B89), 1)), 2, 2), """")=""""), """", IF($D89=""LONG"", (IFERROR(INDEX(GOOGLEFINANCE($C89, ""price"", WORKDAY(INT($B89), 1)), 2, 2), """")-$G89)/$G89, ($G89-IFERROR(INDEX(GOOGLE"&amp;"FINANCE($C89, ""price"", WORKDAY(INT($B89), 1)), 2, 2), """"))/$G89))"),-0.019644397451236827)</f>
        <v>-0.01964439745</v>
      </c>
      <c r="R89" s="16">
        <f>IFERROR(__xludf.DUMMYFUNCTION("IF(OR(ISBLANK($G89), IFERROR(INDEX(GOOGLEFINANCE($C89, ""price"", WORKDAY(INT($B89), 5)), 2, 2), """")=""""), """", IF($D89=""LONG"", (IFERROR(INDEX(GOOGLEFINANCE($C89, ""price"", WORKDAY(INT($B89), 5)), 2, 2), """")-$G89)/$G89, ($G89-IFERROR(INDEX(GOOGLE"&amp;"FINANCE($C89, ""price"", WORKDAY(INT($B89), 5)), 2, 2), """"))/$G89))"),0.06085311221792483)</f>
        <v>0.06085311222</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3569</v>
      </c>
      <c r="U89" s="10" t="s">
        <v>984</v>
      </c>
      <c r="V89" s="10" t="s">
        <v>933</v>
      </c>
      <c r="W89" s="10" t="s">
        <v>51</v>
      </c>
      <c r="X89" s="10" t="s">
        <v>984</v>
      </c>
    </row>
    <row r="90">
      <c r="A90" s="9">
        <f t="shared" si="1"/>
        <v>89</v>
      </c>
      <c r="B90" s="11">
        <v>46224.6678125</v>
      </c>
      <c r="C90" s="10" t="s">
        <v>1183</v>
      </c>
      <c r="D90" s="10" t="s">
        <v>36</v>
      </c>
      <c r="E90" s="10" t="s">
        <v>37</v>
      </c>
      <c r="F90" s="13">
        <v>2.0</v>
      </c>
      <c r="G90" s="14">
        <v>185.15</v>
      </c>
      <c r="H90" s="10" t="s">
        <v>3570</v>
      </c>
      <c r="I90" s="10">
        <v>91.1</v>
      </c>
      <c r="O90" s="15">
        <f>IFERROR(__xludf.DUMMYFUNCTION("IF(ISBLANK($C90), """", GOOGLEFINANCE($C90, ""price""))"),184.14)</f>
        <v>184.14</v>
      </c>
      <c r="P90" s="16">
        <f t="shared" si="2"/>
        <v>-0.005455036457</v>
      </c>
      <c r="Q90" s="16">
        <f>IFERROR(__xludf.DUMMYFUNCTION("IF(OR(ISBLANK($G90), IFERROR(INDEX(GOOGLEFINANCE($C90, ""price"", WORKDAY(INT($B90), 1)), 2, 2), """")=""""), """", IF($D90=""LONG"", (IFERROR(INDEX(GOOGLEFINANCE($C90, ""price"", WORKDAY(INT($B90), 1)), 2, 2), """")-$G90)/$G90, ($G90-IFERROR(INDEX(GOOGLE"&amp;"FINANCE($C90, ""price"", WORKDAY(INT($B90), 1)), 2, 2), """"))/$G90))"),-0.035052660005401075)</f>
        <v>-0.03505266001</v>
      </c>
      <c r="R90" s="16">
        <f>IFERROR(__xludf.DUMMYFUNCTION("IF(OR(ISBLANK($G90), IFERROR(INDEX(GOOGLEFINANCE($C90, ""price"", WORKDAY(INT($B90), 5)), 2, 2), """")=""""), """", IF($D90=""LONG"", (IFERROR(INDEX(GOOGLEFINANCE($C90, ""price"", WORKDAY(INT($B90), 5)), 2, 2), """")-$G90)/$G90, ($G90-IFERROR(INDEX(GOOGLE"&amp;"FINANCE($C90, ""price"", WORKDAY(INT($B90), 5)), 2, 2), """"))/$G90))"),-0.02317040237645148)</f>
        <v>-0.02317040238</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3573</v>
      </c>
      <c r="U90" s="10" t="s">
        <v>984</v>
      </c>
      <c r="V90" s="10" t="s">
        <v>933</v>
      </c>
      <c r="W90" s="10" t="s">
        <v>51</v>
      </c>
      <c r="X90" s="10" t="s">
        <v>984</v>
      </c>
    </row>
    <row r="91">
      <c r="A91" s="9">
        <f t="shared" si="1"/>
        <v>90</v>
      </c>
      <c r="B91" s="11">
        <v>46224.66782407407</v>
      </c>
      <c r="C91" s="10" t="s">
        <v>3574</v>
      </c>
      <c r="D91" s="10" t="s">
        <v>36</v>
      </c>
      <c r="E91" s="10" t="s">
        <v>37</v>
      </c>
      <c r="F91" s="13">
        <v>2.0</v>
      </c>
      <c r="G91" s="14">
        <v>331.43</v>
      </c>
      <c r="H91" s="10" t="s">
        <v>3575</v>
      </c>
      <c r="I91" s="10">
        <v>93.3</v>
      </c>
      <c r="O91" s="15">
        <f>IFERROR(__xludf.DUMMYFUNCTION("IF(ISBLANK($C91), """", GOOGLEFINANCE($C91, ""price""))"),342.46)</f>
        <v>342.46</v>
      </c>
      <c r="P91" s="16">
        <f t="shared" si="2"/>
        <v>0.03328002897</v>
      </c>
      <c r="Q91" s="16">
        <f>IFERROR(__xludf.DUMMYFUNCTION("IF(OR(ISBLANK($G91), IFERROR(INDEX(GOOGLEFINANCE($C91, ""price"", WORKDAY(INT($B91), 1)), 2, 2), """")=""""), """", IF($D91=""LONG"", (IFERROR(INDEX(GOOGLEFINANCE($C91, ""price"", WORKDAY(INT($B91), 1)), 2, 2), """")-$G91)/$G91, ($G91-IFERROR(INDEX(GOOGLE"&amp;"FINANCE($C91, ""price"", WORKDAY(INT($B91), 1)), 2, 2), """"))/$G91))"),-0.0014784419032676857)</f>
        <v>-0.001478441903</v>
      </c>
      <c r="R91" s="16">
        <f>IFERROR(__xludf.DUMMYFUNCTION("IF(OR(ISBLANK($G91), IFERROR(INDEX(GOOGLEFINANCE($C91, ""price"", WORKDAY(INT($B91), 5)), 2, 2), """")=""""), """", IF($D91=""LONG"", (IFERROR(INDEX(GOOGLEFINANCE($C91, ""price"", WORKDAY(INT($B91), 5)), 2, 2), """")-$G91)/$G91, ($G91-IFERROR(INDEX(GOOGLE"&amp;"FINANCE($C91, ""price"", WORKDAY(INT($B91), 5)), 2, 2), """"))/$G91))"),0.022357662251455718)</f>
        <v>0.02235766225</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3578</v>
      </c>
      <c r="U91" s="10" t="s">
        <v>984</v>
      </c>
      <c r="V91" s="10" t="s">
        <v>933</v>
      </c>
      <c r="W91" s="10" t="s">
        <v>51</v>
      </c>
      <c r="X91" s="10" t="s">
        <v>984</v>
      </c>
    </row>
    <row r="92">
      <c r="A92" s="9">
        <f t="shared" si="1"/>
        <v>91</v>
      </c>
      <c r="B92" s="11">
        <v>46224.66782407407</v>
      </c>
      <c r="C92" s="10" t="s">
        <v>63</v>
      </c>
      <c r="D92" s="10" t="s">
        <v>36</v>
      </c>
      <c r="E92" s="10" t="s">
        <v>133</v>
      </c>
      <c r="F92" s="13">
        <v>2.0</v>
      </c>
      <c r="G92" s="14">
        <v>158.87</v>
      </c>
      <c r="H92" s="10" t="s">
        <v>3579</v>
      </c>
      <c r="I92" s="10">
        <v>81.6</v>
      </c>
      <c r="O92" s="15">
        <f>IFERROR(__xludf.DUMMYFUNCTION("IF(ISBLANK($C92), """", GOOGLEFINANCE($C92, ""price""))"),158.82)</f>
        <v>158.82</v>
      </c>
      <c r="P92" s="16">
        <f t="shared" si="2"/>
        <v>-0.0003147227293</v>
      </c>
      <c r="Q92" s="16">
        <f>IFERROR(__xludf.DUMMYFUNCTION("IF(OR(ISBLANK($G92), IFERROR(INDEX(GOOGLEFINANCE($C92, ""price"", WORKDAY(INT($B92), 1)), 2, 2), """")=""""), """", IF($D92=""LONG"", (IFERROR(INDEX(GOOGLEFINANCE($C92, ""price"", WORKDAY(INT($B92), 1)), 2, 2), """")-$G92)/$G92, ($G92-IFERROR(INDEX(GOOGLE"&amp;"FINANCE($C92, ""price"", WORKDAY(INT($B92), 1)), 2, 2), """"))/$G92))"),0.009567570969975337)</f>
        <v>0.00956757097</v>
      </c>
      <c r="R92" s="16">
        <f>IFERROR(__xludf.DUMMYFUNCTION("IF(OR(ISBLANK($G92), IFERROR(INDEX(GOOGLEFINANCE($C92, ""price"", WORKDAY(INT($B92), 5)), 2, 2), """")=""""), """", IF($D92=""LONG"", (IFERROR(INDEX(GOOGLEFINANCE($C92, ""price"", WORKDAY(INT($B92), 5)), 2, 2), """")-$G92)/$G92, ($G92-IFERROR(INDEX(GOOGLE"&amp;"FINANCE($C92, ""price"", WORKDAY(INT($B92), 5)), 2, 2), """"))/$G92))"),-0.014980801913514166)</f>
        <v>-0.01498080191</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3581</v>
      </c>
      <c r="U92" s="10" t="s">
        <v>240</v>
      </c>
      <c r="V92" s="10" t="s">
        <v>3582</v>
      </c>
      <c r="W92" s="10" t="s">
        <v>51</v>
      </c>
      <c r="X92" s="10" t="s">
        <v>1905</v>
      </c>
    </row>
    <row r="93">
      <c r="A93" s="9">
        <f t="shared" si="1"/>
        <v>92</v>
      </c>
      <c r="B93" s="11">
        <v>46224.667592592596</v>
      </c>
      <c r="C93" s="10" t="s">
        <v>272</v>
      </c>
      <c r="D93" s="10" t="s">
        <v>36</v>
      </c>
      <c r="E93" s="10" t="s">
        <v>37</v>
      </c>
      <c r="F93" s="13">
        <v>2.0</v>
      </c>
      <c r="G93" s="14">
        <v>345.15</v>
      </c>
      <c r="H93" s="10" t="s">
        <v>3585</v>
      </c>
      <c r="I93" s="10">
        <v>93.8</v>
      </c>
      <c r="O93" s="15">
        <f>IFERROR(__xludf.DUMMYFUNCTION("IF(ISBLANK($C93), """", GOOGLEFINANCE($C93, ""price""))"),356.3)</f>
        <v>356.3</v>
      </c>
      <c r="P93" s="16">
        <f t="shared" si="2"/>
        <v>0.03230479502</v>
      </c>
      <c r="Q93" s="16">
        <f>IFERROR(__xludf.DUMMYFUNCTION("IF(OR(ISBLANK($G93), IFERROR(INDEX(GOOGLEFINANCE($C93, ""price"", WORKDAY(INT($B93), 1)), 2, 2), """")=""""), """", IF($D93=""LONG"", (IFERROR(INDEX(GOOGLEFINANCE($C93, ""price"", WORKDAY(INT($B93), 1)), 2, 2), """")-$G93)/$G93, ($G93-IFERROR(INDEX(GOOGLE"&amp;"FINANCE($C93, ""price"", WORKDAY(INT($B93), 1)), 2, 2), """"))/$G93))"),0.008865710560625822)</f>
        <v>0.008865710561</v>
      </c>
      <c r="R93" s="16">
        <f>IFERROR(__xludf.DUMMYFUNCTION("IF(OR(ISBLANK($G93), IFERROR(INDEX(GOOGLEFINANCE($C93, ""price"", WORKDAY(INT($B93), 5)), 2, 2), """")=""""), """", IF($D93=""LONG"", (IFERROR(INDEX(GOOGLEFINANCE($C93, ""price"", WORKDAY(INT($B93), 5)), 2, 2), """")-$G93)/$G93, ($G93-IFERROR(INDEX(GOOGLE"&amp;"FINANCE($C93, ""price"", WORKDAY(INT($B93), 5)), 2, 2), """"))/$G93))"),0.035231058959872594)</f>
        <v>0.03523105896</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3586</v>
      </c>
      <c r="U93" s="10" t="s">
        <v>984</v>
      </c>
      <c r="V93" s="10" t="s">
        <v>2785</v>
      </c>
      <c r="W93" s="10" t="s">
        <v>51</v>
      </c>
      <c r="X93" s="10" t="s">
        <v>984</v>
      </c>
    </row>
    <row r="94">
      <c r="A94" s="9">
        <f t="shared" si="1"/>
        <v>93</v>
      </c>
      <c r="B94" s="11">
        <v>46224.667604166665</v>
      </c>
      <c r="C94" s="10" t="s">
        <v>201</v>
      </c>
      <c r="D94" s="10" t="s">
        <v>36</v>
      </c>
      <c r="E94" s="10" t="s">
        <v>37</v>
      </c>
      <c r="F94" s="13">
        <v>2.0</v>
      </c>
      <c r="G94" s="14">
        <v>131.47</v>
      </c>
      <c r="H94" s="10" t="s">
        <v>3587</v>
      </c>
      <c r="I94" s="10">
        <v>97.8</v>
      </c>
      <c r="O94" s="15">
        <f>IFERROR(__xludf.DUMMYFUNCTION("IF(ISBLANK($C94), """", GOOGLEFINANCE($C94, ""price""))"),134.82)</f>
        <v>134.82</v>
      </c>
      <c r="P94" s="16">
        <f t="shared" si="2"/>
        <v>0.02548109835</v>
      </c>
      <c r="Q94" s="16">
        <f>IFERROR(__xludf.DUMMYFUNCTION("IF(OR(ISBLANK($G94), IFERROR(INDEX(GOOGLEFINANCE($C94, ""price"", WORKDAY(INT($B94), 1)), 2, 2), """")=""""), """", IF($D94=""LONG"", (IFERROR(INDEX(GOOGLEFINANCE($C94, ""price"", WORKDAY(INT($B94), 1)), 2, 2), """")-$G94)/$G94, ($G94-IFERROR(INDEX(GOOGLE"&amp;"FINANCE($C94, ""price"", WORKDAY(INT($B94), 1)), 2, 2), """"))/$G94))"),0.01795086331482478)</f>
        <v>0.01795086331</v>
      </c>
      <c r="R94" s="16">
        <f>IFERROR(__xludf.DUMMYFUNCTION("IF(OR(ISBLANK($G94), IFERROR(INDEX(GOOGLEFINANCE($C94, ""price"", WORKDAY(INT($B94), 5)), 2, 2), """")=""""), """", IF($D94=""LONG"", (IFERROR(INDEX(GOOGLEFINANCE($C94, ""price"", WORKDAY(INT($B94), 5)), 2, 2), """")-$G94)/$G94, ($G94-IFERROR(INDEX(GOOGLE"&amp;"FINANCE($C94, ""price"", WORKDAY(INT($B94), 5)), 2, 2), """"))/$G94))"),0.049973377956948305)</f>
        <v>0.04997337796</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3591</v>
      </c>
      <c r="U94" s="10" t="s">
        <v>984</v>
      </c>
      <c r="V94" s="10" t="s">
        <v>985</v>
      </c>
      <c r="W94" s="10" t="s">
        <v>51</v>
      </c>
      <c r="X94" s="10" t="s">
        <v>984</v>
      </c>
    </row>
    <row r="95">
      <c r="A95" s="9">
        <f t="shared" si="1"/>
        <v>94</v>
      </c>
      <c r="B95" s="11">
        <v>46224.66743055556</v>
      </c>
      <c r="C95" s="10" t="s">
        <v>174</v>
      </c>
      <c r="D95" s="10" t="s">
        <v>36</v>
      </c>
      <c r="E95" s="10" t="s">
        <v>37</v>
      </c>
      <c r="F95" s="13">
        <v>2.0</v>
      </c>
      <c r="G95" s="14">
        <v>25.12</v>
      </c>
      <c r="H95" s="10" t="s">
        <v>3592</v>
      </c>
      <c r="I95" s="10">
        <v>89.4</v>
      </c>
      <c r="O95" s="15">
        <f>IFERROR(__xludf.DUMMYFUNCTION("IF(ISBLANK($C95), """", GOOGLEFINANCE($C95, ""price""))"),25.09)</f>
        <v>25.09</v>
      </c>
      <c r="P95" s="16">
        <f t="shared" si="2"/>
        <v>-0.001194267516</v>
      </c>
      <c r="Q95" s="16">
        <f>IFERROR(__xludf.DUMMYFUNCTION("IF(OR(ISBLANK($G95), IFERROR(INDEX(GOOGLEFINANCE($C95, ""price"", WORKDAY(INT($B95), 1)), 2, 2), """")=""""), """", IF($D95=""LONG"", (IFERROR(INDEX(GOOGLEFINANCE($C95, ""price"", WORKDAY(INT($B95), 1)), 2, 2), """")-$G95)/$G95, ($G95-IFERROR(INDEX(GOOGLE"&amp;"FINANCE($C95, ""price"", WORKDAY(INT($B95), 1)), 2, 2), """"))/$G95))"),0.0035828025477706946)</f>
        <v>0.003582802548</v>
      </c>
      <c r="R95" s="16">
        <f>IFERROR(__xludf.DUMMYFUNCTION("IF(OR(ISBLANK($G95), IFERROR(INDEX(GOOGLEFINANCE($C95, ""price"", WORKDAY(INT($B95), 5)), 2, 2), """")=""""), """", IF($D95=""LONG"", (IFERROR(INDEX(GOOGLEFINANCE($C95, ""price"", WORKDAY(INT($B95), 5)), 2, 2), """")-$G95)/$G95, ($G95-IFERROR(INDEX(GOOGLE"&amp;"FINANCE($C95, ""price"", WORKDAY(INT($B95), 5)), 2, 2), """"))/$G95))"),0.01751592356687889)</f>
        <v>0.01751592357</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3593</v>
      </c>
      <c r="U95" s="10" t="s">
        <v>984</v>
      </c>
      <c r="V95" s="10" t="s">
        <v>933</v>
      </c>
      <c r="W95" s="10" t="s">
        <v>51</v>
      </c>
      <c r="X95" s="10" t="s">
        <v>984</v>
      </c>
    </row>
    <row r="96">
      <c r="A96" s="9">
        <f t="shared" si="1"/>
        <v>95</v>
      </c>
      <c r="B96" s="11">
        <v>46224.667546296296</v>
      </c>
      <c r="C96" s="10" t="s">
        <v>80</v>
      </c>
      <c r="D96" s="10" t="s">
        <v>36</v>
      </c>
      <c r="E96" s="10" t="s">
        <v>37</v>
      </c>
      <c r="F96" s="13">
        <v>2.0</v>
      </c>
      <c r="G96" s="14">
        <v>256.15</v>
      </c>
      <c r="H96" s="10" t="s">
        <v>3595</v>
      </c>
      <c r="I96" s="10">
        <v>87.0</v>
      </c>
      <c r="O96" s="15">
        <f>IFERROR(__xludf.DUMMYFUNCTION("IF(ISBLANK($C96), """", GOOGLEFINANCE($C96, ""price""))"),243.87)</f>
        <v>243.87</v>
      </c>
      <c r="P96" s="16">
        <f t="shared" si="2"/>
        <v>-0.04794065977</v>
      </c>
      <c r="Q96" s="16">
        <f>IFERROR(__xludf.DUMMYFUNCTION("IF(OR(ISBLANK($G96), IFERROR(INDEX(GOOGLEFINANCE($C96, ""price"", WORKDAY(INT($B96), 1)), 2, 2), """")=""""), """", IF($D96=""LONG"", (IFERROR(INDEX(GOOGLEFINANCE($C96, ""price"", WORKDAY(INT($B96), 1)), 2, 2), """")-$G96)/$G96, ($G96-IFERROR(INDEX(GOOGLE"&amp;"FINANCE($C96, ""price"", WORKDAY(INT($B96), 1)), 2, 2), """"))/$G96))"),-0.011126293187585267)</f>
        <v>-0.01112629319</v>
      </c>
      <c r="R96" s="16">
        <f>IFERROR(__xludf.DUMMYFUNCTION("IF(OR(ISBLANK($G96), IFERROR(INDEX(GOOGLEFINANCE($C96, ""price"", WORKDAY(INT($B96), 5)), 2, 2), """")=""""), """", IF($D96=""LONG"", (IFERROR(INDEX(GOOGLEFINANCE($C96, ""price"", WORKDAY(INT($B96), 5)), 2, 2), """")-$G96)/$G96, ($G96-IFERROR(INDEX(GOOGLE"&amp;"FINANCE($C96, ""price"", WORKDAY(INT($B96), 5)), 2, 2), """"))/$G96))"),0.02752293577981656)</f>
        <v>0.02752293578</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3597</v>
      </c>
      <c r="U96" s="10" t="s">
        <v>984</v>
      </c>
      <c r="V96" s="10" t="s">
        <v>2785</v>
      </c>
      <c r="W96" s="10" t="s">
        <v>51</v>
      </c>
      <c r="X96" s="10" t="s">
        <v>984</v>
      </c>
    </row>
    <row r="97">
      <c r="A97" s="9">
        <f t="shared" si="1"/>
        <v>96</v>
      </c>
      <c r="B97" s="11">
        <v>46224.667395833334</v>
      </c>
      <c r="C97" s="10" t="s">
        <v>55</v>
      </c>
      <c r="D97" s="10" t="s">
        <v>36</v>
      </c>
      <c r="E97" s="10" t="s">
        <v>37</v>
      </c>
      <c r="F97" s="13">
        <v>2.0</v>
      </c>
      <c r="G97" s="14">
        <v>1174.55</v>
      </c>
      <c r="H97" s="10" t="s">
        <v>3598</v>
      </c>
      <c r="I97" s="10">
        <v>89.4</v>
      </c>
      <c r="O97" s="15">
        <f>IFERROR(__xludf.DUMMYFUNCTION("IF(ISBLANK($C97), """", GOOGLEFINANCE($C97, ""price""))"),1191.94)</f>
        <v>1191.94</v>
      </c>
      <c r="P97" s="16">
        <f t="shared" si="2"/>
        <v>0.01480567026</v>
      </c>
      <c r="Q97" s="16">
        <f>IFERROR(__xludf.DUMMYFUNCTION("IF(OR(ISBLANK($G97), IFERROR(INDEX(GOOGLEFINANCE($C97, ""price"", WORKDAY(INT($B97), 1)), 2, 2), """")=""""), """", IF($D97=""LONG"", (IFERROR(INDEX(GOOGLEFINANCE($C97, ""price"", WORKDAY(INT($B97), 1)), 2, 2), """")-$G97)/$G97, ($G97-IFERROR(INDEX(GOOGLE"&amp;"FINANCE($C97, ""price"", WORKDAY(INT($B97), 1)), 2, 2), """"))/$G97))"),-0.009825039376782568)</f>
        <v>-0.009825039377</v>
      </c>
      <c r="R97" s="16">
        <f>IFERROR(__xludf.DUMMYFUNCTION("IF(OR(ISBLANK($G97), IFERROR(INDEX(GOOGLEFINANCE($C97, ""price"", WORKDAY(INT($B97), 5)), 2, 2), """")=""""), """", IF($D97=""LONG"", (IFERROR(INDEX(GOOGLEFINANCE($C97, ""price"", WORKDAY(INT($B97), 5)), 2, 2), """")-$G97)/$G97, ($G97-IFERROR(INDEX(GOOGLE"&amp;"FINANCE($C97, ""price"", WORKDAY(INT($B97), 5)), 2, 2), """"))/$G97))"),0.0392575880124304)</f>
        <v>0.03925758801</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3601</v>
      </c>
      <c r="U97" s="10" t="s">
        <v>507</v>
      </c>
      <c r="V97" s="10" t="s">
        <v>3602</v>
      </c>
      <c r="W97" s="10" t="s">
        <v>51</v>
      </c>
      <c r="X97" s="10" t="s">
        <v>2228</v>
      </c>
    </row>
    <row r="98">
      <c r="A98" s="9">
        <f t="shared" si="1"/>
        <v>97</v>
      </c>
      <c r="B98" s="11">
        <v>46224.66784722222</v>
      </c>
      <c r="C98" s="10" t="s">
        <v>1154</v>
      </c>
      <c r="D98" s="10" t="s">
        <v>36</v>
      </c>
      <c r="E98" s="10" t="s">
        <v>37</v>
      </c>
      <c r="F98" s="13">
        <v>2.0</v>
      </c>
      <c r="G98" s="14">
        <v>1298.17</v>
      </c>
      <c r="H98" s="10" t="s">
        <v>855</v>
      </c>
      <c r="I98" s="10">
        <v>96.1</v>
      </c>
      <c r="O98" s="15">
        <f>IFERROR(__xludf.DUMMYFUNCTION("IF(ISBLANK($C98), """", GOOGLEFINANCE($C98, ""price""))"),1421.24)</f>
        <v>1421.24</v>
      </c>
      <c r="P98" s="16">
        <f t="shared" si="2"/>
        <v>0.09480268378</v>
      </c>
      <c r="Q98" s="16">
        <f>IFERROR(__xludf.DUMMYFUNCTION("IF(OR(ISBLANK($G98), IFERROR(INDEX(GOOGLEFINANCE($C98, ""price"", WORKDAY(INT($B98), 1)), 2, 2), """")=""""), """", IF($D98=""LONG"", (IFERROR(INDEX(GOOGLEFINANCE($C98, ""price"", WORKDAY(INT($B98), 1)), 2, 2), """")-$G98)/$G98, ($G98-IFERROR(INDEX(GOOGLE"&amp;"FINANCE($C98, ""price"", WORKDAY(INT($B98), 1)), 2, 2), """"))/$G98))"),-0.009451766717764223)</f>
        <v>-0.009451766718</v>
      </c>
      <c r="R98" s="16">
        <f>IFERROR(__xludf.DUMMYFUNCTION("IF(OR(ISBLANK($G98), IFERROR(INDEX(GOOGLEFINANCE($C98, ""price"", WORKDAY(INT($B98), 5)), 2, 2), """")=""""), """", IF($D98=""LONG"", (IFERROR(INDEX(GOOGLEFINANCE($C98, ""price"", WORKDAY(INT($B98), 5)), 2, 2), """")-$G98)/$G98, ($G98-IFERROR(INDEX(GOOGLE"&amp;"FINANCE($C98, ""price"", WORKDAY(INT($B98), 5)), 2, 2), """"))/$G98))"),0.06949012841153318)</f>
        <v>0.06949012841</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3607</v>
      </c>
      <c r="U98" s="10" t="s">
        <v>984</v>
      </c>
      <c r="V98" s="10" t="s">
        <v>985</v>
      </c>
      <c r="W98" s="10" t="s">
        <v>51</v>
      </c>
      <c r="X98" s="10" t="s">
        <v>984</v>
      </c>
    </row>
    <row r="99">
      <c r="A99" s="9">
        <f t="shared" si="1"/>
        <v>98</v>
      </c>
      <c r="B99" s="11">
        <v>46224.66756944444</v>
      </c>
      <c r="C99" s="10" t="s">
        <v>1555</v>
      </c>
      <c r="D99" s="10" t="s">
        <v>36</v>
      </c>
      <c r="E99" s="10" t="s">
        <v>37</v>
      </c>
      <c r="F99" s="13">
        <v>2.0</v>
      </c>
      <c r="G99" s="14">
        <v>377.03</v>
      </c>
      <c r="H99" s="10" t="s">
        <v>3608</v>
      </c>
      <c r="I99" s="10">
        <v>93.6</v>
      </c>
      <c r="O99" s="15">
        <f>IFERROR(__xludf.DUMMYFUNCTION("IF(ISBLANK($C99), """", GOOGLEFINANCE($C99, ""price""))"),370.35)</f>
        <v>370.35</v>
      </c>
      <c r="P99" s="16">
        <f t="shared" si="2"/>
        <v>-0.01771742302</v>
      </c>
      <c r="Q99" s="16">
        <f>IFERROR(__xludf.DUMMYFUNCTION("IF(OR(ISBLANK($G99), IFERROR(INDEX(GOOGLEFINANCE($C99, ""price"", WORKDAY(INT($B99), 1)), 2, 2), """")=""""), """", IF($D99=""LONG"", (IFERROR(INDEX(GOOGLEFINANCE($C99, ""price"", WORKDAY(INT($B99), 1)), 2, 2), """")-$G99)/$G99, ($G99-IFERROR(INDEX(GOOGLE"&amp;"FINANCE($C99, ""price"", WORKDAY(INT($B99), 1)), 2, 2), """"))/$G99))"),-0.010503142985969233)</f>
        <v>-0.01050314299</v>
      </c>
      <c r="R99" s="16">
        <f>IFERROR(__xludf.DUMMYFUNCTION("IF(OR(ISBLANK($G99), IFERROR(INDEX(GOOGLEFINANCE($C99, ""price"", WORKDAY(INT($B99), 5)), 2, 2), """")=""""), """", IF($D99=""LONG"", (IFERROR(INDEX(GOOGLEFINANCE($C99, ""price"", WORKDAY(INT($B99), 5)), 2, 2), """")-$G99)/$G99, ($G99-IFERROR(INDEX(GOOGLE"&amp;"FINANCE($C99, ""price"", WORKDAY(INT($B99), 5)), 2, 2), """"))/$G99))"),0.057475532450998644)</f>
        <v>0.05747553245</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3609</v>
      </c>
      <c r="U99" s="10" t="s">
        <v>984</v>
      </c>
      <c r="V99" s="10" t="s">
        <v>2714</v>
      </c>
      <c r="W99" s="10" t="s">
        <v>51</v>
      </c>
      <c r="X99" s="10" t="s">
        <v>984</v>
      </c>
    </row>
    <row r="100">
      <c r="A100" s="9">
        <f t="shared" si="1"/>
        <v>99</v>
      </c>
      <c r="B100" s="11">
        <v>46224.66758101852</v>
      </c>
      <c r="C100" s="10" t="s">
        <v>86</v>
      </c>
      <c r="D100" s="10" t="s">
        <v>36</v>
      </c>
      <c r="E100" s="10" t="s">
        <v>37</v>
      </c>
      <c r="F100" s="13">
        <v>2.0</v>
      </c>
      <c r="G100" s="14">
        <v>80.9</v>
      </c>
      <c r="H100" s="10" t="s">
        <v>3611</v>
      </c>
      <c r="I100" s="10">
        <v>95.6</v>
      </c>
      <c r="O100" s="15">
        <f>IFERROR(__xludf.DUMMYFUNCTION("IF(ISBLANK($C100), """", GOOGLEFINANCE($C100, ""price""))"),88.24)</f>
        <v>88.24</v>
      </c>
      <c r="P100" s="16">
        <f t="shared" si="2"/>
        <v>0.09072929543</v>
      </c>
      <c r="Q100" s="16">
        <f>IFERROR(__xludf.DUMMYFUNCTION("IF(OR(ISBLANK($G100), IFERROR(INDEX(GOOGLEFINANCE($C100, ""price"", WORKDAY(INT($B100), 1)), 2, 2), """")=""""), """", IF($D100=""LONG"", (IFERROR(INDEX(GOOGLEFINANCE($C100, ""price"", WORKDAY(INT($B100), 1)), 2, 2), """")-$G100)/$G100, ($G100-IFERROR(IND"&amp;"EX(GOOGLEFINANCE($C100, ""price"", WORKDAY(INT($B100), 1)), 2, 2), """"))/$G100))"),0.03263288009888752)</f>
        <v>0.0326328801</v>
      </c>
      <c r="R100" s="16">
        <f>IFERROR(__xludf.DUMMYFUNCTION("IF(OR(ISBLANK($G100), IFERROR(INDEX(GOOGLEFINANCE($C100, ""price"", WORKDAY(INT($B100), 5)), 2, 2), """")=""""), """", IF($D100=""LONG"", (IFERROR(INDEX(GOOGLEFINANCE($C100, ""price"", WORKDAY(INT($B100), 5)), 2, 2), """")-$G100)/$G100, ($G100-IFERROR(IND"&amp;"EX(GOOGLEFINANCE($C100, ""price"", WORKDAY(INT($B100), 5)), 2, 2), """"))/$G100))"),0.06922126081582193)</f>
        <v>0.06922126082</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3614</v>
      </c>
      <c r="U100" s="10" t="s">
        <v>984</v>
      </c>
      <c r="V100" s="10" t="s">
        <v>985</v>
      </c>
      <c r="W100" s="10" t="s">
        <v>51</v>
      </c>
      <c r="X100" s="10" t="s">
        <v>984</v>
      </c>
    </row>
    <row r="101">
      <c r="A101" s="9">
        <f t="shared" si="1"/>
        <v>100</v>
      </c>
      <c r="B101" s="11">
        <v>46224.66748842593</v>
      </c>
      <c r="C101" s="10" t="s">
        <v>3615</v>
      </c>
      <c r="D101" s="10" t="s">
        <v>36</v>
      </c>
      <c r="E101" s="10" t="s">
        <v>133</v>
      </c>
      <c r="F101" s="13">
        <v>2.0</v>
      </c>
      <c r="G101" s="14">
        <v>31.2</v>
      </c>
      <c r="H101" s="10" t="s">
        <v>3616</v>
      </c>
      <c r="I101" s="10">
        <v>94.7</v>
      </c>
      <c r="L101" s="10" t="s">
        <v>3617</v>
      </c>
      <c r="M101" s="34" t="s">
        <v>2106</v>
      </c>
      <c r="N101" s="10" t="s">
        <v>925</v>
      </c>
      <c r="O101" s="15">
        <f>IFERROR(__xludf.DUMMYFUNCTION("IF(ISBLANK($C101), """", GOOGLEFINANCE($C101, ""price""))"),33.87)</f>
        <v>33.87</v>
      </c>
      <c r="P101" s="16">
        <f t="shared" si="2"/>
        <v>0.08557692308</v>
      </c>
      <c r="Q101" s="16">
        <f>IFERROR(__xludf.DUMMYFUNCTION("IF(OR(ISBLANK($G101), IFERROR(INDEX(GOOGLEFINANCE($C101, ""price"", WORKDAY(INT($B101), 1)), 2, 2), """")=""""), """", IF($D101=""LONG"", (IFERROR(INDEX(GOOGLEFINANCE($C101, ""price"", WORKDAY(INT($B101), 1)), 2, 2), """")-$G101)/$G101, ($G101-IFERROR(IND"&amp;"EX(GOOGLEFINANCE($C101, ""price"", WORKDAY(INT($B101), 1)), 2, 2), """"))/$G101))"),-0.008012820512820514)</f>
        <v>-0.008012820513</v>
      </c>
      <c r="R101" s="16">
        <f>IFERROR(__xludf.DUMMYFUNCTION("IF(OR(ISBLANK($G101), IFERROR(INDEX(GOOGLEFINANCE($C101, ""price"", WORKDAY(INT($B101), 5)), 2, 2), """")=""""), """", IF($D101=""LONG"", (IFERROR(INDEX(GOOGLEFINANCE($C101, ""price"", WORKDAY(INT($B101), 5)), 2, 2), """")-$G101)/$G101, ($G101-IFERROR(IND"&amp;"EX(GOOGLEFINANCE($C101, ""price"", WORKDAY(INT($B101), 5)), 2, 2), """"))/$G101))"),0.019551282051282034)</f>
        <v>0.01955128205</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3620</v>
      </c>
      <c r="U101" s="10" t="s">
        <v>507</v>
      </c>
      <c r="V101" s="10" t="s">
        <v>3621</v>
      </c>
      <c r="W101" s="10" t="s">
        <v>51</v>
      </c>
      <c r="X101" s="10" t="s">
        <v>2228</v>
      </c>
    </row>
    <row r="102">
      <c r="A102" s="9">
        <f t="shared" si="1"/>
        <v>101</v>
      </c>
      <c r="B102" s="11">
        <v>46224.66756944444</v>
      </c>
      <c r="C102" s="10" t="s">
        <v>342</v>
      </c>
      <c r="D102" s="10" t="s">
        <v>36</v>
      </c>
      <c r="E102" s="10" t="s">
        <v>37</v>
      </c>
      <c r="F102" s="13">
        <v>2.0</v>
      </c>
      <c r="G102" s="14">
        <v>61.22</v>
      </c>
      <c r="H102" s="10" t="s">
        <v>3622</v>
      </c>
      <c r="I102" s="10">
        <v>89.2</v>
      </c>
      <c r="O102" s="15">
        <f>IFERROR(__xludf.DUMMYFUNCTION("IF(ISBLANK($C102), """", GOOGLEFINANCE($C102, ""price""))"),63.0)</f>
        <v>63</v>
      </c>
      <c r="P102" s="16">
        <f t="shared" si="2"/>
        <v>0.02907546553</v>
      </c>
      <c r="Q102" s="16">
        <f>IFERROR(__xludf.DUMMYFUNCTION("IF(OR(ISBLANK($G102), IFERROR(INDEX(GOOGLEFINANCE($C102, ""price"", WORKDAY(INT($B102), 1)), 2, 2), """")=""""), """", IF($D102=""LONG"", (IFERROR(INDEX(GOOGLEFINANCE($C102, ""price"", WORKDAY(INT($B102), 1)), 2, 2), """")-$G102)/$G102, ($G102-IFERROR(IND"&amp;"EX(GOOGLEFINANCE($C102, ""price"", WORKDAY(INT($B102), 1)), 2, 2), """"))/$G102))"),0.006533812479581813)</f>
        <v>0.00653381248</v>
      </c>
      <c r="R102" s="16">
        <f>IFERROR(__xludf.DUMMYFUNCTION("IF(OR(ISBLANK($G102), IFERROR(INDEX(GOOGLEFINANCE($C102, ""price"", WORKDAY(INT($B102), 5)), 2, 2), """")=""""), """", IF($D102=""LONG"", (IFERROR(INDEX(GOOGLEFINANCE($C102, ""price"", WORKDAY(INT($B102), 5)), 2, 2), """")-$G102)/$G102, ($G102-IFERROR(IND"&amp;"EX(GOOGLEFINANCE($C102, ""price"", WORKDAY(INT($B102), 5)), 2, 2), """"))/$G102))"),0.022868343678536403)</f>
        <v>0.02286834368</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3623</v>
      </c>
      <c r="U102" s="10" t="s">
        <v>984</v>
      </c>
      <c r="V102" s="10" t="s">
        <v>2714</v>
      </c>
      <c r="W102" s="10" t="s">
        <v>51</v>
      </c>
      <c r="X102" s="10" t="s">
        <v>984</v>
      </c>
    </row>
    <row r="103">
      <c r="A103" s="9">
        <f t="shared" si="1"/>
        <v>102</v>
      </c>
      <c r="B103" s="11">
        <v>46224.66741898148</v>
      </c>
      <c r="C103" s="10" t="s">
        <v>1198</v>
      </c>
      <c r="D103" s="10" t="s">
        <v>36</v>
      </c>
      <c r="E103" s="10" t="s">
        <v>37</v>
      </c>
      <c r="F103" s="13">
        <v>2.0</v>
      </c>
      <c r="G103" s="14">
        <v>354.7</v>
      </c>
      <c r="H103" s="10" t="s">
        <v>3625</v>
      </c>
      <c r="I103" s="10">
        <v>94.9</v>
      </c>
      <c r="O103" s="15">
        <f>IFERROR(__xludf.DUMMYFUNCTION("IF(ISBLANK($C103), """", GOOGLEFINANCE($C103, ""price""))"),354.03)</f>
        <v>354.03</v>
      </c>
      <c r="P103" s="16">
        <f t="shared" si="2"/>
        <v>-0.001888920214</v>
      </c>
      <c r="Q103" s="16">
        <f>IFERROR(__xludf.DUMMYFUNCTION("IF(OR(ISBLANK($G103), IFERROR(INDEX(GOOGLEFINANCE($C103, ""price"", WORKDAY(INT($B103), 1)), 2, 2), """")=""""), """", IF($D103=""LONG"", (IFERROR(INDEX(GOOGLEFINANCE($C103, ""price"", WORKDAY(INT($B103), 1)), 2, 2), """")-$G103)/$G103, ($G103-IFERROR(IND"&amp;"EX(GOOGLEFINANCE($C103, ""price"", WORKDAY(INT($B103), 1)), 2, 2), """"))/$G103))"),-0.032337186354665835)</f>
        <v>-0.03233718635</v>
      </c>
      <c r="R103" s="16">
        <f>IFERROR(__xludf.DUMMYFUNCTION("IF(OR(ISBLANK($G103), IFERROR(INDEX(GOOGLEFINANCE($C103, ""price"", WORKDAY(INT($B103), 5)), 2, 2), """")=""""), """", IF($D103=""LONG"", (IFERROR(INDEX(GOOGLEFINANCE($C103, ""price"", WORKDAY(INT($B103), 5)), 2, 2), """")-$G103)/$G103, ($G103-IFERROR(IND"&amp;"EX(GOOGLEFINANCE($C103, ""price"", WORKDAY(INT($B103), 5)), 2, 2), """"))/$G103))"),0.02480969833662253)</f>
        <v>0.02480969834</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3628</v>
      </c>
      <c r="U103" s="10" t="s">
        <v>984</v>
      </c>
      <c r="V103" s="10" t="s">
        <v>933</v>
      </c>
      <c r="W103" s="10" t="s">
        <v>51</v>
      </c>
      <c r="X103" s="10" t="s">
        <v>984</v>
      </c>
    </row>
    <row r="104">
      <c r="A104" s="9">
        <f t="shared" si="1"/>
        <v>103</v>
      </c>
      <c r="B104" s="11">
        <v>46224.66768518519</v>
      </c>
      <c r="C104" s="10" t="s">
        <v>3629</v>
      </c>
      <c r="D104" s="10" t="s">
        <v>119</v>
      </c>
      <c r="E104" s="10" t="s">
        <v>120</v>
      </c>
      <c r="F104" s="13">
        <v>4.0</v>
      </c>
      <c r="G104" s="14">
        <v>1772.8</v>
      </c>
      <c r="H104" s="10" t="s">
        <v>3630</v>
      </c>
      <c r="I104" s="10">
        <v>0.7</v>
      </c>
      <c r="O104" s="15">
        <f>IFERROR(__xludf.DUMMYFUNCTION("IF(ISBLANK($C104), """", GOOGLEFINANCE($C104, ""price""))"),1713.6)</f>
        <v>1713.6</v>
      </c>
      <c r="P104" s="16">
        <f t="shared" si="2"/>
        <v>0.03339350181</v>
      </c>
      <c r="Q104" s="16">
        <f>IFERROR(__xludf.DUMMYFUNCTION("IF(OR(ISBLANK($G104), IFERROR(INDEX(GOOGLEFINANCE($C104, ""price"", WORKDAY(INT($B104), 1)), 2, 2), """")=""""), """", IF($D104=""LONG"", (IFERROR(INDEX(GOOGLEFINANCE($C104, ""price"", WORKDAY(INT($B104), 1)), 2, 2), """")-$G104)/$G104, ($G104-IFERROR(IND"&amp;"EX(GOOGLEFINANCE($C104, ""price"", WORKDAY(INT($B104), 1)), 2, 2), """"))/$G104))"),-0.010300090252707577)</f>
        <v>-0.01030009025</v>
      </c>
      <c r="R104" s="16">
        <f>IFERROR(__xludf.DUMMYFUNCTION("IF(OR(ISBLANK($G104), IFERROR(INDEX(GOOGLEFINANCE($C104, ""price"", WORKDAY(INT($B104), 5)), 2, 2), """")=""""), """", IF($D104=""LONG"", (IFERROR(INDEX(GOOGLEFINANCE($C104, ""price"", WORKDAY(INT($B104), 5)), 2, 2), """")-$G104)/$G104, ($G104-IFERROR(IND"&amp;"EX(GOOGLEFINANCE($C104, ""price"", WORKDAY(INT($B104), 5)), 2, 2), """"))/$G104))"),0.08262635379061373)</f>
        <v>0.08262635379</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3634</v>
      </c>
      <c r="U104" s="10" t="s">
        <v>984</v>
      </c>
      <c r="V104" s="10" t="s">
        <v>985</v>
      </c>
      <c r="W104" s="10" t="s">
        <v>51</v>
      </c>
      <c r="X104" s="10" t="s">
        <v>984</v>
      </c>
    </row>
    <row r="105">
      <c r="A105" s="9">
        <f t="shared" si="1"/>
        <v>104</v>
      </c>
      <c r="B105" s="11">
        <v>46224.667708333334</v>
      </c>
      <c r="C105" s="10" t="s">
        <v>3277</v>
      </c>
      <c r="D105" s="10" t="s">
        <v>119</v>
      </c>
      <c r="E105" s="10" t="s">
        <v>120</v>
      </c>
      <c r="F105" s="13">
        <v>4.0</v>
      </c>
      <c r="G105" s="14">
        <v>138.88</v>
      </c>
      <c r="H105" s="10" t="s">
        <v>3635</v>
      </c>
      <c r="I105" s="10">
        <v>5.7</v>
      </c>
      <c r="O105" s="15">
        <f>IFERROR(__xludf.DUMMYFUNCTION("IF(ISBLANK($C105), """", GOOGLEFINANCE($C105, ""price""))"),144.05)</f>
        <v>144.05</v>
      </c>
      <c r="P105" s="16">
        <f t="shared" si="2"/>
        <v>-0.03722638249</v>
      </c>
      <c r="Q105" s="16">
        <f>IFERROR(__xludf.DUMMYFUNCTION("IF(OR(ISBLANK($G105), IFERROR(INDEX(GOOGLEFINANCE($C105, ""price"", WORKDAY(INT($B105), 1)), 2, 2), """")=""""), """", IF($D105=""LONG"", (IFERROR(INDEX(GOOGLEFINANCE($C105, ""price"", WORKDAY(INT($B105), 1)), 2, 2), """")-$G105)/$G105, ($G105-IFERROR(IND"&amp;"EX(GOOGLEFINANCE($C105, ""price"", WORKDAY(INT($B105), 1)), 2, 2), """"))/$G105))"),-0.005472350230414681)</f>
        <v>-0.00547235023</v>
      </c>
      <c r="R105" s="16">
        <f>IFERROR(__xludf.DUMMYFUNCTION("IF(OR(ISBLANK($G105), IFERROR(INDEX(GOOGLEFINANCE($C105, ""price"", WORKDAY(INT($B105), 5)), 2, 2), """")=""""), """", IF($D105=""LONG"", (IFERROR(INDEX(GOOGLEFINANCE($C105, ""price"", WORKDAY(INT($B105), 5)), 2, 2), """")-$G105)/$G105, ($G105-IFERROR(IND"&amp;"EX(GOOGLEFINANCE($C105, ""price"", WORKDAY(INT($B105), 5)), 2, 2), """"))/$G105))"),-0.013608870967742043)</f>
        <v>-0.01360887097</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3637</v>
      </c>
      <c r="U105" s="10" t="s">
        <v>984</v>
      </c>
      <c r="V105" s="10" t="s">
        <v>1059</v>
      </c>
      <c r="W105" s="10" t="s">
        <v>51</v>
      </c>
      <c r="X105" s="10" t="s">
        <v>984</v>
      </c>
    </row>
    <row r="106">
      <c r="A106" s="9">
        <f t="shared" si="1"/>
        <v>105</v>
      </c>
      <c r="B106" s="11">
        <v>46224.667650462965</v>
      </c>
      <c r="C106" s="10" t="s">
        <v>162</v>
      </c>
      <c r="D106" s="10" t="s">
        <v>36</v>
      </c>
      <c r="E106" s="10" t="s">
        <v>37</v>
      </c>
      <c r="F106" s="13">
        <v>2.0</v>
      </c>
      <c r="G106" s="14">
        <v>48.65</v>
      </c>
      <c r="H106" s="10" t="s">
        <v>3639</v>
      </c>
      <c r="I106" s="10">
        <v>88.4</v>
      </c>
      <c r="O106" s="15">
        <f>IFERROR(__xludf.DUMMYFUNCTION("IF(ISBLANK($C106), """", GOOGLEFINANCE($C106, ""price""))"),46.94)</f>
        <v>46.94</v>
      </c>
      <c r="P106" s="16">
        <f t="shared" si="2"/>
        <v>-0.03514902364</v>
      </c>
      <c r="Q106" s="16">
        <f>IFERROR(__xludf.DUMMYFUNCTION("IF(OR(ISBLANK($G106), IFERROR(INDEX(GOOGLEFINANCE($C106, ""price"", WORKDAY(INT($B106), 1)), 2, 2), """")=""""), """", IF($D106=""LONG"", (IFERROR(INDEX(GOOGLEFINANCE($C106, ""price"", WORKDAY(INT($B106), 1)), 2, 2), """")-$G106)/$G106, ($G106-IFERROR(IND"&amp;"EX(GOOGLEFINANCE($C106, ""price"", WORKDAY(INT($B106), 1)), 2, 2), """"))/$G106))"),-0.02034943473792399)</f>
        <v>-0.02034943474</v>
      </c>
      <c r="R106" s="16">
        <f>IFERROR(__xludf.DUMMYFUNCTION("IF(OR(ISBLANK($G106), IFERROR(INDEX(GOOGLEFINANCE($C106, ""price"", WORKDAY(INT($B106), 5)), 2, 2), """")=""""), """", IF($D106=""LONG"", (IFERROR(INDEX(GOOGLEFINANCE($C106, ""price"", WORKDAY(INT($B106), 5)), 2, 2), """")-$G106)/$G106, ($G106-IFERROR(IND"&amp;"EX(GOOGLEFINANCE($C106, ""price"", WORKDAY(INT($B106), 5)), 2, 2), """"))/$G106))"),-0.04809866392600198)</f>
        <v>-0.04809866393</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3640</v>
      </c>
      <c r="U106" s="10" t="s">
        <v>984</v>
      </c>
      <c r="V106" s="10" t="s">
        <v>933</v>
      </c>
      <c r="W106" s="10" t="s">
        <v>51</v>
      </c>
      <c r="X106" s="10" t="s">
        <v>984</v>
      </c>
    </row>
    <row r="107">
      <c r="A107" s="9">
        <f t="shared" si="1"/>
        <v>106</v>
      </c>
      <c r="B107" s="11">
        <v>46224.66744212963</v>
      </c>
      <c r="C107" s="10" t="s">
        <v>166</v>
      </c>
      <c r="D107" s="10" t="s">
        <v>36</v>
      </c>
      <c r="E107" s="10" t="s">
        <v>37</v>
      </c>
      <c r="F107" s="13">
        <v>2.0</v>
      </c>
      <c r="G107" s="14">
        <v>126.22</v>
      </c>
      <c r="H107" s="10" t="s">
        <v>3642</v>
      </c>
      <c r="I107" s="10">
        <v>88.3</v>
      </c>
      <c r="O107" s="15">
        <f>IFERROR(__xludf.DUMMYFUNCTION("IF(ISBLANK($C107), """", GOOGLEFINANCE($C107, ""price""))"),132.06)</f>
        <v>132.06</v>
      </c>
      <c r="P107" s="16">
        <f t="shared" si="2"/>
        <v>0.04626842022</v>
      </c>
      <c r="Q107" s="16">
        <f>IFERROR(__xludf.DUMMYFUNCTION("IF(OR(ISBLANK($G107), IFERROR(INDEX(GOOGLEFINANCE($C107, ""price"", WORKDAY(INT($B107), 1)), 2, 2), """")=""""), """", IF($D107=""LONG"", (IFERROR(INDEX(GOOGLEFINANCE($C107, ""price"", WORKDAY(INT($B107), 1)), 2, 2), """")-$G107)/$G107, ($G107-IFERROR(IND"&amp;"EX(GOOGLEFINANCE($C107, ""price"", WORKDAY(INT($B107), 1)), 2, 2), """"))/$G107))"),0.038741879258437764)</f>
        <v>0.03874187926</v>
      </c>
      <c r="R107" s="16">
        <f>IFERROR(__xludf.DUMMYFUNCTION("IF(OR(ISBLANK($G107), IFERROR(INDEX(GOOGLEFINANCE($C107, ""price"", WORKDAY(INT($B107), 5)), 2, 2), """")=""""), """", IF($D107=""LONG"", (IFERROR(INDEX(GOOGLEFINANCE($C107, ""price"", WORKDAY(INT($B107), 5)), 2, 2), """")-$G107)/$G107, ($G107-IFERROR(IND"&amp;"EX(GOOGLEFINANCE($C107, ""price"", WORKDAY(INT($B107), 5)), 2, 2), """"))/$G107))"),0.09499286959277459)</f>
        <v>0.09499286959</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3644</v>
      </c>
      <c r="U107" s="10" t="s">
        <v>984</v>
      </c>
      <c r="V107" s="10" t="s">
        <v>933</v>
      </c>
      <c r="W107" s="10" t="s">
        <v>51</v>
      </c>
      <c r="X107" s="10" t="s">
        <v>984</v>
      </c>
    </row>
    <row r="108">
      <c r="A108" s="9">
        <f t="shared" si="1"/>
        <v>107</v>
      </c>
      <c r="B108" s="11">
        <v>46224.66782407407</v>
      </c>
      <c r="C108" s="10" t="s">
        <v>379</v>
      </c>
      <c r="D108" s="10" t="s">
        <v>36</v>
      </c>
      <c r="E108" s="10" t="s">
        <v>37</v>
      </c>
      <c r="F108" s="13">
        <v>2.0</v>
      </c>
      <c r="G108" s="14">
        <v>49.88</v>
      </c>
      <c r="H108" s="10" t="s">
        <v>3645</v>
      </c>
      <c r="I108" s="10">
        <v>87.2</v>
      </c>
      <c r="O108" s="15">
        <f>IFERROR(__xludf.DUMMYFUNCTION("IF(ISBLANK($C108), """", GOOGLEFINANCE($C108, ""price""))"),50.7)</f>
        <v>50.7</v>
      </c>
      <c r="P108" s="16">
        <f t="shared" si="2"/>
        <v>0.01643945469</v>
      </c>
      <c r="Q108" s="16">
        <f>IFERROR(__xludf.DUMMYFUNCTION("IF(OR(ISBLANK($G108), IFERROR(INDEX(GOOGLEFINANCE($C108, ""price"", WORKDAY(INT($B108), 1)), 2, 2), """")=""""), """", IF($D108=""LONG"", (IFERROR(INDEX(GOOGLEFINANCE($C108, ""price"", WORKDAY(INT($B108), 1)), 2, 2), """")-$G108)/$G108, ($G108-IFERROR(IND"&amp;"EX(GOOGLEFINANCE($C108, ""price"", WORKDAY(INT($B108), 1)), 2, 2), """"))/$G108))"),0.0010024057738572004)</f>
        <v>0.001002405774</v>
      </c>
      <c r="R108" s="16">
        <f>IFERROR(__xludf.DUMMYFUNCTION("IF(OR(ISBLANK($G108), IFERROR(INDEX(GOOGLEFINANCE($C108, ""price"", WORKDAY(INT($B108), 5)), 2, 2), """")=""""), """", IF($D108=""LONG"", (IFERROR(INDEX(GOOGLEFINANCE($C108, ""price"", WORKDAY(INT($B108), 5)), 2, 2), """")-$G108)/$G108, ($G108-IFERROR(IND"&amp;"EX(GOOGLEFINANCE($C108, ""price"", WORKDAY(INT($B108), 5)), 2, 2), """"))/$G108))"),0.01924619085805936)</f>
        <v>0.01924619086</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3648</v>
      </c>
      <c r="U108" s="10" t="s">
        <v>984</v>
      </c>
      <c r="V108" s="10" t="s">
        <v>933</v>
      </c>
      <c r="W108" s="10" t="s">
        <v>51</v>
      </c>
      <c r="X108" s="10" t="s">
        <v>984</v>
      </c>
    </row>
    <row r="109">
      <c r="A109" s="9">
        <f t="shared" si="1"/>
        <v>108</v>
      </c>
      <c r="B109" s="11">
        <v>46224.66774305556</v>
      </c>
      <c r="C109" s="10" t="s">
        <v>226</v>
      </c>
      <c r="D109" s="10" t="s">
        <v>36</v>
      </c>
      <c r="E109" s="10" t="s">
        <v>37</v>
      </c>
      <c r="F109" s="13">
        <v>2.0</v>
      </c>
      <c r="G109" s="14">
        <v>22.6</v>
      </c>
      <c r="H109" s="10" t="s">
        <v>3649</v>
      </c>
      <c r="I109" s="10">
        <v>88.3</v>
      </c>
      <c r="O109" s="15">
        <f>IFERROR(__xludf.DUMMYFUNCTION("IF(ISBLANK($C109), """", GOOGLEFINANCE($C109, ""price""))"),21.1)</f>
        <v>21.1</v>
      </c>
      <c r="P109" s="16">
        <f t="shared" si="2"/>
        <v>-0.06637168142</v>
      </c>
      <c r="Q109" s="16">
        <f>IFERROR(__xludf.DUMMYFUNCTION("IF(OR(ISBLANK($G109), IFERROR(INDEX(GOOGLEFINANCE($C109, ""price"", WORKDAY(INT($B109), 1)), 2, 2), """")=""""), """", IF($D109=""LONG"", (IFERROR(INDEX(GOOGLEFINANCE($C109, ""price"", WORKDAY(INT($B109), 1)), 2, 2), """")-$G109)/$G109, ($G109-IFERROR(IND"&amp;"EX(GOOGLEFINANCE($C109, ""price"", WORKDAY(INT($B109), 1)), 2, 2), """"))/$G109))"),-0.01814159292035399)</f>
        <v>-0.01814159292</v>
      </c>
      <c r="R109" s="16">
        <f>IFERROR(__xludf.DUMMYFUNCTION("IF(OR(ISBLANK($G109), IFERROR(INDEX(GOOGLEFINANCE($C109, ""price"", WORKDAY(INT($B109), 5)), 2, 2), """")=""""), """", IF($D109=""LONG"", (IFERROR(INDEX(GOOGLEFINANCE($C109, ""price"", WORKDAY(INT($B109), 5)), 2, 2), """")-$G109)/$G109, ($G109-IFERROR(IND"&amp;"EX(GOOGLEFINANCE($C109, ""price"", WORKDAY(INT($B109), 5)), 2, 2), """"))/$G109))"),0.009734513274336233)</f>
        <v>0.009734513274</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3652</v>
      </c>
      <c r="U109" s="10" t="s">
        <v>984</v>
      </c>
      <c r="V109" s="10" t="s">
        <v>2785</v>
      </c>
      <c r="W109" s="10" t="s">
        <v>51</v>
      </c>
      <c r="X109" s="10" t="s">
        <v>984</v>
      </c>
    </row>
    <row r="110">
      <c r="A110" s="9">
        <f t="shared" si="1"/>
        <v>109</v>
      </c>
      <c r="B110" s="11">
        <v>46224.66767361111</v>
      </c>
      <c r="C110" s="10" t="s">
        <v>129</v>
      </c>
      <c r="D110" s="10" t="s">
        <v>119</v>
      </c>
      <c r="E110" s="10" t="s">
        <v>120</v>
      </c>
      <c r="F110" s="13">
        <v>4.0</v>
      </c>
      <c r="G110" s="14">
        <v>56.34</v>
      </c>
      <c r="H110" s="10" t="s">
        <v>3653</v>
      </c>
      <c r="I110" s="10">
        <v>5.7</v>
      </c>
      <c r="O110" s="15">
        <f>IFERROR(__xludf.DUMMYFUNCTION("IF(ISBLANK($C110), """", GOOGLEFINANCE($C110, ""price""))"),62.75)</f>
        <v>62.75</v>
      </c>
      <c r="P110" s="16">
        <f t="shared" si="2"/>
        <v>-0.1137735179</v>
      </c>
      <c r="Q110" s="16">
        <f>IFERROR(__xludf.DUMMYFUNCTION("IF(OR(ISBLANK($G110), IFERROR(INDEX(GOOGLEFINANCE($C110, ""price"", WORKDAY(INT($B110), 1)), 2, 2), """")=""""), """", IF($D110=""LONG"", (IFERROR(INDEX(GOOGLEFINANCE($C110, ""price"", WORKDAY(INT($B110), 1)), 2, 2), """")-$G110)/$G110, ($G110-IFERROR(IND"&amp;"EX(GOOGLEFINANCE($C110, ""price"", WORKDAY(INT($B110), 1)), 2, 2), """"))/$G110))"),-0.004614838480653142)</f>
        <v>-0.004614838481</v>
      </c>
      <c r="R110" s="16">
        <f>IFERROR(__xludf.DUMMYFUNCTION("IF(OR(ISBLANK($G110), IFERROR(INDEX(GOOGLEFINANCE($C110, ""price"", WORKDAY(INT($B110), 5)), 2, 2), """")=""""), """", IF($D110=""LONG"", (IFERROR(INDEX(GOOGLEFINANCE($C110, ""price"", WORKDAY(INT($B110), 5)), 2, 2), """")-$G110)/$G110, ($G110-IFERROR(IND"&amp;"EX(GOOGLEFINANCE($C110, ""price"", WORKDAY(INT($B110), 5)), 2, 2), """"))/$G110))"),-0.03762868299609509)</f>
        <v>-0.037628683</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3657</v>
      </c>
      <c r="U110" s="10" t="s">
        <v>984</v>
      </c>
      <c r="V110" s="10" t="s">
        <v>985</v>
      </c>
      <c r="W110" s="10" t="s">
        <v>51</v>
      </c>
      <c r="X110" s="10" t="s">
        <v>984</v>
      </c>
    </row>
    <row r="111">
      <c r="A111" s="9">
        <f t="shared" si="1"/>
        <v>110</v>
      </c>
      <c r="B111" s="11">
        <v>46224.66774305556</v>
      </c>
      <c r="C111" s="10" t="s">
        <v>257</v>
      </c>
      <c r="D111" s="10" t="s">
        <v>36</v>
      </c>
      <c r="E111" s="10" t="s">
        <v>37</v>
      </c>
      <c r="F111" s="13">
        <v>2.0</v>
      </c>
      <c r="G111" s="14">
        <v>68.28</v>
      </c>
      <c r="H111" s="10" t="s">
        <v>3658</v>
      </c>
      <c r="I111" s="10">
        <v>94.1</v>
      </c>
      <c r="O111" s="15">
        <f>IFERROR(__xludf.DUMMYFUNCTION("IF(ISBLANK($C111), """", GOOGLEFINANCE($C111, ""price""))"),68.81)</f>
        <v>68.81</v>
      </c>
      <c r="P111" s="16">
        <f t="shared" si="2"/>
        <v>0.007762155829</v>
      </c>
      <c r="Q111" s="16">
        <f>IFERROR(__xludf.DUMMYFUNCTION("IF(OR(ISBLANK($G111), IFERROR(INDEX(GOOGLEFINANCE($C111, ""price"", WORKDAY(INT($B111), 1)), 2, 2), """")=""""), """", IF($D111=""LONG"", (IFERROR(INDEX(GOOGLEFINANCE($C111, ""price"", WORKDAY(INT($B111), 1)), 2, 2), """")-$G111)/$G111, ($G111-IFERROR(IND"&amp;"EX(GOOGLEFINANCE($C111, ""price"", WORKDAY(INT($B111), 1)), 2, 2), """"))/$G111))"),-0.012741652021089697)</f>
        <v>-0.01274165202</v>
      </c>
      <c r="R111" s="16">
        <f>IFERROR(__xludf.DUMMYFUNCTION("IF(OR(ISBLANK($G111), IFERROR(INDEX(GOOGLEFINANCE($C111, ""price"", WORKDAY(INT($B111), 5)), 2, 2), """")=""""), """", IF($D111=""LONG"", (IFERROR(INDEX(GOOGLEFINANCE($C111, ""price"", WORKDAY(INT($B111), 5)), 2, 2), """")-$G111)/$G111, ($G111-IFERROR(IND"&amp;"EX(GOOGLEFINANCE($C111, ""price"", WORKDAY(INT($B111), 5)), 2, 2), """"))/$G111))"),0.02460456942003504)</f>
        <v>0.02460456942</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3665</v>
      </c>
      <c r="U111" s="10" t="s">
        <v>704</v>
      </c>
      <c r="V111" s="10" t="s">
        <v>3666</v>
      </c>
      <c r="W111" s="10" t="s">
        <v>51</v>
      </c>
      <c r="X111" s="10" t="s">
        <v>1885</v>
      </c>
    </row>
    <row r="112">
      <c r="A112" s="9">
        <f t="shared" si="1"/>
        <v>111</v>
      </c>
      <c r="B112" s="11">
        <v>46224.66767361111</v>
      </c>
      <c r="C112" s="10" t="s">
        <v>440</v>
      </c>
      <c r="D112" s="10" t="s">
        <v>36</v>
      </c>
      <c r="E112" s="10" t="s">
        <v>37</v>
      </c>
      <c r="F112" s="13">
        <v>2.0</v>
      </c>
      <c r="G112" s="14">
        <v>93.35</v>
      </c>
      <c r="H112" s="10" t="s">
        <v>3667</v>
      </c>
      <c r="I112" s="10">
        <v>91.9</v>
      </c>
      <c r="O112" s="15">
        <f>IFERROR(__xludf.DUMMYFUNCTION("IF(ISBLANK($C112), """", GOOGLEFINANCE($C112, ""price""))"),99.95)</f>
        <v>99.95</v>
      </c>
      <c r="P112" s="16">
        <f t="shared" si="2"/>
        <v>0.07070166042</v>
      </c>
      <c r="Q112" s="16">
        <f>IFERROR(__xludf.DUMMYFUNCTION("IF(OR(ISBLANK($G112), IFERROR(INDEX(GOOGLEFINANCE($C112, ""price"", WORKDAY(INT($B112), 1)), 2, 2), """")=""""), """", IF($D112=""LONG"", (IFERROR(INDEX(GOOGLEFINANCE($C112, ""price"", WORKDAY(INT($B112), 1)), 2, 2), """")-$G112)/$G112, ($G112-IFERROR(IND"&amp;"EX(GOOGLEFINANCE($C112, ""price"", WORKDAY(INT($B112), 1)), 2, 2), """"))/$G112))"),-8.569898232458307E-4)</f>
        <v>-0.0008569898232</v>
      </c>
      <c r="R112" s="16">
        <f>IFERROR(__xludf.DUMMYFUNCTION("IF(OR(ISBLANK($G112), IFERROR(INDEX(GOOGLEFINANCE($C112, ""price"", WORKDAY(INT($B112), 5)), 2, 2), """")=""""), """", IF($D112=""LONG"", (IFERROR(INDEX(GOOGLEFINANCE($C112, ""price"", WORKDAY(INT($B112), 5)), 2, 2), """")-$G112)/$G112, ($G112-IFERROR(IND"&amp;"EX(GOOGLEFINANCE($C112, ""price"", WORKDAY(INT($B112), 5)), 2, 2), """"))/$G112))"),0.04434922335297269)</f>
        <v>0.04434922335</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3671</v>
      </c>
      <c r="U112" s="10" t="s">
        <v>984</v>
      </c>
      <c r="V112" s="10" t="s">
        <v>933</v>
      </c>
      <c r="W112" s="10" t="s">
        <v>51</v>
      </c>
      <c r="X112" s="10" t="s">
        <v>984</v>
      </c>
    </row>
    <row r="113">
      <c r="A113" s="9">
        <f t="shared" si="1"/>
        <v>112</v>
      </c>
      <c r="B113" s="11">
        <v>46224.66773148148</v>
      </c>
      <c r="C113" s="10" t="s">
        <v>123</v>
      </c>
      <c r="D113" s="10" t="s">
        <v>36</v>
      </c>
      <c r="E113" s="10" t="s">
        <v>37</v>
      </c>
      <c r="F113" s="13">
        <v>2.0</v>
      </c>
      <c r="G113" s="14">
        <v>18.18</v>
      </c>
      <c r="H113" s="10" t="s">
        <v>3673</v>
      </c>
      <c r="I113" s="10">
        <v>93.8</v>
      </c>
      <c r="O113" s="15">
        <f>IFERROR(__xludf.DUMMYFUNCTION("IF(ISBLANK($C113), """", GOOGLEFINANCE($C113, ""price""))"),17.36)</f>
        <v>17.36</v>
      </c>
      <c r="P113" s="16">
        <f t="shared" si="2"/>
        <v>-0.04510451045</v>
      </c>
      <c r="Q113" s="16">
        <f>IFERROR(__xludf.DUMMYFUNCTION("IF(OR(ISBLANK($G113), IFERROR(INDEX(GOOGLEFINANCE($C113, ""price"", WORKDAY(INT($B113), 1)), 2, 2), """")=""""), """", IF($D113=""LONG"", (IFERROR(INDEX(GOOGLEFINANCE($C113, ""price"", WORKDAY(INT($B113), 1)), 2, 2), """")-$G113)/$G113, ($G113-IFERROR(IND"&amp;"EX(GOOGLEFINANCE($C113, ""price"", WORKDAY(INT($B113), 1)), 2, 2), """"))/$G113))"),0.004950495049504943)</f>
        <v>0.00495049505</v>
      </c>
      <c r="R113" s="16">
        <f>IFERROR(__xludf.DUMMYFUNCTION("IF(OR(ISBLANK($G113), IFERROR(INDEX(GOOGLEFINANCE($C113, ""price"", WORKDAY(INT($B113), 5)), 2, 2), """")=""""), """", IF($D113=""LONG"", (IFERROR(INDEX(GOOGLEFINANCE($C113, ""price"", WORKDAY(INT($B113), 5)), 2, 2), """")-$G113)/$G113, ($G113-IFERROR(IND"&amp;"EX(GOOGLEFINANCE($C113, ""price"", WORKDAY(INT($B113), 5)), 2, 2), """"))/$G113))"),-0.04840484048404835)</f>
        <v>-0.04840484048</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3676</v>
      </c>
      <c r="U113" s="10" t="s">
        <v>984</v>
      </c>
      <c r="V113" s="10" t="s">
        <v>2785</v>
      </c>
      <c r="W113" s="10" t="s">
        <v>51</v>
      </c>
      <c r="X113" s="10" t="s">
        <v>984</v>
      </c>
    </row>
    <row r="114">
      <c r="A114" s="9">
        <f t="shared" si="1"/>
        <v>113</v>
      </c>
      <c r="B114" s="11">
        <v>46224.667604166665</v>
      </c>
      <c r="C114" s="10" t="s">
        <v>148</v>
      </c>
      <c r="D114" s="10" t="s">
        <v>36</v>
      </c>
      <c r="E114" s="10" t="s">
        <v>37</v>
      </c>
      <c r="F114" s="13">
        <v>2.0</v>
      </c>
      <c r="G114" s="14">
        <v>179.12</v>
      </c>
      <c r="H114" s="10" t="s">
        <v>3679</v>
      </c>
      <c r="I114" s="10">
        <v>91.7</v>
      </c>
      <c r="O114" s="15">
        <f>IFERROR(__xludf.DUMMYFUNCTION("IF(ISBLANK($C114), """", GOOGLEFINANCE($C114, ""price""))"),199.98)</f>
        <v>199.98</v>
      </c>
      <c r="P114" s="16">
        <f t="shared" si="2"/>
        <v>0.1164582403</v>
      </c>
      <c r="Q114" s="16">
        <f>IFERROR(__xludf.DUMMYFUNCTION("IF(OR(ISBLANK($G114), IFERROR(INDEX(GOOGLEFINANCE($C114, ""price"", WORKDAY(INT($B114), 1)), 2, 2), """")=""""), """", IF($D114=""LONG"", (IFERROR(INDEX(GOOGLEFINANCE($C114, ""price"", WORKDAY(INT($B114), 1)), 2, 2), """")-$G114)/$G114, ($G114-IFERROR(IND"&amp;"EX(GOOGLEFINANCE($C114, ""price"", WORKDAY(INT($B114), 1)), 2, 2), """"))/$G114))"),1.1165698972745539E-4)</f>
        <v>0.0001116569897</v>
      </c>
      <c r="R114" s="16">
        <f>IFERROR(__xludf.DUMMYFUNCTION("IF(OR(ISBLANK($G114), IFERROR(INDEX(GOOGLEFINANCE($C114, ""price"", WORKDAY(INT($B114), 5)), 2, 2), """")=""""), """", IF($D114=""LONG"", (IFERROR(INDEX(GOOGLEFINANCE($C114, ""price"", WORKDAY(INT($B114), 5)), 2, 2), """")-$G114)/$G114, ($G114-IFERROR(IND"&amp;"EX(GOOGLEFINANCE($C114, ""price"", WORKDAY(INT($B114), 5)), 2, 2), """"))/$G114))"),0.11126619026351053)</f>
        <v>0.1112661903</v>
      </c>
      <c r="S114" s="16" t="str">
        <f>IFERROR(__xludf.DUMMYFUNCTION("IF(OR(ISBLANK($G114), IFERROR(INDEX(GOOGLEFINANCE($C114, ""price"", WORKDAY(INT($B114), 20)), 2, 2), """")=""""), """", IF($D114=""LONG"", (IFERROR(INDEX(GOOGLEFINANCE($C114, ""price"", WORKDAY(INT($B114), 20)), 2, 2), """")-$G114)/$G114, ($G114-IFERROR(I"&amp;"NDEX(GOOGLEFINANCE($C114, ""price"", WORKDAY(INT($B114), 20)), 2, 2), """"))/$G114))"),"")</f>
        <v/>
      </c>
      <c r="T114" s="10" t="s">
        <v>3681</v>
      </c>
      <c r="U114" s="10" t="s">
        <v>984</v>
      </c>
      <c r="V114" s="10" t="s">
        <v>1059</v>
      </c>
      <c r="W114" s="10" t="s">
        <v>51</v>
      </c>
      <c r="X114" s="10" t="s">
        <v>984</v>
      </c>
    </row>
    <row r="115">
      <c r="A115" s="9">
        <f t="shared" si="1"/>
        <v>114</v>
      </c>
      <c r="B115" s="11">
        <v>46224.6675</v>
      </c>
      <c r="C115" s="10" t="s">
        <v>568</v>
      </c>
      <c r="D115" s="10" t="s">
        <v>119</v>
      </c>
      <c r="E115" s="10" t="s">
        <v>120</v>
      </c>
      <c r="F115" s="13">
        <v>4.0</v>
      </c>
      <c r="G115" s="14">
        <v>62.54</v>
      </c>
      <c r="H115" s="10" t="s">
        <v>3683</v>
      </c>
      <c r="I115" s="10">
        <v>10.1</v>
      </c>
      <c r="O115" s="15">
        <f>IFERROR(__xludf.DUMMYFUNCTION("IF(ISBLANK($C115), """", GOOGLEFINANCE($C115, ""price""))"),68.18)</f>
        <v>68.18</v>
      </c>
      <c r="P115" s="16">
        <f t="shared" si="2"/>
        <v>-0.09018228334</v>
      </c>
      <c r="Q115" s="16">
        <f>IFERROR(__xludf.DUMMYFUNCTION("IF(OR(ISBLANK($G115), IFERROR(INDEX(GOOGLEFINANCE($C115, ""price"", WORKDAY(INT($B115), 1)), 2, 2), """")=""""), """", IF($D115=""LONG"", (IFERROR(INDEX(GOOGLEFINANCE($C115, ""price"", WORKDAY(INT($B115), 1)), 2, 2), """")-$G115)/$G115, ($G115-IFERROR(IND"&amp;"EX(GOOGLEFINANCE($C115, ""price"", WORKDAY(INT($B115), 1)), 2, 2), """"))/$G115))"),-0.039334825711544626)</f>
        <v>-0.03933482571</v>
      </c>
      <c r="R115" s="16">
        <f>IFERROR(__xludf.DUMMYFUNCTION("IF(OR(ISBLANK($G115), IFERROR(INDEX(GOOGLEFINANCE($C115, ""price"", WORKDAY(INT($B115), 5)), 2, 2), """")=""""), """", IF($D115=""LONG"", (IFERROR(INDEX(GOOGLEFINANCE($C115, ""price"", WORKDAY(INT($B115), 5)), 2, 2), """")-$G115)/$G115, ($G115-IFERROR(IND"&amp;"EX(GOOGLEFINANCE($C115, ""price"", WORKDAY(INT($B115), 5)), 2, 2), """"))/$G115))"),0.014390789894467518)</f>
        <v>0.01439078989</v>
      </c>
      <c r="S115" s="16" t="str">
        <f>IFERROR(__xludf.DUMMYFUNCTION("IF(OR(ISBLANK($G115), IFERROR(INDEX(GOOGLEFINANCE($C115, ""price"", WORKDAY(INT($B115), 20)), 2, 2), """")=""""), """", IF($D115=""LONG"", (IFERROR(INDEX(GOOGLEFINANCE($C115, ""price"", WORKDAY(INT($B115), 20)), 2, 2), """")-$G115)/$G115, ($G115-IFERROR(I"&amp;"NDEX(GOOGLEFINANCE($C115, ""price"", WORKDAY(INT($B115), 20)), 2, 2), """"))/$G115))"),"")</f>
        <v/>
      </c>
      <c r="T115" s="10" t="s">
        <v>3687</v>
      </c>
      <c r="U115" s="10" t="s">
        <v>984</v>
      </c>
      <c r="V115" s="10" t="s">
        <v>985</v>
      </c>
      <c r="W115" s="10" t="s">
        <v>51</v>
      </c>
      <c r="X115" s="10" t="s">
        <v>984</v>
      </c>
    </row>
    <row r="116">
      <c r="A116" s="9">
        <f t="shared" si="1"/>
        <v>115</v>
      </c>
      <c r="B116" s="11">
        <v>46224.66775462963</v>
      </c>
      <c r="C116" s="10" t="s">
        <v>3690</v>
      </c>
      <c r="D116" s="10" t="s">
        <v>36</v>
      </c>
      <c r="E116" s="10" t="s">
        <v>1892</v>
      </c>
      <c r="F116" s="13">
        <v>2.0</v>
      </c>
      <c r="G116" s="14">
        <v>647.0</v>
      </c>
      <c r="H116" s="10" t="s">
        <v>3691</v>
      </c>
      <c r="I116" s="10">
        <v>75.8</v>
      </c>
      <c r="O116" s="15">
        <f>IFERROR(__xludf.DUMMYFUNCTION("IF(ISBLANK($C116), """", GOOGLEFINANCE($C116, ""price""))"),687.52)</f>
        <v>687.52</v>
      </c>
      <c r="P116" s="16">
        <f t="shared" si="2"/>
        <v>0.06262751159</v>
      </c>
      <c r="Q116" s="16">
        <f>IFERROR(__xludf.DUMMYFUNCTION("IF(OR(ISBLANK($G116), IFERROR(INDEX(GOOGLEFINANCE($C116, ""price"", WORKDAY(INT($B116), 1)), 2, 2), """")=""""), """", IF($D116=""LONG"", (IFERROR(INDEX(GOOGLEFINANCE($C116, ""price"", WORKDAY(INT($B116), 1)), 2, 2), """")-$G116)/$G116, ($G116-IFERROR(IND"&amp;"EX(GOOGLEFINANCE($C116, ""price"", WORKDAY(INT($B116), 1)), 2, 2), """"))/$G116))"),0.005409582689335394)</f>
        <v>0.005409582689</v>
      </c>
      <c r="R116" s="16">
        <f>IFERROR(__xludf.DUMMYFUNCTION("IF(OR(ISBLANK($G116), IFERROR(INDEX(GOOGLEFINANCE($C116, ""price"", WORKDAY(INT($B116), 5)), 2, 2), """")=""""), """", IF($D116=""LONG"", (IFERROR(INDEX(GOOGLEFINANCE($C116, ""price"", WORKDAY(INT($B116), 5)), 2, 2), """")-$G116)/$G116, ($G116-IFERROR(IND"&amp;"EX(GOOGLEFINANCE($C116, ""price"", WORKDAY(INT($B116), 5)), 2, 2), """"))/$G116))"),0.0041267387944357945)</f>
        <v>0.004126738794</v>
      </c>
      <c r="S116" s="16" t="str">
        <f>IFERROR(__xludf.DUMMYFUNCTION("IF(OR(ISBLANK($G116), IFERROR(INDEX(GOOGLEFINANCE($C116, ""price"", WORKDAY(INT($B116), 20)), 2, 2), """")=""""), """", IF($D116=""LONG"", (IFERROR(INDEX(GOOGLEFINANCE($C116, ""price"", WORKDAY(INT($B116), 20)), 2, 2), """")-$G116)/$G116, ($G116-IFERROR(I"&amp;"NDEX(GOOGLEFINANCE($C116, ""price"", WORKDAY(INT($B116), 20)), 2, 2), """"))/$G116))"),"")</f>
        <v/>
      </c>
      <c r="T116" s="10" t="s">
        <v>3694</v>
      </c>
      <c r="U116" s="10" t="s">
        <v>984</v>
      </c>
      <c r="V116" s="10" t="s">
        <v>2785</v>
      </c>
      <c r="W116" s="10" t="s">
        <v>51</v>
      </c>
      <c r="X116" s="10" t="s">
        <v>984</v>
      </c>
    </row>
    <row r="117">
      <c r="A117" s="9">
        <f t="shared" si="1"/>
        <v>116</v>
      </c>
      <c r="B117" s="11">
        <v>46224.66762731481</v>
      </c>
      <c r="C117" s="10" t="s">
        <v>1739</v>
      </c>
      <c r="D117" s="10" t="s">
        <v>36</v>
      </c>
      <c r="E117" s="10" t="s">
        <v>37</v>
      </c>
      <c r="F117" s="13">
        <v>2.0</v>
      </c>
      <c r="G117" s="14">
        <v>251.71</v>
      </c>
      <c r="H117" s="10" t="s">
        <v>3696</v>
      </c>
      <c r="I117" s="10">
        <v>92.0</v>
      </c>
      <c r="O117" s="15">
        <f>IFERROR(__xludf.DUMMYFUNCTION("IF(ISBLANK($C117), """", GOOGLEFINANCE($C117, ""price""))"),275.11)</f>
        <v>275.11</v>
      </c>
      <c r="P117" s="16">
        <f t="shared" si="2"/>
        <v>0.09296412538</v>
      </c>
      <c r="Q117" s="16">
        <f>IFERROR(__xludf.DUMMYFUNCTION("IF(OR(ISBLANK($G117), IFERROR(INDEX(GOOGLEFINANCE($C117, ""price"", WORKDAY(INT($B117), 1)), 2, 2), """")=""""), """", IF($D117=""LONG"", (IFERROR(INDEX(GOOGLEFINANCE($C117, ""price"", WORKDAY(INT($B117), 1)), 2, 2), """")-$G117)/$G117, ($G117-IFERROR(IND"&amp;"EX(GOOGLEFINANCE($C117, ""price"", WORKDAY(INT($B117), 1)), 2, 2), """"))/$G117))"),4.767391045250667E-4)</f>
        <v>0.0004767391045</v>
      </c>
      <c r="R117" s="16">
        <f>IFERROR(__xludf.DUMMYFUNCTION("IF(OR(ISBLANK($G117), IFERROR(INDEX(GOOGLEFINANCE($C117, ""price"", WORKDAY(INT($B117), 5)), 2, 2), """")=""""), """", IF($D117=""LONG"", (IFERROR(INDEX(GOOGLEFINANCE($C117, ""price"", WORKDAY(INT($B117), 5)), 2, 2), """")-$G117)/$G117, ($G117-IFERROR(IND"&amp;"EX(GOOGLEFINANCE($C117, ""price"", WORKDAY(INT($B117), 5)), 2, 2), """"))/$G117))"),0.08227722378928135)</f>
        <v>0.08227722379</v>
      </c>
      <c r="S117" s="16" t="str">
        <f>IFERROR(__xludf.DUMMYFUNCTION("IF(OR(ISBLANK($G117), IFERROR(INDEX(GOOGLEFINANCE($C117, ""price"", WORKDAY(INT($B117), 20)), 2, 2), """")=""""), """", IF($D117=""LONG"", (IFERROR(INDEX(GOOGLEFINANCE($C117, ""price"", WORKDAY(INT($B117), 20)), 2, 2), """")-$G117)/$G117, ($G117-IFERROR(I"&amp;"NDEX(GOOGLEFINANCE($C117, ""price"", WORKDAY(INT($B117), 20)), 2, 2), """"))/$G117))"),"")</f>
        <v/>
      </c>
      <c r="T117" s="10" t="s">
        <v>3700</v>
      </c>
      <c r="U117" s="10" t="s">
        <v>984</v>
      </c>
      <c r="V117" s="10" t="s">
        <v>933</v>
      </c>
      <c r="W117" s="10" t="s">
        <v>51</v>
      </c>
      <c r="X117" s="10" t="s">
        <v>984</v>
      </c>
    </row>
    <row r="118">
      <c r="A118" s="9">
        <f t="shared" si="1"/>
        <v>117</v>
      </c>
      <c r="B118" s="11">
        <v>46224.66777777778</v>
      </c>
      <c r="C118" s="10" t="s">
        <v>3702</v>
      </c>
      <c r="D118" s="10" t="s">
        <v>36</v>
      </c>
      <c r="E118" s="10" t="s">
        <v>37</v>
      </c>
      <c r="F118" s="13">
        <v>2.0</v>
      </c>
      <c r="G118" s="14">
        <v>538.12</v>
      </c>
      <c r="H118" s="10" t="s">
        <v>3703</v>
      </c>
      <c r="I118" s="10">
        <v>98.3</v>
      </c>
      <c r="O118" s="15">
        <f>IFERROR(__xludf.DUMMYFUNCTION("IF(ISBLANK($C118), """", GOOGLEFINANCE($C118, ""price""))"),575.95)</f>
        <v>575.95</v>
      </c>
      <c r="P118" s="16">
        <f t="shared" si="2"/>
        <v>0.07030030476</v>
      </c>
      <c r="Q118" s="16">
        <f>IFERROR(__xludf.DUMMYFUNCTION("IF(OR(ISBLANK($G118), IFERROR(INDEX(GOOGLEFINANCE($C118, ""price"", WORKDAY(INT($B118), 1)), 2, 2), """")=""""), """", IF($D118=""LONG"", (IFERROR(INDEX(GOOGLEFINANCE($C118, ""price"", WORKDAY(INT($B118), 1)), 2, 2), """")-$G118)/$G118, ($G118-IFERROR(IND"&amp;"EX(GOOGLEFINANCE($C118, ""price"", WORKDAY(INT($B118), 1)), 2, 2), """"))/$G118))"),-0.011410094402735424)</f>
        <v>-0.0114100944</v>
      </c>
      <c r="R118" s="16">
        <f>IFERROR(__xludf.DUMMYFUNCTION("IF(OR(ISBLANK($G118), IFERROR(INDEX(GOOGLEFINANCE($C118, ""price"", WORKDAY(INT($B118), 5)), 2, 2), """")=""""), """", IF($D118=""LONG"", (IFERROR(INDEX(GOOGLEFINANCE($C118, ""price"", WORKDAY(INT($B118), 5)), 2, 2), """")-$G118)/$G118, ($G118-IFERROR(IND"&amp;"EX(GOOGLEFINANCE($C118, ""price"", WORKDAY(INT($B118), 5)), 2, 2), """"))/$G118))"),0.04577046012041923)</f>
        <v>0.04577046012</v>
      </c>
      <c r="S118" s="16" t="str">
        <f>IFERROR(__xludf.DUMMYFUNCTION("IF(OR(ISBLANK($G118), IFERROR(INDEX(GOOGLEFINANCE($C118, ""price"", WORKDAY(INT($B118), 20)), 2, 2), """")=""""), """", IF($D118=""LONG"", (IFERROR(INDEX(GOOGLEFINANCE($C118, ""price"", WORKDAY(INT($B118), 20)), 2, 2), """")-$G118)/$G118, ($G118-IFERROR(I"&amp;"NDEX(GOOGLEFINANCE($C118, ""price"", WORKDAY(INT($B118), 20)), 2, 2), """"))/$G118))"),"")</f>
        <v/>
      </c>
      <c r="T118" s="10" t="s">
        <v>3708</v>
      </c>
      <c r="U118" s="10" t="s">
        <v>984</v>
      </c>
      <c r="V118" s="10" t="s">
        <v>985</v>
      </c>
      <c r="W118" s="10" t="s">
        <v>51</v>
      </c>
      <c r="X118" s="10" t="s">
        <v>984</v>
      </c>
    </row>
    <row r="119">
      <c r="A119" s="9">
        <f t="shared" si="1"/>
        <v>118</v>
      </c>
      <c r="B119" s="11">
        <v>46224.6674537037</v>
      </c>
      <c r="C119" s="10" t="s">
        <v>1762</v>
      </c>
      <c r="D119" s="10" t="s">
        <v>36</v>
      </c>
      <c r="E119" s="10" t="s">
        <v>133</v>
      </c>
      <c r="F119" s="13">
        <v>2.0</v>
      </c>
      <c r="G119" s="14">
        <v>209.37</v>
      </c>
      <c r="H119" s="10" t="s">
        <v>3709</v>
      </c>
      <c r="I119" s="10">
        <v>76.9</v>
      </c>
      <c r="O119" s="15">
        <f>IFERROR(__xludf.DUMMYFUNCTION("IF(ISBLANK($C119), """", GOOGLEFINANCE($C119, ""price""))"),146.66)</f>
        <v>146.66</v>
      </c>
      <c r="P119" s="16">
        <f t="shared" si="2"/>
        <v>-0.2995176004</v>
      </c>
      <c r="Q119" s="16">
        <f>IFERROR(__xludf.DUMMYFUNCTION("IF(OR(ISBLANK($G119), IFERROR(INDEX(GOOGLEFINANCE($C119, ""price"", WORKDAY(INT($B119), 1)), 2, 2), """")=""""), """", IF($D119=""LONG"", (IFERROR(INDEX(GOOGLEFINANCE($C119, ""price"", WORKDAY(INT($B119), 1)), 2, 2), """")-$G119)/$G119, ($G119-IFERROR(IND"&amp;"EX(GOOGLEFINANCE($C119, ""price"", WORKDAY(INT($B119), 1)), 2, 2), """"))/$G119))"),-0.009647991593829156)</f>
        <v>-0.009647991594</v>
      </c>
      <c r="R119" s="16">
        <f>IFERROR(__xludf.DUMMYFUNCTION("IF(OR(ISBLANK($G119), IFERROR(INDEX(GOOGLEFINANCE($C119, ""price"", WORKDAY(INT($B119), 5)), 2, 2), """")=""""), """", IF($D119=""LONG"", (IFERROR(INDEX(GOOGLEFINANCE($C119, ""price"", WORKDAY(INT($B119), 5)), 2, 2), """")-$G119)/$G119, ($G119-IFERROR(IND"&amp;"EX(GOOGLEFINANCE($C119, ""price"", WORKDAY(INT($B119), 5)), 2, 2), """"))/$G119))"),-0.19119262549553423)</f>
        <v>-0.1911926255</v>
      </c>
      <c r="S119" s="16" t="str">
        <f>IFERROR(__xludf.DUMMYFUNCTION("IF(OR(ISBLANK($G119), IFERROR(INDEX(GOOGLEFINANCE($C119, ""price"", WORKDAY(INT($B119), 20)), 2, 2), """")=""""), """", IF($D119=""LONG"", (IFERROR(INDEX(GOOGLEFINANCE($C119, ""price"", WORKDAY(INT($B119), 20)), 2, 2), """")-$G119)/$G119, ($G119-IFERROR(I"&amp;"NDEX(GOOGLEFINANCE($C119, ""price"", WORKDAY(INT($B119), 20)), 2, 2), """"))/$G119))"),"")</f>
        <v/>
      </c>
      <c r="T119" s="10" t="s">
        <v>3712</v>
      </c>
      <c r="U119" s="10" t="s">
        <v>984</v>
      </c>
      <c r="V119" s="10" t="s">
        <v>2714</v>
      </c>
      <c r="W119" s="10" t="s">
        <v>51</v>
      </c>
      <c r="X119" s="10" t="s">
        <v>984</v>
      </c>
    </row>
    <row r="120">
      <c r="A120" s="9">
        <f t="shared" si="1"/>
        <v>119</v>
      </c>
      <c r="B120" s="11">
        <v>46224.66782407407</v>
      </c>
      <c r="C120" s="10" t="s">
        <v>3715</v>
      </c>
      <c r="D120" s="10" t="s">
        <v>119</v>
      </c>
      <c r="E120" s="10" t="s">
        <v>120</v>
      </c>
      <c r="F120" s="13">
        <v>4.0</v>
      </c>
      <c r="G120" s="14">
        <v>91.04</v>
      </c>
      <c r="H120" s="10" t="s">
        <v>3717</v>
      </c>
      <c r="I120" s="10">
        <v>10.4</v>
      </c>
      <c r="O120" s="15">
        <f>IFERROR(__xludf.DUMMYFUNCTION("IF(ISBLANK($C120), """", GOOGLEFINANCE($C120, ""price""))"),78.33)</f>
        <v>78.33</v>
      </c>
      <c r="P120" s="16">
        <f t="shared" si="2"/>
        <v>0.1396089631</v>
      </c>
      <c r="Q120" s="16">
        <f>IFERROR(__xludf.DUMMYFUNCTION("IF(OR(ISBLANK($G120), IFERROR(INDEX(GOOGLEFINANCE($C120, ""price"", WORKDAY(INT($B120), 1)), 2, 2), """")=""""), """", IF($D120=""LONG"", (IFERROR(INDEX(GOOGLEFINANCE($C120, ""price"", WORKDAY(INT($B120), 1)), 2, 2), """")-$G120)/$G120, ($G120-IFERROR(IND"&amp;"EX(GOOGLEFINANCE($C120, ""price"", WORKDAY(INT($B120), 1)), 2, 2), """"))/$G120))"),-0.014169595782073725)</f>
        <v>-0.01416959578</v>
      </c>
      <c r="R120" s="16">
        <f>IFERROR(__xludf.DUMMYFUNCTION("IF(OR(ISBLANK($G120), IFERROR(INDEX(GOOGLEFINANCE($C120, ""price"", WORKDAY(INT($B120), 5)), 2, 2), """")=""""), """", IF($D120=""LONG"", (IFERROR(INDEX(GOOGLEFINANCE($C120, ""price"", WORKDAY(INT($B120), 5)), 2, 2), """")-$G120)/$G120, ($G120-IFERROR(IND"&amp;"EX(GOOGLEFINANCE($C120, ""price"", WORKDAY(INT($B120), 5)), 2, 2), """"))/$G120))"),0.07304481546572941)</f>
        <v>0.07304481547</v>
      </c>
      <c r="S120" s="16" t="str">
        <f>IFERROR(__xludf.DUMMYFUNCTION("IF(OR(ISBLANK($G120), IFERROR(INDEX(GOOGLEFINANCE($C120, ""price"", WORKDAY(INT($B120), 20)), 2, 2), """")=""""), """", IF($D120=""LONG"", (IFERROR(INDEX(GOOGLEFINANCE($C120, ""price"", WORKDAY(INT($B120), 20)), 2, 2), """")-$G120)/$G120, ($G120-IFERROR(I"&amp;"NDEX(GOOGLEFINANCE($C120, ""price"", WORKDAY(INT($B120), 20)), 2, 2), """"))/$G120))"),"")</f>
        <v/>
      </c>
      <c r="T120" s="10" t="s">
        <v>3719</v>
      </c>
      <c r="U120" s="10" t="s">
        <v>984</v>
      </c>
      <c r="V120" s="10" t="s">
        <v>985</v>
      </c>
      <c r="W120" s="10" t="s">
        <v>51</v>
      </c>
      <c r="X120" s="10" t="s">
        <v>984</v>
      </c>
    </row>
    <row r="121">
      <c r="A121" s="9">
        <f t="shared" si="1"/>
        <v>120</v>
      </c>
      <c r="B121" s="11">
        <v>46224.6674537037</v>
      </c>
      <c r="C121" s="10" t="s">
        <v>3721</v>
      </c>
      <c r="D121" s="10" t="s">
        <v>36</v>
      </c>
      <c r="E121" s="10" t="s">
        <v>37</v>
      </c>
      <c r="F121" s="13">
        <v>2.0</v>
      </c>
      <c r="G121" s="14">
        <v>99.95</v>
      </c>
      <c r="H121" s="10" t="s">
        <v>1099</v>
      </c>
      <c r="I121" s="10">
        <v>97.4</v>
      </c>
      <c r="O121" s="15">
        <f>IFERROR(__xludf.DUMMYFUNCTION("IF(ISBLANK($C121), """", GOOGLEFINANCE($C121, ""price""))"),107.66)</f>
        <v>107.66</v>
      </c>
      <c r="P121" s="16">
        <f t="shared" si="2"/>
        <v>0.07713856928</v>
      </c>
      <c r="Q121" s="16">
        <f>IFERROR(__xludf.DUMMYFUNCTION("IF(OR(ISBLANK($G121), IFERROR(INDEX(GOOGLEFINANCE($C121, ""price"", WORKDAY(INT($B121), 1)), 2, 2), """")=""""), """", IF($D121=""LONG"", (IFERROR(INDEX(GOOGLEFINANCE($C121, ""price"", WORKDAY(INT($B121), 1)), 2, 2), """")-$G121)/$G121, ($G121-IFERROR(IND"&amp;"EX(GOOGLEFINANCE($C121, ""price"", WORKDAY(INT($B121), 1)), 2, 2), """"))/$G121))"),0.008504252126062975)</f>
        <v>0.008504252126</v>
      </c>
      <c r="R121" s="16">
        <f>IFERROR(__xludf.DUMMYFUNCTION("IF(OR(ISBLANK($G121), IFERROR(INDEX(GOOGLEFINANCE($C121, ""price"", WORKDAY(INT($B121), 5)), 2, 2), """")=""""), """", IF($D121=""LONG"", (IFERROR(INDEX(GOOGLEFINANCE($C121, ""price"", WORKDAY(INT($B121), 5)), 2, 2), """")-$G121)/$G121, ($G121-IFERROR(IND"&amp;"EX(GOOGLEFINANCE($C121, ""price"", WORKDAY(INT($B121), 5)), 2, 2), """"))/$G121))"),0.060230115057528726)</f>
        <v>0.06023011506</v>
      </c>
      <c r="S121" s="16" t="str">
        <f>IFERROR(__xludf.DUMMYFUNCTION("IF(OR(ISBLANK($G121), IFERROR(INDEX(GOOGLEFINANCE($C121, ""price"", WORKDAY(INT($B121), 20)), 2, 2), """")=""""), """", IF($D121=""LONG"", (IFERROR(INDEX(GOOGLEFINANCE($C121, ""price"", WORKDAY(INT($B121), 20)), 2, 2), """")-$G121)/$G121, ($G121-IFERROR(I"&amp;"NDEX(GOOGLEFINANCE($C121, ""price"", WORKDAY(INT($B121), 20)), 2, 2), """"))/$G121))"),"")</f>
        <v/>
      </c>
      <c r="T121" s="10" t="s">
        <v>3724</v>
      </c>
      <c r="U121" s="10" t="s">
        <v>984</v>
      </c>
      <c r="V121" s="10" t="s">
        <v>933</v>
      </c>
      <c r="W121" s="10" t="s">
        <v>51</v>
      </c>
      <c r="X121" s="10" t="s">
        <v>984</v>
      </c>
    </row>
    <row r="122">
      <c r="A122" s="9">
        <f t="shared" si="1"/>
        <v>121</v>
      </c>
      <c r="B122" s="11">
        <v>46224.667708333334</v>
      </c>
      <c r="C122" s="10" t="s">
        <v>564</v>
      </c>
      <c r="D122" s="10" t="s">
        <v>119</v>
      </c>
      <c r="E122" s="10" t="s">
        <v>120</v>
      </c>
      <c r="F122" s="13">
        <v>4.0</v>
      </c>
      <c r="G122" s="14">
        <v>393.57</v>
      </c>
      <c r="H122" s="10" t="s">
        <v>3726</v>
      </c>
      <c r="I122" s="10">
        <v>16.4</v>
      </c>
      <c r="O122" s="15">
        <f>IFERROR(__xludf.DUMMYFUNCTION("IF(ISBLANK($C122), """", GOOGLEFINANCE($C122, ""price""))"),391.4)</f>
        <v>391.4</v>
      </c>
      <c r="P122" s="16">
        <f t="shared" si="2"/>
        <v>0.005513631628</v>
      </c>
      <c r="Q122" s="16">
        <f>IFERROR(__xludf.DUMMYFUNCTION("IF(OR(ISBLANK($G122), IFERROR(INDEX(GOOGLEFINANCE($C122, ""price"", WORKDAY(INT($B122), 1)), 2, 2), """")=""""), """", IF($D122=""LONG"", (IFERROR(INDEX(GOOGLEFINANCE($C122, ""price"", WORKDAY(INT($B122), 1)), 2, 2), """")-$G122)/$G122, ($G122-IFERROR(IND"&amp;"EX(GOOGLEFINANCE($C122, ""price"", WORKDAY(INT($B122), 1)), 2, 2), """"))/$G122))"),0.011382981426429906)</f>
        <v>0.01138298143</v>
      </c>
      <c r="R122" s="16">
        <f>IFERROR(__xludf.DUMMYFUNCTION("IF(OR(ISBLANK($G122), IFERROR(INDEX(GOOGLEFINANCE($C122, ""price"", WORKDAY(INT($B122), 5)), 2, 2), """")=""""), """", IF($D122=""LONG"", (IFERROR(INDEX(GOOGLEFINANCE($C122, ""price"", WORKDAY(INT($B122), 5)), 2, 2), """")-$G122)/$G122, ($G122-IFERROR(IND"&amp;"EX(GOOGLEFINANCE($C122, ""price"", WORKDAY(INT($B122), 5)), 2, 2), """"))/$G122))"),0.019920217496252193)</f>
        <v>0.0199202175</v>
      </c>
      <c r="S122" s="16" t="str">
        <f>IFERROR(__xludf.DUMMYFUNCTION("IF(OR(ISBLANK($G122), IFERROR(INDEX(GOOGLEFINANCE($C122, ""price"", WORKDAY(INT($B122), 20)), 2, 2), """")=""""), """", IF($D122=""LONG"", (IFERROR(INDEX(GOOGLEFINANCE($C122, ""price"", WORKDAY(INT($B122), 20)), 2, 2), """")-$G122)/$G122, ($G122-IFERROR(I"&amp;"NDEX(GOOGLEFINANCE($C122, ""price"", WORKDAY(INT($B122), 20)), 2, 2), """"))/$G122))"),"")</f>
        <v/>
      </c>
      <c r="T122" s="10" t="s">
        <v>3729</v>
      </c>
      <c r="U122" s="10" t="s">
        <v>984</v>
      </c>
      <c r="V122" s="10" t="s">
        <v>985</v>
      </c>
      <c r="W122" s="10" t="s">
        <v>51</v>
      </c>
      <c r="X122" s="10" t="s">
        <v>984</v>
      </c>
    </row>
    <row r="123">
      <c r="A123" s="9">
        <f t="shared" si="1"/>
        <v>122</v>
      </c>
      <c r="B123" s="11">
        <v>46224.66762731481</v>
      </c>
      <c r="C123" s="10" t="s">
        <v>826</v>
      </c>
      <c r="D123" s="10" t="s">
        <v>36</v>
      </c>
      <c r="E123" s="10" t="s">
        <v>37</v>
      </c>
      <c r="F123" s="13">
        <v>2.0</v>
      </c>
      <c r="G123" s="14">
        <v>355.96</v>
      </c>
      <c r="H123" s="10" t="s">
        <v>3730</v>
      </c>
      <c r="I123" s="10">
        <v>97.9</v>
      </c>
      <c r="O123" s="15">
        <f>IFERROR(__xludf.DUMMYFUNCTION("IF(ISBLANK($C123), """", GOOGLEFINANCE($C123, ""price""))"),370.47)</f>
        <v>370.47</v>
      </c>
      <c r="P123" s="16">
        <f t="shared" si="2"/>
        <v>0.04076300708</v>
      </c>
      <c r="Q123" s="16">
        <f>IFERROR(__xludf.DUMMYFUNCTION("IF(OR(ISBLANK($G123), IFERROR(INDEX(GOOGLEFINANCE($C123, ""price"", WORKDAY(INT($B123), 1)), 2, 2), """")=""""), """", IF($D123=""LONG"", (IFERROR(INDEX(GOOGLEFINANCE($C123, ""price"", WORKDAY(INT($B123), 1)), 2, 2), """")-$G123)/$G123, ($G123-IFERROR(IND"&amp;"EX(GOOGLEFINANCE($C123, ""price"", WORKDAY(INT($B123), 1)), 2, 2), """"))/$G123))"),-0.007135633217215316)</f>
        <v>-0.007135633217</v>
      </c>
      <c r="R123" s="16">
        <f>IFERROR(__xludf.DUMMYFUNCTION("IF(OR(ISBLANK($G123), IFERROR(INDEX(GOOGLEFINANCE($C123, ""price"", WORKDAY(INT($B123), 5)), 2, 2), """")=""""), """", IF($D123=""LONG"", (IFERROR(INDEX(GOOGLEFINANCE($C123, ""price"", WORKDAY(INT($B123), 5)), 2, 2), """")-$G123)/$G123, ($G123-IFERROR(IND"&amp;"EX(GOOGLEFINANCE($C123, ""price"", WORKDAY(INT($B123), 5)), 2, 2), """"))/$G123))"),0.029862905944488132)</f>
        <v>0.02986290594</v>
      </c>
      <c r="S123" s="16" t="str">
        <f>IFERROR(__xludf.DUMMYFUNCTION("IF(OR(ISBLANK($G123), IFERROR(INDEX(GOOGLEFINANCE($C123, ""price"", WORKDAY(INT($B123), 20)), 2, 2), """")=""""), """", IF($D123=""LONG"", (IFERROR(INDEX(GOOGLEFINANCE($C123, ""price"", WORKDAY(INT($B123), 20)), 2, 2), """")-$G123)/$G123, ($G123-IFERROR(I"&amp;"NDEX(GOOGLEFINANCE($C123, ""price"", WORKDAY(INT($B123), 20)), 2, 2), """"))/$G123))"),"")</f>
        <v/>
      </c>
      <c r="T123" s="10" t="s">
        <v>3735</v>
      </c>
      <c r="U123" s="10" t="s">
        <v>240</v>
      </c>
      <c r="V123" s="10" t="s">
        <v>3736</v>
      </c>
      <c r="W123" s="10" t="s">
        <v>51</v>
      </c>
      <c r="X123" s="10" t="s">
        <v>1905</v>
      </c>
    </row>
    <row r="124">
      <c r="A124" s="9">
        <f t="shared" si="1"/>
        <v>123</v>
      </c>
      <c r="B124" s="11">
        <v>46224.66767361111</v>
      </c>
      <c r="C124" s="10" t="s">
        <v>641</v>
      </c>
      <c r="D124" s="10" t="s">
        <v>36</v>
      </c>
      <c r="E124" s="10" t="s">
        <v>37</v>
      </c>
      <c r="F124" s="13">
        <v>2.0</v>
      </c>
      <c r="G124" s="14">
        <v>62.57</v>
      </c>
      <c r="H124" s="10" t="s">
        <v>3022</v>
      </c>
      <c r="I124" s="10">
        <v>96.6</v>
      </c>
      <c r="O124" s="15">
        <f>IFERROR(__xludf.DUMMYFUNCTION("IF(ISBLANK($C124), """", GOOGLEFINANCE($C124, ""price""))"),63.13)</f>
        <v>63.13</v>
      </c>
      <c r="P124" s="16">
        <f t="shared" si="2"/>
        <v>0.008949976027</v>
      </c>
      <c r="Q124" s="16">
        <f>IFERROR(__xludf.DUMMYFUNCTION("IF(OR(ISBLANK($G124), IFERROR(INDEX(GOOGLEFINANCE($C124, ""price"", WORKDAY(INT($B124), 1)), 2, 2), """")=""""), """", IF($D124=""LONG"", (IFERROR(INDEX(GOOGLEFINANCE($C124, ""price"", WORKDAY(INT($B124), 1)), 2, 2), """")-$G124)/$G124, ($G124-IFERROR(IND"&amp;"EX(GOOGLEFINANCE($C124, ""price"", WORKDAY(INT($B124), 1)), 2, 2), """"))/$G124))"),-0.0035160620105481677)</f>
        <v>-0.003516062011</v>
      </c>
      <c r="R124" s="16">
        <f>IFERROR(__xludf.DUMMYFUNCTION("IF(OR(ISBLANK($G124), IFERROR(INDEX(GOOGLEFINANCE($C124, ""price"", WORKDAY(INT($B124), 5)), 2, 2), """")=""""), """", IF($D124=""LONG"", (IFERROR(INDEX(GOOGLEFINANCE($C124, ""price"", WORKDAY(INT($B124), 5)), 2, 2), """")-$G124)/$G124, ($G124-IFERROR(IND"&amp;"EX(GOOGLEFINANCE($C124, ""price"", WORKDAY(INT($B124), 5)), 2, 2), """"))/$G124))"),0.06904267220712802)</f>
        <v>0.06904267221</v>
      </c>
      <c r="S124" s="16" t="str">
        <f>IFERROR(__xludf.DUMMYFUNCTION("IF(OR(ISBLANK($G124), IFERROR(INDEX(GOOGLEFINANCE($C124, ""price"", WORKDAY(INT($B124), 20)), 2, 2), """")=""""), """", IF($D124=""LONG"", (IFERROR(INDEX(GOOGLEFINANCE($C124, ""price"", WORKDAY(INT($B124), 20)), 2, 2), """")-$G124)/$G124, ($G124-IFERROR(I"&amp;"NDEX(GOOGLEFINANCE($C124, ""price"", WORKDAY(INT($B124), 20)), 2, 2), """"))/$G124))"),"")</f>
        <v/>
      </c>
      <c r="T124" s="10" t="s">
        <v>3740</v>
      </c>
      <c r="U124" s="10" t="s">
        <v>984</v>
      </c>
      <c r="V124" s="10" t="s">
        <v>933</v>
      </c>
      <c r="W124" s="10" t="s">
        <v>51</v>
      </c>
      <c r="X124" s="10" t="s">
        <v>984</v>
      </c>
    </row>
    <row r="125">
      <c r="A125" s="9">
        <f t="shared" si="1"/>
        <v>124</v>
      </c>
      <c r="B125" s="11">
        <v>46224.6675</v>
      </c>
      <c r="C125" s="10" t="s">
        <v>2250</v>
      </c>
      <c r="D125" s="10" t="s">
        <v>36</v>
      </c>
      <c r="E125" s="10" t="s">
        <v>37</v>
      </c>
      <c r="F125" s="13">
        <v>2.0</v>
      </c>
      <c r="G125" s="14">
        <v>248.24</v>
      </c>
      <c r="H125" s="10" t="s">
        <v>3742</v>
      </c>
      <c r="I125" s="10">
        <v>99.3</v>
      </c>
      <c r="O125" s="15">
        <f>IFERROR(__xludf.DUMMYFUNCTION("IF(ISBLANK($C125), """", GOOGLEFINANCE($C125, ""price""))"),251.74)</f>
        <v>251.74</v>
      </c>
      <c r="P125" s="16">
        <f t="shared" si="2"/>
        <v>0.01409925878</v>
      </c>
      <c r="Q125" s="16">
        <f>IFERROR(__xludf.DUMMYFUNCTION("IF(OR(ISBLANK($G125), IFERROR(INDEX(GOOGLEFINANCE($C125, ""price"", WORKDAY(INT($B125), 1)), 2, 2), """")=""""), """", IF($D125=""LONG"", (IFERROR(INDEX(GOOGLEFINANCE($C125, ""price"", WORKDAY(INT($B125), 1)), 2, 2), """")-$G125)/$G125, ($G125-IFERROR(IND"&amp;"EX(GOOGLEFINANCE($C125, ""price"", WORKDAY(INT($B125), 1)), 2, 2), """"))/$G125))"),-0.023122784402191465)</f>
        <v>-0.0231227844</v>
      </c>
      <c r="R125" s="16">
        <f>IFERROR(__xludf.DUMMYFUNCTION("IF(OR(ISBLANK($G125), IFERROR(INDEX(GOOGLEFINANCE($C125, ""price"", WORKDAY(INT($B125), 5)), 2, 2), """")=""""), """", IF($D125=""LONG"", (IFERROR(INDEX(GOOGLEFINANCE($C125, ""price"", WORKDAY(INT($B125), 5)), 2, 2), """")-$G125)/$G125, ($G125-IFERROR(IND"&amp;"EX(GOOGLEFINANCE($C125, ""price"", WORKDAY(INT($B125), 5)), 2, 2), """"))/$G125))"),0.0687640992587818)</f>
        <v>0.06876409926</v>
      </c>
      <c r="S125" s="16" t="str">
        <f>IFERROR(__xludf.DUMMYFUNCTION("IF(OR(ISBLANK($G125), IFERROR(INDEX(GOOGLEFINANCE($C125, ""price"", WORKDAY(INT($B125), 20)), 2, 2), """")=""""), """", IF($D125=""LONG"", (IFERROR(INDEX(GOOGLEFINANCE($C125, ""price"", WORKDAY(INT($B125), 20)), 2, 2), """")-$G125)/$G125, ($G125-IFERROR(I"&amp;"NDEX(GOOGLEFINANCE($C125, ""price"", WORKDAY(INT($B125), 20)), 2, 2), """"))/$G125))"),"")</f>
        <v/>
      </c>
      <c r="T125" s="10" t="s">
        <v>3744</v>
      </c>
      <c r="U125" s="10" t="s">
        <v>984</v>
      </c>
      <c r="V125" s="10" t="s">
        <v>985</v>
      </c>
      <c r="W125" s="10" t="s">
        <v>51</v>
      </c>
      <c r="X125" s="10" t="s">
        <v>984</v>
      </c>
    </row>
    <row r="126">
      <c r="A126" s="9">
        <f t="shared" si="1"/>
        <v>125</v>
      </c>
      <c r="B126" s="11">
        <v>46224.66777777778</v>
      </c>
      <c r="C126" s="10" t="s">
        <v>392</v>
      </c>
      <c r="D126" s="10" t="s">
        <v>36</v>
      </c>
      <c r="E126" s="10" t="s">
        <v>37</v>
      </c>
      <c r="F126" s="13">
        <v>2.0</v>
      </c>
      <c r="G126" s="14">
        <v>237.08</v>
      </c>
      <c r="H126" s="10" t="s">
        <v>3747</v>
      </c>
      <c r="I126" s="10">
        <v>94.5</v>
      </c>
      <c r="O126" s="15">
        <f>IFERROR(__xludf.DUMMYFUNCTION("IF(ISBLANK($C126), """", GOOGLEFINANCE($C126, ""price""))"),180.67)</f>
        <v>180.67</v>
      </c>
      <c r="P126" s="16">
        <f t="shared" si="2"/>
        <v>-0.2379365615</v>
      </c>
      <c r="Q126" s="16">
        <f>IFERROR(__xludf.DUMMYFUNCTION("IF(OR(ISBLANK($G126), IFERROR(INDEX(GOOGLEFINANCE($C126, ""price"", WORKDAY(INT($B126), 1)), 2, 2), """")=""""), """", IF($D126=""LONG"", (IFERROR(INDEX(GOOGLEFINANCE($C126, ""price"", WORKDAY(INT($B126), 1)), 2, 2), """")-$G126)/$G126, ($G126-IFERROR(IND"&amp;"EX(GOOGLEFINANCE($C126, ""price"", WORKDAY(INT($B126), 1)), 2, 2), """"))/$G126))"),-0.021089927450649568)</f>
        <v>-0.02108992745</v>
      </c>
      <c r="R126" s="16">
        <f>IFERROR(__xludf.DUMMYFUNCTION("IF(OR(ISBLANK($G126), IFERROR(INDEX(GOOGLEFINANCE($C126, ""price"", WORKDAY(INT($B126), 5)), 2, 2), """")=""""), """", IF($D126=""LONG"", (IFERROR(INDEX(GOOGLEFINANCE($C126, ""price"", WORKDAY(INT($B126), 5)), 2, 2), """")-$G126)/$G126, ($G126-IFERROR(IND"&amp;"EX(GOOGLEFINANCE($C126, ""price"", WORKDAY(INT($B126), 5)), 2, 2), """"))/$G126))"),0.010038805466509175)</f>
        <v>0.01003880547</v>
      </c>
      <c r="S126" s="16" t="str">
        <f>IFERROR(__xludf.DUMMYFUNCTION("IF(OR(ISBLANK($G126), IFERROR(INDEX(GOOGLEFINANCE($C126, ""price"", WORKDAY(INT($B126), 20)), 2, 2), """")=""""), """", IF($D126=""LONG"", (IFERROR(INDEX(GOOGLEFINANCE($C126, ""price"", WORKDAY(INT($B126), 20)), 2, 2), """")-$G126)/$G126, ($G126-IFERROR(I"&amp;"NDEX(GOOGLEFINANCE($C126, ""price"", WORKDAY(INT($B126), 20)), 2, 2), """"))/$G126))"),"")</f>
        <v/>
      </c>
      <c r="T126" s="10" t="s">
        <v>3750</v>
      </c>
      <c r="U126" s="10" t="s">
        <v>984</v>
      </c>
      <c r="V126" s="10" t="s">
        <v>2785</v>
      </c>
      <c r="W126" s="10" t="s">
        <v>51</v>
      </c>
      <c r="X126" s="10" t="s">
        <v>984</v>
      </c>
    </row>
    <row r="127">
      <c r="A127" s="9">
        <f t="shared" si="1"/>
        <v>126</v>
      </c>
      <c r="B127" s="11">
        <v>46224.66773148148</v>
      </c>
      <c r="C127" s="10" t="s">
        <v>258</v>
      </c>
      <c r="D127" s="10" t="s">
        <v>36</v>
      </c>
      <c r="E127" s="10" t="s">
        <v>37</v>
      </c>
      <c r="F127" s="13">
        <v>2.0</v>
      </c>
      <c r="G127" s="14">
        <v>117.64</v>
      </c>
      <c r="H127" s="10" t="s">
        <v>2742</v>
      </c>
      <c r="I127" s="10">
        <v>94.4</v>
      </c>
      <c r="O127" s="15">
        <f>IFERROR(__xludf.DUMMYFUNCTION("IF(ISBLANK($C127), """", GOOGLEFINANCE($C127, ""price""))"),113.62)</f>
        <v>113.62</v>
      </c>
      <c r="P127" s="16">
        <f t="shared" si="2"/>
        <v>-0.03417205032</v>
      </c>
      <c r="Q127" s="16">
        <f>IFERROR(__xludf.DUMMYFUNCTION("IF(OR(ISBLANK($G127), IFERROR(INDEX(GOOGLEFINANCE($C127, ""price"", WORKDAY(INT($B127), 1)), 2, 2), """")=""""), """", IF($D127=""LONG"", (IFERROR(INDEX(GOOGLEFINANCE($C127, ""price"", WORKDAY(INT($B127), 1)), 2, 2), """")-$G127)/$G127, ($G127-IFERROR(IND"&amp;"EX(GOOGLEFINANCE($C127, ""price"", WORKDAY(INT($B127), 1)), 2, 2), """"))/$G127))"),-0.013855831349880955)</f>
        <v>-0.01385583135</v>
      </c>
      <c r="R127" s="16">
        <f>IFERROR(__xludf.DUMMYFUNCTION("IF(OR(ISBLANK($G127), IFERROR(INDEX(GOOGLEFINANCE($C127, ""price"", WORKDAY(INT($B127), 5)), 2, 2), """")=""""), """", IF($D127=""LONG"", (IFERROR(INDEX(GOOGLEFINANCE($C127, ""price"", WORKDAY(INT($B127), 5)), 2, 2), """")-$G127)/$G127, ($G127-IFERROR(IND"&amp;"EX(GOOGLEFINANCE($C127, ""price"", WORKDAY(INT($B127), 5)), 2, 2), """"))/$G127))"),0.03434206052363147)</f>
        <v>0.03434206052</v>
      </c>
      <c r="S127" s="16" t="str">
        <f>IFERROR(__xludf.DUMMYFUNCTION("IF(OR(ISBLANK($G127), IFERROR(INDEX(GOOGLEFINANCE($C127, ""price"", WORKDAY(INT($B127), 20)), 2, 2), """")=""""), """", IF($D127=""LONG"", (IFERROR(INDEX(GOOGLEFINANCE($C127, ""price"", WORKDAY(INT($B127), 20)), 2, 2), """")-$G127)/$G127, ($G127-IFERROR(I"&amp;"NDEX(GOOGLEFINANCE($C127, ""price"", WORKDAY(INT($B127), 20)), 2, 2), """"))/$G127))"),"")</f>
        <v/>
      </c>
      <c r="T127" s="10" t="s">
        <v>3755</v>
      </c>
      <c r="U127" s="10" t="s">
        <v>984</v>
      </c>
      <c r="V127" s="10" t="s">
        <v>933</v>
      </c>
      <c r="W127" s="10" t="s">
        <v>51</v>
      </c>
      <c r="X127" s="10" t="s">
        <v>984</v>
      </c>
    </row>
    <row r="128">
      <c r="A128" s="9">
        <f t="shared" si="1"/>
        <v>127</v>
      </c>
      <c r="B128" s="11">
        <v>46224.66780092593</v>
      </c>
      <c r="C128" s="10" t="s">
        <v>3688</v>
      </c>
      <c r="D128" s="10" t="s">
        <v>36</v>
      </c>
      <c r="E128" s="10" t="s">
        <v>37</v>
      </c>
      <c r="F128" s="13">
        <v>2.0</v>
      </c>
      <c r="G128" s="14">
        <v>27.53</v>
      </c>
      <c r="H128" s="10" t="s">
        <v>3756</v>
      </c>
      <c r="I128" s="10">
        <v>95.3</v>
      </c>
      <c r="O128" s="15">
        <f>IFERROR(__xludf.DUMMYFUNCTION("IF(ISBLANK($C128), """", GOOGLEFINANCE($C128, ""price""))"),29.67)</f>
        <v>29.67</v>
      </c>
      <c r="P128" s="16">
        <f t="shared" si="2"/>
        <v>0.07773338177</v>
      </c>
      <c r="Q128" s="16">
        <f>IFERROR(__xludf.DUMMYFUNCTION("IF(OR(ISBLANK($G128), IFERROR(INDEX(GOOGLEFINANCE($C128, ""price"", WORKDAY(INT($B128), 1)), 2, 2), """")=""""), """", IF($D128=""LONG"", (IFERROR(INDEX(GOOGLEFINANCE($C128, ""price"", WORKDAY(INT($B128), 1)), 2, 2), """")-$G128)/$G128, ($G128-IFERROR(IND"&amp;"EX(GOOGLEFINANCE($C128, ""price"", WORKDAY(INT($B128), 1)), 2, 2), """"))/$G128))"),-0.006901561932437387)</f>
        <v>-0.006901561932</v>
      </c>
      <c r="R128" s="16">
        <f>IFERROR(__xludf.DUMMYFUNCTION("IF(OR(ISBLANK($G128), IFERROR(INDEX(GOOGLEFINANCE($C128, ""price"", WORKDAY(INT($B128), 5)), 2, 2), """")=""""), """", IF($D128=""LONG"", (IFERROR(INDEX(GOOGLEFINANCE($C128, ""price"", WORKDAY(INT($B128), 5)), 2, 2), """")-$G128)/$G128, ($G128-IFERROR(IND"&amp;"EX(GOOGLEFINANCE($C128, ""price"", WORKDAY(INT($B128), 5)), 2, 2), """"))/$G128))"),0.0236106066109698)</f>
        <v>0.02361060661</v>
      </c>
      <c r="S128" s="16" t="str">
        <f>IFERROR(__xludf.DUMMYFUNCTION("IF(OR(ISBLANK($G128), IFERROR(INDEX(GOOGLEFINANCE($C128, ""price"", WORKDAY(INT($B128), 20)), 2, 2), """")=""""), """", IF($D128=""LONG"", (IFERROR(INDEX(GOOGLEFINANCE($C128, ""price"", WORKDAY(INT($B128), 20)), 2, 2), """")-$G128)/$G128, ($G128-IFERROR(I"&amp;"NDEX(GOOGLEFINANCE($C128, ""price"", WORKDAY(INT($B128), 20)), 2, 2), """"))/$G128))"),"")</f>
        <v/>
      </c>
      <c r="T128" s="10" t="s">
        <v>3760</v>
      </c>
      <c r="U128" s="10" t="s">
        <v>984</v>
      </c>
      <c r="V128" s="10" t="s">
        <v>933</v>
      </c>
      <c r="W128" s="10" t="s">
        <v>51</v>
      </c>
      <c r="X128" s="10" t="s">
        <v>984</v>
      </c>
    </row>
    <row r="129">
      <c r="A129" s="9">
        <f t="shared" si="1"/>
        <v>128</v>
      </c>
      <c r="B129" s="11">
        <v>46224.667650462965</v>
      </c>
      <c r="C129" s="10" t="s">
        <v>381</v>
      </c>
      <c r="D129" s="10" t="s">
        <v>119</v>
      </c>
      <c r="E129" s="10" t="s">
        <v>120</v>
      </c>
      <c r="F129" s="13">
        <v>4.0</v>
      </c>
      <c r="G129" s="14">
        <v>216.4</v>
      </c>
      <c r="H129" s="10" t="s">
        <v>3762</v>
      </c>
      <c r="I129" s="10">
        <v>11.8</v>
      </c>
      <c r="O129" s="15">
        <f>IFERROR(__xludf.DUMMYFUNCTION("IF(ISBLANK($C129), """", GOOGLEFINANCE($C129, ""price""))"),213.75)</f>
        <v>213.75</v>
      </c>
      <c r="P129" s="16">
        <f t="shared" si="2"/>
        <v>0.01224584104</v>
      </c>
      <c r="Q129" s="16">
        <f>IFERROR(__xludf.DUMMYFUNCTION("IF(OR(ISBLANK($G129), IFERROR(INDEX(GOOGLEFINANCE($C129, ""price"", WORKDAY(INT($B129), 1)), 2, 2), """")=""""), """", IF($D129=""LONG"", (IFERROR(INDEX(GOOGLEFINANCE($C129, ""price"", WORKDAY(INT($B129), 1)), 2, 2), """")-$G129)/$G129, ($G129-IFERROR(IND"&amp;"EX(GOOGLEFINANCE($C129, ""price"", WORKDAY(INT($B129), 1)), 2, 2), """"))/$G129))"),-0.0097042513863216)</f>
        <v>-0.009704251386</v>
      </c>
      <c r="R129" s="16">
        <f>IFERROR(__xludf.DUMMYFUNCTION("IF(OR(ISBLANK($G129), IFERROR(INDEX(GOOGLEFINANCE($C129, ""price"", WORKDAY(INT($B129), 5)), 2, 2), """")=""""), """", IF($D129=""LONG"", (IFERROR(INDEX(GOOGLEFINANCE($C129, ""price"", WORKDAY(INT($B129), 5)), 2, 2), """")-$G129)/$G129, ($G129-IFERROR(IND"&amp;"EX(GOOGLEFINANCE($C129, ""price"", WORKDAY(INT($B129), 5)), 2, 2), """"))/$G129))"),0.022273567467652463)</f>
        <v>0.02227356747</v>
      </c>
      <c r="S129" s="16" t="str">
        <f>IFERROR(__xludf.DUMMYFUNCTION("IF(OR(ISBLANK($G129), IFERROR(INDEX(GOOGLEFINANCE($C129, ""price"", WORKDAY(INT($B129), 20)), 2, 2), """")=""""), """", IF($D129=""LONG"", (IFERROR(INDEX(GOOGLEFINANCE($C129, ""price"", WORKDAY(INT($B129), 20)), 2, 2), """")-$G129)/$G129, ($G129-IFERROR(I"&amp;"NDEX(GOOGLEFINANCE($C129, ""price"", WORKDAY(INT($B129), 20)), 2, 2), """"))/$G129))"),"")</f>
        <v/>
      </c>
      <c r="T129" s="10" t="s">
        <v>3766</v>
      </c>
      <c r="U129" s="10" t="s">
        <v>984</v>
      </c>
      <c r="V129" s="10" t="s">
        <v>985</v>
      </c>
      <c r="W129" s="10" t="s">
        <v>51</v>
      </c>
      <c r="X129" s="10" t="s">
        <v>984</v>
      </c>
    </row>
    <row r="130">
      <c r="A130" s="9">
        <f t="shared" si="1"/>
        <v>129</v>
      </c>
      <c r="B130" s="11">
        <v>46224.66769675926</v>
      </c>
      <c r="C130" s="10" t="s">
        <v>434</v>
      </c>
      <c r="D130" s="10" t="s">
        <v>36</v>
      </c>
      <c r="E130" s="10" t="s">
        <v>37</v>
      </c>
      <c r="F130" s="13">
        <v>2.0</v>
      </c>
      <c r="G130" s="14">
        <v>110.54</v>
      </c>
      <c r="H130" s="10" t="s">
        <v>3767</v>
      </c>
      <c r="I130" s="10">
        <v>92.9</v>
      </c>
      <c r="O130" s="15">
        <f>IFERROR(__xludf.DUMMYFUNCTION("IF(ISBLANK($C130), """", GOOGLEFINANCE($C130, ""price""))"),114.24)</f>
        <v>114.24</v>
      </c>
      <c r="P130" s="16">
        <f t="shared" si="2"/>
        <v>0.03347204632</v>
      </c>
      <c r="Q130" s="16">
        <f>IFERROR(__xludf.DUMMYFUNCTION("IF(OR(ISBLANK($G130), IFERROR(INDEX(GOOGLEFINANCE($C130, ""price"", WORKDAY(INT($B130), 1)), 2, 2), """")=""""), """", IF($D130=""LONG"", (IFERROR(INDEX(GOOGLEFINANCE($C130, ""price"", WORKDAY(INT($B130), 1)), 2, 2), """")-$G130)/$G130, ($G130-IFERROR(IND"&amp;"EX(GOOGLEFINANCE($C130, ""price"", WORKDAY(INT($B130), 1)), 2, 2), """"))/$G130))"),0.0)</f>
        <v>0</v>
      </c>
      <c r="R130" s="16">
        <f>IFERROR(__xludf.DUMMYFUNCTION("IF(OR(ISBLANK($G130), IFERROR(INDEX(GOOGLEFINANCE($C130, ""price"", WORKDAY(INT($B130), 5)), 2, 2), """")=""""), """", IF($D130=""LONG"", (IFERROR(INDEX(GOOGLEFINANCE($C130, ""price"", WORKDAY(INT($B130), 5)), 2, 2), """")-$G130)/$G130, ($G130-IFERROR(IND"&amp;"EX(GOOGLEFINANCE($C130, ""price"", WORKDAY(INT($B130), 5)), 2, 2), """"))/$G130))"),0.008775104034738546)</f>
        <v>0.008775104035</v>
      </c>
      <c r="S130" s="16" t="str">
        <f>IFERROR(__xludf.DUMMYFUNCTION("IF(OR(ISBLANK($G130), IFERROR(INDEX(GOOGLEFINANCE($C130, ""price"", WORKDAY(INT($B130), 20)), 2, 2), """")=""""), """", IF($D130=""LONG"", (IFERROR(INDEX(GOOGLEFINANCE($C130, ""price"", WORKDAY(INT($B130), 20)), 2, 2), """")-$G130)/$G130, ($G130-IFERROR(I"&amp;"NDEX(GOOGLEFINANCE($C130, ""price"", WORKDAY(INT($B130), 20)), 2, 2), """"))/$G130))"),"")</f>
        <v/>
      </c>
      <c r="T130" s="10" t="s">
        <v>3769</v>
      </c>
      <c r="U130" s="10" t="s">
        <v>984</v>
      </c>
      <c r="V130" s="10" t="s">
        <v>933</v>
      </c>
      <c r="W130" s="10" t="s">
        <v>51</v>
      </c>
      <c r="X130" s="10" t="s">
        <v>984</v>
      </c>
    </row>
    <row r="131">
      <c r="A131" s="9">
        <f t="shared" si="1"/>
        <v>130</v>
      </c>
      <c r="B131" s="11">
        <v>46224.66769675926</v>
      </c>
      <c r="C131" s="10" t="s">
        <v>337</v>
      </c>
      <c r="D131" s="10" t="s">
        <v>119</v>
      </c>
      <c r="E131" s="10" t="s">
        <v>120</v>
      </c>
      <c r="F131" s="13">
        <v>4.0</v>
      </c>
      <c r="G131" s="14">
        <v>43.77</v>
      </c>
      <c r="H131" s="10" t="s">
        <v>3773</v>
      </c>
      <c r="I131" s="10">
        <v>11.0</v>
      </c>
      <c r="O131" s="15">
        <f>IFERROR(__xludf.DUMMYFUNCTION("IF(ISBLANK($C131), """", GOOGLEFINANCE($C131, ""price""))"),46.99)</f>
        <v>46.99</v>
      </c>
      <c r="P131" s="16">
        <f t="shared" si="2"/>
        <v>-0.07356636966</v>
      </c>
      <c r="Q131" s="16">
        <f>IFERROR(__xludf.DUMMYFUNCTION("IF(OR(ISBLANK($G131), IFERROR(INDEX(GOOGLEFINANCE($C131, ""price"", WORKDAY(INT($B131), 1)), 2, 2), """")=""""), """", IF($D131=""LONG"", (IFERROR(INDEX(GOOGLEFINANCE($C131, ""price"", WORKDAY(INT($B131), 1)), 2, 2), """")-$G131)/$G131, ($G131-IFERROR(IND"&amp;"EX(GOOGLEFINANCE($C131, ""price"", WORKDAY(INT($B131), 1)), 2, 2), """"))/$G131))"),-0.011880283299063193)</f>
        <v>-0.0118802833</v>
      </c>
      <c r="R131" s="16">
        <f>IFERROR(__xludf.DUMMYFUNCTION("IF(OR(ISBLANK($G131), IFERROR(INDEX(GOOGLEFINANCE($C131, ""price"", WORKDAY(INT($B131), 5)), 2, 2), """")=""""), """", IF($D131=""LONG"", (IFERROR(INDEX(GOOGLEFINANCE($C131, ""price"", WORKDAY(INT($B131), 5)), 2, 2), """")-$G131)/$G131, ($G131-IFERROR(IND"&amp;"EX(GOOGLEFINANCE($C131, ""price"", WORKDAY(INT($B131), 5)), 2, 2), """"))/$G131))"),-0.1009824080420378)</f>
        <v>-0.100982408</v>
      </c>
      <c r="S131" s="16" t="str">
        <f>IFERROR(__xludf.DUMMYFUNCTION("IF(OR(ISBLANK($G131), IFERROR(INDEX(GOOGLEFINANCE($C131, ""price"", WORKDAY(INT($B131), 20)), 2, 2), """")=""""), """", IF($D131=""LONG"", (IFERROR(INDEX(GOOGLEFINANCE($C131, ""price"", WORKDAY(INT($B131), 20)), 2, 2), """")-$G131)/$G131, ($G131-IFERROR(I"&amp;"NDEX(GOOGLEFINANCE($C131, ""price"", WORKDAY(INT($B131), 20)), 2, 2), """"))/$G131))"),"")</f>
        <v/>
      </c>
      <c r="T131" s="10" t="s">
        <v>3775</v>
      </c>
      <c r="U131" s="10" t="s">
        <v>492</v>
      </c>
      <c r="V131" s="10" t="s">
        <v>493</v>
      </c>
      <c r="W131" s="10" t="s">
        <v>51</v>
      </c>
      <c r="X131" s="10" t="s">
        <v>492</v>
      </c>
    </row>
    <row r="132">
      <c r="A132" s="9">
        <f t="shared" si="1"/>
        <v>131</v>
      </c>
      <c r="B132" s="11">
        <v>46224.667650462965</v>
      </c>
      <c r="C132" s="10" t="s">
        <v>117</v>
      </c>
      <c r="D132" s="10" t="s">
        <v>36</v>
      </c>
      <c r="E132" s="10" t="s">
        <v>37</v>
      </c>
      <c r="F132" s="13">
        <v>2.0</v>
      </c>
      <c r="G132" s="14">
        <v>22.96</v>
      </c>
      <c r="H132" s="10" t="s">
        <v>3779</v>
      </c>
      <c r="I132" s="10">
        <v>85.6</v>
      </c>
      <c r="O132" s="15">
        <f>IFERROR(__xludf.DUMMYFUNCTION("IF(ISBLANK($C132), """", GOOGLEFINANCE($C132, ""price""))"),22.66)</f>
        <v>22.66</v>
      </c>
      <c r="P132" s="16">
        <f t="shared" si="2"/>
        <v>-0.01306620209</v>
      </c>
      <c r="Q132" s="16">
        <f>IFERROR(__xludf.DUMMYFUNCTION("IF(OR(ISBLANK($G132), IFERROR(INDEX(GOOGLEFINANCE($C132, ""price"", WORKDAY(INT($B132), 1)), 2, 2), """")=""""), """", IF($D132=""LONG"", (IFERROR(INDEX(GOOGLEFINANCE($C132, ""price"", WORKDAY(INT($B132), 1)), 2, 2), """")-$G132)/$G132, ($G132-IFERROR(IND"&amp;"EX(GOOGLEFINANCE($C132, ""price"", WORKDAY(INT($B132), 1)), 2, 2), """"))/$G132))"),0.006533101045296105)</f>
        <v>0.006533101045</v>
      </c>
      <c r="R132" s="16">
        <f>IFERROR(__xludf.DUMMYFUNCTION("IF(OR(ISBLANK($G132), IFERROR(INDEX(GOOGLEFINANCE($C132, ""price"", WORKDAY(INT($B132), 5)), 2, 2), """")=""""), """", IF($D132=""LONG"", (IFERROR(INDEX(GOOGLEFINANCE($C132, ""price"", WORKDAY(INT($B132), 5)), 2, 2), """")-$G132)/$G132, ($G132-IFERROR(IND"&amp;"EX(GOOGLEFINANCE($C132, ""price"", WORKDAY(INT($B132), 5)), 2, 2), """"))/$G132))"),-0.014372822299651648)</f>
        <v>-0.0143728223</v>
      </c>
      <c r="S132" s="16" t="str">
        <f>IFERROR(__xludf.DUMMYFUNCTION("IF(OR(ISBLANK($G132), IFERROR(INDEX(GOOGLEFINANCE($C132, ""price"", WORKDAY(INT($B132), 20)), 2, 2), """")=""""), """", IF($D132=""LONG"", (IFERROR(INDEX(GOOGLEFINANCE($C132, ""price"", WORKDAY(INT($B132), 20)), 2, 2), """")-$G132)/$G132, ($G132-IFERROR(I"&amp;"NDEX(GOOGLEFINANCE($C132, ""price"", WORKDAY(INT($B132), 20)), 2, 2), """"))/$G132))"),"")</f>
        <v/>
      </c>
      <c r="T132" s="10" t="s">
        <v>3783</v>
      </c>
      <c r="U132" s="10" t="s">
        <v>984</v>
      </c>
      <c r="V132" s="10" t="s">
        <v>933</v>
      </c>
      <c r="W132" s="10" t="s">
        <v>51</v>
      </c>
      <c r="X132" s="10" t="s">
        <v>984</v>
      </c>
    </row>
    <row r="133">
      <c r="A133" s="9">
        <f t="shared" si="1"/>
        <v>132</v>
      </c>
      <c r="B133" s="11">
        <v>46224.667650462965</v>
      </c>
      <c r="C133" s="10" t="s">
        <v>331</v>
      </c>
      <c r="D133" s="10" t="s">
        <v>36</v>
      </c>
      <c r="E133" s="10" t="s">
        <v>37</v>
      </c>
      <c r="F133" s="13">
        <v>2.0</v>
      </c>
      <c r="G133" s="14">
        <v>250.36</v>
      </c>
      <c r="H133" s="10" t="s">
        <v>1794</v>
      </c>
      <c r="I133" s="10">
        <v>94.1</v>
      </c>
      <c r="O133" s="15">
        <f>IFERROR(__xludf.DUMMYFUNCTION("IF(ISBLANK($C133), """", GOOGLEFINANCE($C133, ""price""))"),252.76)</f>
        <v>252.76</v>
      </c>
      <c r="P133" s="16">
        <f t="shared" si="2"/>
        <v>0.009586195878</v>
      </c>
      <c r="Q133" s="16">
        <f>IFERROR(__xludf.DUMMYFUNCTION("IF(OR(ISBLANK($G133), IFERROR(INDEX(GOOGLEFINANCE($C133, ""price"", WORKDAY(INT($B133), 1)), 2, 2), """")=""""), """", IF($D133=""LONG"", (IFERROR(INDEX(GOOGLEFINANCE($C133, ""price"", WORKDAY(INT($B133), 1)), 2, 2), """")-$G133)/$G133, ($G133-IFERROR(IND"&amp;"EX(GOOGLEFINANCE($C133, ""price"", WORKDAY(INT($B133), 1)), 2, 2), """"))/$G133))"),0.008587633807317372)</f>
        <v>0.008587633807</v>
      </c>
      <c r="R133" s="16">
        <f>IFERROR(__xludf.DUMMYFUNCTION("IF(OR(ISBLANK($G133), IFERROR(INDEX(GOOGLEFINANCE($C133, ""price"", WORKDAY(INT($B133), 5)), 2, 2), """")=""""), """", IF($D133=""LONG"", (IFERROR(INDEX(GOOGLEFINANCE($C133, ""price"", WORKDAY(INT($B133), 5)), 2, 2), """")-$G133)/$G133, ($G133-IFERROR(IND"&amp;"EX(GOOGLEFINANCE($C133, ""price"", WORKDAY(INT($B133), 5)), 2, 2), """"))/$G133))"),0.004952867870266739)</f>
        <v>0.00495286787</v>
      </c>
      <c r="S133" s="16" t="str">
        <f>IFERROR(__xludf.DUMMYFUNCTION("IF(OR(ISBLANK($G133), IFERROR(INDEX(GOOGLEFINANCE($C133, ""price"", WORKDAY(INT($B133), 20)), 2, 2), """")=""""), """", IF($D133=""LONG"", (IFERROR(INDEX(GOOGLEFINANCE($C133, ""price"", WORKDAY(INT($B133), 20)), 2, 2), """")-$G133)/$G133, ($G133-IFERROR(I"&amp;"NDEX(GOOGLEFINANCE($C133, ""price"", WORKDAY(INT($B133), 20)), 2, 2), """"))/$G133))"),"")</f>
        <v/>
      </c>
      <c r="T133" s="10" t="s">
        <v>3789</v>
      </c>
      <c r="U133" s="10" t="s">
        <v>984</v>
      </c>
      <c r="V133" s="10" t="s">
        <v>933</v>
      </c>
      <c r="W133" s="10" t="s">
        <v>51</v>
      </c>
      <c r="X133" s="10" t="s">
        <v>984</v>
      </c>
    </row>
    <row r="134">
      <c r="A134" s="9">
        <f t="shared" si="1"/>
        <v>133</v>
      </c>
      <c r="B134" s="11">
        <v>46224.66774305556</v>
      </c>
      <c r="C134" s="10" t="s">
        <v>3309</v>
      </c>
      <c r="D134" s="10" t="s">
        <v>119</v>
      </c>
      <c r="E134" s="10" t="s">
        <v>120</v>
      </c>
      <c r="F134" s="13">
        <v>4.0</v>
      </c>
      <c r="G134" s="14">
        <v>179.32</v>
      </c>
      <c r="H134" s="10" t="s">
        <v>3791</v>
      </c>
      <c r="I134" s="10">
        <v>10.0</v>
      </c>
      <c r="O134" s="15">
        <f>IFERROR(__xludf.DUMMYFUNCTION("IF(ISBLANK($C134), """", GOOGLEFINANCE($C134, ""price""))"),192.56)</f>
        <v>192.56</v>
      </c>
      <c r="P134" s="16">
        <f t="shared" si="2"/>
        <v>-0.07383448584</v>
      </c>
      <c r="Q134" s="16">
        <f>IFERROR(__xludf.DUMMYFUNCTION("IF(OR(ISBLANK($G134), IFERROR(INDEX(GOOGLEFINANCE($C134, ""price"", WORKDAY(INT($B134), 1)), 2, 2), """")=""""), """", IF($D134=""LONG"", (IFERROR(INDEX(GOOGLEFINANCE($C134, ""price"", WORKDAY(INT($B134), 1)), 2, 2), """")-$G134)/$G134, ($G134-IFERROR(IND"&amp;"EX(GOOGLEFINANCE($C134, ""price"", WORKDAY(INT($B134), 1)), 2, 2), """"))/$G134))"),0.005074726745482917)</f>
        <v>0.005074726745</v>
      </c>
      <c r="R134" s="16">
        <f>IFERROR(__xludf.DUMMYFUNCTION("IF(OR(ISBLANK($G134), IFERROR(INDEX(GOOGLEFINANCE($C134, ""price"", WORKDAY(INT($B134), 5)), 2, 2), """")=""""), """", IF($D134=""LONG"", (IFERROR(INDEX(GOOGLEFINANCE($C134, ""price"", WORKDAY(INT($B134), 5)), 2, 2), """")-$G134)/$G134, ($G134-IFERROR(IND"&amp;"EX(GOOGLEFINANCE($C134, ""price"", WORKDAY(INT($B134), 5)), 2, 2), """"))/$G134))"),-0.07729199196966326)</f>
        <v>-0.07729199197</v>
      </c>
      <c r="S134" s="16" t="str">
        <f>IFERROR(__xludf.DUMMYFUNCTION("IF(OR(ISBLANK($G134), IFERROR(INDEX(GOOGLEFINANCE($C134, ""price"", WORKDAY(INT($B134), 20)), 2, 2), """")=""""), """", IF($D134=""LONG"", (IFERROR(INDEX(GOOGLEFINANCE($C134, ""price"", WORKDAY(INT($B134), 20)), 2, 2), """")-$G134)/$G134, ($G134-IFERROR(I"&amp;"NDEX(GOOGLEFINANCE($C134, ""price"", WORKDAY(INT($B134), 20)), 2, 2), """"))/$G134))"),"")</f>
        <v/>
      </c>
      <c r="T134" s="10" t="s">
        <v>3793</v>
      </c>
      <c r="U134" s="10" t="s">
        <v>984</v>
      </c>
      <c r="V134" s="10" t="s">
        <v>1059</v>
      </c>
      <c r="W134" s="10" t="s">
        <v>51</v>
      </c>
      <c r="X134" s="10" t="s">
        <v>984</v>
      </c>
    </row>
    <row r="135">
      <c r="A135" s="9">
        <f t="shared" si="1"/>
        <v>134</v>
      </c>
      <c r="B135" s="11">
        <v>46224.66783564815</v>
      </c>
      <c r="C135" s="10" t="s">
        <v>104</v>
      </c>
      <c r="D135" s="10" t="s">
        <v>36</v>
      </c>
      <c r="E135" s="10" t="s">
        <v>37</v>
      </c>
      <c r="F135" s="13">
        <v>2.0</v>
      </c>
      <c r="G135" s="14">
        <v>123.24</v>
      </c>
      <c r="H135" s="10" t="s">
        <v>3796</v>
      </c>
      <c r="I135" s="10">
        <v>96.4</v>
      </c>
      <c r="O135" s="15">
        <f>IFERROR(__xludf.DUMMYFUNCTION("IF(ISBLANK($C135), """", GOOGLEFINANCE($C135, ""price""))"),127.45)</f>
        <v>127.45</v>
      </c>
      <c r="P135" s="16">
        <f t="shared" si="2"/>
        <v>0.03416098669</v>
      </c>
      <c r="Q135" s="16">
        <f>IFERROR(__xludf.DUMMYFUNCTION("IF(OR(ISBLANK($G135), IFERROR(INDEX(GOOGLEFINANCE($C135, ""price"", WORKDAY(INT($B135), 1)), 2, 2), """")=""""), """", IF($D135=""LONG"", (IFERROR(INDEX(GOOGLEFINANCE($C135, ""price"", WORKDAY(INT($B135), 1)), 2, 2), """")-$G135)/$G135, ($G135-IFERROR(IND"&amp;"EX(GOOGLEFINANCE($C135, ""price"", WORKDAY(INT($B135), 1)), 2, 2), """"))/$G135))"),-0.024342745861733205)</f>
        <v>-0.02434274586</v>
      </c>
      <c r="R135" s="16">
        <f>IFERROR(__xludf.DUMMYFUNCTION("IF(OR(ISBLANK($G135), IFERROR(INDEX(GOOGLEFINANCE($C135, ""price"", WORKDAY(INT($B135), 5)), 2, 2), """")=""""), """", IF($D135=""LONG"", (IFERROR(INDEX(GOOGLEFINANCE($C135, ""price"", WORKDAY(INT($B135), 5)), 2, 2), """")-$G135)/$G135, ($G135-IFERROR(IND"&amp;"EX(GOOGLEFINANCE($C135, ""price"", WORKDAY(INT($B135), 5)), 2, 2), """"))/$G135))"),0.02215189873417725)</f>
        <v>0.02215189873</v>
      </c>
      <c r="S135" s="16" t="str">
        <f>IFERROR(__xludf.DUMMYFUNCTION("IF(OR(ISBLANK($G135), IFERROR(INDEX(GOOGLEFINANCE($C135, ""price"", WORKDAY(INT($B135), 20)), 2, 2), """")=""""), """", IF($D135=""LONG"", (IFERROR(INDEX(GOOGLEFINANCE($C135, ""price"", WORKDAY(INT($B135), 20)), 2, 2), """")-$G135)/$G135, ($G135-IFERROR(I"&amp;"NDEX(GOOGLEFINANCE($C135, ""price"", WORKDAY(INT($B135), 20)), 2, 2), """"))/$G135))"),"")</f>
        <v/>
      </c>
      <c r="T135" s="10" t="s">
        <v>3800</v>
      </c>
      <c r="U135" s="10" t="s">
        <v>984</v>
      </c>
      <c r="V135" s="10" t="s">
        <v>985</v>
      </c>
      <c r="W135" s="10" t="s">
        <v>51</v>
      </c>
      <c r="X135" s="10" t="s">
        <v>984</v>
      </c>
    </row>
    <row r="136">
      <c r="A136" s="9">
        <f t="shared" si="1"/>
        <v>135</v>
      </c>
      <c r="B136" s="11">
        <v>46224.66775462963</v>
      </c>
      <c r="C136" s="10" t="s">
        <v>2048</v>
      </c>
      <c r="D136" s="10" t="s">
        <v>36</v>
      </c>
      <c r="E136" s="10" t="s">
        <v>37</v>
      </c>
      <c r="F136" s="13">
        <v>2.0</v>
      </c>
      <c r="G136" s="14">
        <v>293.11</v>
      </c>
      <c r="H136" s="10" t="s">
        <v>3803</v>
      </c>
      <c r="I136" s="10">
        <v>92.2</v>
      </c>
      <c r="O136" s="15">
        <f>IFERROR(__xludf.DUMMYFUNCTION("IF(ISBLANK($C136), """", GOOGLEFINANCE($C136, ""price""))"),295.38)</f>
        <v>295.38</v>
      </c>
      <c r="P136" s="16">
        <f t="shared" si="2"/>
        <v>0.007744532769</v>
      </c>
      <c r="Q136" s="16">
        <f>IFERROR(__xludf.DUMMYFUNCTION("IF(OR(ISBLANK($G136), IFERROR(INDEX(GOOGLEFINANCE($C136, ""price"", WORKDAY(INT($B136), 1)), 2, 2), """")=""""), """", IF($D136=""LONG"", (IFERROR(INDEX(GOOGLEFINANCE($C136, ""price"", WORKDAY(INT($B136), 1)), 2, 2), """")-$G136)/$G136, ($G136-IFERROR(IND"&amp;"EX(GOOGLEFINANCE($C136, ""price"", WORKDAY(INT($B136), 1)), 2, 2), """"))/$G136))"),-0.0018764286445362196)</f>
        <v>-0.001876428645</v>
      </c>
      <c r="R136" s="16">
        <f>IFERROR(__xludf.DUMMYFUNCTION("IF(OR(ISBLANK($G136), IFERROR(INDEX(GOOGLEFINANCE($C136, ""price"", WORKDAY(INT($B136), 5)), 2, 2), """")=""""), """", IF($D136=""LONG"", (IFERROR(INDEX(GOOGLEFINANCE($C136, ""price"", WORKDAY(INT($B136), 5)), 2, 2), """")-$G136)/$G136, ($G136-IFERROR(IND"&amp;"EX(GOOGLEFINANCE($C136, ""price"", WORKDAY(INT($B136), 5)), 2, 2), """"))/$G136))"),0.004571662515778973)</f>
        <v>0.004571662516</v>
      </c>
      <c r="S136" s="16" t="str">
        <f>IFERROR(__xludf.DUMMYFUNCTION("IF(OR(ISBLANK($G136), IFERROR(INDEX(GOOGLEFINANCE($C136, ""price"", WORKDAY(INT($B136), 20)), 2, 2), """")=""""), """", IF($D136=""LONG"", (IFERROR(INDEX(GOOGLEFINANCE($C136, ""price"", WORKDAY(INT($B136), 20)), 2, 2), """")-$G136)/$G136, ($G136-IFERROR(I"&amp;"NDEX(GOOGLEFINANCE($C136, ""price"", WORKDAY(INT($B136), 20)), 2, 2), """"))/$G136))"),"")</f>
        <v/>
      </c>
      <c r="T136" s="10" t="s">
        <v>3805</v>
      </c>
      <c r="U136" s="10" t="s">
        <v>984</v>
      </c>
      <c r="V136" s="10" t="s">
        <v>933</v>
      </c>
      <c r="W136" s="10" t="s">
        <v>51</v>
      </c>
      <c r="X136" s="10" t="s">
        <v>984</v>
      </c>
    </row>
    <row r="137">
      <c r="A137" s="9">
        <f t="shared" si="1"/>
        <v>136</v>
      </c>
      <c r="B137" s="11">
        <v>46224.66743055556</v>
      </c>
      <c r="C137" s="10" t="s">
        <v>746</v>
      </c>
      <c r="D137" s="10" t="s">
        <v>119</v>
      </c>
      <c r="E137" s="10" t="s">
        <v>120</v>
      </c>
      <c r="F137" s="13">
        <v>4.0</v>
      </c>
      <c r="G137" s="14">
        <v>163.38</v>
      </c>
      <c r="H137" s="10" t="s">
        <v>3809</v>
      </c>
      <c r="I137" s="10">
        <v>12.6</v>
      </c>
      <c r="O137" s="15">
        <f>IFERROR(__xludf.DUMMYFUNCTION("IF(ISBLANK($C137), """", GOOGLEFINANCE($C137, ""price""))"),171.2)</f>
        <v>171.2</v>
      </c>
      <c r="P137" s="16">
        <f t="shared" si="2"/>
        <v>-0.04786387563</v>
      </c>
      <c r="Q137" s="16">
        <f>IFERROR(__xludf.DUMMYFUNCTION("IF(OR(ISBLANK($G137), IFERROR(INDEX(GOOGLEFINANCE($C137, ""price"", WORKDAY(INT($B137), 1)), 2, 2), """")=""""), """", IF($D137=""LONG"", (IFERROR(INDEX(GOOGLEFINANCE($C137, ""price"", WORKDAY(INT($B137), 1)), 2, 2), """")-$G137)/$G137, ($G137-IFERROR(IND"&amp;"EX(GOOGLEFINANCE($C137, ""price"", WORKDAY(INT($B137), 1)), 2, 2), """"))/$G137))"),-0.016403476557718247)</f>
        <v>-0.01640347656</v>
      </c>
      <c r="R137" s="16">
        <f>IFERROR(__xludf.DUMMYFUNCTION("IF(OR(ISBLANK($G137), IFERROR(INDEX(GOOGLEFINANCE($C137, ""price"", WORKDAY(INT($B137), 5)), 2, 2), """")=""""), """", IF($D137=""LONG"", (IFERROR(INDEX(GOOGLEFINANCE($C137, ""price"", WORKDAY(INT($B137), 5)), 2, 2), """")-$G137)/$G137, ($G137-IFERROR(IND"&amp;"EX(GOOGLEFINANCE($C137, ""price"", WORKDAY(INT($B137), 5)), 2, 2), """"))/$G137))"),-0.04970008568980294)</f>
        <v>-0.04970008569</v>
      </c>
      <c r="S137" s="16" t="str">
        <f>IFERROR(__xludf.DUMMYFUNCTION("IF(OR(ISBLANK($G137), IFERROR(INDEX(GOOGLEFINANCE($C137, ""price"", WORKDAY(INT($B137), 20)), 2, 2), """")=""""), """", IF($D137=""LONG"", (IFERROR(INDEX(GOOGLEFINANCE($C137, ""price"", WORKDAY(INT($B137), 20)), 2, 2), """")-$G137)/$G137, ($G137-IFERROR(I"&amp;"NDEX(GOOGLEFINANCE($C137, ""price"", WORKDAY(INT($B137), 20)), 2, 2), """"))/$G137))"),"")</f>
        <v/>
      </c>
      <c r="T137" s="10" t="s">
        <v>3811</v>
      </c>
      <c r="U137" s="10" t="s">
        <v>984</v>
      </c>
      <c r="V137" s="10" t="s">
        <v>933</v>
      </c>
      <c r="W137" s="10" t="s">
        <v>51</v>
      </c>
      <c r="X137" s="10" t="s">
        <v>984</v>
      </c>
    </row>
    <row r="138">
      <c r="A138" s="9">
        <f t="shared" si="1"/>
        <v>137</v>
      </c>
      <c r="B138" s="11">
        <v>46224.66769675926</v>
      </c>
      <c r="C138" s="10" t="s">
        <v>47</v>
      </c>
      <c r="D138" s="10" t="s">
        <v>36</v>
      </c>
      <c r="E138" s="10" t="s">
        <v>37</v>
      </c>
      <c r="F138" s="13">
        <v>2.0</v>
      </c>
      <c r="G138" s="14">
        <v>293.97</v>
      </c>
      <c r="H138" s="10" t="s">
        <v>3812</v>
      </c>
      <c r="I138" s="10">
        <v>94.8</v>
      </c>
      <c r="O138" s="15">
        <f>IFERROR(__xludf.DUMMYFUNCTION("IF(ISBLANK($C138), """", GOOGLEFINANCE($C138, ""price""))"),285.12)</f>
        <v>285.12</v>
      </c>
      <c r="P138" s="16">
        <f t="shared" si="2"/>
        <v>-0.03010511277</v>
      </c>
      <c r="Q138" s="16">
        <f>IFERROR(__xludf.DUMMYFUNCTION("IF(OR(ISBLANK($G138), IFERROR(INDEX(GOOGLEFINANCE($C138, ""price"", WORKDAY(INT($B138), 1)), 2, 2), """")=""""), """", IF($D138=""LONG"", (IFERROR(INDEX(GOOGLEFINANCE($C138, ""price"", WORKDAY(INT($B138), 1)), 2, 2), """")-$G138)/$G138, ($G138-IFERROR(IND"&amp;"EX(GOOGLEFINANCE($C138, ""price"", WORKDAY(INT($B138), 1)), 2, 2), """"))/$G138))"),-0.0030615368915196586)</f>
        <v>-0.003061536892</v>
      </c>
      <c r="R138" s="16">
        <f>IFERROR(__xludf.DUMMYFUNCTION("IF(OR(ISBLANK($G138), IFERROR(INDEX(GOOGLEFINANCE($C138, ""price"", WORKDAY(INT($B138), 5)), 2, 2), """")=""""), """", IF($D138=""LONG"", (IFERROR(INDEX(GOOGLEFINANCE($C138, ""price"", WORKDAY(INT($B138), 5)), 2, 2), """")-$G138)/$G138, ($G138-IFERROR(IND"&amp;"EX(GOOGLEFINANCE($C138, ""price"", WORKDAY(INT($B138), 5)), 2, 2), """"))/$G138))"),0.0018709392114840103)</f>
        <v>0.001870939211</v>
      </c>
      <c r="S138" s="16" t="str">
        <f>IFERROR(__xludf.DUMMYFUNCTION("IF(OR(ISBLANK($G138), IFERROR(INDEX(GOOGLEFINANCE($C138, ""price"", WORKDAY(INT($B138), 20)), 2, 2), """")=""""), """", IF($D138=""LONG"", (IFERROR(INDEX(GOOGLEFINANCE($C138, ""price"", WORKDAY(INT($B138), 20)), 2, 2), """")-$G138)/$G138, ($G138-IFERROR(I"&amp;"NDEX(GOOGLEFINANCE($C138, ""price"", WORKDAY(INT($B138), 20)), 2, 2), """"))/$G138))"),"")</f>
        <v/>
      </c>
      <c r="T138" s="10" t="s">
        <v>3817</v>
      </c>
      <c r="U138" s="10" t="s">
        <v>984</v>
      </c>
      <c r="V138" s="10" t="s">
        <v>933</v>
      </c>
      <c r="W138" s="10" t="s">
        <v>51</v>
      </c>
      <c r="X138" s="10" t="s">
        <v>984</v>
      </c>
    </row>
    <row r="139">
      <c r="A139" s="9">
        <f t="shared" si="1"/>
        <v>138</v>
      </c>
      <c r="B139" s="11">
        <v>46224.66740740741</v>
      </c>
      <c r="C139" s="10" t="s">
        <v>351</v>
      </c>
      <c r="D139" s="10" t="s">
        <v>36</v>
      </c>
      <c r="E139" s="10" t="s">
        <v>37</v>
      </c>
      <c r="F139" s="13">
        <v>2.0</v>
      </c>
      <c r="G139" s="14">
        <v>226.78</v>
      </c>
      <c r="H139" s="10" t="s">
        <v>3818</v>
      </c>
      <c r="I139" s="10">
        <v>84.7</v>
      </c>
      <c r="O139" s="15">
        <f>IFERROR(__xludf.DUMMYFUNCTION("IF(ISBLANK($C139), """", GOOGLEFINANCE($C139, ""price""))"),221.83)</f>
        <v>221.83</v>
      </c>
      <c r="P139" s="16">
        <f t="shared" si="2"/>
        <v>-0.02182732163</v>
      </c>
      <c r="Q139" s="16">
        <f>IFERROR(__xludf.DUMMYFUNCTION("IF(OR(ISBLANK($G139), IFERROR(INDEX(GOOGLEFINANCE($C139, ""price"", WORKDAY(INT($B139), 1)), 2, 2), """")=""""), """", IF($D139=""LONG"", (IFERROR(INDEX(GOOGLEFINANCE($C139, ""price"", WORKDAY(INT($B139), 1)), 2, 2), """")-$G139)/$G139, ($G139-IFERROR(IND"&amp;"EX(GOOGLEFINANCE($C139, ""price"", WORKDAY(INT($B139), 1)), 2, 2), """"))/$G139))"),-0.0024693535585148703)</f>
        <v>-0.002469353559</v>
      </c>
      <c r="R139" s="16">
        <f>IFERROR(__xludf.DUMMYFUNCTION("IF(OR(ISBLANK($G139), IFERROR(INDEX(GOOGLEFINANCE($C139, ""price"", WORKDAY(INT($B139), 5)), 2, 2), """")=""""), """", IF($D139=""LONG"", (IFERROR(INDEX(GOOGLEFINANCE($C139, ""price"", WORKDAY(INT($B139), 5)), 2, 2), """")-$G139)/$G139, ($G139-IFERROR(IND"&amp;"EX(GOOGLEFINANCE($C139, ""price"", WORKDAY(INT($B139), 5)), 2, 2), """"))/$G139))"),0.043742834465120325)</f>
        <v>0.04374283447</v>
      </c>
      <c r="S139" s="16" t="str">
        <f>IFERROR(__xludf.DUMMYFUNCTION("IF(OR(ISBLANK($G139), IFERROR(INDEX(GOOGLEFINANCE($C139, ""price"", WORKDAY(INT($B139), 20)), 2, 2), """")=""""), """", IF($D139=""LONG"", (IFERROR(INDEX(GOOGLEFINANCE($C139, ""price"", WORKDAY(INT($B139), 20)), 2, 2), """")-$G139)/$G139, ($G139-IFERROR(I"&amp;"NDEX(GOOGLEFINANCE($C139, ""price"", WORKDAY(INT($B139), 20)), 2, 2), """"))/$G139))"),"")</f>
        <v/>
      </c>
      <c r="T139" s="10" t="s">
        <v>3821</v>
      </c>
      <c r="U139" s="10" t="s">
        <v>932</v>
      </c>
      <c r="V139" s="10" t="s">
        <v>933</v>
      </c>
      <c r="W139" s="10" t="s">
        <v>51</v>
      </c>
      <c r="X139" s="10" t="s">
        <v>3186</v>
      </c>
    </row>
    <row r="140">
      <c r="A140" s="9">
        <f t="shared" si="1"/>
        <v>139</v>
      </c>
      <c r="B140" s="11">
        <v>46224.667858796296</v>
      </c>
      <c r="C140" s="10" t="s">
        <v>149</v>
      </c>
      <c r="D140" s="10" t="s">
        <v>36</v>
      </c>
      <c r="E140" s="10" t="s">
        <v>37</v>
      </c>
      <c r="F140" s="13">
        <v>2.0</v>
      </c>
      <c r="G140" s="14">
        <v>119.12</v>
      </c>
      <c r="H140" s="10" t="s">
        <v>3822</v>
      </c>
      <c r="I140" s="10">
        <v>94.1</v>
      </c>
      <c r="O140" s="15">
        <f>IFERROR(__xludf.DUMMYFUNCTION("IF(ISBLANK($C140), """", GOOGLEFINANCE($C140, ""price""))"),132.79)</f>
        <v>132.79</v>
      </c>
      <c r="P140" s="16">
        <f t="shared" si="2"/>
        <v>0.114758227</v>
      </c>
      <c r="Q140" s="16">
        <f>IFERROR(__xludf.DUMMYFUNCTION("IF(OR(ISBLANK($G140), IFERROR(INDEX(GOOGLEFINANCE($C140, ""price"", WORKDAY(INT($B140), 1)), 2, 2), """")=""""), """", IF($D140=""LONG"", (IFERROR(INDEX(GOOGLEFINANCE($C140, ""price"", WORKDAY(INT($B140), 1)), 2, 2), """")-$G140)/$G140, ($G140-IFERROR(IND"&amp;"EX(GOOGLEFINANCE($C140, ""price"", WORKDAY(INT($B140), 1)), 2, 2), """"))/$G140))"),0.010493619879113498)</f>
        <v>0.01049361988</v>
      </c>
      <c r="R140" s="16">
        <f>IFERROR(__xludf.DUMMYFUNCTION("IF(OR(ISBLANK($G140), IFERROR(INDEX(GOOGLEFINANCE($C140, ""price"", WORKDAY(INT($B140), 5)), 2, 2), """")=""""), """", IF($D140=""LONG"", (IFERROR(INDEX(GOOGLEFINANCE($C140, ""price"", WORKDAY(INT($B140), 5)), 2, 2), """")-$G140)/$G140, ($G140-IFERROR(IND"&amp;"EX(GOOGLEFINANCE($C140, ""price"", WORKDAY(INT($B140), 5)), 2, 2), """"))/$G140))"),0.08890194761584959)</f>
        <v>0.08890194762</v>
      </c>
      <c r="S140" s="16" t="str">
        <f>IFERROR(__xludf.DUMMYFUNCTION("IF(OR(ISBLANK($G140), IFERROR(INDEX(GOOGLEFINANCE($C140, ""price"", WORKDAY(INT($B140), 20)), 2, 2), """")=""""), """", IF($D140=""LONG"", (IFERROR(INDEX(GOOGLEFINANCE($C140, ""price"", WORKDAY(INT($B140), 20)), 2, 2), """")-$G140)/$G140, ($G140-IFERROR(I"&amp;"NDEX(GOOGLEFINANCE($C140, ""price"", WORKDAY(INT($B140), 20)), 2, 2), """"))/$G140))"),"")</f>
        <v/>
      </c>
      <c r="T140" s="10" t="s">
        <v>3827</v>
      </c>
      <c r="U140" s="10" t="s">
        <v>984</v>
      </c>
      <c r="V140" s="10" t="s">
        <v>985</v>
      </c>
      <c r="W140" s="10" t="s">
        <v>51</v>
      </c>
      <c r="X140" s="10" t="s">
        <v>984</v>
      </c>
    </row>
    <row r="141">
      <c r="A141" s="9">
        <f t="shared" si="1"/>
        <v>140</v>
      </c>
      <c r="B141" s="11">
        <v>46224.66762731481</v>
      </c>
      <c r="C141" s="10" t="s">
        <v>3828</v>
      </c>
      <c r="D141" s="10" t="s">
        <v>36</v>
      </c>
      <c r="E141" s="10" t="s">
        <v>37</v>
      </c>
      <c r="F141" s="13">
        <v>2.0</v>
      </c>
      <c r="G141" s="14">
        <v>148.96</v>
      </c>
      <c r="H141" s="10" t="s">
        <v>3829</v>
      </c>
      <c r="I141" s="10">
        <v>98.7</v>
      </c>
      <c r="O141" s="15">
        <f>IFERROR(__xludf.DUMMYFUNCTION("IF(ISBLANK($C141), """", GOOGLEFINANCE($C141, ""price""))"),156.94)</f>
        <v>156.94</v>
      </c>
      <c r="P141" s="16">
        <f t="shared" si="2"/>
        <v>0.05357142857</v>
      </c>
      <c r="Q141" s="16">
        <f>IFERROR(__xludf.DUMMYFUNCTION("IF(OR(ISBLANK($G141), IFERROR(INDEX(GOOGLEFINANCE($C141, ""price"", WORKDAY(INT($B141), 1)), 2, 2), """")=""""), """", IF($D141=""LONG"", (IFERROR(INDEX(GOOGLEFINANCE($C141, ""price"", WORKDAY(INT($B141), 1)), 2, 2), """")-$G141)/$G141, ($G141-IFERROR(IND"&amp;"EX(GOOGLEFINANCE($C141, ""price"", WORKDAY(INT($B141), 1)), 2, 2), """"))/$G141))"),-0.018796992481203083)</f>
        <v>-0.01879699248</v>
      </c>
      <c r="R141" s="16">
        <f>IFERROR(__xludf.DUMMYFUNCTION("IF(OR(ISBLANK($G141), IFERROR(INDEX(GOOGLEFINANCE($C141, ""price"", WORKDAY(INT($B141), 5)), 2, 2), """")=""""), """", IF($D141=""LONG"", (IFERROR(INDEX(GOOGLEFINANCE($C141, ""price"", WORKDAY(INT($B141), 5)), 2, 2), """")-$G141)/$G141, ($G141-IFERROR(IND"&amp;"EX(GOOGLEFINANCE($C141, ""price"", WORKDAY(INT($B141), 5)), 2, 2), """"))/$G141))"),0.056860902255639084)</f>
        <v>0.05686090226</v>
      </c>
      <c r="S141" s="16" t="str">
        <f>IFERROR(__xludf.DUMMYFUNCTION("IF(OR(ISBLANK($G141), IFERROR(INDEX(GOOGLEFINANCE($C141, ""price"", WORKDAY(INT($B141), 20)), 2, 2), """")=""""), """", IF($D141=""LONG"", (IFERROR(INDEX(GOOGLEFINANCE($C141, ""price"", WORKDAY(INT($B141), 20)), 2, 2), """")-$G141)/$G141, ($G141-IFERROR(I"&amp;"NDEX(GOOGLEFINANCE($C141, ""price"", WORKDAY(INT($B141), 20)), 2, 2), """"))/$G141))"),"")</f>
        <v/>
      </c>
      <c r="T141" s="10" t="s">
        <v>3834</v>
      </c>
      <c r="U141" s="10" t="s">
        <v>984</v>
      </c>
      <c r="V141" s="10" t="s">
        <v>985</v>
      </c>
      <c r="W141" s="10" t="s">
        <v>51</v>
      </c>
      <c r="X141" s="10" t="s">
        <v>984</v>
      </c>
    </row>
    <row r="142">
      <c r="A142" s="9">
        <f t="shared" si="1"/>
        <v>141</v>
      </c>
      <c r="B142" s="11">
        <v>46224.66775462963</v>
      </c>
      <c r="C142" s="10" t="s">
        <v>1603</v>
      </c>
      <c r="D142" s="10" t="s">
        <v>36</v>
      </c>
      <c r="E142" s="10" t="s">
        <v>133</v>
      </c>
      <c r="F142" s="13">
        <v>2.0</v>
      </c>
      <c r="G142" s="14">
        <v>141.99</v>
      </c>
      <c r="H142" s="10" t="s">
        <v>3835</v>
      </c>
      <c r="I142" s="10">
        <v>91.1</v>
      </c>
      <c r="O142" s="15">
        <f>IFERROR(__xludf.DUMMYFUNCTION("IF(ISBLANK($C142), """", GOOGLEFINANCE($C142, ""price""))"),144.51)</f>
        <v>144.51</v>
      </c>
      <c r="P142" s="16">
        <f t="shared" si="2"/>
        <v>0.01774772871</v>
      </c>
      <c r="Q142" s="16">
        <f>IFERROR(__xludf.DUMMYFUNCTION("IF(OR(ISBLANK($G142), IFERROR(INDEX(GOOGLEFINANCE($C142, ""price"", WORKDAY(INT($B142), 1)), 2, 2), """")=""""), """", IF($D142=""LONG"", (IFERROR(INDEX(GOOGLEFINANCE($C142, ""price"", WORKDAY(INT($B142), 1)), 2, 2), """")-$G142)/$G142, ($G142-IFERROR(IND"&amp;"EX(GOOGLEFINANCE($C142, ""price"", WORKDAY(INT($B142), 1)), 2, 2), """"))/$G142))"),-0.008099161912810801)</f>
        <v>-0.008099161913</v>
      </c>
      <c r="R142" s="16">
        <f>IFERROR(__xludf.DUMMYFUNCTION("IF(OR(ISBLANK($G142), IFERROR(INDEX(GOOGLEFINANCE($C142, ""price"", WORKDAY(INT($B142), 5)), 2, 2), """")=""""), """", IF($D142=""LONG"", (IFERROR(INDEX(GOOGLEFINANCE($C142, ""price"", WORKDAY(INT($B142), 5)), 2, 2), """")-$G142)/$G142, ($G142-IFERROR(IND"&amp;"EX(GOOGLEFINANCE($C142, ""price"", WORKDAY(INT($B142), 5)), 2, 2), """"))/$G142))"),0.010071131769842794)</f>
        <v>0.01007113177</v>
      </c>
      <c r="S142" s="16" t="str">
        <f>IFERROR(__xludf.DUMMYFUNCTION("IF(OR(ISBLANK($G142), IFERROR(INDEX(GOOGLEFINANCE($C142, ""price"", WORKDAY(INT($B142), 20)), 2, 2), """")=""""), """", IF($D142=""LONG"", (IFERROR(INDEX(GOOGLEFINANCE($C142, ""price"", WORKDAY(INT($B142), 20)), 2, 2), """")-$G142)/$G142, ($G142-IFERROR(I"&amp;"NDEX(GOOGLEFINANCE($C142, ""price"", WORKDAY(INT($B142), 20)), 2, 2), """"))/$G142))"),"")</f>
        <v/>
      </c>
      <c r="T142" s="10" t="s">
        <v>3838</v>
      </c>
      <c r="U142" s="10" t="s">
        <v>984</v>
      </c>
      <c r="V142" s="10" t="s">
        <v>985</v>
      </c>
      <c r="W142" s="10" t="s">
        <v>51</v>
      </c>
      <c r="X142" s="10" t="s">
        <v>984</v>
      </c>
    </row>
    <row r="143">
      <c r="A143" s="9">
        <f t="shared" si="1"/>
        <v>142</v>
      </c>
      <c r="B143" s="11">
        <v>46224.667766203704</v>
      </c>
      <c r="C143" s="10" t="s">
        <v>323</v>
      </c>
      <c r="D143" s="10" t="s">
        <v>36</v>
      </c>
      <c r="E143" s="10" t="s">
        <v>37</v>
      </c>
      <c r="F143" s="13">
        <v>2.0</v>
      </c>
      <c r="G143" s="14">
        <v>209.03</v>
      </c>
      <c r="H143" s="10" t="s">
        <v>3840</v>
      </c>
      <c r="I143" s="10">
        <v>81.1</v>
      </c>
      <c r="O143" s="15">
        <f>IFERROR(__xludf.DUMMYFUNCTION("IF(ISBLANK($C143), """", GOOGLEFINANCE($C143, ""price""))"),209.7)</f>
        <v>209.7</v>
      </c>
      <c r="P143" s="16">
        <f t="shared" si="2"/>
        <v>0.003205281539</v>
      </c>
      <c r="Q143" s="16">
        <f>IFERROR(__xludf.DUMMYFUNCTION("IF(OR(ISBLANK($G143), IFERROR(INDEX(GOOGLEFINANCE($C143, ""price"", WORKDAY(INT($B143), 1)), 2, 2), """")=""""), """", IF($D143=""LONG"", (IFERROR(INDEX(GOOGLEFINANCE($C143, ""price"", WORKDAY(INT($B143), 1)), 2, 2), """")-$G143)/$G143, ($G143-IFERROR(IND"&amp;"EX(GOOGLEFINANCE($C143, ""price"", WORKDAY(INT($B143), 1)), 2, 2), """"))/$G143))"),-3.82720183705748E-4)</f>
        <v>-0.0003827201837</v>
      </c>
      <c r="R143" s="16">
        <f>IFERROR(__xludf.DUMMYFUNCTION("IF(OR(ISBLANK($G143), IFERROR(INDEX(GOOGLEFINANCE($C143, ""price"", WORKDAY(INT($B143), 5)), 2, 2), """")=""""), """", IF($D143=""LONG"", (IFERROR(INDEX(GOOGLEFINANCE($C143, ""price"", WORKDAY(INT($B143), 5)), 2, 2), """")-$G143)/$G143, ($G143-IFERROR(IND"&amp;"EX(GOOGLEFINANCE($C143, ""price"", WORKDAY(INT($B143), 5)), 2, 2), """"))/$G143))"),-7.654403674113601E-4)</f>
        <v>-0.0007654403674</v>
      </c>
      <c r="S143" s="16" t="str">
        <f>IFERROR(__xludf.DUMMYFUNCTION("IF(OR(ISBLANK($G143), IFERROR(INDEX(GOOGLEFINANCE($C143, ""price"", WORKDAY(INT($B143), 20)), 2, 2), """")=""""), """", IF($D143=""LONG"", (IFERROR(INDEX(GOOGLEFINANCE($C143, ""price"", WORKDAY(INT($B143), 20)), 2, 2), """")-$G143)/$G143, ($G143-IFERROR(I"&amp;"NDEX(GOOGLEFINANCE($C143, ""price"", WORKDAY(INT($B143), 20)), 2, 2), """"))/$G143))"),"")</f>
        <v/>
      </c>
      <c r="T143" s="10" t="s">
        <v>3845</v>
      </c>
      <c r="U143" s="10" t="s">
        <v>932</v>
      </c>
      <c r="V143" s="10" t="s">
        <v>933</v>
      </c>
      <c r="W143" s="10" t="s">
        <v>51</v>
      </c>
      <c r="X143" s="10" t="s">
        <v>3186</v>
      </c>
    </row>
    <row r="144">
      <c r="A144" s="9">
        <f t="shared" si="1"/>
        <v>143</v>
      </c>
      <c r="B144" s="11">
        <v>46224.667858796296</v>
      </c>
      <c r="C144" s="10" t="s">
        <v>180</v>
      </c>
      <c r="D144" s="10" t="s">
        <v>36</v>
      </c>
      <c r="E144" s="10" t="s">
        <v>70</v>
      </c>
      <c r="F144" s="13">
        <v>2.0</v>
      </c>
      <c r="G144" s="14">
        <v>436.38</v>
      </c>
      <c r="H144" s="10" t="s">
        <v>3846</v>
      </c>
      <c r="I144" s="10">
        <v>75.7</v>
      </c>
      <c r="O144" s="15">
        <f>IFERROR(__xludf.DUMMYFUNCTION("IF(ISBLANK($C144), """", GOOGLEFINANCE($C144, ""price""))"),403.97)</f>
        <v>403.97</v>
      </c>
      <c r="P144" s="16">
        <f t="shared" si="2"/>
        <v>-0.07427013154</v>
      </c>
      <c r="Q144" s="16">
        <f>IFERROR(__xludf.DUMMYFUNCTION("IF(OR(ISBLANK($G144), IFERROR(INDEX(GOOGLEFINANCE($C144, ""price"", WORKDAY(INT($B144), 1)), 2, 2), """")=""""), """", IF($D144=""LONG"", (IFERROR(INDEX(GOOGLEFINANCE($C144, ""price"", WORKDAY(INT($B144), 1)), 2, 2), """")-$G144)/$G144, ($G144-IFERROR(IND"&amp;"EX(GOOGLEFINANCE($C144, ""price"", WORKDAY(INT($B144), 1)), 2, 2), """"))/$G144))"),-0.01161831431321324)</f>
        <v>-0.01161831431</v>
      </c>
      <c r="R144" s="16">
        <f>IFERROR(__xludf.DUMMYFUNCTION("IF(OR(ISBLANK($G144), IFERROR(INDEX(GOOGLEFINANCE($C144, ""price"", WORKDAY(INT($B144), 5)), 2, 2), """")=""""), """", IF($D144=""LONG"", (IFERROR(INDEX(GOOGLEFINANCE($C144, ""price"", WORKDAY(INT($B144), 5)), 2, 2), """")-$G144)/$G144, ($G144-IFERROR(IND"&amp;"EX(GOOGLEFINANCE($C144, ""price"", WORKDAY(INT($B144), 5)), 2, 2), """"))/$G144))"),-0.017393097758833985)</f>
        <v>-0.01739309776</v>
      </c>
      <c r="S144" s="16" t="str">
        <f>IFERROR(__xludf.DUMMYFUNCTION("IF(OR(ISBLANK($G144), IFERROR(INDEX(GOOGLEFINANCE($C144, ""price"", WORKDAY(INT($B144), 20)), 2, 2), """")=""""), """", IF($D144=""LONG"", (IFERROR(INDEX(GOOGLEFINANCE($C144, ""price"", WORKDAY(INT($B144), 20)), 2, 2), """")-$G144)/$G144, ($G144-IFERROR(I"&amp;"NDEX(GOOGLEFINANCE($C144, ""price"", WORKDAY(INT($B144), 20)), 2, 2), """"))/$G144))"),"")</f>
        <v/>
      </c>
      <c r="T144" s="10" t="s">
        <v>3849</v>
      </c>
      <c r="U144" s="10" t="s">
        <v>984</v>
      </c>
      <c r="V144" s="10" t="s">
        <v>2785</v>
      </c>
      <c r="W144" s="10" t="s">
        <v>51</v>
      </c>
      <c r="X144" s="10" t="s">
        <v>984</v>
      </c>
    </row>
    <row r="145">
      <c r="A145" s="9">
        <f t="shared" si="1"/>
        <v>144</v>
      </c>
      <c r="B145" s="11">
        <v>46224.66775462963</v>
      </c>
      <c r="C145" s="10" t="s">
        <v>2750</v>
      </c>
      <c r="D145" s="10" t="s">
        <v>36</v>
      </c>
      <c r="E145" s="10" t="s">
        <v>37</v>
      </c>
      <c r="F145" s="13">
        <v>2.0</v>
      </c>
      <c r="G145" s="14">
        <v>79.22</v>
      </c>
      <c r="H145" s="10" t="s">
        <v>3851</v>
      </c>
      <c r="I145" s="10">
        <v>94.7</v>
      </c>
      <c r="O145" s="15">
        <f>IFERROR(__xludf.DUMMYFUNCTION("IF(ISBLANK($C145), """", GOOGLEFINANCE($C145, ""price""))"),82.51)</f>
        <v>82.51</v>
      </c>
      <c r="P145" s="16">
        <f t="shared" si="2"/>
        <v>0.04152991669</v>
      </c>
      <c r="Q145" s="16">
        <f>IFERROR(__xludf.DUMMYFUNCTION("IF(OR(ISBLANK($G145), IFERROR(INDEX(GOOGLEFINANCE($C145, ""price"", WORKDAY(INT($B145), 1)), 2, 2), """")=""""), """", IF($D145=""LONG"", (IFERROR(INDEX(GOOGLEFINANCE($C145, ""price"", WORKDAY(INT($B145), 1)), 2, 2), """")-$G145)/$G145, ($G145-IFERROR(IND"&amp;"EX(GOOGLEFINANCE($C145, ""price"", WORKDAY(INT($B145), 1)), 2, 2), """"))/$G145))"),0.002019691996970419)</f>
        <v>0.002019691997</v>
      </c>
      <c r="R145" s="16">
        <f>IFERROR(__xludf.DUMMYFUNCTION("IF(OR(ISBLANK($G145), IFERROR(INDEX(GOOGLEFINANCE($C145, ""price"", WORKDAY(INT($B145), 5)), 2, 2), """")=""""), """", IF($D145=""LONG"", (IFERROR(INDEX(GOOGLEFINANCE($C145, ""price"", WORKDAY(INT($B145), 5)), 2, 2), """")-$G145)/$G145, ($G145-IFERROR(IND"&amp;"EX(GOOGLEFINANCE($C145, ""price"", WORKDAY(INT($B145), 5)), 2, 2), """"))/$G145))"),0.08836152486745771)</f>
        <v>0.08836152487</v>
      </c>
      <c r="S145" s="16" t="str">
        <f>IFERROR(__xludf.DUMMYFUNCTION("IF(OR(ISBLANK($G145), IFERROR(INDEX(GOOGLEFINANCE($C145, ""price"", WORKDAY(INT($B145), 20)), 2, 2), """")=""""), """", IF($D145=""LONG"", (IFERROR(INDEX(GOOGLEFINANCE($C145, ""price"", WORKDAY(INT($B145), 20)), 2, 2), """")-$G145)/$G145, ($G145-IFERROR(I"&amp;"NDEX(GOOGLEFINANCE($C145, ""price"", WORKDAY(INT($B145), 20)), 2, 2), """"))/$G145))"),"")</f>
        <v/>
      </c>
      <c r="T145" s="10" t="s">
        <v>3853</v>
      </c>
      <c r="U145" s="10" t="s">
        <v>984</v>
      </c>
      <c r="V145" s="10" t="s">
        <v>2714</v>
      </c>
      <c r="W145" s="10" t="s">
        <v>51</v>
      </c>
      <c r="X145" s="10" t="s">
        <v>984</v>
      </c>
    </row>
    <row r="146">
      <c r="A146" s="9">
        <f t="shared" si="1"/>
        <v>145</v>
      </c>
      <c r="B146" s="11">
        <v>46224.667858796296</v>
      </c>
      <c r="C146" s="10" t="s">
        <v>260</v>
      </c>
      <c r="D146" s="10" t="s">
        <v>36</v>
      </c>
      <c r="E146" s="10" t="s">
        <v>37</v>
      </c>
      <c r="F146" s="13">
        <v>2.0</v>
      </c>
      <c r="G146" s="14">
        <v>106.36</v>
      </c>
      <c r="H146" s="10" t="s">
        <v>3855</v>
      </c>
      <c r="I146" s="10">
        <v>88.9</v>
      </c>
      <c r="L146" s="10" t="s">
        <v>3856</v>
      </c>
      <c r="M146" s="34" t="s">
        <v>1789</v>
      </c>
      <c r="N146" s="10" t="s">
        <v>925</v>
      </c>
      <c r="O146" s="15">
        <f>IFERROR(__xludf.DUMMYFUNCTION("IF(ISBLANK($C146), """", GOOGLEFINANCE($C146, ""price""))"),90.71)</f>
        <v>90.71</v>
      </c>
      <c r="P146" s="16">
        <f t="shared" si="2"/>
        <v>-0.1471417826</v>
      </c>
      <c r="Q146" s="16">
        <f>IFERROR(__xludf.DUMMYFUNCTION("IF(OR(ISBLANK($G146), IFERROR(INDEX(GOOGLEFINANCE($C146, ""price"", WORKDAY(INT($B146), 1)), 2, 2), """")=""""), """", IF($D146=""LONG"", (IFERROR(INDEX(GOOGLEFINANCE($C146, ""price"", WORKDAY(INT($B146), 1)), 2, 2), """")-$G146)/$G146, ($G146-IFERROR(IND"&amp;"EX(GOOGLEFINANCE($C146, ""price"", WORKDAY(INT($B146), 1)), 2, 2), """"))/$G146))"),-0.017675817976682922)</f>
        <v>-0.01767581798</v>
      </c>
      <c r="R146" s="16">
        <f>IFERROR(__xludf.DUMMYFUNCTION("IF(OR(ISBLANK($G146), IFERROR(INDEX(GOOGLEFINANCE($C146, ""price"", WORKDAY(INT($B146), 5)), 2, 2), """")=""""), """", IF($D146=""LONG"", (IFERROR(INDEX(GOOGLEFINANCE($C146, ""price"", WORKDAY(INT($B146), 5)), 2, 2), """")-$G146)/$G146, ($G146-IFERROR(IND"&amp;"EX(GOOGLEFINANCE($C146, ""price"", WORKDAY(INT($B146), 5)), 2, 2), """"))/$G146))"),-0.1278676194057916)</f>
        <v>-0.1278676194</v>
      </c>
      <c r="S146" s="16" t="str">
        <f>IFERROR(__xludf.DUMMYFUNCTION("IF(OR(ISBLANK($G146), IFERROR(INDEX(GOOGLEFINANCE($C146, ""price"", WORKDAY(INT($B146), 20)), 2, 2), """")=""""), """", IF($D146=""LONG"", (IFERROR(INDEX(GOOGLEFINANCE($C146, ""price"", WORKDAY(INT($B146), 20)), 2, 2), """")-$G146)/$G146, ($G146-IFERROR(I"&amp;"NDEX(GOOGLEFINANCE($C146, ""price"", WORKDAY(INT($B146), 20)), 2, 2), """"))/$G146))"),"")</f>
        <v/>
      </c>
      <c r="T146" s="10" t="s">
        <v>3860</v>
      </c>
      <c r="U146" s="10" t="s">
        <v>240</v>
      </c>
      <c r="V146" s="10" t="s">
        <v>3861</v>
      </c>
      <c r="W146" s="10" t="s">
        <v>51</v>
      </c>
      <c r="X146" s="10" t="s">
        <v>1905</v>
      </c>
    </row>
    <row r="147">
      <c r="A147" s="9">
        <f t="shared" si="1"/>
        <v>146</v>
      </c>
      <c r="B147" s="11">
        <v>46224.667708333334</v>
      </c>
      <c r="C147" s="10" t="s">
        <v>128</v>
      </c>
      <c r="D147" s="10" t="s">
        <v>36</v>
      </c>
      <c r="E147" s="10" t="s">
        <v>37</v>
      </c>
      <c r="F147" s="13">
        <v>2.0</v>
      </c>
      <c r="G147" s="14">
        <v>404.13</v>
      </c>
      <c r="H147" s="10" t="s">
        <v>3862</v>
      </c>
      <c r="I147" s="10">
        <v>85.6</v>
      </c>
      <c r="O147" s="15">
        <f>IFERROR(__xludf.DUMMYFUNCTION("IF(ISBLANK($C147), """", GOOGLEFINANCE($C147, ""price""))"),414.68)</f>
        <v>414.68</v>
      </c>
      <c r="P147" s="16">
        <f t="shared" si="2"/>
        <v>0.02610546111</v>
      </c>
      <c r="Q147" s="16">
        <f>IFERROR(__xludf.DUMMYFUNCTION("IF(OR(ISBLANK($G147), IFERROR(INDEX(GOOGLEFINANCE($C147, ""price"", WORKDAY(INT($B147), 1)), 2, 2), """")=""""), """", IF($D147=""LONG"", (IFERROR(INDEX(GOOGLEFINANCE($C147, ""price"", WORKDAY(INT($B147), 1)), 2, 2), """")-$G147)/$G147, ($G147-IFERROR(IND"&amp;"EX(GOOGLEFINANCE($C147, ""price"", WORKDAY(INT($B147), 1)), 2, 2), """"))/$G147))"),0.005047880632469801)</f>
        <v>0.005047880632</v>
      </c>
      <c r="R147" s="16">
        <f>IFERROR(__xludf.DUMMYFUNCTION("IF(OR(ISBLANK($G147), IFERROR(INDEX(GOOGLEFINANCE($C147, ""price"", WORKDAY(INT($B147), 5)), 2, 2), """")=""""), """", IF($D147=""LONG"", (IFERROR(INDEX(GOOGLEFINANCE($C147, ""price"", WORKDAY(INT($B147), 5)), 2, 2), """")-$G147)/$G147, ($G147-IFERROR(IND"&amp;"EX(GOOGLEFINANCE($C147, ""price"", WORKDAY(INT($B147), 5)), 2, 2), """"))/$G147))"),0.03756217058867198)</f>
        <v>0.03756217059</v>
      </c>
      <c r="S147" s="16" t="str">
        <f>IFERROR(__xludf.DUMMYFUNCTION("IF(OR(ISBLANK($G147), IFERROR(INDEX(GOOGLEFINANCE($C147, ""price"", WORKDAY(INT($B147), 20)), 2, 2), """")=""""), """", IF($D147=""LONG"", (IFERROR(INDEX(GOOGLEFINANCE($C147, ""price"", WORKDAY(INT($B147), 20)), 2, 2), """")-$G147)/$G147, ($G147-IFERROR(I"&amp;"NDEX(GOOGLEFINANCE($C147, ""price"", WORKDAY(INT($B147), 20)), 2, 2), """"))/$G147))"),"")</f>
        <v/>
      </c>
      <c r="T147" s="10" t="s">
        <v>3866</v>
      </c>
      <c r="U147" s="10" t="s">
        <v>984</v>
      </c>
      <c r="V147" s="10" t="s">
        <v>998</v>
      </c>
      <c r="W147" s="10" t="s">
        <v>51</v>
      </c>
      <c r="X147" s="10" t="s">
        <v>984</v>
      </c>
    </row>
    <row r="148">
      <c r="A148" s="9">
        <f t="shared" si="1"/>
        <v>147</v>
      </c>
      <c r="B148" s="11">
        <v>46224.66783564815</v>
      </c>
      <c r="C148" s="10" t="s">
        <v>3867</v>
      </c>
      <c r="D148" s="10" t="s">
        <v>36</v>
      </c>
      <c r="E148" s="10" t="s">
        <v>133</v>
      </c>
      <c r="F148" s="13">
        <v>2.0</v>
      </c>
      <c r="G148" s="14">
        <v>24.81</v>
      </c>
      <c r="H148" s="10" t="s">
        <v>3868</v>
      </c>
      <c r="I148" s="10">
        <v>75.5</v>
      </c>
      <c r="O148" s="15">
        <f>IFERROR(__xludf.DUMMYFUNCTION("IF(ISBLANK($C148), """", GOOGLEFINANCE($C148, ""price""))"),28.18)</f>
        <v>28.18</v>
      </c>
      <c r="P148" s="16">
        <f t="shared" si="2"/>
        <v>0.1358323257</v>
      </c>
      <c r="Q148" s="16">
        <f>IFERROR(__xludf.DUMMYFUNCTION("IF(OR(ISBLANK($G148), IFERROR(INDEX(GOOGLEFINANCE($C148, ""price"", WORKDAY(INT($B148), 1)), 2, 2), """")=""""), """", IF($D148=""LONG"", (IFERROR(INDEX(GOOGLEFINANCE($C148, ""price"", WORKDAY(INT($B148), 1)), 2, 2), """")-$G148)/$G148, ($G148-IFERROR(IND"&amp;"EX(GOOGLEFINANCE($C148, ""price"", WORKDAY(INT($B148), 1)), 2, 2), """"))/$G148))"),0.011688835147118206)</f>
        <v>0.01168883515</v>
      </c>
      <c r="R148" s="16">
        <f>IFERROR(__xludf.DUMMYFUNCTION("IF(OR(ISBLANK($G148), IFERROR(INDEX(GOOGLEFINANCE($C148, ""price"", WORKDAY(INT($B148), 5)), 2, 2), """")=""""), """", IF($D148=""LONG"", (IFERROR(INDEX(GOOGLEFINANCE($C148, ""price"", WORKDAY(INT($B148), 5)), 2, 2), """")-$G148)/$G148, ($G148-IFERROR(IND"&amp;"EX(GOOGLEFINANCE($C148, ""price"", WORKDAY(INT($B148), 5)), 2, 2), """"))/$G148))"),0.1402660217654172)</f>
        <v>0.1402660218</v>
      </c>
      <c r="S148" s="16" t="str">
        <f>IFERROR(__xludf.DUMMYFUNCTION("IF(OR(ISBLANK($G148), IFERROR(INDEX(GOOGLEFINANCE($C148, ""price"", WORKDAY(INT($B148), 20)), 2, 2), """")=""""), """", IF($D148=""LONG"", (IFERROR(INDEX(GOOGLEFINANCE($C148, ""price"", WORKDAY(INT($B148), 20)), 2, 2), """")-$G148)/$G148, ($G148-IFERROR(I"&amp;"NDEX(GOOGLEFINANCE($C148, ""price"", WORKDAY(INT($B148), 20)), 2, 2), """"))/$G148))"),"")</f>
        <v/>
      </c>
      <c r="T148" s="10" t="s">
        <v>3874</v>
      </c>
      <c r="U148" s="10" t="s">
        <v>984</v>
      </c>
      <c r="V148" s="10" t="s">
        <v>2785</v>
      </c>
      <c r="W148" s="10" t="s">
        <v>51</v>
      </c>
      <c r="X148" s="10" t="s">
        <v>984</v>
      </c>
    </row>
    <row r="149">
      <c r="A149" s="9">
        <f t="shared" si="1"/>
        <v>148</v>
      </c>
      <c r="B149" s="11">
        <v>46224.667858796296</v>
      </c>
      <c r="C149" s="10" t="s">
        <v>530</v>
      </c>
      <c r="D149" s="10" t="s">
        <v>119</v>
      </c>
      <c r="E149" s="10" t="s">
        <v>120</v>
      </c>
      <c r="F149" s="13">
        <v>4.0</v>
      </c>
      <c r="G149" s="14">
        <v>165.72</v>
      </c>
      <c r="H149" s="10" t="s">
        <v>3875</v>
      </c>
      <c r="I149" s="10">
        <v>34.8</v>
      </c>
      <c r="O149" s="15">
        <f>IFERROR(__xludf.DUMMYFUNCTION("IF(ISBLANK($C149), """", GOOGLEFINANCE($C149, ""price""))"),191.48)</f>
        <v>191.48</v>
      </c>
      <c r="P149" s="16">
        <f t="shared" si="2"/>
        <v>-0.1554429158</v>
      </c>
      <c r="Q149" s="16">
        <f>IFERROR(__xludf.DUMMYFUNCTION("IF(OR(ISBLANK($G149), IFERROR(INDEX(GOOGLEFINANCE($C149, ""price"", WORKDAY(INT($B149), 1)), 2, 2), """")=""""), """", IF($D149=""LONG"", (IFERROR(INDEX(GOOGLEFINANCE($C149, ""price"", WORKDAY(INT($B149), 1)), 2, 2), """")-$G149)/$G149, ($G149-IFERROR(IND"&amp;"EX(GOOGLEFINANCE($C149, ""price"", WORKDAY(INT($B149), 1)), 2, 2), """"))/$G149))"),-0.004948105237750381)</f>
        <v>-0.004948105238</v>
      </c>
      <c r="R149" s="16">
        <f>IFERROR(__xludf.DUMMYFUNCTION("IF(OR(ISBLANK($G149), IFERROR(INDEX(GOOGLEFINANCE($C149, ""price"", WORKDAY(INT($B149), 5)), 2, 2), """")=""""), """", IF($D149=""LONG"", (IFERROR(INDEX(GOOGLEFINANCE($C149, ""price"", WORKDAY(INT($B149), 5)), 2, 2), """")-$G149)/$G149, ($G149-IFERROR(IND"&amp;"EX(GOOGLEFINANCE($C149, ""price"", WORKDAY(INT($B149), 5)), 2, 2), """"))/$G149))"),-0.05316195993241614)</f>
        <v>-0.05316195993</v>
      </c>
      <c r="S149" s="16" t="str">
        <f>IFERROR(__xludf.DUMMYFUNCTION("IF(OR(ISBLANK($G149), IFERROR(INDEX(GOOGLEFINANCE($C149, ""price"", WORKDAY(INT($B149), 20)), 2, 2), """")=""""), """", IF($D149=""LONG"", (IFERROR(INDEX(GOOGLEFINANCE($C149, ""price"", WORKDAY(INT($B149), 20)), 2, 2), """")-$G149)/$G149, ($G149-IFERROR(I"&amp;"NDEX(GOOGLEFINANCE($C149, ""price"", WORKDAY(INT($B149), 20)), 2, 2), """"))/$G149))"),"")</f>
        <v/>
      </c>
      <c r="T149" s="10" t="s">
        <v>3880</v>
      </c>
      <c r="U149" s="10" t="s">
        <v>984</v>
      </c>
      <c r="V149" s="10" t="s">
        <v>985</v>
      </c>
      <c r="W149" s="10" t="s">
        <v>51</v>
      </c>
      <c r="X149" s="10" t="s">
        <v>984</v>
      </c>
    </row>
    <row r="150">
      <c r="A150" s="9">
        <f t="shared" si="1"/>
        <v>149</v>
      </c>
      <c r="B150" s="11">
        <v>46224.667858796296</v>
      </c>
      <c r="C150" s="10" t="s">
        <v>1778</v>
      </c>
      <c r="D150" s="10" t="s">
        <v>36</v>
      </c>
      <c r="E150" s="10" t="s">
        <v>37</v>
      </c>
      <c r="F150" s="13">
        <v>2.0</v>
      </c>
      <c r="G150" s="14">
        <v>86.97</v>
      </c>
      <c r="H150" s="10" t="s">
        <v>2101</v>
      </c>
      <c r="I150" s="10">
        <v>94.5</v>
      </c>
      <c r="O150" s="15">
        <f>IFERROR(__xludf.DUMMYFUNCTION("IF(ISBLANK($C150), """", GOOGLEFINANCE($C150, ""price""))"),76.86)</f>
        <v>76.86</v>
      </c>
      <c r="P150" s="16">
        <f t="shared" si="2"/>
        <v>-0.1162469817</v>
      </c>
      <c r="Q150" s="16">
        <f>IFERROR(__xludf.DUMMYFUNCTION("IF(OR(ISBLANK($G150), IFERROR(INDEX(GOOGLEFINANCE($C150, ""price"", WORKDAY(INT($B150), 1)), 2, 2), """")=""""), """", IF($D150=""LONG"", (IFERROR(INDEX(GOOGLEFINANCE($C150, ""price"", WORKDAY(INT($B150), 1)), 2, 2), """")-$G150)/$G150, ($G150-IFERROR(IND"&amp;"EX(GOOGLEFINANCE($C150, ""price"", WORKDAY(INT($B150), 1)), 2, 2), """"))/$G150))"),0.01793721973094173)</f>
        <v>0.01793721973</v>
      </c>
      <c r="R150" s="16">
        <f>IFERROR(__xludf.DUMMYFUNCTION("IF(OR(ISBLANK($G150), IFERROR(INDEX(GOOGLEFINANCE($C150, ""price"", WORKDAY(INT($B150), 5)), 2, 2), """")=""""), """", IF($D150=""LONG"", (IFERROR(INDEX(GOOGLEFINANCE($C150, ""price"", WORKDAY(INT($B150), 5)), 2, 2), """")-$G150)/$G150, ($G150-IFERROR(IND"&amp;"EX(GOOGLEFINANCE($C150, ""price"", WORKDAY(INT($B150), 5)), 2, 2), """"))/$G150))"),0.022766471196964518)</f>
        <v>0.0227664712</v>
      </c>
      <c r="S150" s="16" t="str">
        <f>IFERROR(__xludf.DUMMYFUNCTION("IF(OR(ISBLANK($G150), IFERROR(INDEX(GOOGLEFINANCE($C150, ""price"", WORKDAY(INT($B150), 20)), 2, 2), """")=""""), """", IF($D150=""LONG"", (IFERROR(INDEX(GOOGLEFINANCE($C150, ""price"", WORKDAY(INT($B150), 20)), 2, 2), """")-$G150)/$G150, ($G150-IFERROR(I"&amp;"NDEX(GOOGLEFINANCE($C150, ""price"", WORKDAY(INT($B150), 20)), 2, 2), """"))/$G150))"),"")</f>
        <v/>
      </c>
      <c r="T150" s="10" t="s">
        <v>3886</v>
      </c>
      <c r="U150" s="10" t="s">
        <v>704</v>
      </c>
      <c r="V150" s="10" t="s">
        <v>3887</v>
      </c>
      <c r="W150" s="10" t="s">
        <v>51</v>
      </c>
      <c r="X150" s="10" t="s">
        <v>1885</v>
      </c>
    </row>
    <row r="151">
      <c r="A151" s="9">
        <f t="shared" si="1"/>
        <v>150</v>
      </c>
      <c r="B151" s="11">
        <v>46224.667858796296</v>
      </c>
      <c r="C151" s="10" t="s">
        <v>269</v>
      </c>
      <c r="D151" s="10" t="s">
        <v>36</v>
      </c>
      <c r="E151" s="10" t="s">
        <v>37</v>
      </c>
      <c r="F151" s="13">
        <v>2.0</v>
      </c>
      <c r="G151" s="14">
        <v>183.3</v>
      </c>
      <c r="H151" s="10" t="s">
        <v>3889</v>
      </c>
      <c r="I151" s="10">
        <v>91.7</v>
      </c>
      <c r="O151" s="15">
        <f>IFERROR(__xludf.DUMMYFUNCTION("IF(ISBLANK($C151), """", GOOGLEFINANCE($C151, ""price""))"),184.92)</f>
        <v>184.92</v>
      </c>
      <c r="P151" s="16">
        <f t="shared" si="2"/>
        <v>0.00883797054</v>
      </c>
      <c r="Q151" s="16">
        <f>IFERROR(__xludf.DUMMYFUNCTION("IF(OR(ISBLANK($G151), IFERROR(INDEX(GOOGLEFINANCE($C151, ""price"", WORKDAY(INT($B151), 1)), 2, 2), """")=""""), """", IF($D151=""LONG"", (IFERROR(INDEX(GOOGLEFINANCE($C151, ""price"", WORKDAY(INT($B151), 1)), 2, 2), """")-$G151)/$G151, ($G151-IFERROR(IND"&amp;"EX(GOOGLEFINANCE($C151, ""price"", WORKDAY(INT($B151), 1)), 2, 2), """"))/$G151))"),0.010583742498636103)</f>
        <v>0.0105837425</v>
      </c>
      <c r="R151" s="16">
        <f>IFERROR(__xludf.DUMMYFUNCTION("IF(OR(ISBLANK($G151), IFERROR(INDEX(GOOGLEFINANCE($C151, ""price"", WORKDAY(INT($B151), 5)), 2, 2), """")=""""), """", IF($D151=""LONG"", (IFERROR(INDEX(GOOGLEFINANCE($C151, ""price"", WORKDAY(INT($B151), 5)), 2, 2), """")-$G151)/$G151, ($G151-IFERROR(IND"&amp;"EX(GOOGLEFINANCE($C151, ""price"", WORKDAY(INT($B151), 5)), 2, 2), """"))/$G151))"),-0.00398254228041472)</f>
        <v>-0.00398254228</v>
      </c>
      <c r="S151" s="16" t="str">
        <f>IFERROR(__xludf.DUMMYFUNCTION("IF(OR(ISBLANK($G151), IFERROR(INDEX(GOOGLEFINANCE($C151, ""price"", WORKDAY(INT($B151), 20)), 2, 2), """")=""""), """", IF($D151=""LONG"", (IFERROR(INDEX(GOOGLEFINANCE($C151, ""price"", WORKDAY(INT($B151), 20)), 2, 2), """")-$G151)/$G151, ($G151-IFERROR(I"&amp;"NDEX(GOOGLEFINANCE($C151, ""price"", WORKDAY(INT($B151), 20)), 2, 2), """"))/$G151))"),"")</f>
        <v/>
      </c>
      <c r="T151" s="10" t="s">
        <v>3891</v>
      </c>
      <c r="U151" s="10" t="s">
        <v>984</v>
      </c>
      <c r="V151" s="10" t="s">
        <v>933</v>
      </c>
      <c r="W151" s="10" t="s">
        <v>51</v>
      </c>
      <c r="X151" s="10" t="s">
        <v>984</v>
      </c>
    </row>
    <row r="152">
      <c r="A152" s="9">
        <f t="shared" si="1"/>
        <v>151</v>
      </c>
      <c r="B152" s="11">
        <v>46224.667650462965</v>
      </c>
      <c r="C152" s="10" t="s">
        <v>2735</v>
      </c>
      <c r="D152" s="10" t="s">
        <v>119</v>
      </c>
      <c r="E152" s="10" t="s">
        <v>120</v>
      </c>
      <c r="F152" s="13">
        <v>4.0</v>
      </c>
      <c r="G152" s="14">
        <v>8.52</v>
      </c>
      <c r="H152" s="10" t="s">
        <v>3893</v>
      </c>
      <c r="I152" s="10">
        <v>9.4</v>
      </c>
      <c r="O152" s="15">
        <f>IFERROR(__xludf.DUMMYFUNCTION("IF(ISBLANK($C152), """", GOOGLEFINANCE($C152, ""price""))"),9.06)</f>
        <v>9.06</v>
      </c>
      <c r="P152" s="16">
        <f t="shared" si="2"/>
        <v>-0.06338028169</v>
      </c>
      <c r="Q152" s="16">
        <f>IFERROR(__xludf.DUMMYFUNCTION("IF(OR(ISBLANK($G152), IFERROR(INDEX(GOOGLEFINANCE($C152, ""price"", WORKDAY(INT($B152), 1)), 2, 2), """")=""""), """", IF($D152=""LONG"", (IFERROR(INDEX(GOOGLEFINANCE($C152, ""price"", WORKDAY(INT($B152), 1)), 2, 2), """")-$G152)/$G152, ($G152-IFERROR(IND"&amp;"EX(GOOGLEFINANCE($C152, ""price"", WORKDAY(INT($B152), 1)), 2, 2), """"))/$G152))"),-0.030516431924882605)</f>
        <v>-0.03051643192</v>
      </c>
      <c r="R152" s="16">
        <f>IFERROR(__xludf.DUMMYFUNCTION("IF(OR(ISBLANK($G152), IFERROR(INDEX(GOOGLEFINANCE($C152, ""price"", WORKDAY(INT($B152), 5)), 2, 2), """")=""""), """", IF($D152=""LONG"", (IFERROR(INDEX(GOOGLEFINANCE($C152, ""price"", WORKDAY(INT($B152), 5)), 2, 2), """")-$G152)/$G152, ($G152-IFERROR(IND"&amp;"EX(GOOGLEFINANCE($C152, ""price"", WORKDAY(INT($B152), 5)), 2, 2), """"))/$G152))"),0.05281690140845063)</f>
        <v>0.05281690141</v>
      </c>
      <c r="S152" s="16" t="str">
        <f>IFERROR(__xludf.DUMMYFUNCTION("IF(OR(ISBLANK($G152), IFERROR(INDEX(GOOGLEFINANCE($C152, ""price"", WORKDAY(INT($B152), 20)), 2, 2), """")=""""), """", IF($D152=""LONG"", (IFERROR(INDEX(GOOGLEFINANCE($C152, ""price"", WORKDAY(INT($B152), 20)), 2, 2), """")-$G152)/$G152, ($G152-IFERROR(I"&amp;"NDEX(GOOGLEFINANCE($C152, ""price"", WORKDAY(INT($B152), 20)), 2, 2), """"))/$G152))"),"")</f>
        <v/>
      </c>
      <c r="T152" s="10" t="s">
        <v>3897</v>
      </c>
      <c r="U152" s="10" t="s">
        <v>932</v>
      </c>
      <c r="V152" s="10" t="s">
        <v>933</v>
      </c>
      <c r="W152" s="10" t="s">
        <v>51</v>
      </c>
      <c r="X152" s="10" t="s">
        <v>3186</v>
      </c>
    </row>
    <row r="153">
      <c r="A153" s="9">
        <f t="shared" si="1"/>
        <v>152</v>
      </c>
      <c r="B153" s="11">
        <v>46224.66768518519</v>
      </c>
      <c r="C153" s="10" t="s">
        <v>386</v>
      </c>
      <c r="D153" s="10" t="s">
        <v>36</v>
      </c>
      <c r="E153" s="10" t="s">
        <v>37</v>
      </c>
      <c r="F153" s="13">
        <v>2.0</v>
      </c>
      <c r="G153" s="14">
        <v>404.54</v>
      </c>
      <c r="H153" s="10" t="s">
        <v>3898</v>
      </c>
      <c r="I153" s="10">
        <v>90.2</v>
      </c>
      <c r="O153" s="15">
        <f>IFERROR(__xludf.DUMMYFUNCTION("IF(ISBLANK($C153), """", GOOGLEFINANCE($C153, ""price""))"),367.24)</f>
        <v>367.24</v>
      </c>
      <c r="P153" s="16">
        <f t="shared" si="2"/>
        <v>-0.09220349038</v>
      </c>
      <c r="Q153" s="16">
        <f>IFERROR(__xludf.DUMMYFUNCTION("IF(OR(ISBLANK($G153), IFERROR(INDEX(GOOGLEFINANCE($C153, ""price"", WORKDAY(INT($B153), 1)), 2, 2), """")=""""), """", IF($D153=""LONG"", (IFERROR(INDEX(GOOGLEFINANCE($C153, ""price"", WORKDAY(INT($B153), 1)), 2, 2), """")-$G153)/$G153, ($G153-IFERROR(IND"&amp;"EX(GOOGLEFINANCE($C153, ""price"", WORKDAY(INT($B153), 1)), 2, 2), """"))/$G153))"),-0.01715528748702229)</f>
        <v>-0.01715528749</v>
      </c>
      <c r="R153" s="16">
        <f>IFERROR(__xludf.DUMMYFUNCTION("IF(OR(ISBLANK($G153), IFERROR(INDEX(GOOGLEFINANCE($C153, ""price"", WORKDAY(INT($B153), 5)), 2, 2), """")=""""), """", IF($D153=""LONG"", (IFERROR(INDEX(GOOGLEFINANCE($C153, ""price"", WORKDAY(INT($B153), 5)), 2, 2), """")-$G153)/$G153, ($G153-IFERROR(IND"&amp;"EX(GOOGLEFINANCE($C153, ""price"", WORKDAY(INT($B153), 5)), 2, 2), """"))/$G153))"),-0.039130864685816086)</f>
        <v>-0.03913086469</v>
      </c>
      <c r="S153" s="16" t="str">
        <f>IFERROR(__xludf.DUMMYFUNCTION("IF(OR(ISBLANK($G153), IFERROR(INDEX(GOOGLEFINANCE($C153, ""price"", WORKDAY(INT($B153), 20)), 2, 2), """")=""""), """", IF($D153=""LONG"", (IFERROR(INDEX(GOOGLEFINANCE($C153, ""price"", WORKDAY(INT($B153), 20)), 2, 2), """")-$G153)/$G153, ($G153-IFERROR(I"&amp;"NDEX(GOOGLEFINANCE($C153, ""price"", WORKDAY(INT($B153), 20)), 2, 2), """"))/$G153))"),"")</f>
        <v/>
      </c>
      <c r="T153" s="10" t="s">
        <v>3903</v>
      </c>
      <c r="U153" s="10" t="s">
        <v>984</v>
      </c>
      <c r="V153" s="10" t="s">
        <v>933</v>
      </c>
      <c r="W153" s="10" t="s">
        <v>51</v>
      </c>
      <c r="X153" s="10" t="s">
        <v>984</v>
      </c>
    </row>
    <row r="154">
      <c r="A154" s="9">
        <f t="shared" si="1"/>
        <v>153</v>
      </c>
      <c r="B154" s="11">
        <v>46224.667719907404</v>
      </c>
      <c r="C154" s="10" t="s">
        <v>3904</v>
      </c>
      <c r="D154" s="10" t="s">
        <v>36</v>
      </c>
      <c r="E154" s="10" t="s">
        <v>37</v>
      </c>
      <c r="F154" s="13">
        <v>2.0</v>
      </c>
      <c r="G154" s="14">
        <v>490.59</v>
      </c>
      <c r="H154" s="10" t="s">
        <v>3905</v>
      </c>
      <c r="I154" s="10">
        <v>95.6</v>
      </c>
      <c r="O154" s="15">
        <f>IFERROR(__xludf.DUMMYFUNCTION("IF(ISBLANK($C154), """", GOOGLEFINANCE($C154, ""price""))"),473.13)</f>
        <v>473.13</v>
      </c>
      <c r="P154" s="16">
        <f t="shared" si="2"/>
        <v>-0.03558980004</v>
      </c>
      <c r="Q154" s="16">
        <f>IFERROR(__xludf.DUMMYFUNCTION("IF(OR(ISBLANK($G154), IFERROR(INDEX(GOOGLEFINANCE($C154, ""price"", WORKDAY(INT($B154), 1)), 2, 2), """")=""""), """", IF($D154=""LONG"", (IFERROR(INDEX(GOOGLEFINANCE($C154, ""price"", WORKDAY(INT($B154), 1)), 2, 2), """")-$G154)/$G154, ($G154-IFERROR(IND"&amp;"EX(GOOGLEFINANCE($C154, ""price"", WORKDAY(INT($B154), 1)), 2, 2), """"))/$G154))"),-0.0018141421553639217)</f>
        <v>-0.001814142155</v>
      </c>
      <c r="R154" s="16">
        <f>IFERROR(__xludf.DUMMYFUNCTION("IF(OR(ISBLANK($G154), IFERROR(INDEX(GOOGLEFINANCE($C154, ""price"", WORKDAY(INT($B154), 5)), 2, 2), """")=""""), """", IF($D154=""LONG"", (IFERROR(INDEX(GOOGLEFINANCE($C154, ""price"", WORKDAY(INT($B154), 5)), 2, 2), """")-$G154)/$G154, ($G154-IFERROR(IND"&amp;"EX(GOOGLEFINANCE($C154, ""price"", WORKDAY(INT($B154), 5)), 2, 2), """"))/$G154))"),-0.013025133003118666)</f>
        <v>-0.013025133</v>
      </c>
      <c r="S154" s="16" t="str">
        <f>IFERROR(__xludf.DUMMYFUNCTION("IF(OR(ISBLANK($G154), IFERROR(INDEX(GOOGLEFINANCE($C154, ""price"", WORKDAY(INT($B154), 20)), 2, 2), """")=""""), """", IF($D154=""LONG"", (IFERROR(INDEX(GOOGLEFINANCE($C154, ""price"", WORKDAY(INT($B154), 20)), 2, 2), """")-$G154)/$G154, ($G154-IFERROR(I"&amp;"NDEX(GOOGLEFINANCE($C154, ""price"", WORKDAY(INT($B154), 20)), 2, 2), """"))/$G154))"),"")</f>
        <v/>
      </c>
      <c r="T154" s="10" t="s">
        <v>3907</v>
      </c>
      <c r="U154" s="10" t="s">
        <v>984</v>
      </c>
      <c r="V154" s="10" t="s">
        <v>933</v>
      </c>
      <c r="W154" s="10" t="s">
        <v>51</v>
      </c>
      <c r="X154" s="10" t="s">
        <v>984</v>
      </c>
    </row>
    <row r="155">
      <c r="A155" s="9">
        <f t="shared" si="1"/>
        <v>154</v>
      </c>
      <c r="B155" s="11">
        <v>46224.667604166665</v>
      </c>
      <c r="C155" s="10" t="s">
        <v>2025</v>
      </c>
      <c r="D155" s="10" t="s">
        <v>36</v>
      </c>
      <c r="E155" s="10" t="s">
        <v>37</v>
      </c>
      <c r="F155" s="13">
        <v>2.0</v>
      </c>
      <c r="G155" s="14">
        <v>66.64</v>
      </c>
      <c r="H155" s="10" t="s">
        <v>3909</v>
      </c>
      <c r="I155" s="10">
        <v>99.8</v>
      </c>
      <c r="O155" s="15">
        <f>IFERROR(__xludf.DUMMYFUNCTION("IF(ISBLANK($C155), """", GOOGLEFINANCE($C155, ""price""))"),71.18)</f>
        <v>71.18</v>
      </c>
      <c r="P155" s="16">
        <f t="shared" si="2"/>
        <v>0.0681272509</v>
      </c>
      <c r="Q155" s="16">
        <f>IFERROR(__xludf.DUMMYFUNCTION("IF(OR(ISBLANK($G155), IFERROR(INDEX(GOOGLEFINANCE($C155, ""price"", WORKDAY(INT($B155), 1)), 2, 2), """")=""""), """", IF($D155=""LONG"", (IFERROR(INDEX(GOOGLEFINANCE($C155, ""price"", WORKDAY(INT($B155), 1)), 2, 2), """")-$G155)/$G155, ($G155-IFERROR(IND"&amp;"EX(GOOGLEFINANCE($C155, ""price"", WORKDAY(INT($B155), 1)), 2, 2), """"))/$G155))"),-0.01875750300120048)</f>
        <v>-0.018757503</v>
      </c>
      <c r="R155" s="16">
        <f>IFERROR(__xludf.DUMMYFUNCTION("IF(OR(ISBLANK($G155), IFERROR(INDEX(GOOGLEFINANCE($C155, ""price"", WORKDAY(INT($B155), 5)), 2, 2), """")=""""), """", IF($D155=""LONG"", (IFERROR(INDEX(GOOGLEFINANCE($C155, ""price"", WORKDAY(INT($B155), 5)), 2, 2), """")-$G155)/$G155, ($G155-IFERROR(IND"&amp;"EX(GOOGLEFINANCE($C155, ""price"", WORKDAY(INT($B155), 5)), 2, 2), """"))/$G155))"),0.10519207683073237)</f>
        <v>0.1051920768</v>
      </c>
      <c r="S155" s="16" t="str">
        <f>IFERROR(__xludf.DUMMYFUNCTION("IF(OR(ISBLANK($G155), IFERROR(INDEX(GOOGLEFINANCE($C155, ""price"", WORKDAY(INT($B155), 20)), 2, 2), """")=""""), """", IF($D155=""LONG"", (IFERROR(INDEX(GOOGLEFINANCE($C155, ""price"", WORKDAY(INT($B155), 20)), 2, 2), """")-$G155)/$G155, ($G155-IFERROR(I"&amp;"NDEX(GOOGLEFINANCE($C155, ""price"", WORKDAY(INT($B155), 20)), 2, 2), """"))/$G155))"),"")</f>
        <v/>
      </c>
      <c r="T155" s="10" t="s">
        <v>3913</v>
      </c>
      <c r="U155" s="10" t="s">
        <v>984</v>
      </c>
      <c r="V155" s="10" t="s">
        <v>985</v>
      </c>
      <c r="W155" s="10" t="s">
        <v>51</v>
      </c>
      <c r="X155" s="10" t="s">
        <v>984</v>
      </c>
    </row>
    <row r="156">
      <c r="A156" s="9">
        <f t="shared" si="1"/>
        <v>155</v>
      </c>
      <c r="B156" s="11">
        <v>46224.667708333334</v>
      </c>
      <c r="C156" s="10" t="s">
        <v>455</v>
      </c>
      <c r="D156" s="10" t="s">
        <v>36</v>
      </c>
      <c r="E156" s="10" t="s">
        <v>37</v>
      </c>
      <c r="F156" s="13">
        <v>2.0</v>
      </c>
      <c r="G156" s="14">
        <v>108.04</v>
      </c>
      <c r="H156" s="10" t="s">
        <v>3914</v>
      </c>
      <c r="I156" s="10">
        <v>96.7</v>
      </c>
      <c r="O156" s="15">
        <f>IFERROR(__xludf.DUMMYFUNCTION("IF(ISBLANK($C156), """", GOOGLEFINANCE($C156, ""price""))"),108.66)</f>
        <v>108.66</v>
      </c>
      <c r="P156" s="16">
        <f t="shared" si="2"/>
        <v>0.005738615328</v>
      </c>
      <c r="Q156" s="16">
        <f>IFERROR(__xludf.DUMMYFUNCTION("IF(OR(ISBLANK($G156), IFERROR(INDEX(GOOGLEFINANCE($C156, ""price"", WORKDAY(INT($B156), 1)), 2, 2), """")=""""), """", IF($D156=""LONG"", (IFERROR(INDEX(GOOGLEFINANCE($C156, ""price"", WORKDAY(INT($B156), 1)), 2, 2), """")-$G156)/$G156, ($G156-IFERROR(IND"&amp;"EX(GOOGLEFINANCE($C156, ""price"", WORKDAY(INT($B156), 1)), 2, 2), """"))/$G156))"),0.007774898185856989)</f>
        <v>0.007774898186</v>
      </c>
      <c r="R156" s="16">
        <f>IFERROR(__xludf.DUMMYFUNCTION("IF(OR(ISBLANK($G156), IFERROR(INDEX(GOOGLEFINANCE($C156, ""price"", WORKDAY(INT($B156), 5)), 2, 2), """")=""""), """", IF($D156=""LONG"", (IFERROR(INDEX(GOOGLEFINANCE($C156, ""price"", WORKDAY(INT($B156), 5)), 2, 2), """")-$G156)/$G156, ($G156-IFERROR(IND"&amp;"EX(GOOGLEFINANCE($C156, ""price"", WORKDAY(INT($B156), 5)), 2, 2), """"))/$G156))"),0.046741947426878906)</f>
        <v>0.04674194743</v>
      </c>
      <c r="S156" s="16" t="str">
        <f>IFERROR(__xludf.DUMMYFUNCTION("IF(OR(ISBLANK($G156), IFERROR(INDEX(GOOGLEFINANCE($C156, ""price"", WORKDAY(INT($B156), 20)), 2, 2), """")=""""), """", IF($D156=""LONG"", (IFERROR(INDEX(GOOGLEFINANCE($C156, ""price"", WORKDAY(INT($B156), 20)), 2, 2), """")-$G156)/$G156, ($G156-IFERROR(I"&amp;"NDEX(GOOGLEFINANCE($C156, ""price"", WORKDAY(INT($B156), 20)), 2, 2), """"))/$G156))"),"")</f>
        <v/>
      </c>
      <c r="T156" s="10" t="s">
        <v>3917</v>
      </c>
      <c r="U156" s="10" t="s">
        <v>984</v>
      </c>
      <c r="V156" s="10" t="s">
        <v>985</v>
      </c>
      <c r="W156" s="10" t="s">
        <v>51</v>
      </c>
      <c r="X156" s="10" t="s">
        <v>984</v>
      </c>
    </row>
    <row r="157">
      <c r="A157" s="9">
        <f t="shared" si="1"/>
        <v>156</v>
      </c>
      <c r="B157" s="11">
        <v>46224.667592592596</v>
      </c>
      <c r="C157" s="10" t="s">
        <v>60</v>
      </c>
      <c r="D157" s="10" t="s">
        <v>36</v>
      </c>
      <c r="E157" s="10" t="s">
        <v>37</v>
      </c>
      <c r="F157" s="13">
        <v>2.0</v>
      </c>
      <c r="G157" s="14">
        <v>43.45</v>
      </c>
      <c r="H157" s="10" t="s">
        <v>3919</v>
      </c>
      <c r="I157" s="10">
        <v>94.3</v>
      </c>
      <c r="L157" s="10" t="s">
        <v>3921</v>
      </c>
      <c r="M157" s="34" t="s">
        <v>1789</v>
      </c>
      <c r="N157" s="10" t="s">
        <v>925</v>
      </c>
      <c r="O157" s="15">
        <f>IFERROR(__xludf.DUMMYFUNCTION("IF(ISBLANK($C157), """", GOOGLEFINANCE($C157, ""price""))"),47.06)</f>
        <v>47.06</v>
      </c>
      <c r="P157" s="16">
        <f t="shared" si="2"/>
        <v>0.0830840046</v>
      </c>
      <c r="Q157" s="16">
        <f>IFERROR(__xludf.DUMMYFUNCTION("IF(OR(ISBLANK($G157), IFERROR(INDEX(GOOGLEFINANCE($C157, ""price"", WORKDAY(INT($B157), 1)), 2, 2), """")=""""), """", IF($D157=""LONG"", (IFERROR(INDEX(GOOGLEFINANCE($C157, ""price"", WORKDAY(INT($B157), 1)), 2, 2), """")-$G157)/$G157, ($G157-IFERROR(IND"&amp;"EX(GOOGLEFINANCE($C157, ""price"", WORKDAY(INT($B157), 1)), 2, 2), """"))/$G157))"),-0.005523590333716961)</f>
        <v>-0.005523590334</v>
      </c>
      <c r="R157" s="16">
        <f>IFERROR(__xludf.DUMMYFUNCTION("IF(OR(ISBLANK($G157), IFERROR(INDEX(GOOGLEFINANCE($C157, ""price"", WORKDAY(INT($B157), 5)), 2, 2), """")=""""), """", IF($D157=""LONG"", (IFERROR(INDEX(GOOGLEFINANCE($C157, ""price"", WORKDAY(INT($B157), 5)), 2, 2), """")-$G157)/$G157, ($G157-IFERROR(IND"&amp;"EX(GOOGLEFINANCE($C157, ""price"", WORKDAY(INT($B157), 5)), 2, 2), """"))/$G157))"),0.07456846950517824)</f>
        <v>0.07456846951</v>
      </c>
      <c r="S157" s="16" t="str">
        <f>IFERROR(__xludf.DUMMYFUNCTION("IF(OR(ISBLANK($G157), IFERROR(INDEX(GOOGLEFINANCE($C157, ""price"", WORKDAY(INT($B157), 20)), 2, 2), """")=""""), """", IF($D157=""LONG"", (IFERROR(INDEX(GOOGLEFINANCE($C157, ""price"", WORKDAY(INT($B157), 20)), 2, 2), """")-$G157)/$G157, ($G157-IFERROR(I"&amp;"NDEX(GOOGLEFINANCE($C157, ""price"", WORKDAY(INT($B157), 20)), 2, 2), """"))/$G157))"),"")</f>
        <v/>
      </c>
      <c r="T157" s="10" t="s">
        <v>3922</v>
      </c>
      <c r="U157" s="10" t="s">
        <v>240</v>
      </c>
      <c r="V157" s="10" t="s">
        <v>3923</v>
      </c>
      <c r="W157" s="10" t="s">
        <v>51</v>
      </c>
      <c r="X157" s="10" t="s">
        <v>1905</v>
      </c>
    </row>
    <row r="158">
      <c r="A158" s="9">
        <f t="shared" si="1"/>
        <v>157</v>
      </c>
      <c r="B158" s="11">
        <v>46224.66768518519</v>
      </c>
      <c r="C158" s="10" t="s">
        <v>3370</v>
      </c>
      <c r="D158" s="10" t="s">
        <v>119</v>
      </c>
      <c r="E158" s="10" t="s">
        <v>120</v>
      </c>
      <c r="F158" s="13">
        <v>4.0</v>
      </c>
      <c r="G158" s="14">
        <v>1027.82</v>
      </c>
      <c r="H158" s="10" t="s">
        <v>3924</v>
      </c>
      <c r="I158" s="10">
        <v>8.1</v>
      </c>
      <c r="O158" s="15">
        <f>IFERROR(__xludf.DUMMYFUNCTION("IF(ISBLANK($C158), """", GOOGLEFINANCE($C158, ""price""))"),1052.86)</f>
        <v>1052.86</v>
      </c>
      <c r="P158" s="16">
        <f t="shared" si="2"/>
        <v>-0.02436224242</v>
      </c>
      <c r="Q158" s="16">
        <f>IFERROR(__xludf.DUMMYFUNCTION("IF(OR(ISBLANK($G158), IFERROR(INDEX(GOOGLEFINANCE($C158, ""price"", WORKDAY(INT($B158), 1)), 2, 2), """")=""""), """", IF($D158=""LONG"", (IFERROR(INDEX(GOOGLEFINANCE($C158, ""price"", WORKDAY(INT($B158), 1)), 2, 2), """")-$G158)/$G158, ($G158-IFERROR(IND"&amp;"EX(GOOGLEFINANCE($C158, ""price"", WORKDAY(INT($B158), 1)), 2, 2), """"))/$G158))"),-8.950983635267584E-4)</f>
        <v>-0.0008950983635</v>
      </c>
      <c r="R158" s="16">
        <f>IFERROR(__xludf.DUMMYFUNCTION("IF(OR(ISBLANK($G158), IFERROR(INDEX(GOOGLEFINANCE($C158, ""price"", WORKDAY(INT($B158), 5)), 2, 2), """")=""""), """", IF($D158=""LONG"", (IFERROR(INDEX(GOOGLEFINANCE($C158, ""price"", WORKDAY(INT($B158), 5)), 2, 2), """")-$G158)/$G158, ($G158-IFERROR(IND"&amp;"EX(GOOGLEFINANCE($C158, ""price"", WORKDAY(INT($B158), 5)), 2, 2), """"))/$G158))"),-0.006849448346986792)</f>
        <v>-0.006849448347</v>
      </c>
      <c r="S158" s="16" t="str">
        <f>IFERROR(__xludf.DUMMYFUNCTION("IF(OR(ISBLANK($G158), IFERROR(INDEX(GOOGLEFINANCE($C158, ""price"", WORKDAY(INT($B158), 20)), 2, 2), """")=""""), """", IF($D158=""LONG"", (IFERROR(INDEX(GOOGLEFINANCE($C158, ""price"", WORKDAY(INT($B158), 20)), 2, 2), """")-$G158)/$G158, ($G158-IFERROR(I"&amp;"NDEX(GOOGLEFINANCE($C158, ""price"", WORKDAY(INT($B158), 20)), 2, 2), """"))/$G158))"),"")</f>
        <v/>
      </c>
      <c r="T158" s="10" t="s">
        <v>3929</v>
      </c>
      <c r="U158" s="10" t="s">
        <v>984</v>
      </c>
      <c r="V158" s="10" t="s">
        <v>985</v>
      </c>
      <c r="W158" s="10" t="s">
        <v>51</v>
      </c>
      <c r="X158" s="10" t="s">
        <v>984</v>
      </c>
    </row>
    <row r="159">
      <c r="A159" s="9">
        <f t="shared" si="1"/>
        <v>158</v>
      </c>
      <c r="B159" s="11">
        <v>46224.66753472222</v>
      </c>
      <c r="C159" s="10" t="s">
        <v>442</v>
      </c>
      <c r="D159" s="10" t="s">
        <v>36</v>
      </c>
      <c r="E159" s="10" t="s">
        <v>37</v>
      </c>
      <c r="F159" s="13">
        <v>2.0</v>
      </c>
      <c r="G159" s="14">
        <v>510.89</v>
      </c>
      <c r="H159" s="10" t="s">
        <v>3930</v>
      </c>
      <c r="I159" s="10">
        <v>98.0</v>
      </c>
      <c r="O159" s="15">
        <f>IFERROR(__xludf.DUMMYFUNCTION("IF(ISBLANK($C159), """", GOOGLEFINANCE($C159, ""price""))"),522.46)</f>
        <v>522.46</v>
      </c>
      <c r="P159" s="16">
        <f t="shared" si="2"/>
        <v>0.0226467537</v>
      </c>
      <c r="Q159" s="16">
        <f>IFERROR(__xludf.DUMMYFUNCTION("IF(OR(ISBLANK($G159), IFERROR(INDEX(GOOGLEFINANCE($C159, ""price"", WORKDAY(INT($B159), 1)), 2, 2), """")=""""), """", IF($D159=""LONG"", (IFERROR(INDEX(GOOGLEFINANCE($C159, ""price"", WORKDAY(INT($B159), 1)), 2, 2), """")-$G159)/$G159, ($G159-IFERROR(IND"&amp;"EX(GOOGLEFINANCE($C159, ""price"", WORKDAY(INT($B159), 1)), 2, 2), """"))/$G159))"),-0.037972949167139655)</f>
        <v>-0.03797294917</v>
      </c>
      <c r="R159" s="16">
        <f>IFERROR(__xludf.DUMMYFUNCTION("IF(OR(ISBLANK($G159), IFERROR(INDEX(GOOGLEFINANCE($C159, ""price"", WORKDAY(INT($B159), 5)), 2, 2), """")=""""), """", IF($D159=""LONG"", (IFERROR(INDEX(GOOGLEFINANCE($C159, ""price"", WORKDAY(INT($B159), 5)), 2, 2), """")-$G159)/$G159, ($G159-IFERROR(IND"&amp;"EX(GOOGLEFINANCE($C159, ""price"", WORKDAY(INT($B159), 5)), 2, 2), """"))/$G159))"),0.0719528665661884)</f>
        <v>0.07195286657</v>
      </c>
      <c r="S159" s="16" t="str">
        <f>IFERROR(__xludf.DUMMYFUNCTION("IF(OR(ISBLANK($G159), IFERROR(INDEX(GOOGLEFINANCE($C159, ""price"", WORKDAY(INT($B159), 20)), 2, 2), """")=""""), """", IF($D159=""LONG"", (IFERROR(INDEX(GOOGLEFINANCE($C159, ""price"", WORKDAY(INT($B159), 20)), 2, 2), """")-$G159)/$G159, ($G159-IFERROR(I"&amp;"NDEX(GOOGLEFINANCE($C159, ""price"", WORKDAY(INT($B159), 20)), 2, 2), """"))/$G159))"),"")</f>
        <v/>
      </c>
      <c r="T159" s="10" t="s">
        <v>3933</v>
      </c>
      <c r="U159" s="10" t="s">
        <v>984</v>
      </c>
      <c r="V159" s="10" t="s">
        <v>985</v>
      </c>
      <c r="W159" s="10" t="s">
        <v>51</v>
      </c>
      <c r="X159" s="10" t="s">
        <v>984</v>
      </c>
    </row>
    <row r="160">
      <c r="A160" s="9">
        <f t="shared" si="1"/>
        <v>159</v>
      </c>
      <c r="B160" s="11">
        <v>46224.66778935185</v>
      </c>
      <c r="C160" s="10" t="s">
        <v>845</v>
      </c>
      <c r="D160" s="10" t="s">
        <v>119</v>
      </c>
      <c r="E160" s="10" t="s">
        <v>120</v>
      </c>
      <c r="F160" s="13">
        <v>4.0</v>
      </c>
      <c r="G160" s="14">
        <v>233.31</v>
      </c>
      <c r="H160" s="10" t="s">
        <v>3935</v>
      </c>
      <c r="I160" s="10">
        <v>7.0</v>
      </c>
      <c r="O160" s="15">
        <f>IFERROR(__xludf.DUMMYFUNCTION("IF(ISBLANK($C160), """", GOOGLEFINANCE($C160, ""price""))"),261.48)</f>
        <v>261.48</v>
      </c>
      <c r="P160" s="16">
        <f t="shared" si="2"/>
        <v>-0.1207406455</v>
      </c>
      <c r="Q160" s="16">
        <f>IFERROR(__xludf.DUMMYFUNCTION("IF(OR(ISBLANK($G160), IFERROR(INDEX(GOOGLEFINANCE($C160, ""price"", WORKDAY(INT($B160), 1)), 2, 2), """")=""""), """", IF($D160=""LONG"", (IFERROR(INDEX(GOOGLEFINANCE($C160, ""price"", WORKDAY(INT($B160), 1)), 2, 2), """")-$G160)/$G160, ($G160-IFERROR(IND"&amp;"EX(GOOGLEFINANCE($C160, ""price"", WORKDAY(INT($B160), 1)), 2, 2), """"))/$G160))"),-0.022845141657022776)</f>
        <v>-0.02284514166</v>
      </c>
      <c r="R160" s="16">
        <f>IFERROR(__xludf.DUMMYFUNCTION("IF(OR(ISBLANK($G160), IFERROR(INDEX(GOOGLEFINANCE($C160, ""price"", WORKDAY(INT($B160), 5)), 2, 2), """")=""""), """", IF($D160=""LONG"", (IFERROR(INDEX(GOOGLEFINANCE($C160, ""price"", WORKDAY(INT($B160), 5)), 2, 2), """")-$G160)/$G160, ($G160-IFERROR(IND"&amp;"EX(GOOGLEFINANCE($C160, ""price"", WORKDAY(INT($B160), 5)), 2, 2), """"))/$G160))"),-0.11328275684711331)</f>
        <v>-0.1132827568</v>
      </c>
      <c r="S160" s="16" t="str">
        <f>IFERROR(__xludf.DUMMYFUNCTION("IF(OR(ISBLANK($G160), IFERROR(INDEX(GOOGLEFINANCE($C160, ""price"", WORKDAY(INT($B160), 20)), 2, 2), """")=""""), """", IF($D160=""LONG"", (IFERROR(INDEX(GOOGLEFINANCE($C160, ""price"", WORKDAY(INT($B160), 20)), 2, 2), """")-$G160)/$G160, ($G160-IFERROR(I"&amp;"NDEX(GOOGLEFINANCE($C160, ""price"", WORKDAY(INT($B160), 20)), 2, 2), """"))/$G160))"),"")</f>
        <v/>
      </c>
      <c r="T160" s="10" t="s">
        <v>3939</v>
      </c>
      <c r="U160" s="10" t="s">
        <v>984</v>
      </c>
      <c r="V160" s="10" t="s">
        <v>985</v>
      </c>
      <c r="W160" s="10" t="s">
        <v>51</v>
      </c>
      <c r="X160" s="10" t="s">
        <v>984</v>
      </c>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39.75"/>
  </cols>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157" si="1">ROW()-1</f>
        <v>1</v>
      </c>
      <c r="B2" s="11">
        <v>46225.66736111111</v>
      </c>
      <c r="C2" s="10" t="s">
        <v>245</v>
      </c>
      <c r="D2" s="10" t="s">
        <v>119</v>
      </c>
      <c r="E2" s="10" t="s">
        <v>120</v>
      </c>
      <c r="F2" s="13">
        <v>4.0</v>
      </c>
      <c r="G2" s="14">
        <v>386.67</v>
      </c>
      <c r="H2" s="10" t="s">
        <v>3650</v>
      </c>
      <c r="I2" s="10">
        <v>8.4</v>
      </c>
      <c r="O2" s="15">
        <f>IFERROR(__xludf.DUMMYFUNCTION("IF(ISBLANK($C2), """", GOOGLEFINANCE($C2, ""price""))"),377.31)</f>
        <v>377.31</v>
      </c>
      <c r="P2" s="16">
        <f t="shared" ref="P2:P157" si="2">IF(OR(ISBLANK($G2), ISBLANK($O2)), "", IF($D2="LONG", ($O2-$G2)/$G2, ($G2-$O2)/$G2))</f>
        <v>0.02420668787</v>
      </c>
      <c r="Q2" s="16">
        <f>IFERROR(__xludf.DUMMYFUNCTION("IF(OR(ISBLANK($G2), IFERROR(INDEX(GOOGLEFINANCE($C2, ""price"", WORKDAY(INT($B2), 1)), 2, 2), """")=""""), """", IF($D2=""LONG"", (IFERROR(INDEX(GOOGLEFINANCE($C2, ""price"", WORKDAY(INT($B2), 1)), 2, 2), """")-$G2)/$G2, ($G2-IFERROR(INDEX(GOOGLEFINANCE($"&amp;"C2, ""price"", WORKDAY(INT($B2), 1)), 2, 2), """"))/$G2))"),0.016732614374014087)</f>
        <v>0.01673261437</v>
      </c>
      <c r="R2" s="16">
        <f>IFERROR(__xludf.DUMMYFUNCTION("IF(OR(ISBLANK($G2), IFERROR(INDEX(GOOGLEFINANCE($C2, ""price"", WORKDAY(INT($B2), 5)), 2, 2), """")=""""), """", IF($D2=""LONG"", (IFERROR(INDEX(GOOGLEFINANCE($C2, ""price"", WORKDAY(INT($B2), 5)), 2, 2), """")-$G2)/$G2, ($G2-IFERROR(INDEX(GOOGLEFINANCE($"&amp;"C2, ""price"", WORKDAY(INT($B2), 5)), 2, 2), """"))/$G2))"),0.08611994724183415)</f>
        <v>0.08611994724</v>
      </c>
      <c r="S2" s="16" t="str">
        <f>IFERROR(__xludf.DUMMYFUNCTION("IF(OR(ISBLANK($G2), IFERROR(INDEX(GOOGLEFINANCE($C2, ""price"", WORKDAY(INT($B2), 20)), 2, 2), """")=""""), """", IF($D2=""LONG"", (IFERROR(INDEX(GOOGLEFINANCE($C2, ""price"", WORKDAY(INT($B2), 20)), 2, 2), """")-$G2)/$G2, ($G2-IFERROR(INDEX(GOOGLEFINANCE"&amp;"($C2, ""price"", WORKDAY(INT($B2), 20)), 2, 2), """"))/$G2))"),"")</f>
        <v/>
      </c>
      <c r="T2" s="10" t="s">
        <v>3659</v>
      </c>
      <c r="U2" s="10" t="s">
        <v>984</v>
      </c>
      <c r="V2" s="10" t="s">
        <v>985</v>
      </c>
      <c r="W2" s="10" t="s">
        <v>51</v>
      </c>
      <c r="X2" s="10" t="s">
        <v>984</v>
      </c>
    </row>
    <row r="3">
      <c r="A3" s="9">
        <f t="shared" si="1"/>
        <v>2</v>
      </c>
      <c r="B3" s="11">
        <v>46225.66737268519</v>
      </c>
      <c r="C3" s="10" t="s">
        <v>3662</v>
      </c>
      <c r="D3" s="10" t="s">
        <v>36</v>
      </c>
      <c r="E3" s="10" t="s">
        <v>133</v>
      </c>
      <c r="F3" s="13">
        <v>2.0</v>
      </c>
      <c r="G3" s="14">
        <v>110.76</v>
      </c>
      <c r="H3" s="10" t="s">
        <v>3663</v>
      </c>
      <c r="I3" s="10">
        <v>97.7</v>
      </c>
      <c r="O3" s="15">
        <f>IFERROR(__xludf.DUMMYFUNCTION("IF(ISBLANK($C3), """", GOOGLEFINANCE($C3, ""price""))"),120.13)</f>
        <v>120.13</v>
      </c>
      <c r="P3" s="16">
        <f t="shared" si="2"/>
        <v>0.08459732756</v>
      </c>
      <c r="Q3" s="16">
        <f>IFERROR(__xludf.DUMMYFUNCTION("IF(OR(ISBLANK($G3), IFERROR(INDEX(GOOGLEFINANCE($C3, ""price"", WORKDAY(INT($B3), 1)), 2, 2), """")=""""), """", IF($D3=""LONG"", (IFERROR(INDEX(GOOGLEFINANCE($C3, ""price"", WORKDAY(INT($B3), 1)), 2, 2), """")-$G3)/$G3, ($G3-IFERROR(INDEX(GOOGLEFINANCE($"&amp;"C3, ""price"", WORKDAY(INT($B3), 1)), 2, 2), """"))/$G3))"),-9.028530155291488E-4)</f>
        <v>-0.0009028530155</v>
      </c>
      <c r="R3" s="16">
        <f>IFERROR(__xludf.DUMMYFUNCTION("IF(OR(ISBLANK($G3), IFERROR(INDEX(GOOGLEFINANCE($C3, ""price"", WORKDAY(INT($B3), 5)), 2, 2), """")=""""), """", IF($D3=""LONG"", (IFERROR(INDEX(GOOGLEFINANCE($C3, ""price"", WORKDAY(INT($B3), 5)), 2, 2), """")-$G3)/$G3, ($G3-IFERROR(INDEX(GOOGLEFINANCE($"&amp;"C3, ""price"", WORKDAY(INT($B3), 5)), 2, 2), """"))/$G3))"),0.10265438786565538)</f>
        <v>0.1026543879</v>
      </c>
      <c r="S3" s="16" t="str">
        <f>IFERROR(__xludf.DUMMYFUNCTION("IF(OR(ISBLANK($G3), IFERROR(INDEX(GOOGLEFINANCE($C3, ""price"", WORKDAY(INT($B3), 20)), 2, 2), """")=""""), """", IF($D3=""LONG"", (IFERROR(INDEX(GOOGLEFINANCE($C3, ""price"", WORKDAY(INT($B3), 20)), 2, 2), """")-$G3)/$G3, ($G3-IFERROR(INDEX(GOOGLEFINANCE"&amp;"($C3, ""price"", WORKDAY(INT($B3), 20)), 2, 2), """"))/$G3))"),"")</f>
        <v/>
      </c>
      <c r="T3" s="10" t="s">
        <v>3668</v>
      </c>
      <c r="U3" s="10" t="s">
        <v>984</v>
      </c>
      <c r="V3" s="10" t="s">
        <v>985</v>
      </c>
      <c r="W3" s="10" t="s">
        <v>51</v>
      </c>
      <c r="X3" s="10" t="s">
        <v>984</v>
      </c>
    </row>
    <row r="4">
      <c r="A4" s="9">
        <f t="shared" si="1"/>
        <v>3</v>
      </c>
      <c r="B4" s="11">
        <v>46225.66737268519</v>
      </c>
      <c r="C4" s="10" t="s">
        <v>60</v>
      </c>
      <c r="D4" s="10" t="s">
        <v>36</v>
      </c>
      <c r="E4" s="10" t="s">
        <v>37</v>
      </c>
      <c r="F4" s="13">
        <v>2.0</v>
      </c>
      <c r="G4" s="14">
        <v>43.21</v>
      </c>
      <c r="H4" s="10" t="s">
        <v>3669</v>
      </c>
      <c r="I4" s="10">
        <v>92.4</v>
      </c>
      <c r="O4" s="15">
        <f>IFERROR(__xludf.DUMMYFUNCTION("IF(ISBLANK($C4), """", GOOGLEFINANCE($C4, ""price""))"),47.06)</f>
        <v>47.06</v>
      </c>
      <c r="P4" s="16">
        <f t="shared" si="2"/>
        <v>0.08909974543</v>
      </c>
      <c r="Q4" s="16">
        <f>IFERROR(__xludf.DUMMYFUNCTION("IF(OR(ISBLANK($G4), IFERROR(INDEX(GOOGLEFINANCE($C4, ""price"", WORKDAY(INT($B4), 1)), 2, 2), """")=""""), """", IF($D4=""LONG"", (IFERROR(INDEX(GOOGLEFINANCE($C4, ""price"", WORKDAY(INT($B4), 1)), 2, 2), """")-$G4)/$G4, ($G4-IFERROR(INDEX(GOOGLEFINANCE($"&amp;"C4, ""price"", WORKDAY(INT($B4), 1)), 2, 2), """"))/$G4))"),-0.013422818791946269)</f>
        <v>-0.01342281879</v>
      </c>
      <c r="R4" s="16">
        <f>IFERROR(__xludf.DUMMYFUNCTION("IF(OR(ISBLANK($G4), IFERROR(INDEX(GOOGLEFINANCE($C4, ""price"", WORKDAY(INT($B4), 5)), 2, 2), """")=""""), """", IF($D4=""LONG"", (IFERROR(INDEX(GOOGLEFINANCE($C4, ""price"", WORKDAY(INT($B4), 5)), 2, 2), """")-$G4)/$G4, ($G4-IFERROR(INDEX(GOOGLEFINANCE($"&amp;"C4, ""price"", WORKDAY(INT($B4), 5)), 2, 2), """"))/$G4))"),0.060865540384170386)</f>
        <v>0.06086554038</v>
      </c>
      <c r="S4" s="16" t="str">
        <f>IFERROR(__xludf.DUMMYFUNCTION("IF(OR(ISBLANK($G4), IFERROR(INDEX(GOOGLEFINANCE($C4, ""price"", WORKDAY(INT($B4), 20)), 2, 2), """")=""""), """", IF($D4=""LONG"", (IFERROR(INDEX(GOOGLEFINANCE($C4, ""price"", WORKDAY(INT($B4), 20)), 2, 2), """")-$G4)/$G4, ($G4-IFERROR(INDEX(GOOGLEFINANCE"&amp;"($C4, ""price"", WORKDAY(INT($B4), 20)), 2, 2), """"))/$G4))"),"")</f>
        <v/>
      </c>
      <c r="T4" s="10" t="s">
        <v>3674</v>
      </c>
      <c r="U4" s="10" t="s">
        <v>984</v>
      </c>
      <c r="V4" s="10" t="s">
        <v>933</v>
      </c>
      <c r="W4" s="10" t="s">
        <v>51</v>
      </c>
      <c r="X4" s="10" t="s">
        <v>984</v>
      </c>
    </row>
    <row r="5">
      <c r="A5" s="9">
        <f t="shared" si="1"/>
        <v>4</v>
      </c>
      <c r="B5" s="11">
        <v>46225.66746527778</v>
      </c>
      <c r="C5" s="10" t="s">
        <v>1739</v>
      </c>
      <c r="D5" s="10" t="s">
        <v>36</v>
      </c>
      <c r="E5" s="10" t="s">
        <v>37</v>
      </c>
      <c r="F5" s="13">
        <v>2.0</v>
      </c>
      <c r="G5" s="14">
        <v>251.87</v>
      </c>
      <c r="H5" s="10" t="s">
        <v>3675</v>
      </c>
      <c r="I5" s="10">
        <v>91.7</v>
      </c>
      <c r="O5" s="15">
        <f>IFERROR(__xludf.DUMMYFUNCTION("IF(ISBLANK($C5), """", GOOGLEFINANCE($C5, ""price""))"),275.11)</f>
        <v>275.11</v>
      </c>
      <c r="P5" s="16">
        <f t="shared" si="2"/>
        <v>0.09226982173</v>
      </c>
      <c r="Q5" s="16">
        <f>IFERROR(__xludf.DUMMYFUNCTION("IF(OR(ISBLANK($G5), IFERROR(INDEX(GOOGLEFINANCE($C5, ""price"", WORKDAY(INT($B5), 1)), 2, 2), """")=""""), """", IF($D5=""LONG"", (IFERROR(INDEX(GOOGLEFINANCE($C5, ""price"", WORKDAY(INT($B5), 1)), 2, 2), """")-$G5)/$G5, ($G5-IFERROR(INDEX(GOOGLEFINANCE($"&amp;"C5, ""price"", WORKDAY(INT($B5), 1)), 2, 2), """"))/$G5))"),0.010521300670981084)</f>
        <v>0.01052130067</v>
      </c>
      <c r="R5" s="16">
        <f>IFERROR(__xludf.DUMMYFUNCTION("IF(OR(ISBLANK($G5), IFERROR(INDEX(GOOGLEFINANCE($C5, ""price"", WORKDAY(INT($B5), 5)), 2, 2), """")=""""), """", IF($D5=""LONG"", (IFERROR(INDEX(GOOGLEFINANCE($C5, ""price"", WORKDAY(INT($B5), 5)), 2, 2), """")-$G5)/$G5, ($G5-IFERROR(INDEX(GOOGLEFINANCE($"&amp;"C5, ""price"", WORKDAY(INT($B5), 5)), 2, 2), """"))/$G5))"),0.08941120419263898)</f>
        <v>0.08941120419</v>
      </c>
      <c r="S5" s="16" t="str">
        <f>IFERROR(__xludf.DUMMYFUNCTION("IF(OR(ISBLANK($G5), IFERROR(INDEX(GOOGLEFINANCE($C5, ""price"", WORKDAY(INT($B5), 20)), 2, 2), """")=""""), """", IF($D5=""LONG"", (IFERROR(INDEX(GOOGLEFINANCE($C5, ""price"", WORKDAY(INT($B5), 20)), 2, 2), """")-$G5)/$G5, ($G5-IFERROR(INDEX(GOOGLEFINANCE"&amp;"($C5, ""price"", WORKDAY(INT($B5), 20)), 2, 2), """"))/$G5))"),"")</f>
        <v/>
      </c>
      <c r="T5" s="10" t="s">
        <v>3677</v>
      </c>
      <c r="U5" s="10" t="s">
        <v>984</v>
      </c>
      <c r="V5" s="10" t="s">
        <v>933</v>
      </c>
      <c r="W5" s="10" t="s">
        <v>51</v>
      </c>
      <c r="X5" s="10" t="s">
        <v>984</v>
      </c>
    </row>
    <row r="6">
      <c r="A6" s="9">
        <f t="shared" si="1"/>
        <v>5</v>
      </c>
      <c r="B6" s="11">
        <v>46225.66736111111</v>
      </c>
      <c r="C6" s="10" t="s">
        <v>331</v>
      </c>
      <c r="D6" s="10" t="s">
        <v>36</v>
      </c>
      <c r="E6" s="10" t="s">
        <v>37</v>
      </c>
      <c r="F6" s="13">
        <v>2.0</v>
      </c>
      <c r="G6" s="14">
        <v>252.49</v>
      </c>
      <c r="H6" s="10" t="s">
        <v>3680</v>
      </c>
      <c r="I6" s="10">
        <v>93.8</v>
      </c>
      <c r="O6" s="15">
        <f>IFERROR(__xludf.DUMMYFUNCTION("IF(ISBLANK($C6), """", GOOGLEFINANCE($C6, ""price""))"),252.76)</f>
        <v>252.76</v>
      </c>
      <c r="P6" s="16">
        <f t="shared" si="2"/>
        <v>0.001069349281</v>
      </c>
      <c r="Q6" s="16">
        <f>IFERROR(__xludf.DUMMYFUNCTION("IF(OR(ISBLANK($G6), IFERROR(INDEX(GOOGLEFINANCE($C6, ""price"", WORKDAY(INT($B6), 1)), 2, 2), """")=""""), """", IF($D6=""LONG"", (IFERROR(INDEX(GOOGLEFINANCE($C6, ""price"", WORKDAY(INT($B6), 1)), 2, 2), """")-$G6)/$G6, ($G6-IFERROR(INDEX(GOOGLEFINANCE($"&amp;"C6, ""price"", WORKDAY(INT($B6), 1)), 2, 2), """"))/$G6))"),-0.012792585844984031)</f>
        <v>-0.01279258584</v>
      </c>
      <c r="R6" s="16">
        <f>IFERROR(__xludf.DUMMYFUNCTION("IF(OR(ISBLANK($G6), IFERROR(INDEX(GOOGLEFINANCE($C6, ""price"", WORKDAY(INT($B6), 5)), 2, 2), """")=""""), """", IF($D6=""LONG"", (IFERROR(INDEX(GOOGLEFINANCE($C6, ""price"", WORKDAY(INT($B6), 5)), 2, 2), """")-$G6)/$G6, ($G6-IFERROR(INDEX(GOOGLEFINANCE($"&amp;"C6, ""price"", WORKDAY(INT($B6), 5)), 2, 2), """"))/$G6))"),-0.015842211572735552)</f>
        <v>-0.01584221157</v>
      </c>
      <c r="S6" s="16" t="str">
        <f>IFERROR(__xludf.DUMMYFUNCTION("IF(OR(ISBLANK($G6), IFERROR(INDEX(GOOGLEFINANCE($C6, ""price"", WORKDAY(INT($B6), 20)), 2, 2), """")=""""), """", IF($D6=""LONG"", (IFERROR(INDEX(GOOGLEFINANCE($C6, ""price"", WORKDAY(INT($B6), 20)), 2, 2), """")-$G6)/$G6, ($G6-IFERROR(INDEX(GOOGLEFINANCE"&amp;"($C6, ""price"", WORKDAY(INT($B6), 20)), 2, 2), """"))/$G6))"),"")</f>
        <v/>
      </c>
      <c r="T6" s="10" t="s">
        <v>3682</v>
      </c>
      <c r="U6" s="10" t="s">
        <v>932</v>
      </c>
      <c r="V6" s="10" t="s">
        <v>933</v>
      </c>
      <c r="W6" s="10" t="s">
        <v>51</v>
      </c>
      <c r="X6" s="10" t="s">
        <v>3186</v>
      </c>
    </row>
    <row r="7">
      <c r="A7" s="9">
        <f t="shared" si="1"/>
        <v>6</v>
      </c>
      <c r="B7" s="11">
        <v>46225.667395833334</v>
      </c>
      <c r="C7" s="10" t="s">
        <v>342</v>
      </c>
      <c r="D7" s="10" t="s">
        <v>36</v>
      </c>
      <c r="E7" s="10" t="s">
        <v>37</v>
      </c>
      <c r="F7" s="13">
        <v>2.0</v>
      </c>
      <c r="G7" s="14">
        <v>61.65</v>
      </c>
      <c r="H7" s="10" t="s">
        <v>2844</v>
      </c>
      <c r="I7" s="10">
        <v>90.1</v>
      </c>
      <c r="O7" s="15">
        <f>IFERROR(__xludf.DUMMYFUNCTION("IF(ISBLANK($C7), """", GOOGLEFINANCE($C7, ""price""))"),63.0)</f>
        <v>63</v>
      </c>
      <c r="P7" s="16">
        <f t="shared" si="2"/>
        <v>0.02189781022</v>
      </c>
      <c r="Q7" s="16">
        <f>IFERROR(__xludf.DUMMYFUNCTION("IF(OR(ISBLANK($G7), IFERROR(INDEX(GOOGLEFINANCE($C7, ""price"", WORKDAY(INT($B7), 1)), 2, 2), """")=""""), """", IF($D7=""LONG"", (IFERROR(INDEX(GOOGLEFINANCE($C7, ""price"", WORKDAY(INT($B7), 1)), 2, 2), """")-$G7)/$G7, ($G7-IFERROR(INDEX(GOOGLEFINANCE($"&amp;"C7, ""price"", WORKDAY(INT($B7), 1)), 2, 2), """"))/$G7))"),-0.006001622060016179)</f>
        <v>-0.00600162206</v>
      </c>
      <c r="R7" s="16">
        <f>IFERROR(__xludf.DUMMYFUNCTION("IF(OR(ISBLANK($G7), IFERROR(INDEX(GOOGLEFINANCE($C7, ""price"", WORKDAY(INT($B7), 5)), 2, 2), """")=""""), """", IF($D7=""LONG"", (IFERROR(INDEX(GOOGLEFINANCE($C7, ""price"", WORKDAY(INT($B7), 5)), 2, 2), """")-$G7)/$G7, ($G7-IFERROR(INDEX(GOOGLEFINANCE($"&amp;"C7, ""price"", WORKDAY(INT($B7), 5)), 2, 2), """"))/$G7))"),-0.009407948094079454)</f>
        <v>-0.009407948094</v>
      </c>
      <c r="S7" s="16" t="str">
        <f>IFERROR(__xludf.DUMMYFUNCTION("IF(OR(ISBLANK($G7), IFERROR(INDEX(GOOGLEFINANCE($C7, ""price"", WORKDAY(INT($B7), 20)), 2, 2), """")=""""), """", IF($D7=""LONG"", (IFERROR(INDEX(GOOGLEFINANCE($C7, ""price"", WORKDAY(INT($B7), 20)), 2, 2), """")-$G7)/$G7, ($G7-IFERROR(INDEX(GOOGLEFINANCE"&amp;"($C7, ""price"", WORKDAY(INT($B7), 20)), 2, 2), """"))/$G7))"),"")</f>
        <v/>
      </c>
      <c r="T7" s="10" t="s">
        <v>3686</v>
      </c>
      <c r="U7" s="10" t="s">
        <v>984</v>
      </c>
      <c r="V7" s="10" t="s">
        <v>2785</v>
      </c>
      <c r="W7" s="10" t="s">
        <v>51</v>
      </c>
      <c r="X7" s="10" t="s">
        <v>984</v>
      </c>
    </row>
    <row r="8">
      <c r="A8" s="9">
        <f t="shared" si="1"/>
        <v>7</v>
      </c>
      <c r="B8" s="11">
        <v>46225.66736111111</v>
      </c>
      <c r="C8" s="10" t="s">
        <v>3688</v>
      </c>
      <c r="D8" s="10" t="s">
        <v>36</v>
      </c>
      <c r="E8" s="10" t="s">
        <v>37</v>
      </c>
      <c r="F8" s="13">
        <v>2.0</v>
      </c>
      <c r="G8" s="14">
        <v>27.35</v>
      </c>
      <c r="H8" s="10" t="s">
        <v>3689</v>
      </c>
      <c r="I8" s="10">
        <v>95.6</v>
      </c>
      <c r="O8" s="15">
        <f>IFERROR(__xludf.DUMMYFUNCTION("IF(ISBLANK($C8), """", GOOGLEFINANCE($C8, ""price""))"),29.67)</f>
        <v>29.67</v>
      </c>
      <c r="P8" s="16">
        <f t="shared" si="2"/>
        <v>0.08482632541</v>
      </c>
      <c r="Q8" s="16">
        <f>IFERROR(__xludf.DUMMYFUNCTION("IF(OR(ISBLANK($G8), IFERROR(INDEX(GOOGLEFINANCE($C8, ""price"", WORKDAY(INT($B8), 1)), 2, 2), """")=""""), """", IF($D8=""LONG"", (IFERROR(INDEX(GOOGLEFINANCE($C8, ""price"", WORKDAY(INT($B8), 1)), 2, 2), """")-$G8)/$G8, ($G8-IFERROR(INDEX(GOOGLEFINANCE($"&amp;"C8, ""price"", WORKDAY(INT($B8), 1)), 2, 2), """"))/$G8))"),-0.03729433272394892)</f>
        <v>-0.03729433272</v>
      </c>
      <c r="R8" s="16">
        <f>IFERROR(__xludf.DUMMYFUNCTION("IF(OR(ISBLANK($G8), IFERROR(INDEX(GOOGLEFINANCE($C8, ""price"", WORKDAY(INT($B8), 5)), 2, 2), """")=""""), """", IF($D8=""LONG"", (IFERROR(INDEX(GOOGLEFINANCE($C8, ""price"", WORKDAY(INT($B8), 5)), 2, 2), """")-$G8)/$G8, ($G8-IFERROR(INDEX(GOOGLEFINANCE($"&amp;"C8, ""price"", WORKDAY(INT($B8), 5)), 2, 2), """"))/$G8))"),0.05374771480804383)</f>
        <v>0.05374771481</v>
      </c>
      <c r="S8" s="16" t="str">
        <f>IFERROR(__xludf.DUMMYFUNCTION("IF(OR(ISBLANK($G8), IFERROR(INDEX(GOOGLEFINANCE($C8, ""price"", WORKDAY(INT($B8), 20)), 2, 2), """")=""""), """", IF($D8=""LONG"", (IFERROR(INDEX(GOOGLEFINANCE($C8, ""price"", WORKDAY(INT($B8), 20)), 2, 2), """")-$G8)/$G8, ($G8-IFERROR(INDEX(GOOGLEFINANCE"&amp;"($C8, ""price"", WORKDAY(INT($B8), 20)), 2, 2), """"))/$G8))"),"")</f>
        <v/>
      </c>
      <c r="T8" s="10" t="s">
        <v>3692</v>
      </c>
      <c r="U8" s="10" t="s">
        <v>492</v>
      </c>
      <c r="V8" s="10" t="s">
        <v>493</v>
      </c>
      <c r="W8" s="10" t="s">
        <v>51</v>
      </c>
      <c r="X8" s="10" t="s">
        <v>492</v>
      </c>
    </row>
    <row r="9">
      <c r="A9" s="9">
        <f t="shared" si="1"/>
        <v>8</v>
      </c>
      <c r="B9" s="11">
        <v>46225.66736111111</v>
      </c>
      <c r="C9" s="10" t="s">
        <v>201</v>
      </c>
      <c r="D9" s="10" t="s">
        <v>36</v>
      </c>
      <c r="E9" s="10" t="s">
        <v>37</v>
      </c>
      <c r="F9" s="13">
        <v>2.0</v>
      </c>
      <c r="G9" s="14">
        <v>133.82</v>
      </c>
      <c r="H9" s="10" t="s">
        <v>916</v>
      </c>
      <c r="I9" s="10">
        <v>97.6</v>
      </c>
      <c r="O9" s="15">
        <f>IFERROR(__xludf.DUMMYFUNCTION("IF(ISBLANK($C9), """", GOOGLEFINANCE($C9, ""price""))"),134.82)</f>
        <v>134.82</v>
      </c>
      <c r="P9" s="16">
        <f t="shared" si="2"/>
        <v>0.007472724555</v>
      </c>
      <c r="Q9" s="16">
        <f>IFERROR(__xludf.DUMMYFUNCTION("IF(OR(ISBLANK($G9), IFERROR(INDEX(GOOGLEFINANCE($C9, ""price"", WORKDAY(INT($B9), 1)), 2, 2), """")=""""), """", IF($D9=""LONG"", (IFERROR(INDEX(GOOGLEFINANCE($C9, ""price"", WORKDAY(INT($B9), 1)), 2, 2), """")-$G9)/$G9, ($G9-IFERROR(INDEX(GOOGLEFINANCE($"&amp;"C9, ""price"", WORKDAY(INT($B9), 1)), 2, 2), """"))/$G9))"),0.00440890748767003)</f>
        <v>0.004408907488</v>
      </c>
      <c r="R9" s="16">
        <f>IFERROR(__xludf.DUMMYFUNCTION("IF(OR(ISBLANK($G9), IFERROR(INDEX(GOOGLEFINANCE($C9, ""price"", WORKDAY(INT($B9), 5)), 2, 2), """")=""""), """", IF($D9=""LONG"", (IFERROR(INDEX(GOOGLEFINANCE($C9, ""price"", WORKDAY(INT($B9), 5)), 2, 2), """")-$G9)/$G9, ($G9-IFERROR(INDEX(GOOGLEFINANCE($"&amp;"C9, ""price"", WORKDAY(INT($B9), 5)), 2, 2), """"))/$G9))"),0.031908533851442315)</f>
        <v>0.03190853385</v>
      </c>
      <c r="S9" s="16" t="str">
        <f>IFERROR(__xludf.DUMMYFUNCTION("IF(OR(ISBLANK($G9), IFERROR(INDEX(GOOGLEFINANCE($C9, ""price"", WORKDAY(INT($B9), 20)), 2, 2), """")=""""), """", IF($D9=""LONG"", (IFERROR(INDEX(GOOGLEFINANCE($C9, ""price"", WORKDAY(INT($B9), 20)), 2, 2), """")-$G9)/$G9, ($G9-IFERROR(INDEX(GOOGLEFINANCE"&amp;"($C9, ""price"", WORKDAY(INT($B9), 20)), 2, 2), """"))/$G9))"),"")</f>
        <v/>
      </c>
      <c r="T9" s="10" t="s">
        <v>3698</v>
      </c>
      <c r="U9" s="10" t="s">
        <v>984</v>
      </c>
      <c r="V9" s="10" t="s">
        <v>985</v>
      </c>
      <c r="W9" s="10" t="s">
        <v>51</v>
      </c>
      <c r="X9" s="10" t="s">
        <v>984</v>
      </c>
    </row>
    <row r="10">
      <c r="A10" s="9">
        <f t="shared" si="1"/>
        <v>9</v>
      </c>
      <c r="B10" s="11">
        <v>46225.66751157407</v>
      </c>
      <c r="C10" s="10" t="s">
        <v>3699</v>
      </c>
      <c r="D10" s="10" t="s">
        <v>36</v>
      </c>
      <c r="E10" s="10" t="s">
        <v>133</v>
      </c>
      <c r="F10" s="13">
        <v>2.0</v>
      </c>
      <c r="G10" s="14">
        <v>814.01</v>
      </c>
      <c r="H10" s="10" t="s">
        <v>3701</v>
      </c>
      <c r="I10" s="10">
        <v>89.1</v>
      </c>
      <c r="O10" s="15">
        <f>IFERROR(__xludf.DUMMYFUNCTION("IF(ISBLANK($C10), """", GOOGLEFINANCE($C10, ""price""))"),871.38)</f>
        <v>871.38</v>
      </c>
      <c r="P10" s="16">
        <f t="shared" si="2"/>
        <v>0.07047824965</v>
      </c>
      <c r="Q10" s="16">
        <f>IFERROR(__xludf.DUMMYFUNCTION("IF(OR(ISBLANK($G10), IFERROR(INDEX(GOOGLEFINANCE($C10, ""price"", WORKDAY(INT($B10), 1)), 2, 2), """")=""""), """", IF($D10=""LONG"", (IFERROR(INDEX(GOOGLEFINANCE($C10, ""price"", WORKDAY(INT($B10), 1)), 2, 2), """")-$G10)/$G10, ($G10-IFERROR(INDEX(GOOGLE"&amp;"FINANCE($C10, ""price"", WORKDAY(INT($B10), 1)), 2, 2), """"))/$G10))"),0.01287453471087581)</f>
        <v>0.01287453471</v>
      </c>
      <c r="R10" s="16">
        <f>IFERROR(__xludf.DUMMYFUNCTION("IF(OR(ISBLANK($G10), IFERROR(INDEX(GOOGLEFINANCE($C10, ""price"", WORKDAY(INT($B10), 5)), 2, 2), """")=""""), """", IF($D10=""LONG"", (IFERROR(INDEX(GOOGLEFINANCE($C10, ""price"", WORKDAY(INT($B10), 5)), 2, 2), """")-$G10)/$G10, ($G10-IFERROR(INDEX(GOOGLE"&amp;"FINANCE($C10, ""price"", WORKDAY(INT($B10), 5)), 2, 2), """"))/$G10))"),0.09158364147860586)</f>
        <v>0.09158364148</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3706</v>
      </c>
      <c r="U10" s="10" t="s">
        <v>984</v>
      </c>
      <c r="V10" s="10" t="s">
        <v>1059</v>
      </c>
      <c r="W10" s="10" t="s">
        <v>51</v>
      </c>
      <c r="X10" s="10" t="s">
        <v>984</v>
      </c>
    </row>
    <row r="11">
      <c r="A11" s="9">
        <f t="shared" si="1"/>
        <v>10</v>
      </c>
      <c r="B11" s="11">
        <v>46225.66738425926</v>
      </c>
      <c r="C11" s="10" t="s">
        <v>1960</v>
      </c>
      <c r="D11" s="10" t="s">
        <v>36</v>
      </c>
      <c r="E11" s="10" t="s">
        <v>37</v>
      </c>
      <c r="F11" s="13">
        <v>2.0</v>
      </c>
      <c r="G11" s="14">
        <v>176.05</v>
      </c>
      <c r="H11" s="10" t="s">
        <v>3707</v>
      </c>
      <c r="I11" s="10">
        <v>99.5</v>
      </c>
      <c r="O11" s="15">
        <f>IFERROR(__xludf.DUMMYFUNCTION("IF(ISBLANK($C11), """", GOOGLEFINANCE($C11, ""price""))"),193.29)</f>
        <v>193.29</v>
      </c>
      <c r="P11" s="16">
        <f t="shared" si="2"/>
        <v>0.09792672536</v>
      </c>
      <c r="Q11" s="16">
        <f>IFERROR(__xludf.DUMMYFUNCTION("IF(OR(ISBLANK($G11), IFERROR(INDEX(GOOGLEFINANCE($C11, ""price"", WORKDAY(INT($B11), 1)), 2, 2), """")=""""), """", IF($D11=""LONG"", (IFERROR(INDEX(GOOGLEFINANCE($C11, ""price"", WORKDAY(INT($B11), 1)), 2, 2), """")-$G11)/$G11, ($G11-IFERROR(INDEX(GOOGLE"&amp;"FINANCE($C11, ""price"", WORKDAY(INT($B11), 1)), 2, 2), """"))/$G11))"),0.0019880715705765085)</f>
        <v>0.001988071571</v>
      </c>
      <c r="R11" s="16">
        <f>IFERROR(__xludf.DUMMYFUNCTION("IF(OR(ISBLANK($G11), IFERROR(INDEX(GOOGLEFINANCE($C11, ""price"", WORKDAY(INT($B11), 5)), 2, 2), """")=""""), """", IF($D11=""LONG"", (IFERROR(INDEX(GOOGLEFINANCE($C11, ""price"", WORKDAY(INT($B11), 5)), 2, 2), """")-$G11)/$G11, ($G11-IFERROR(INDEX(GOOGLE"&amp;"FINANCE($C11, ""price"", WORKDAY(INT($B11), 5)), 2, 2), """"))/$G11))"),0.12235160465776762)</f>
        <v>0.1223516047</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3710</v>
      </c>
      <c r="U11" s="10" t="s">
        <v>984</v>
      </c>
      <c r="V11" s="10" t="s">
        <v>985</v>
      </c>
      <c r="W11" s="10" t="s">
        <v>51</v>
      </c>
      <c r="X11" s="10" t="s">
        <v>984</v>
      </c>
    </row>
    <row r="12">
      <c r="A12" s="9">
        <f t="shared" si="1"/>
        <v>11</v>
      </c>
      <c r="B12" s="11">
        <v>46225.66736111111</v>
      </c>
      <c r="C12" s="10" t="s">
        <v>442</v>
      </c>
      <c r="D12" s="10" t="s">
        <v>36</v>
      </c>
      <c r="E12" s="10" t="s">
        <v>37</v>
      </c>
      <c r="F12" s="13">
        <v>2.0</v>
      </c>
      <c r="G12" s="14">
        <v>491.57</v>
      </c>
      <c r="H12" s="10" t="s">
        <v>3714</v>
      </c>
      <c r="I12" s="10">
        <v>97.6</v>
      </c>
      <c r="O12" s="15">
        <f>IFERROR(__xludf.DUMMYFUNCTION("IF(ISBLANK($C12), """", GOOGLEFINANCE($C12, ""price""))"),522.46)</f>
        <v>522.46</v>
      </c>
      <c r="P12" s="16">
        <f t="shared" si="2"/>
        <v>0.06283947352</v>
      </c>
      <c r="Q12" s="16">
        <f>IFERROR(__xludf.DUMMYFUNCTION("IF(OR(ISBLANK($G12), IFERROR(INDEX(GOOGLEFINANCE($C12, ""price"", WORKDAY(INT($B12), 1)), 2, 2), """")=""""), """", IF($D12=""LONG"", (IFERROR(INDEX(GOOGLEFINANCE($C12, ""price"", WORKDAY(INT($B12), 1)), 2, 2), """")-$G12)/$G12, ($G12-IFERROR(INDEX(GOOGLE"&amp;"FINANCE($C12, ""price"", WORKDAY(INT($B12), 1)), 2, 2), """"))/$G12))"),6.713184287079848E-4)</f>
        <v>0.0006713184287</v>
      </c>
      <c r="R12" s="16">
        <f>IFERROR(__xludf.DUMMYFUNCTION("IF(OR(ISBLANK($G12), IFERROR(INDEX(GOOGLEFINANCE($C12, ""price"", WORKDAY(INT($B12), 5)), 2, 2), """")=""""), """", IF($D12=""LONG"", (IFERROR(INDEX(GOOGLEFINANCE($C12, ""price"", WORKDAY(INT($B12), 5)), 2, 2), """")-$G12)/$G12, ($G12-IFERROR(INDEX(GOOGLE"&amp;"FINANCE($C12, ""price"", WORKDAY(INT($B12), 5)), 2, 2), """"))/$G12))"),0.08061924039302654)</f>
        <v>0.08061924039</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3718</v>
      </c>
      <c r="U12" s="10" t="s">
        <v>984</v>
      </c>
      <c r="V12" s="10" t="s">
        <v>985</v>
      </c>
      <c r="W12" s="10" t="s">
        <v>51</v>
      </c>
      <c r="X12" s="10" t="s">
        <v>984</v>
      </c>
    </row>
    <row r="13">
      <c r="A13" s="9">
        <f t="shared" si="1"/>
        <v>12</v>
      </c>
      <c r="B13" s="11">
        <v>46225.66737268519</v>
      </c>
      <c r="C13" s="10" t="s">
        <v>1321</v>
      </c>
      <c r="D13" s="10" t="s">
        <v>119</v>
      </c>
      <c r="E13" s="10" t="s">
        <v>120</v>
      </c>
      <c r="F13" s="13">
        <v>4.0</v>
      </c>
      <c r="G13" s="14">
        <v>23.05</v>
      </c>
      <c r="H13" s="10" t="s">
        <v>3720</v>
      </c>
      <c r="I13" s="10">
        <v>18.7</v>
      </c>
      <c r="O13" s="15">
        <f>IFERROR(__xludf.DUMMYFUNCTION("IF(ISBLANK($C13), """", GOOGLEFINANCE($C13, ""price""))"),23.71)</f>
        <v>23.71</v>
      </c>
      <c r="P13" s="16">
        <f t="shared" si="2"/>
        <v>-0.02863340564</v>
      </c>
      <c r="Q13" s="16">
        <f>IFERROR(__xludf.DUMMYFUNCTION("IF(OR(ISBLANK($G13), IFERROR(INDEX(GOOGLEFINANCE($C13, ""price"", WORKDAY(INT($B13), 1)), 2, 2), """")=""""), """", IF($D13=""LONG"", (IFERROR(INDEX(GOOGLEFINANCE($C13, ""price"", WORKDAY(INT($B13), 1)), 2, 2), """")-$G13)/$G13, ($G13-IFERROR(INDEX(GOOGLE"&amp;"FINANCE($C13, ""price"", WORKDAY(INT($B13), 1)), 2, 2), """"))/$G13))"),0.0039045553145336163)</f>
        <v>0.003904555315</v>
      </c>
      <c r="R13" s="16">
        <f>IFERROR(__xludf.DUMMYFUNCTION("IF(OR(ISBLANK($G13), IFERROR(INDEX(GOOGLEFINANCE($C13, ""price"", WORKDAY(INT($B13), 5)), 2, 2), """")=""""), """", IF($D13=""LONG"", (IFERROR(INDEX(GOOGLEFINANCE($C13, ""price"", WORKDAY(INT($B13), 5)), 2, 2), """")-$G13)/$G13, ($G13-IFERROR(INDEX(GOOGLE"&amp;"FINANCE($C13, ""price"", WORKDAY(INT($B13), 5)), 2, 2), """"))/$G13))"),-0.038611713665943626)</f>
        <v>-0.03861171367</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3723</v>
      </c>
      <c r="U13" s="10" t="s">
        <v>984</v>
      </c>
      <c r="V13" s="10" t="s">
        <v>1059</v>
      </c>
      <c r="W13" s="10" t="s">
        <v>51</v>
      </c>
      <c r="X13" s="10" t="s">
        <v>984</v>
      </c>
    </row>
    <row r="14">
      <c r="A14" s="9">
        <f t="shared" si="1"/>
        <v>13</v>
      </c>
      <c r="B14" s="11">
        <v>46225.66740740741</v>
      </c>
      <c r="C14" s="10" t="s">
        <v>372</v>
      </c>
      <c r="D14" s="10" t="s">
        <v>119</v>
      </c>
      <c r="E14" s="10" t="s">
        <v>120</v>
      </c>
      <c r="F14" s="13">
        <v>4.0</v>
      </c>
      <c r="G14" s="14">
        <v>138.68</v>
      </c>
      <c r="H14" s="10" t="s">
        <v>3725</v>
      </c>
      <c r="I14" s="10">
        <v>50.0</v>
      </c>
      <c r="O14" s="15">
        <f>IFERROR(__xludf.DUMMYFUNCTION("IF(ISBLANK($C14), """", GOOGLEFINANCE($C14, ""price""))"),133.37)</f>
        <v>133.37</v>
      </c>
      <c r="P14" s="16">
        <f t="shared" si="2"/>
        <v>0.03828958754</v>
      </c>
      <c r="Q14" s="16">
        <f>IFERROR(__xludf.DUMMYFUNCTION("IF(OR(ISBLANK($G14), IFERROR(INDEX(GOOGLEFINANCE($C14, ""price"", WORKDAY(INT($B14), 1)), 2, 2), """")=""""), """", IF($D14=""LONG"", (IFERROR(INDEX(GOOGLEFINANCE($C14, ""price"", WORKDAY(INT($B14), 1)), 2, 2), """")-$G14)/$G14, ($G14-IFERROR(INDEX(GOOGLE"&amp;"FINANCE($C14, ""price"", WORKDAY(INT($B14), 1)), 2, 2), """"))/$G14))"),1.4421690222101406E-4)</f>
        <v>0.0001442169022</v>
      </c>
      <c r="R14" s="16">
        <f>IFERROR(__xludf.DUMMYFUNCTION("IF(OR(ISBLANK($G14), IFERROR(INDEX(GOOGLEFINANCE($C14, ""price"", WORKDAY(INT($B14), 5)), 2, 2), """")=""""), """", IF($D14=""LONG"", (IFERROR(INDEX(GOOGLEFINANCE($C14, ""price"", WORKDAY(INT($B14), 5)), 2, 2), """")-$G14)/$G14, ($G14-IFERROR(INDEX(GOOGLE"&amp;"FINANCE($C14, ""price"", WORKDAY(INT($B14), 5)), 2, 2), """"))/$G14))"),0.11025382174790889)</f>
        <v>0.1102538217</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3727</v>
      </c>
      <c r="U14" s="10" t="s">
        <v>492</v>
      </c>
      <c r="V14" s="10" t="s">
        <v>493</v>
      </c>
      <c r="W14" s="10" t="s">
        <v>51</v>
      </c>
      <c r="X14" s="10" t="s">
        <v>492</v>
      </c>
    </row>
    <row r="15">
      <c r="A15" s="9">
        <f t="shared" si="1"/>
        <v>14</v>
      </c>
      <c r="B15" s="11">
        <v>46225.66740740741</v>
      </c>
      <c r="C15" s="10" t="s">
        <v>1762</v>
      </c>
      <c r="D15" s="10" t="s">
        <v>36</v>
      </c>
      <c r="E15" s="10" t="s">
        <v>37</v>
      </c>
      <c r="F15" s="13">
        <v>2.0</v>
      </c>
      <c r="G15" s="14">
        <v>207.25</v>
      </c>
      <c r="H15" s="10" t="s">
        <v>3728</v>
      </c>
      <c r="I15" s="10">
        <v>88.5</v>
      </c>
      <c r="O15" s="15">
        <f>IFERROR(__xludf.DUMMYFUNCTION("IF(ISBLANK($C15), """", GOOGLEFINANCE($C15, ""price""))"),146.66)</f>
        <v>146.66</v>
      </c>
      <c r="P15" s="16">
        <f t="shared" si="2"/>
        <v>-0.2923522316</v>
      </c>
      <c r="Q15" s="16">
        <f>IFERROR(__xludf.DUMMYFUNCTION("IF(OR(ISBLANK($G15), IFERROR(INDEX(GOOGLEFINANCE($C15, ""price"", WORKDAY(INT($B15), 1)), 2, 2), """")=""""), """", IF($D15=""LONG"", (IFERROR(INDEX(GOOGLEFINANCE($C15, ""price"", WORKDAY(INT($B15), 1)), 2, 2), """")-$G15)/$G15, ($G15-IFERROR(INDEX(GOOGLE"&amp;"FINANCE($C15, ""price"", WORKDAY(INT($B15), 1)), 2, 2), """"))/$G15))"),-0.008395657418576643)</f>
        <v>-0.008395657419</v>
      </c>
      <c r="R15" s="16">
        <f>IFERROR(__xludf.DUMMYFUNCTION("IF(OR(ISBLANK($G15), IFERROR(INDEX(GOOGLEFINANCE($C15, ""price"", WORKDAY(INT($B15), 5)), 2, 2), """")=""""), """", IF($D15=""LONG"", (IFERROR(INDEX(GOOGLEFINANCE($C15, ""price"", WORKDAY(INT($B15), 5)), 2, 2), """")-$G15)/$G15, ($G15-IFERROR(INDEX(GOOGLE"&amp;"FINANCE($C15, ""price"", WORKDAY(INT($B15), 5)), 2, 2), """"))/$G15))"),-0.16164053075995174)</f>
        <v>-0.1616405308</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3733</v>
      </c>
      <c r="U15" s="10" t="s">
        <v>984</v>
      </c>
      <c r="V15" s="10" t="s">
        <v>985</v>
      </c>
      <c r="W15" s="10" t="s">
        <v>51</v>
      </c>
      <c r="X15" s="10" t="s">
        <v>984</v>
      </c>
    </row>
    <row r="16">
      <c r="A16" s="9">
        <f t="shared" si="1"/>
        <v>15</v>
      </c>
      <c r="B16" s="11">
        <v>46225.66736111111</v>
      </c>
      <c r="C16" s="10" t="s">
        <v>2025</v>
      </c>
      <c r="D16" s="10" t="s">
        <v>36</v>
      </c>
      <c r="E16" s="10" t="s">
        <v>37</v>
      </c>
      <c r="F16" s="13">
        <v>2.0</v>
      </c>
      <c r="G16" s="14">
        <v>65.38</v>
      </c>
      <c r="H16" s="10" t="s">
        <v>3734</v>
      </c>
      <c r="I16" s="10">
        <v>99.7</v>
      </c>
      <c r="O16" s="15">
        <f>IFERROR(__xludf.DUMMYFUNCTION("IF(ISBLANK($C16), """", GOOGLEFINANCE($C16, ""price""))"),71.18)</f>
        <v>71.18</v>
      </c>
      <c r="P16" s="16">
        <f t="shared" si="2"/>
        <v>0.08871214439</v>
      </c>
      <c r="Q16" s="16">
        <f>IFERROR(__xludf.DUMMYFUNCTION("IF(OR(ISBLANK($G16), IFERROR(INDEX(GOOGLEFINANCE($C16, ""price"", WORKDAY(INT($B16), 1)), 2, 2), """")=""""), """", IF($D16=""LONG"", (IFERROR(INDEX(GOOGLEFINANCE($C16, ""price"", WORKDAY(INT($B16), 1)), 2, 2), """")-$G16)/$G16, ($G16-IFERROR(INDEX(GOOGLE"&amp;"FINANCE($C16, ""price"", WORKDAY(INT($B16), 1)), 2, 2), """"))/$G16))"),0.00550627103089629)</f>
        <v>0.005506271031</v>
      </c>
      <c r="R16" s="16">
        <f>IFERROR(__xludf.DUMMYFUNCTION("IF(OR(ISBLANK($G16), IFERROR(INDEX(GOOGLEFINANCE($C16, ""price"", WORKDAY(INT($B16), 5)), 2, 2), """")=""""), """", IF($D16=""LONG"", (IFERROR(INDEX(GOOGLEFINANCE($C16, ""price"", WORKDAY(INT($B16), 5)), 2, 2), """")-$G16)/$G16, ($G16-IFERROR(INDEX(GOOGLE"&amp;"FINANCE($C16, ""price"", WORKDAY(INT($B16), 5)), 2, 2), """"))/$G16))"),0.1451514224533498)</f>
        <v>0.1451514225</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3738</v>
      </c>
      <c r="U16" s="10" t="s">
        <v>984</v>
      </c>
      <c r="V16" s="10" t="s">
        <v>985</v>
      </c>
      <c r="W16" s="10" t="s">
        <v>51</v>
      </c>
      <c r="X16" s="10" t="s">
        <v>984</v>
      </c>
    </row>
    <row r="17">
      <c r="A17" s="9">
        <f t="shared" si="1"/>
        <v>16</v>
      </c>
      <c r="B17" s="11">
        <v>46225.667395833334</v>
      </c>
      <c r="C17" s="10" t="s">
        <v>641</v>
      </c>
      <c r="D17" s="10" t="s">
        <v>36</v>
      </c>
      <c r="E17" s="10" t="s">
        <v>37</v>
      </c>
      <c r="F17" s="13">
        <v>2.0</v>
      </c>
      <c r="G17" s="14">
        <v>62.35</v>
      </c>
      <c r="H17" s="10" t="s">
        <v>3741</v>
      </c>
      <c r="I17" s="10">
        <v>95.2</v>
      </c>
      <c r="O17" s="15">
        <f>IFERROR(__xludf.DUMMYFUNCTION("IF(ISBLANK($C17), """", GOOGLEFINANCE($C17, ""price""))"),63.13)</f>
        <v>63.13</v>
      </c>
      <c r="P17" s="16">
        <f t="shared" si="2"/>
        <v>0.01251002406</v>
      </c>
      <c r="Q17" s="16">
        <f>IFERROR(__xludf.DUMMYFUNCTION("IF(OR(ISBLANK($G17), IFERROR(INDEX(GOOGLEFINANCE($C17, ""price"", WORKDAY(INT($B17), 1)), 2, 2), """")=""""), """", IF($D17=""LONG"", (IFERROR(INDEX(GOOGLEFINANCE($C17, ""price"", WORKDAY(INT($B17), 1)), 2, 2), """")-$G17)/$G17, ($G17-IFERROR(INDEX(GOOGLE"&amp;"FINANCE($C17, ""price"", WORKDAY(INT($B17), 1)), 2, 2), """"))/$G17))"),-0.001924619085806007)</f>
        <v>-0.001924619086</v>
      </c>
      <c r="R17" s="16">
        <f>IFERROR(__xludf.DUMMYFUNCTION("IF(OR(ISBLANK($G17), IFERROR(INDEX(GOOGLEFINANCE($C17, ""price"", WORKDAY(INT($B17), 5)), 2, 2), """")=""""), """", IF($D17=""LONG"", (IFERROR(INDEX(GOOGLEFINANCE($C17, ""price"", WORKDAY(INT($B17), 5)), 2, 2), """")-$G17)/$G17, ($G17-IFERROR(INDEX(GOOGLE"&amp;"FINANCE($C17, ""price"", WORKDAY(INT($B17), 5)), 2, 2), """"))/$G17))"),0.05597433841218929)</f>
        <v>0.05597433841</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3745</v>
      </c>
      <c r="U17" s="10" t="s">
        <v>507</v>
      </c>
      <c r="V17" s="10" t="s">
        <v>3746</v>
      </c>
      <c r="W17" s="10" t="s">
        <v>51</v>
      </c>
      <c r="X17" s="10" t="s">
        <v>2228</v>
      </c>
    </row>
    <row r="18">
      <c r="A18" s="9">
        <f t="shared" si="1"/>
        <v>17</v>
      </c>
      <c r="B18" s="11">
        <v>46225.66740740741</v>
      </c>
      <c r="C18" s="10" t="s">
        <v>3721</v>
      </c>
      <c r="D18" s="10" t="s">
        <v>36</v>
      </c>
      <c r="E18" s="10" t="s">
        <v>37</v>
      </c>
      <c r="F18" s="13">
        <v>2.0</v>
      </c>
      <c r="G18" s="14">
        <v>100.81</v>
      </c>
      <c r="H18" s="10" t="s">
        <v>3749</v>
      </c>
      <c r="I18" s="10">
        <v>97.5</v>
      </c>
      <c r="O18" s="15">
        <f>IFERROR(__xludf.DUMMYFUNCTION("IF(ISBLANK($C18), """", GOOGLEFINANCE($C18, ""price""))"),107.66)</f>
        <v>107.66</v>
      </c>
      <c r="P18" s="16">
        <f t="shared" si="2"/>
        <v>0.06794960817</v>
      </c>
      <c r="Q18" s="16">
        <f>IFERROR(__xludf.DUMMYFUNCTION("IF(OR(ISBLANK($G18), IFERROR(INDEX(GOOGLEFINANCE($C18, ""price"", WORKDAY(INT($B18), 1)), 2, 2), """")=""""), """", IF($D18=""LONG"", (IFERROR(INDEX(GOOGLEFINANCE($C18, ""price"", WORKDAY(INT($B18), 1)), 2, 2), """")-$G18)/$G18, ($G18-IFERROR(INDEX(GOOGLE"&amp;"FINANCE($C18, ""price"", WORKDAY(INT($B18), 1)), 2, 2), """"))/$G18))"),0.007935720662632647)</f>
        <v>0.007935720663</v>
      </c>
      <c r="R18" s="16">
        <f>IFERROR(__xludf.DUMMYFUNCTION("IF(OR(ISBLANK($G18), IFERROR(INDEX(GOOGLEFINANCE($C18, ""price"", WORKDAY(INT($B18), 5)), 2, 2), """")=""""), """", IF($D18=""LONG"", (IFERROR(INDEX(GOOGLEFINANCE($C18, ""price"", WORKDAY(INT($B18), 5)), 2, 2), """")-$G18)/$G18, ($G18-IFERROR(INDEX(GOOGLE"&amp;"FINANCE($C18, ""price"", WORKDAY(INT($B18), 5)), 2, 2), """"))/$G18))"),0.03630592203154445)</f>
        <v>0.03630592203</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3751</v>
      </c>
      <c r="U18" s="10" t="s">
        <v>932</v>
      </c>
      <c r="V18" s="10" t="s">
        <v>933</v>
      </c>
      <c r="W18" s="10" t="s">
        <v>51</v>
      </c>
      <c r="X18" s="10" t="s">
        <v>3186</v>
      </c>
    </row>
    <row r="19">
      <c r="A19" s="9">
        <f t="shared" si="1"/>
        <v>18</v>
      </c>
      <c r="B19" s="11">
        <v>46225.66740740741</v>
      </c>
      <c r="C19" s="10" t="s">
        <v>2311</v>
      </c>
      <c r="D19" s="10" t="s">
        <v>36</v>
      </c>
      <c r="E19" s="10" t="s">
        <v>37</v>
      </c>
      <c r="F19" s="13">
        <v>2.0</v>
      </c>
      <c r="G19" s="14">
        <v>236.48</v>
      </c>
      <c r="H19" s="10" t="s">
        <v>3752</v>
      </c>
      <c r="I19" s="10">
        <v>95.8</v>
      </c>
      <c r="O19" s="15">
        <f>IFERROR(__xludf.DUMMYFUNCTION("IF(ISBLANK($C19), """", GOOGLEFINANCE($C19, ""price""))"),229.01)</f>
        <v>229.01</v>
      </c>
      <c r="P19" s="16">
        <f t="shared" si="2"/>
        <v>-0.03158829499</v>
      </c>
      <c r="Q19" s="16">
        <f>IFERROR(__xludf.DUMMYFUNCTION("IF(OR(ISBLANK($G19), IFERROR(INDEX(GOOGLEFINANCE($C19, ""price"", WORKDAY(INT($B19), 1)), 2, 2), """")=""""), """", IF($D19=""LONG"", (IFERROR(INDEX(GOOGLEFINANCE($C19, ""price"", WORKDAY(INT($B19), 1)), 2, 2), """")-$G19)/$G19, ($G19-IFERROR(INDEX(GOOGLE"&amp;"FINANCE($C19, ""price"", WORKDAY(INT($B19), 1)), 2, 2), """"))/$G19))"),0.0033406630581868254)</f>
        <v>0.003340663058</v>
      </c>
      <c r="R19" s="16">
        <f>IFERROR(__xludf.DUMMYFUNCTION("IF(OR(ISBLANK($G19), IFERROR(INDEX(GOOGLEFINANCE($C19, ""price"", WORKDAY(INT($B19), 5)), 2, 2), """")=""""), """", IF($D19=""LONG"", (IFERROR(INDEX(GOOGLEFINANCE($C19, ""price"", WORKDAY(INT($B19), 5)), 2, 2), """")-$G19)/$G19, ($G19-IFERROR(INDEX(GOOGLE"&amp;"FINANCE($C19, ""price"", WORKDAY(INT($B19), 5)), 2, 2), """"))/$G19))"),5.074424898511695E-4)</f>
        <v>0.0005074424899</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3757</v>
      </c>
      <c r="U19" s="10" t="s">
        <v>984</v>
      </c>
      <c r="V19" s="10" t="s">
        <v>933</v>
      </c>
      <c r="W19" s="10" t="s">
        <v>51</v>
      </c>
      <c r="X19" s="10" t="s">
        <v>984</v>
      </c>
    </row>
    <row r="20">
      <c r="A20" s="9">
        <f t="shared" si="1"/>
        <v>19</v>
      </c>
      <c r="B20" s="11">
        <v>46225.66741898148</v>
      </c>
      <c r="C20" s="10" t="s">
        <v>267</v>
      </c>
      <c r="D20" s="10" t="s">
        <v>36</v>
      </c>
      <c r="E20" s="10" t="s">
        <v>37</v>
      </c>
      <c r="F20" s="13">
        <v>2.0</v>
      </c>
      <c r="G20" s="14">
        <v>177.71</v>
      </c>
      <c r="H20" s="10" t="s">
        <v>3758</v>
      </c>
      <c r="I20" s="10">
        <v>96.9</v>
      </c>
      <c r="O20" s="15">
        <f>IFERROR(__xludf.DUMMYFUNCTION("IF(ISBLANK($C20), """", GOOGLEFINANCE($C20, ""price""))"),213.26)</f>
        <v>213.26</v>
      </c>
      <c r="P20" s="16">
        <f t="shared" si="2"/>
        <v>0.2000450172</v>
      </c>
      <c r="Q20" s="16">
        <f>IFERROR(__xludf.DUMMYFUNCTION("IF(OR(ISBLANK($G20), IFERROR(INDEX(GOOGLEFINANCE($C20, ""price"", WORKDAY(INT($B20), 1)), 2, 2), """")=""""), """", IF($D20=""LONG"", (IFERROR(INDEX(GOOGLEFINANCE($C20, ""price"", WORKDAY(INT($B20), 1)), 2, 2), """")-$G20)/$G20, ($G20-IFERROR(INDEX(GOOGLE"&amp;"FINANCE($C20, ""price"", WORKDAY(INT($B20), 1)), 2, 2), """"))/$G20))"),-0.04467953407236507)</f>
        <v>-0.04467953407</v>
      </c>
      <c r="R20" s="16">
        <f>IFERROR(__xludf.DUMMYFUNCTION("IF(OR(ISBLANK($G20), IFERROR(INDEX(GOOGLEFINANCE($C20, ""price"", WORKDAY(INT($B20), 5)), 2, 2), """")=""""), """", IF($D20=""LONG"", (IFERROR(INDEX(GOOGLEFINANCE($C20, ""price"", WORKDAY(INT($B20), 5)), 2, 2), """")-$G20)/$G20, ($G20-IFERROR(INDEX(GOOGLE"&amp;"FINANCE($C20, ""price"", WORKDAY(INT($B20), 5)), 2, 2), """"))/$G20))"),0.08902143942378027)</f>
        <v>0.08902143942</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3763</v>
      </c>
      <c r="U20" s="10" t="s">
        <v>984</v>
      </c>
      <c r="V20" s="10" t="s">
        <v>985</v>
      </c>
      <c r="W20" s="10" t="s">
        <v>51</v>
      </c>
      <c r="X20" s="10" t="s">
        <v>984</v>
      </c>
    </row>
    <row r="21">
      <c r="A21" s="9">
        <f t="shared" si="1"/>
        <v>20</v>
      </c>
      <c r="B21" s="11">
        <v>46225.66746527778</v>
      </c>
      <c r="C21" s="10" t="s">
        <v>238</v>
      </c>
      <c r="D21" s="10" t="s">
        <v>36</v>
      </c>
      <c r="E21" s="10" t="s">
        <v>37</v>
      </c>
      <c r="F21" s="13">
        <v>2.0</v>
      </c>
      <c r="G21" s="14">
        <v>222.27</v>
      </c>
      <c r="H21" s="10" t="s">
        <v>3764</v>
      </c>
      <c r="I21" s="10">
        <v>89.5</v>
      </c>
      <c r="L21" s="10" t="s">
        <v>3765</v>
      </c>
      <c r="M21" s="34" t="s">
        <v>951</v>
      </c>
      <c r="N21" s="10" t="s">
        <v>925</v>
      </c>
      <c r="O21" s="15">
        <f>IFERROR(__xludf.DUMMYFUNCTION("IF(ISBLANK($C21), """", GOOGLEFINANCE($C21, ""price""))"),246.89)</f>
        <v>246.89</v>
      </c>
      <c r="P21" s="16">
        <f t="shared" si="2"/>
        <v>0.1107661853</v>
      </c>
      <c r="Q21" s="16">
        <f>IFERROR(__xludf.DUMMYFUNCTION("IF(OR(ISBLANK($G21), IFERROR(INDEX(GOOGLEFINANCE($C21, ""price"", WORKDAY(INT($B21), 1)), 2, 2), """")=""""), """", IF($D21=""LONG"", (IFERROR(INDEX(GOOGLEFINANCE($C21, ""price"", WORKDAY(INT($B21), 1)), 2, 2), """")-$G21)/$G21, ($G21-IFERROR(INDEX(GOOGLE"&amp;"FINANCE($C21, ""price"", WORKDAY(INT($B21), 1)), 2, 2), """"))/$G21))"),-0.016511450038241848)</f>
        <v>-0.01651145004</v>
      </c>
      <c r="R21" s="16">
        <f>IFERROR(__xludf.DUMMYFUNCTION("IF(OR(ISBLANK($G21), IFERROR(INDEX(GOOGLEFINANCE($C21, ""price"", WORKDAY(INT($B21), 5)), 2, 2), """")=""""), """", IF($D21=""LONG"", (IFERROR(INDEX(GOOGLEFINANCE($C21, ""price"", WORKDAY(INT($B21), 5)), 2, 2), """")-$G21)/$G21, ($G21-IFERROR(INDEX(GOOGLE"&amp;"FINANCE($C21, ""price"", WORKDAY(INT($B21), 5)), 2, 2), """"))/$G21))"),0.05191883744994822)</f>
        <v>0.05191883745</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3770</v>
      </c>
      <c r="U21" s="10" t="s">
        <v>240</v>
      </c>
      <c r="V21" s="10" t="s">
        <v>3771</v>
      </c>
      <c r="W21" s="10" t="s">
        <v>51</v>
      </c>
      <c r="X21" s="10" t="s">
        <v>1905</v>
      </c>
    </row>
    <row r="22">
      <c r="A22" s="9">
        <f t="shared" si="1"/>
        <v>21</v>
      </c>
      <c r="B22" s="11">
        <v>46225.66743055556</v>
      </c>
      <c r="C22" s="10" t="s">
        <v>1672</v>
      </c>
      <c r="D22" s="10" t="s">
        <v>36</v>
      </c>
      <c r="E22" s="10" t="s">
        <v>37</v>
      </c>
      <c r="F22" s="13">
        <v>2.0</v>
      </c>
      <c r="G22" s="14">
        <v>98.62</v>
      </c>
      <c r="H22" s="10" t="s">
        <v>3774</v>
      </c>
      <c r="I22" s="10">
        <v>94.5</v>
      </c>
      <c r="O22" s="15">
        <f>IFERROR(__xludf.DUMMYFUNCTION("IF(ISBLANK($C22), """", GOOGLEFINANCE($C22, ""price""))"),99.29)</f>
        <v>99.29</v>
      </c>
      <c r="P22" s="16">
        <f t="shared" si="2"/>
        <v>0.006793753802</v>
      </c>
      <c r="Q22" s="16">
        <f>IFERROR(__xludf.DUMMYFUNCTION("IF(OR(ISBLANK($G22), IFERROR(INDEX(GOOGLEFINANCE($C22, ""price"", WORKDAY(INT($B22), 1)), 2, 2), """")=""""), """", IF($D22=""LONG"", (IFERROR(INDEX(GOOGLEFINANCE($C22, ""price"", WORKDAY(INT($B22), 1)), 2, 2), """")-$G22)/$G22, ($G22-IFERROR(INDEX(GOOGLE"&amp;"FINANCE($C22, ""price"", WORKDAY(INT($B22), 1)), 2, 2), """"))/$G22))"),0.015007097951733824)</f>
        <v>0.01500709795</v>
      </c>
      <c r="R22" s="16">
        <f>IFERROR(__xludf.DUMMYFUNCTION("IF(OR(ISBLANK($G22), IFERROR(INDEX(GOOGLEFINANCE($C22, ""price"", WORKDAY(INT($B22), 5)), 2, 2), """")=""""), """", IF($D22=""LONG"", (IFERROR(INDEX(GOOGLEFINANCE($C22, ""price"", WORKDAY(INT($B22), 5)), 2, 2), """")-$G22)/$G22, ($G22-IFERROR(INDEX(GOOGLE"&amp;"FINANCE($C22, ""price"", WORKDAY(INT($B22), 5)), 2, 2), """"))/$G22))"),0.060129791117420325)</f>
        <v>0.06012979112</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3778</v>
      </c>
      <c r="U22" s="10" t="s">
        <v>932</v>
      </c>
      <c r="V22" s="10" t="s">
        <v>933</v>
      </c>
      <c r="W22" s="10" t="s">
        <v>51</v>
      </c>
      <c r="X22" s="10" t="s">
        <v>3186</v>
      </c>
    </row>
    <row r="23">
      <c r="A23" s="9">
        <f t="shared" si="1"/>
        <v>22</v>
      </c>
      <c r="B23" s="11">
        <v>46225.667395833334</v>
      </c>
      <c r="C23" s="10" t="s">
        <v>434</v>
      </c>
      <c r="D23" s="10" t="s">
        <v>36</v>
      </c>
      <c r="E23" s="10" t="s">
        <v>37</v>
      </c>
      <c r="F23" s="13">
        <v>2.0</v>
      </c>
      <c r="G23" s="14">
        <v>110.51</v>
      </c>
      <c r="H23" s="10" t="s">
        <v>3781</v>
      </c>
      <c r="I23" s="10">
        <v>89.6</v>
      </c>
      <c r="O23" s="15">
        <f>IFERROR(__xludf.DUMMYFUNCTION("IF(ISBLANK($C23), """", GOOGLEFINANCE($C23, ""price""))"),114.24)</f>
        <v>114.24</v>
      </c>
      <c r="P23" s="16">
        <f t="shared" si="2"/>
        <v>0.03375260157</v>
      </c>
      <c r="Q23" s="16">
        <f>IFERROR(__xludf.DUMMYFUNCTION("IF(OR(ISBLANK($G23), IFERROR(INDEX(GOOGLEFINANCE($C23, ""price"", WORKDAY(INT($B23), 1)), 2, 2), """")=""""), """", IF($D23=""LONG"", (IFERROR(INDEX(GOOGLEFINANCE($C23, ""price"", WORKDAY(INT($B23), 1)), 2, 2), """")-$G23)/$G23, ($G23-IFERROR(INDEX(GOOGLE"&amp;"FINANCE($C23, ""price"", WORKDAY(INT($B23), 1)), 2, 2), """"))/$G23))"),0.024070219889602718)</f>
        <v>0.02407021989</v>
      </c>
      <c r="R23" s="16">
        <f>IFERROR(__xludf.DUMMYFUNCTION("IF(OR(ISBLANK($G23), IFERROR(INDEX(GOOGLEFINANCE($C23, ""price"", WORKDAY(INT($B23), 5)), 2, 2), """")=""""), """", IF($D23=""LONG"", (IFERROR(INDEX(GOOGLEFINANCE($C23, ""price"", WORKDAY(INT($B23), 5)), 2, 2), """")-$G23)/$G23, ($G23-IFERROR(INDEX(GOOGLE"&amp;"FINANCE($C23, ""price"", WORKDAY(INT($B23), 5)), 2, 2), """"))/$G23))"),0.02588001085874581)</f>
        <v>0.02588001086</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3782</v>
      </c>
      <c r="U23" s="10" t="s">
        <v>984</v>
      </c>
      <c r="V23" s="10" t="s">
        <v>2714</v>
      </c>
      <c r="W23" s="10" t="s">
        <v>51</v>
      </c>
      <c r="X23" s="10" t="s">
        <v>984</v>
      </c>
    </row>
    <row r="24">
      <c r="A24" s="9">
        <f t="shared" si="1"/>
        <v>23</v>
      </c>
      <c r="B24" s="11">
        <v>46225.66746527778</v>
      </c>
      <c r="C24" s="10" t="s">
        <v>765</v>
      </c>
      <c r="D24" s="10" t="s">
        <v>36</v>
      </c>
      <c r="E24" s="10" t="s">
        <v>37</v>
      </c>
      <c r="F24" s="13">
        <v>2.0</v>
      </c>
      <c r="G24" s="14">
        <v>123.58</v>
      </c>
      <c r="H24" s="10" t="s">
        <v>3784</v>
      </c>
      <c r="I24" s="10">
        <v>87.8</v>
      </c>
      <c r="O24" s="15">
        <f>IFERROR(__xludf.DUMMYFUNCTION("IF(ISBLANK($C24), """", GOOGLEFINANCE($C24, ""price""))"),126.66)</f>
        <v>126.66</v>
      </c>
      <c r="P24" s="16">
        <f t="shared" si="2"/>
        <v>0.02492312672</v>
      </c>
      <c r="Q24" s="16">
        <f>IFERROR(__xludf.DUMMYFUNCTION("IF(OR(ISBLANK($G24), IFERROR(INDEX(GOOGLEFINANCE($C24, ""price"", WORKDAY(INT($B24), 1)), 2, 2), """")=""""), """", IF($D24=""LONG"", (IFERROR(INDEX(GOOGLEFINANCE($C24, ""price"", WORKDAY(INT($B24), 1)), 2, 2), """")-$G24)/$G24, ($G24-IFERROR(INDEX(GOOGLE"&amp;"FINANCE($C24, ""price"", WORKDAY(INT($B24), 1)), 2, 2), """"))/$G24))"),0.006149862437287629)</f>
        <v>0.006149862437</v>
      </c>
      <c r="R24" s="16">
        <f>IFERROR(__xludf.DUMMYFUNCTION("IF(OR(ISBLANK($G24), IFERROR(INDEX(GOOGLEFINANCE($C24, ""price"", WORKDAY(INT($B24), 5)), 2, 2), """")=""""), """", IF($D24=""LONG"", (IFERROR(INDEX(GOOGLEFINANCE($C24, ""price"", WORKDAY(INT($B24), 5)), 2, 2), """")-$G24)/$G24, ($G24-IFERROR(INDEX(GOOGLE"&amp;"FINANCE($C24, ""price"", WORKDAY(INT($B24), 5)), 2, 2), """"))/$G24))"),0.041187894481307566)</f>
        <v>0.04118789448</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3788</v>
      </c>
      <c r="U24" s="10" t="s">
        <v>932</v>
      </c>
      <c r="V24" s="10" t="s">
        <v>933</v>
      </c>
      <c r="W24" s="10" t="s">
        <v>51</v>
      </c>
      <c r="X24" s="10" t="s">
        <v>3186</v>
      </c>
    </row>
    <row r="25">
      <c r="A25" s="9">
        <f t="shared" si="1"/>
        <v>24</v>
      </c>
      <c r="B25" s="11">
        <v>46225.66743055556</v>
      </c>
      <c r="C25" s="10" t="s">
        <v>158</v>
      </c>
      <c r="D25" s="10" t="s">
        <v>36</v>
      </c>
      <c r="E25" s="10" t="s">
        <v>37</v>
      </c>
      <c r="F25" s="13">
        <v>2.0</v>
      </c>
      <c r="G25" s="14">
        <v>74.45</v>
      </c>
      <c r="H25" s="10" t="s">
        <v>3790</v>
      </c>
      <c r="I25" s="10">
        <v>93.6</v>
      </c>
      <c r="O25" s="15">
        <f>IFERROR(__xludf.DUMMYFUNCTION("IF(ISBLANK($C25), """", GOOGLEFINANCE($C25, ""price""))"),72.06)</f>
        <v>72.06</v>
      </c>
      <c r="P25" s="16">
        <f t="shared" si="2"/>
        <v>-0.03210208193</v>
      </c>
      <c r="Q25" s="16">
        <f>IFERROR(__xludf.DUMMYFUNCTION("IF(OR(ISBLANK($G25), IFERROR(INDEX(GOOGLEFINANCE($C25, ""price"", WORKDAY(INT($B25), 1)), 2, 2), """")=""""), """", IF($D25=""LONG"", (IFERROR(INDEX(GOOGLEFINANCE($C25, ""price"", WORKDAY(INT($B25), 1)), 2, 2), """")-$G25)/$G25, ($G25-IFERROR(INDEX(GOOGLE"&amp;"FINANCE($C25, ""price"", WORKDAY(INT($B25), 1)), 2, 2), """"))/$G25))"),0.00228341168569512)</f>
        <v>0.002283411686</v>
      </c>
      <c r="R25" s="16">
        <f>IFERROR(__xludf.DUMMYFUNCTION("IF(OR(ISBLANK($G25), IFERROR(INDEX(GOOGLEFINANCE($C25, ""price"", WORKDAY(INT($B25), 5)), 2, 2), """")=""""), """", IF($D25=""LONG"", (IFERROR(INDEX(GOOGLEFINANCE($C25, ""price"", WORKDAY(INT($B25), 5)), 2, 2), """")-$G25)/$G25, ($G25-IFERROR(INDEX(GOOGLE"&amp;"FINANCE($C25, ""price"", WORKDAY(INT($B25), 5)), 2, 2), """"))/$G25))"),0.004163868368032266)</f>
        <v>0.004163868368</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3795</v>
      </c>
      <c r="U25" s="10" t="s">
        <v>984</v>
      </c>
      <c r="V25" s="10" t="s">
        <v>933</v>
      </c>
      <c r="W25" s="10" t="s">
        <v>51</v>
      </c>
      <c r="X25" s="10" t="s">
        <v>984</v>
      </c>
    </row>
    <row r="26">
      <c r="A26" s="9">
        <f t="shared" si="1"/>
        <v>25</v>
      </c>
      <c r="B26" s="11">
        <v>46225.66744212963</v>
      </c>
      <c r="C26" s="10" t="s">
        <v>306</v>
      </c>
      <c r="D26" s="10" t="s">
        <v>119</v>
      </c>
      <c r="E26" s="10" t="s">
        <v>120</v>
      </c>
      <c r="F26" s="13">
        <v>4.0</v>
      </c>
      <c r="G26" s="14">
        <v>92.3</v>
      </c>
      <c r="H26" s="10" t="s">
        <v>3798</v>
      </c>
      <c r="I26" s="10">
        <v>10.1</v>
      </c>
      <c r="O26" s="15">
        <f>IFERROR(__xludf.DUMMYFUNCTION("IF(ISBLANK($C26), """", GOOGLEFINANCE($C26, ""price""))"),87.03)</f>
        <v>87.03</v>
      </c>
      <c r="P26" s="16">
        <f t="shared" si="2"/>
        <v>0.0570964247</v>
      </c>
      <c r="Q26" s="16">
        <f>IFERROR(__xludf.DUMMYFUNCTION("IF(OR(ISBLANK($G26), IFERROR(INDEX(GOOGLEFINANCE($C26, ""price"", WORKDAY(INT($B26), 1)), 2, 2), """")=""""), """", IF($D26=""LONG"", (IFERROR(INDEX(GOOGLEFINANCE($C26, ""price"", WORKDAY(INT($B26), 1)), 2, 2), """")-$G26)/$G26, ($G26-IFERROR(INDEX(GOOGLE"&amp;"FINANCE($C26, ""price"", WORKDAY(INT($B26), 1)), 2, 2), """"))/$G26))"),0.008559046587215515)</f>
        <v>0.008559046587</v>
      </c>
      <c r="R26" s="16">
        <f>IFERROR(__xludf.DUMMYFUNCTION("IF(OR(ISBLANK($G26), IFERROR(INDEX(GOOGLEFINANCE($C26, ""price"", WORKDAY(INT($B26), 5)), 2, 2), """")=""""), """", IF($D26=""LONG"", (IFERROR(INDEX(GOOGLEFINANCE($C26, ""price"", WORKDAY(INT($B26), 5)), 2, 2), """")-$G26)/$G26, ($G26-IFERROR(INDEX(GOOGLE"&amp;"FINANCE($C26, ""price"", WORKDAY(INT($B26), 5)), 2, 2), """"))/$G26))"),0.0911159263271939)</f>
        <v>0.09111592633</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3799</v>
      </c>
      <c r="U26" s="10" t="s">
        <v>984</v>
      </c>
      <c r="V26" s="10" t="s">
        <v>985</v>
      </c>
      <c r="W26" s="10" t="s">
        <v>51</v>
      </c>
      <c r="X26" s="10" t="s">
        <v>984</v>
      </c>
    </row>
    <row r="27">
      <c r="A27" s="9">
        <f t="shared" si="1"/>
        <v>26</v>
      </c>
      <c r="B27" s="11">
        <v>46225.66746527778</v>
      </c>
      <c r="C27" s="10" t="s">
        <v>66</v>
      </c>
      <c r="D27" s="10" t="s">
        <v>36</v>
      </c>
      <c r="E27" s="10" t="s">
        <v>37</v>
      </c>
      <c r="F27" s="13">
        <v>2.0</v>
      </c>
      <c r="G27" s="14">
        <v>273.25</v>
      </c>
      <c r="H27" s="10" t="s">
        <v>3801</v>
      </c>
      <c r="I27" s="10">
        <v>88.2</v>
      </c>
      <c r="O27" s="15">
        <f>IFERROR(__xludf.DUMMYFUNCTION("IF(ISBLANK($C27), """", GOOGLEFINANCE($C27, ""price""))"),296.4)</f>
        <v>296.4</v>
      </c>
      <c r="P27" s="16">
        <f t="shared" si="2"/>
        <v>0.08472095151</v>
      </c>
      <c r="Q27" s="16">
        <f>IFERROR(__xludf.DUMMYFUNCTION("IF(OR(ISBLANK($G27), IFERROR(INDEX(GOOGLEFINANCE($C27, ""price"", WORKDAY(INT($B27), 1)), 2, 2), """")=""""), """", IF($D27=""LONG"", (IFERROR(INDEX(GOOGLEFINANCE($C27, ""price"", WORKDAY(INT($B27), 1)), 2, 2), """")-$G27)/$G27, ($G27-IFERROR(INDEX(GOOGLE"&amp;"FINANCE($C27, ""price"", WORKDAY(INT($B27), 1)), 2, 2), """"))/$G27))"),0.002012808783165641)</f>
        <v>0.002012808783</v>
      </c>
      <c r="R27" s="16">
        <f>IFERROR(__xludf.DUMMYFUNCTION("IF(OR(ISBLANK($G27), IFERROR(INDEX(GOOGLEFINANCE($C27, ""price"", WORKDAY(INT($B27), 5)), 2, 2), """")=""""), """", IF($D27=""LONG"", (IFERROR(INDEX(GOOGLEFINANCE($C27, ""price"", WORKDAY(INT($B27), 5)), 2, 2), """")-$G27)/$G27, ($G27-IFERROR(INDEX(GOOGLE"&amp;"FINANCE($C27, ""price"", WORKDAY(INT($B27), 5)), 2, 2), """"))/$G27))"),0.028362305580969808)</f>
        <v>0.02836230558</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3806</v>
      </c>
      <c r="U27" s="10" t="s">
        <v>984</v>
      </c>
      <c r="V27" s="10" t="s">
        <v>998</v>
      </c>
      <c r="W27" s="10" t="s">
        <v>51</v>
      </c>
      <c r="X27" s="10" t="s">
        <v>984</v>
      </c>
    </row>
    <row r="28">
      <c r="A28" s="9">
        <f t="shared" si="1"/>
        <v>27</v>
      </c>
      <c r="B28" s="11">
        <v>46225.66746527778</v>
      </c>
      <c r="C28" s="10" t="s">
        <v>295</v>
      </c>
      <c r="D28" s="10" t="s">
        <v>119</v>
      </c>
      <c r="E28" s="10" t="s">
        <v>120</v>
      </c>
      <c r="F28" s="13">
        <v>4.0</v>
      </c>
      <c r="G28" s="14">
        <v>1399.86</v>
      </c>
      <c r="H28" s="10" t="s">
        <v>3807</v>
      </c>
      <c r="I28" s="10">
        <v>5.3</v>
      </c>
      <c r="O28" s="15">
        <f>IFERROR(__xludf.DUMMYFUNCTION("IF(ISBLANK($C28), """", GOOGLEFINANCE($C28, ""price""))"),1359.08)</f>
        <v>1359.08</v>
      </c>
      <c r="P28" s="16">
        <f t="shared" si="2"/>
        <v>0.02913148458</v>
      </c>
      <c r="Q28" s="16">
        <f>IFERROR(__xludf.DUMMYFUNCTION("IF(OR(ISBLANK($G28), IFERROR(INDEX(GOOGLEFINANCE($C28, ""price"", WORKDAY(INT($B28), 1)), 2, 2), """")=""""), """", IF($D28=""LONG"", (IFERROR(INDEX(GOOGLEFINANCE($C28, ""price"", WORKDAY(INT($B28), 1)), 2, 2), """")-$G28)/$G28, ($G28-IFERROR(INDEX(GOOGLE"&amp;"FINANCE($C28, ""price"", WORKDAY(INT($B28), 1)), 2, 2), """"))/$G28))"),0.0019359078765017997)</f>
        <v>0.001935907877</v>
      </c>
      <c r="R28" s="16">
        <f>IFERROR(__xludf.DUMMYFUNCTION("IF(OR(ISBLANK($G28), IFERROR(INDEX(GOOGLEFINANCE($C28, ""price"", WORKDAY(INT($B28), 5)), 2, 2), """")=""""), """", IF($D28=""LONG"", (IFERROR(INDEX(GOOGLEFINANCE($C28, ""price"", WORKDAY(INT($B28), 5)), 2, 2), """")-$G28)/$G28, ($G28-IFERROR(INDEX(GOOGLE"&amp;"FINANCE($C28, ""price"", WORKDAY(INT($B28), 5)), 2, 2), """"))/$G28))"),0.10793936536510788)</f>
        <v>0.1079393654</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3813</v>
      </c>
      <c r="U28" s="10" t="s">
        <v>984</v>
      </c>
      <c r="V28" s="10" t="s">
        <v>985</v>
      </c>
      <c r="W28" s="10" t="s">
        <v>51</v>
      </c>
      <c r="X28" s="10" t="s">
        <v>984</v>
      </c>
    </row>
    <row r="29">
      <c r="A29" s="9">
        <f t="shared" si="1"/>
        <v>28</v>
      </c>
      <c r="B29" s="11">
        <v>46225.667708333334</v>
      </c>
      <c r="C29" s="10" t="s">
        <v>594</v>
      </c>
      <c r="D29" s="10" t="s">
        <v>36</v>
      </c>
      <c r="E29" s="10" t="s">
        <v>37</v>
      </c>
      <c r="F29" s="13">
        <v>2.0</v>
      </c>
      <c r="G29" s="14">
        <v>78.24</v>
      </c>
      <c r="H29" s="10" t="s">
        <v>3814</v>
      </c>
      <c r="I29" s="10">
        <v>97.7</v>
      </c>
      <c r="O29" s="15">
        <f>IFERROR(__xludf.DUMMYFUNCTION("IF(ISBLANK($C29), """", GOOGLEFINANCE($C29, ""price""))"),79.97)</f>
        <v>79.97</v>
      </c>
      <c r="P29" s="16">
        <f t="shared" si="2"/>
        <v>0.02211145194</v>
      </c>
      <c r="Q29" s="16">
        <f>IFERROR(__xludf.DUMMYFUNCTION("IF(OR(ISBLANK($G29), IFERROR(INDEX(GOOGLEFINANCE($C29, ""price"", WORKDAY(INT($B29), 1)), 2, 2), """")=""""), """", IF($D29=""LONG"", (IFERROR(INDEX(GOOGLEFINANCE($C29, ""price"", WORKDAY(INT($B29), 1)), 2, 2), """")-$G29)/$G29, ($G29-IFERROR(INDEX(GOOGLE"&amp;"FINANCE($C29, ""price"", WORKDAY(INT($B29), 1)), 2, 2), """"))/$G29))"),-0.0010224948875255406)</f>
        <v>-0.001022494888</v>
      </c>
      <c r="R29" s="16">
        <f>IFERROR(__xludf.DUMMYFUNCTION("IF(OR(ISBLANK($G29), IFERROR(INDEX(GOOGLEFINANCE($C29, ""price"", WORKDAY(INT($B29), 5)), 2, 2), """")=""""), """", IF($D29=""LONG"", (IFERROR(INDEX(GOOGLEFINANCE($C29, ""price"", WORKDAY(INT($B29), 5)), 2, 2), """")-$G29)/$G29, ($G29-IFERROR(INDEX(GOOGLE"&amp;"FINANCE($C29, ""price"", WORKDAY(INT($B29), 5)), 2, 2), """"))/$G29))"),0.02505112474437638)</f>
        <v>0.02505112474</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3819</v>
      </c>
      <c r="U29" s="10" t="s">
        <v>932</v>
      </c>
      <c r="V29" s="10" t="s">
        <v>933</v>
      </c>
      <c r="W29" s="10" t="s">
        <v>51</v>
      </c>
      <c r="X29" s="10" t="s">
        <v>3186</v>
      </c>
    </row>
    <row r="30">
      <c r="A30" s="9">
        <f t="shared" si="1"/>
        <v>29</v>
      </c>
      <c r="B30" s="11">
        <v>46225.66746527778</v>
      </c>
      <c r="C30" s="10" t="s">
        <v>499</v>
      </c>
      <c r="D30" s="10" t="s">
        <v>36</v>
      </c>
      <c r="E30" s="10" t="s">
        <v>37</v>
      </c>
      <c r="F30" s="13">
        <v>2.0</v>
      </c>
      <c r="G30" s="14">
        <v>114.69</v>
      </c>
      <c r="H30" s="10" t="s">
        <v>3820</v>
      </c>
      <c r="I30" s="10">
        <v>91.9</v>
      </c>
      <c r="O30" s="15">
        <f>IFERROR(__xludf.DUMMYFUNCTION("IF(ISBLANK($C30), """", GOOGLEFINANCE($C30, ""price""))"),115.98)</f>
        <v>115.98</v>
      </c>
      <c r="P30" s="16">
        <f t="shared" si="2"/>
        <v>0.01124771122</v>
      </c>
      <c r="Q30" s="16">
        <f>IFERROR(__xludf.DUMMYFUNCTION("IF(OR(ISBLANK($G30), IFERROR(INDEX(GOOGLEFINANCE($C30, ""price"", WORKDAY(INT($B30), 1)), 2, 2), """")=""""), """", IF($D30=""LONG"", (IFERROR(INDEX(GOOGLEFINANCE($C30, ""price"", WORKDAY(INT($B30), 1)), 2, 2), """")-$G30)/$G30, ($G30-IFERROR(INDEX(GOOGLE"&amp;"FINANCE($C30, ""price"", WORKDAY(INT($B30), 1)), 2, 2), """"))/$G30))"),0.00819600662655853)</f>
        <v>0.008196006627</v>
      </c>
      <c r="R30" s="16">
        <f>IFERROR(__xludf.DUMMYFUNCTION("IF(OR(ISBLANK($G30), IFERROR(INDEX(GOOGLEFINANCE($C30, ""price"", WORKDAY(INT($B30), 5)), 2, 2), """")=""""), """", IF($D30=""LONG"", (IFERROR(INDEX(GOOGLEFINANCE($C30, ""price"", WORKDAY(INT($B30), 5)), 2, 2), """")-$G30)/$G30, ($G30-IFERROR(INDEX(GOOGLE"&amp;"FINANCE($C30, ""price"", WORKDAY(INT($B30), 5)), 2, 2), """"))/$G30))"),0.037056412939227484)</f>
        <v>0.03705641294</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3824</v>
      </c>
      <c r="U30" s="10" t="s">
        <v>984</v>
      </c>
      <c r="V30" s="10" t="s">
        <v>933</v>
      </c>
      <c r="W30" s="10" t="s">
        <v>51</v>
      </c>
      <c r="X30" s="10" t="s">
        <v>984</v>
      </c>
    </row>
    <row r="31">
      <c r="A31" s="9">
        <f t="shared" si="1"/>
        <v>30</v>
      </c>
      <c r="B31" s="11">
        <v>46225.66748842593</v>
      </c>
      <c r="C31" s="10" t="s">
        <v>332</v>
      </c>
      <c r="D31" s="10" t="s">
        <v>36</v>
      </c>
      <c r="E31" s="10" t="s">
        <v>37</v>
      </c>
      <c r="F31" s="13">
        <v>2.0</v>
      </c>
      <c r="G31" s="14">
        <v>84.83</v>
      </c>
      <c r="H31" s="10" t="s">
        <v>3825</v>
      </c>
      <c r="I31" s="10">
        <v>94.7</v>
      </c>
      <c r="O31" s="15">
        <f>IFERROR(__xludf.DUMMYFUNCTION("IF(ISBLANK($C31), """", GOOGLEFINANCE($C31, ""price""))"),88.23)</f>
        <v>88.23</v>
      </c>
      <c r="P31" s="16">
        <f t="shared" si="2"/>
        <v>0.04008016032</v>
      </c>
      <c r="Q31" s="16">
        <f>IFERROR(__xludf.DUMMYFUNCTION("IF(OR(ISBLANK($G31), IFERROR(INDEX(GOOGLEFINANCE($C31, ""price"", WORKDAY(INT($B31), 1)), 2, 2), """")=""""), """", IF($D31=""LONG"", (IFERROR(INDEX(GOOGLEFINANCE($C31, ""price"", WORKDAY(INT($B31), 1)), 2, 2), """")-$G31)/$G31, ($G31-IFERROR(INDEX(GOOGLE"&amp;"FINANCE($C31, ""price"", WORKDAY(INT($B31), 1)), 2, 2), """"))/$G31))"),-0.0035364847341741975)</f>
        <v>-0.003536484734</v>
      </c>
      <c r="R31" s="16">
        <f>IFERROR(__xludf.DUMMYFUNCTION("IF(OR(ISBLANK($G31), IFERROR(INDEX(GOOGLEFINANCE($C31, ""price"", WORKDAY(INT($B31), 5)), 2, 2), """")=""""), """", IF($D31=""LONG"", (IFERROR(INDEX(GOOGLEFINANCE($C31, ""price"", WORKDAY(INT($B31), 5)), 2, 2), """")-$G31)/$G31, ($G31-IFERROR(INDEX(GOOGLE"&amp;"FINANCE($C31, ""price"", WORKDAY(INT($B31), 5)), 2, 2), """"))/$G31))"),0.011788282447247436)</f>
        <v>0.01178828245</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3830</v>
      </c>
      <c r="U31" s="10" t="s">
        <v>984</v>
      </c>
      <c r="V31" s="10" t="s">
        <v>998</v>
      </c>
      <c r="W31" s="10" t="s">
        <v>51</v>
      </c>
      <c r="X31" s="10" t="s">
        <v>984</v>
      </c>
    </row>
    <row r="32">
      <c r="A32" s="9">
        <f t="shared" si="1"/>
        <v>31</v>
      </c>
      <c r="B32" s="11">
        <v>46225.66751157407</v>
      </c>
      <c r="C32" s="10" t="s">
        <v>269</v>
      </c>
      <c r="D32" s="10" t="s">
        <v>36</v>
      </c>
      <c r="E32" s="10" t="s">
        <v>37</v>
      </c>
      <c r="F32" s="13">
        <v>2.0</v>
      </c>
      <c r="G32" s="14">
        <v>185.22</v>
      </c>
      <c r="H32" s="10" t="s">
        <v>3832</v>
      </c>
      <c r="I32" s="10">
        <v>92.0</v>
      </c>
      <c r="O32" s="15">
        <f>IFERROR(__xludf.DUMMYFUNCTION("IF(ISBLANK($C32), """", GOOGLEFINANCE($C32, ""price""))"),184.92)</f>
        <v>184.92</v>
      </c>
      <c r="P32" s="16">
        <f t="shared" si="2"/>
        <v>-0.001619695497</v>
      </c>
      <c r="Q32" s="16">
        <f>IFERROR(__xludf.DUMMYFUNCTION("IF(OR(ISBLANK($G32), IFERROR(INDEX(GOOGLEFINANCE($C32, ""price"", WORKDAY(INT($B32), 1)), 2, 2), """")=""""), """", IF($D32=""LONG"", (IFERROR(INDEX(GOOGLEFINANCE($C32, ""price"", WORKDAY(INT($B32), 1)), 2, 2), """")-$G32)/$G32, ($G32-IFERROR(INDEX(GOOGLE"&amp;"FINANCE($C32, ""price"", WORKDAY(INT($B32), 1)), 2, 2), """"))/$G32))"),-0.005452974840729894)</f>
        <v>-0.005452974841</v>
      </c>
      <c r="R32" s="16">
        <f>IFERROR(__xludf.DUMMYFUNCTION("IF(OR(ISBLANK($G32), IFERROR(INDEX(GOOGLEFINANCE($C32, ""price"", WORKDAY(INT($B32), 5)), 2, 2), """")=""""), """", IF($D32=""LONG"", (IFERROR(INDEX(GOOGLEFINANCE($C32, ""price"", WORKDAY(INT($B32), 5)), 2, 2), """")-$G32)/$G32, ($G32-IFERROR(INDEX(GOOGLE"&amp;"FINANCE($C32, ""price"", WORKDAY(INT($B32), 5)), 2, 2), """"))/$G32))"),-0.049562682215743475)</f>
        <v>-0.04956268222</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3836</v>
      </c>
      <c r="U32" s="10" t="s">
        <v>984</v>
      </c>
      <c r="V32" s="10" t="s">
        <v>933</v>
      </c>
      <c r="W32" s="10" t="s">
        <v>51</v>
      </c>
      <c r="X32" s="10" t="s">
        <v>984</v>
      </c>
    </row>
    <row r="33">
      <c r="A33" s="9">
        <f t="shared" si="1"/>
        <v>32</v>
      </c>
      <c r="B33" s="11">
        <v>46225.66746527778</v>
      </c>
      <c r="C33" s="10" t="s">
        <v>222</v>
      </c>
      <c r="D33" s="10" t="s">
        <v>36</v>
      </c>
      <c r="E33" s="10" t="s">
        <v>37</v>
      </c>
      <c r="F33" s="13">
        <v>2.0</v>
      </c>
      <c r="G33" s="14">
        <v>472.74</v>
      </c>
      <c r="H33" s="10" t="s">
        <v>3837</v>
      </c>
      <c r="I33" s="10">
        <v>84.4</v>
      </c>
      <c r="O33" s="15">
        <f>IFERROR(__xludf.DUMMYFUNCTION("IF(ISBLANK($C33), """", GOOGLEFINANCE($C33, ""price""))"),484.03)</f>
        <v>484.03</v>
      </c>
      <c r="P33" s="16">
        <f t="shared" si="2"/>
        <v>0.02388204933</v>
      </c>
      <c r="Q33" s="16">
        <f>IFERROR(__xludf.DUMMYFUNCTION("IF(OR(ISBLANK($G33), IFERROR(INDEX(GOOGLEFINANCE($C33, ""price"", WORKDAY(INT($B33), 1)), 2, 2), """")=""""), """", IF($D33=""LONG"", (IFERROR(INDEX(GOOGLEFINANCE($C33, ""price"", WORKDAY(INT($B33), 1)), 2, 2), """")-$G33)/$G33, ($G33-IFERROR(INDEX(GOOGLE"&amp;"FINANCE($C33, ""price"", WORKDAY(INT($B33), 1)), 2, 2), """"))/$G33))"),7.403646824892454E-4)</f>
        <v>0.0007403646825</v>
      </c>
      <c r="R33" s="16">
        <f>IFERROR(__xludf.DUMMYFUNCTION("IF(OR(ISBLANK($G33), IFERROR(INDEX(GOOGLEFINANCE($C33, ""price"", WORKDAY(INT($B33), 5)), 2, 2), """")=""""), """", IF($D33=""LONG"", (IFERROR(INDEX(GOOGLEFINANCE($C33, ""price"", WORKDAY(INT($B33), 5)), 2, 2), """")-$G33)/$G33, ($G33-IFERROR(INDEX(GOOGLE"&amp;"FINANCE($C33, ""price"", WORKDAY(INT($B33), 5)), 2, 2), """"))/$G33))"),0.022401319964462443)</f>
        <v>0.02240131996</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3842</v>
      </c>
      <c r="U33" s="10" t="s">
        <v>507</v>
      </c>
      <c r="V33" s="10" t="s">
        <v>3843</v>
      </c>
      <c r="W33" s="10" t="s">
        <v>51</v>
      </c>
      <c r="X33" s="10" t="s">
        <v>2228</v>
      </c>
    </row>
    <row r="34">
      <c r="A34" s="9">
        <f t="shared" si="1"/>
        <v>33</v>
      </c>
      <c r="B34" s="11">
        <v>46225.66756944444</v>
      </c>
      <c r="C34" s="10" t="s">
        <v>367</v>
      </c>
      <c r="D34" s="10" t="s">
        <v>36</v>
      </c>
      <c r="E34" s="10" t="s">
        <v>37</v>
      </c>
      <c r="F34" s="13">
        <v>2.0</v>
      </c>
      <c r="G34" s="14">
        <v>106.31</v>
      </c>
      <c r="H34" s="10" t="s">
        <v>3844</v>
      </c>
      <c r="I34" s="10">
        <v>87.6</v>
      </c>
      <c r="O34" s="15">
        <f>IFERROR(__xludf.DUMMYFUNCTION("IF(ISBLANK($C34), """", GOOGLEFINANCE($C34, ""price""))"),100.82)</f>
        <v>100.82</v>
      </c>
      <c r="P34" s="16">
        <f t="shared" si="2"/>
        <v>-0.05164142602</v>
      </c>
      <c r="Q34" s="16">
        <f>IFERROR(__xludf.DUMMYFUNCTION("IF(OR(ISBLANK($G34), IFERROR(INDEX(GOOGLEFINANCE($C34, ""price"", WORKDAY(INT($B34), 1)), 2, 2), """")=""""), """", IF($D34=""LONG"", (IFERROR(INDEX(GOOGLEFINANCE($C34, ""price"", WORKDAY(INT($B34), 1)), 2, 2), """")-$G34)/$G34, ($G34-IFERROR(INDEX(GOOGLE"&amp;"FINANCE($C34, ""price"", WORKDAY(INT($B34), 1)), 2, 2), """"))/$G34))"),-0.008277678487442342)</f>
        <v>-0.008277678487</v>
      </c>
      <c r="R34" s="16">
        <f>IFERROR(__xludf.DUMMYFUNCTION("IF(OR(ISBLANK($G34), IFERROR(INDEX(GOOGLEFINANCE($C34, ""price"", WORKDAY(INT($B34), 5)), 2, 2), """")=""""), """", IF($D34=""LONG"", (IFERROR(INDEX(GOOGLEFINANCE($C34, ""price"", WORKDAY(INT($B34), 5)), 2, 2), """")-$G34)/$G34, ($G34-IFERROR(INDEX(GOOGLE"&amp;"FINANCE($C34, ""price"", WORKDAY(INT($B34), 5)), 2, 2), """"))/$G34))"),-0.03790800489135548)</f>
        <v>-0.03790800489</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3850</v>
      </c>
      <c r="U34" s="10" t="s">
        <v>984</v>
      </c>
      <c r="V34" s="10" t="s">
        <v>985</v>
      </c>
      <c r="W34" s="10" t="s">
        <v>51</v>
      </c>
      <c r="X34" s="10" t="s">
        <v>984</v>
      </c>
    </row>
    <row r="35">
      <c r="A35" s="9">
        <f t="shared" si="1"/>
        <v>34</v>
      </c>
      <c r="B35" s="11">
        <v>46225.66751157407</v>
      </c>
      <c r="C35" s="10" t="s">
        <v>2229</v>
      </c>
      <c r="D35" s="10" t="s">
        <v>36</v>
      </c>
      <c r="E35" s="10" t="s">
        <v>37</v>
      </c>
      <c r="F35" s="13">
        <v>2.0</v>
      </c>
      <c r="G35" s="14">
        <v>116.14</v>
      </c>
      <c r="H35" s="10" t="s">
        <v>3852</v>
      </c>
      <c r="I35" s="10">
        <v>97.7</v>
      </c>
      <c r="O35" s="15">
        <f>IFERROR(__xludf.DUMMYFUNCTION("IF(ISBLANK($C35), """", GOOGLEFINANCE($C35, ""price""))"),120.76)</f>
        <v>120.76</v>
      </c>
      <c r="P35" s="16">
        <f t="shared" si="2"/>
        <v>0.03977957637</v>
      </c>
      <c r="Q35" s="16">
        <f>IFERROR(__xludf.DUMMYFUNCTION("IF(OR(ISBLANK($G35), IFERROR(INDEX(GOOGLEFINANCE($C35, ""price"", WORKDAY(INT($B35), 1)), 2, 2), """")=""""), """", IF($D35=""LONG"", (IFERROR(INDEX(GOOGLEFINANCE($C35, ""price"", WORKDAY(INT($B35), 1)), 2, 2), """")-$G35)/$G35, ($G35-IFERROR(INDEX(GOOGLE"&amp;"FINANCE($C35, ""price"", WORKDAY(INT($B35), 1)), 2, 2), """"))/$G35))"),0.006285517478904805)</f>
        <v>0.006285517479</v>
      </c>
      <c r="R35" s="16">
        <f>IFERROR(__xludf.DUMMYFUNCTION("IF(OR(ISBLANK($G35), IFERROR(INDEX(GOOGLEFINANCE($C35, ""price"", WORKDAY(INT($B35), 5)), 2, 2), """")=""""), """", IF($D35=""LONG"", (IFERROR(INDEX(GOOGLEFINANCE($C35, ""price"", WORKDAY(INT($B35), 5)), 2, 2), """")-$G35)/$G35, ($G35-IFERROR(INDEX(GOOGLE"&amp;"FINANCE($C35, ""price"", WORKDAY(INT($B35), 5)), 2, 2), """"))/$G35))"),0.0515756845186843)</f>
        <v>0.05157568452</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3857</v>
      </c>
      <c r="U35" s="10" t="s">
        <v>984</v>
      </c>
      <c r="V35" s="10" t="s">
        <v>985</v>
      </c>
      <c r="W35" s="10" t="s">
        <v>51</v>
      </c>
      <c r="X35" s="10" t="s">
        <v>984</v>
      </c>
    </row>
    <row r="36">
      <c r="A36" s="9">
        <f t="shared" si="1"/>
        <v>35</v>
      </c>
      <c r="B36" s="11">
        <v>46225.66748842593</v>
      </c>
      <c r="C36" s="10" t="s">
        <v>228</v>
      </c>
      <c r="D36" s="10" t="s">
        <v>36</v>
      </c>
      <c r="E36" s="10" t="s">
        <v>37</v>
      </c>
      <c r="F36" s="13">
        <v>2.0</v>
      </c>
      <c r="G36" s="14">
        <v>72.35</v>
      </c>
      <c r="H36" s="10" t="s">
        <v>3859</v>
      </c>
      <c r="I36" s="10">
        <v>96.1</v>
      </c>
      <c r="O36" s="15">
        <f>IFERROR(__xludf.DUMMYFUNCTION("IF(ISBLANK($C36), """", GOOGLEFINANCE($C36, ""price""))"),72.13)</f>
        <v>72.13</v>
      </c>
      <c r="P36" s="16">
        <f t="shared" si="2"/>
        <v>-0.003040774015</v>
      </c>
      <c r="Q36" s="16">
        <f>IFERROR(__xludf.DUMMYFUNCTION("IF(OR(ISBLANK($G36), IFERROR(INDEX(GOOGLEFINANCE($C36, ""price"", WORKDAY(INT($B36), 1)), 2, 2), """")=""""), """", IF($D36=""LONG"", (IFERROR(INDEX(GOOGLEFINANCE($C36, ""price"", WORKDAY(INT($B36), 1)), 2, 2), """")-$G36)/$G36, ($G36-IFERROR(INDEX(GOOGLE"&amp;"FINANCE($C36, ""price"", WORKDAY(INT($B36), 1)), 2, 2), """"))/$G36))"),0.014927436074637354)</f>
        <v>0.01492743607</v>
      </c>
      <c r="R36" s="16">
        <f>IFERROR(__xludf.DUMMYFUNCTION("IF(OR(ISBLANK($G36), IFERROR(INDEX(GOOGLEFINANCE($C36, ""price"", WORKDAY(INT($B36), 5)), 2, 2), """")=""""), """", IF($D36=""LONG"", (IFERROR(INDEX(GOOGLEFINANCE($C36, ""price"", WORKDAY(INT($B36), 5)), 2, 2), """")-$G36)/$G36, ($G36-IFERROR(INDEX(GOOGLE"&amp;"FINANCE($C36, ""price"", WORKDAY(INT($B36), 5)), 2, 2), """"))/$G36))"),0.045611610228058215)</f>
        <v>0.04561161023</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3864</v>
      </c>
      <c r="U36" s="10" t="s">
        <v>984</v>
      </c>
      <c r="V36" s="10" t="s">
        <v>2785</v>
      </c>
      <c r="W36" s="10" t="s">
        <v>51</v>
      </c>
      <c r="X36" s="10" t="s">
        <v>984</v>
      </c>
    </row>
    <row r="37">
      <c r="A37" s="9">
        <f t="shared" si="1"/>
        <v>36</v>
      </c>
      <c r="B37" s="11">
        <v>46225.6674537037</v>
      </c>
      <c r="C37" s="10" t="s">
        <v>347</v>
      </c>
      <c r="D37" s="10" t="s">
        <v>36</v>
      </c>
      <c r="E37" s="10" t="s">
        <v>37</v>
      </c>
      <c r="F37" s="13">
        <v>2.0</v>
      </c>
      <c r="G37" s="14">
        <v>281.47</v>
      </c>
      <c r="H37" s="10" t="s">
        <v>3865</v>
      </c>
      <c r="I37" s="10">
        <v>90.8</v>
      </c>
      <c r="O37" s="15">
        <f>IFERROR(__xludf.DUMMYFUNCTION("IF(ISBLANK($C37), """", GOOGLEFINANCE($C37, ""price""))"),316.53)</f>
        <v>316.53</v>
      </c>
      <c r="P37" s="16">
        <f t="shared" si="2"/>
        <v>0.1245603439</v>
      </c>
      <c r="Q37" s="16">
        <f>IFERROR(__xludf.DUMMYFUNCTION("IF(OR(ISBLANK($G37), IFERROR(INDEX(GOOGLEFINANCE($C37, ""price"", WORKDAY(INT($B37), 1)), 2, 2), """")=""""), """", IF($D37=""LONG"", (IFERROR(INDEX(GOOGLEFINANCE($C37, ""price"", WORKDAY(INT($B37), 1)), 2, 2), """")-$G37)/$G37, ($G37-IFERROR(INDEX(GOOGLE"&amp;"FINANCE($C37, ""price"", WORKDAY(INT($B37), 1)), 2, 2), """"))/$G37))"),0.03392901552563312)</f>
        <v>0.03392901553</v>
      </c>
      <c r="R37" s="16">
        <f>IFERROR(__xludf.DUMMYFUNCTION("IF(OR(ISBLANK($G37), IFERROR(INDEX(GOOGLEFINANCE($C37, ""price"", WORKDAY(INT($B37), 5)), 2, 2), """")=""""), """", IF($D37=""LONG"", (IFERROR(INDEX(GOOGLEFINANCE($C37, ""price"", WORKDAY(INT($B37), 5)), 2, 2), """")-$G37)/$G37, ($G37-IFERROR(INDEX(GOOGLE"&amp;"FINANCE($C37, ""price"", WORKDAY(INT($B37), 5)), 2, 2), """"))/$G37))"),0.09123530038725246)</f>
        <v>0.09123530039</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3870</v>
      </c>
      <c r="U37" s="10" t="s">
        <v>984</v>
      </c>
      <c r="V37" s="10" t="s">
        <v>985</v>
      </c>
      <c r="W37" s="10" t="s">
        <v>51</v>
      </c>
      <c r="X37" s="10" t="s">
        <v>984</v>
      </c>
    </row>
    <row r="38">
      <c r="A38" s="9">
        <f t="shared" si="1"/>
        <v>37</v>
      </c>
      <c r="B38" s="11">
        <v>46225.667546296296</v>
      </c>
      <c r="C38" s="10" t="s">
        <v>69</v>
      </c>
      <c r="D38" s="10" t="s">
        <v>36</v>
      </c>
      <c r="E38" s="10" t="s">
        <v>37</v>
      </c>
      <c r="F38" s="13">
        <v>2.0</v>
      </c>
      <c r="G38" s="14">
        <v>255.64</v>
      </c>
      <c r="H38" s="10" t="s">
        <v>3872</v>
      </c>
      <c r="I38" s="10">
        <v>93.6</v>
      </c>
      <c r="L38" s="10" t="s">
        <v>3873</v>
      </c>
      <c r="M38" s="34" t="s">
        <v>951</v>
      </c>
      <c r="N38" s="10" t="s">
        <v>925</v>
      </c>
      <c r="O38" s="15">
        <f>IFERROR(__xludf.DUMMYFUNCTION("IF(ISBLANK($C38), """", GOOGLEFINANCE($C38, ""price""))"),256.98)</f>
        <v>256.98</v>
      </c>
      <c r="P38" s="16">
        <f t="shared" si="2"/>
        <v>0.005241746206</v>
      </c>
      <c r="Q38" s="16">
        <f>IFERROR(__xludf.DUMMYFUNCTION("IF(OR(ISBLANK($G38), IFERROR(INDEX(GOOGLEFINANCE($C38, ""price"", WORKDAY(INT($B38), 1)), 2, 2), """")=""""), """", IF($D38=""LONG"", (IFERROR(INDEX(GOOGLEFINANCE($C38, ""price"", WORKDAY(INT($B38), 1)), 2, 2), """")-$G38)/$G38, ($G38-IFERROR(INDEX(GOOGLE"&amp;"FINANCE($C38, ""price"", WORKDAY(INT($B38), 1)), 2, 2), """"))/$G38))"),0.01419965576592081)</f>
        <v>0.01419965577</v>
      </c>
      <c r="R38" s="16">
        <f>IFERROR(__xludf.DUMMYFUNCTION("IF(OR(ISBLANK($G38), IFERROR(INDEX(GOOGLEFINANCE($C38, ""price"", WORKDAY(INT($B38), 5)), 2, 2), """")=""""), """", IF($D38=""LONG"", (IFERROR(INDEX(GOOGLEFINANCE($C38, ""price"", WORKDAY(INT($B38), 5)), 2, 2), """")-$G38)/$G38, ($G38-IFERROR(INDEX(GOOGLE"&amp;"FINANCE($C38, ""price"", WORKDAY(INT($B38), 5)), 2, 2), """"))/$G38))"),0.03868721639805972)</f>
        <v>0.0386872164</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3876</v>
      </c>
      <c r="U38" s="10" t="s">
        <v>240</v>
      </c>
      <c r="V38" s="10" t="s">
        <v>3877</v>
      </c>
      <c r="W38" s="10" t="s">
        <v>51</v>
      </c>
      <c r="X38" s="10" t="s">
        <v>1905</v>
      </c>
    </row>
    <row r="39">
      <c r="A39" s="9">
        <f t="shared" si="1"/>
        <v>38</v>
      </c>
      <c r="B39" s="11">
        <v>46225.667546296296</v>
      </c>
      <c r="C39" s="10" t="s">
        <v>3533</v>
      </c>
      <c r="D39" s="10" t="s">
        <v>36</v>
      </c>
      <c r="E39" s="10" t="s">
        <v>37</v>
      </c>
      <c r="F39" s="13">
        <v>2.0</v>
      </c>
      <c r="G39" s="14">
        <v>82.22</v>
      </c>
      <c r="H39" s="10" t="s">
        <v>3878</v>
      </c>
      <c r="I39" s="10">
        <v>92.9</v>
      </c>
      <c r="O39" s="15">
        <f>IFERROR(__xludf.DUMMYFUNCTION("IF(ISBLANK($C39), """", GOOGLEFINANCE($C39, ""price""))"),76.96)</f>
        <v>76.96</v>
      </c>
      <c r="P39" s="16">
        <f t="shared" si="2"/>
        <v>-0.06397470202</v>
      </c>
      <c r="Q39" s="16">
        <f>IFERROR(__xludf.DUMMYFUNCTION("IF(OR(ISBLANK($G39), IFERROR(INDEX(GOOGLEFINANCE($C39, ""price"", WORKDAY(INT($B39), 1)), 2, 2), """")=""""), """", IF($D39=""LONG"", (IFERROR(INDEX(GOOGLEFINANCE($C39, ""price"", WORKDAY(INT($B39), 1)), 2, 2), """")-$G39)/$G39, ($G39-IFERROR(INDEX(GOOGLE"&amp;"FINANCE($C39, ""price"", WORKDAY(INT($B39), 1)), 2, 2), """"))/$G39))"),-0.012648990513257019)</f>
        <v>-0.01264899051</v>
      </c>
      <c r="R39" s="16">
        <f>IFERROR(__xludf.DUMMYFUNCTION("IF(OR(ISBLANK($G39), IFERROR(INDEX(GOOGLEFINANCE($C39, ""price"", WORKDAY(INT($B39), 5)), 2, 2), """")=""""), """", IF($D39=""LONG"", (IFERROR(INDEX(GOOGLEFINANCE($C39, ""price"", WORKDAY(INT($B39), 5)), 2, 2), """")-$G39)/$G39, ($G39-IFERROR(INDEX(GOOGLE"&amp;"FINANCE($C39, ""price"", WORKDAY(INT($B39), 5)), 2, 2), """"))/$G39))"),-0.013500364874726337)</f>
        <v>-0.01350036487</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3882</v>
      </c>
      <c r="U39" s="10" t="s">
        <v>932</v>
      </c>
      <c r="V39" s="10" t="s">
        <v>933</v>
      </c>
      <c r="W39" s="10" t="s">
        <v>51</v>
      </c>
      <c r="X39" s="10" t="s">
        <v>3186</v>
      </c>
    </row>
    <row r="40">
      <c r="A40" s="9">
        <f t="shared" si="1"/>
        <v>39</v>
      </c>
      <c r="B40" s="11">
        <v>46225.6674537037</v>
      </c>
      <c r="C40" s="10" t="s">
        <v>3883</v>
      </c>
      <c r="D40" s="10" t="s">
        <v>119</v>
      </c>
      <c r="E40" s="10" t="s">
        <v>120</v>
      </c>
      <c r="F40" s="13">
        <v>4.0</v>
      </c>
      <c r="G40" s="14">
        <v>54.03</v>
      </c>
      <c r="H40" s="10" t="s">
        <v>3884</v>
      </c>
      <c r="I40" s="10">
        <v>25.4</v>
      </c>
      <c r="O40" s="15">
        <f>IFERROR(__xludf.DUMMYFUNCTION("IF(ISBLANK($C40), """", GOOGLEFINANCE($C40, ""price""))"),51.6)</f>
        <v>51.6</v>
      </c>
      <c r="P40" s="16">
        <f t="shared" si="2"/>
        <v>0.04497501388</v>
      </c>
      <c r="Q40" s="16">
        <f>IFERROR(__xludf.DUMMYFUNCTION("IF(OR(ISBLANK($G40), IFERROR(INDEX(GOOGLEFINANCE($C40, ""price"", WORKDAY(INT($B40), 1)), 2, 2), """")=""""), """", IF($D40=""LONG"", (IFERROR(INDEX(GOOGLEFINANCE($C40, ""price"", WORKDAY(INT($B40), 1)), 2, 2), """")-$G40)/$G40, ($G40-IFERROR(INDEX(GOOGLE"&amp;"FINANCE($C40, ""price"", WORKDAY(INT($B40), 1)), 2, 2), """"))/$G40))"),0.011845271145659829)</f>
        <v>0.01184527115</v>
      </c>
      <c r="R40" s="16">
        <f>IFERROR(__xludf.DUMMYFUNCTION("IF(OR(ISBLANK($G40), IFERROR(INDEX(GOOGLEFINANCE($C40, ""price"", WORKDAY(INT($B40), 5)), 2, 2), """")=""""), """", IF($D40=""LONG"", (IFERROR(INDEX(GOOGLEFINANCE($C40, ""price"", WORKDAY(INT($B40), 5)), 2, 2), """")-$G40)/$G40, ($G40-IFERROR(INDEX(GOOGLE"&amp;"FINANCE($C40, ""price"", WORKDAY(INT($B40), 5)), 2, 2), """"))/$G40))"),0.027022024801036475)</f>
        <v>0.0270220248</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3890</v>
      </c>
      <c r="U40" s="10" t="s">
        <v>984</v>
      </c>
      <c r="V40" s="10" t="s">
        <v>985</v>
      </c>
      <c r="W40" s="10" t="s">
        <v>51</v>
      </c>
      <c r="X40" s="10" t="s">
        <v>984</v>
      </c>
    </row>
    <row r="41">
      <c r="A41" s="9">
        <f t="shared" si="1"/>
        <v>40</v>
      </c>
      <c r="B41" s="11">
        <v>46225.6675</v>
      </c>
      <c r="C41" s="10" t="s">
        <v>444</v>
      </c>
      <c r="D41" s="10" t="s">
        <v>36</v>
      </c>
      <c r="E41" s="10" t="s">
        <v>37</v>
      </c>
      <c r="F41" s="13">
        <v>2.0</v>
      </c>
      <c r="G41" s="14">
        <v>348.73</v>
      </c>
      <c r="H41" s="10" t="s">
        <v>1310</v>
      </c>
      <c r="I41" s="10">
        <v>95.4</v>
      </c>
      <c r="O41" s="15">
        <f>IFERROR(__xludf.DUMMYFUNCTION("IF(ISBLANK($C41), """", GOOGLEFINANCE($C41, ""price""))"),342.6)</f>
        <v>342.6</v>
      </c>
      <c r="P41" s="16">
        <f t="shared" si="2"/>
        <v>-0.01757806899</v>
      </c>
      <c r="Q41" s="16">
        <f>IFERROR(__xludf.DUMMYFUNCTION("IF(OR(ISBLANK($G41), IFERROR(INDEX(GOOGLEFINANCE($C41, ""price"", WORKDAY(INT($B41), 1)), 2, 2), """")=""""), """", IF($D41=""LONG"", (IFERROR(INDEX(GOOGLEFINANCE($C41, ""price"", WORKDAY(INT($B41), 1)), 2, 2), """")-$G41)/$G41, ($G41-IFERROR(INDEX(GOOGLE"&amp;"FINANCE($C41, ""price"", WORKDAY(INT($B41), 1)), 2, 2), """"))/$G41))"),-0.022624953402345778)</f>
        <v>-0.0226249534</v>
      </c>
      <c r="R41" s="16">
        <f>IFERROR(__xludf.DUMMYFUNCTION("IF(OR(ISBLANK($G41), IFERROR(INDEX(GOOGLEFINANCE($C41, ""price"", WORKDAY(INT($B41), 5)), 2, 2), """")=""""), """", IF($D41=""LONG"", (IFERROR(INDEX(GOOGLEFINANCE($C41, ""price"", WORKDAY(INT($B41), 5)), 2, 2), """")-$G41)/$G41, ($G41-IFERROR(INDEX(GOOGLE"&amp;"FINANCE($C41, ""price"", WORKDAY(INT($B41), 5)), 2, 2), """"))/$G41))"),-0.049407851346313814)</f>
        <v>-0.04940785135</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3894</v>
      </c>
      <c r="U41" s="10" t="s">
        <v>984</v>
      </c>
      <c r="V41" s="10" t="s">
        <v>933</v>
      </c>
      <c r="W41" s="10" t="s">
        <v>51</v>
      </c>
      <c r="X41" s="10" t="s">
        <v>984</v>
      </c>
    </row>
    <row r="42">
      <c r="A42" s="9">
        <f t="shared" si="1"/>
        <v>41</v>
      </c>
      <c r="B42" s="11">
        <v>46225.66752314815</v>
      </c>
      <c r="C42" s="10" t="s">
        <v>3566</v>
      </c>
      <c r="D42" s="10" t="s">
        <v>36</v>
      </c>
      <c r="E42" s="10" t="s">
        <v>37</v>
      </c>
      <c r="F42" s="13">
        <v>2.0</v>
      </c>
      <c r="G42" s="14">
        <v>352.29</v>
      </c>
      <c r="H42" s="10" t="s">
        <v>3896</v>
      </c>
      <c r="I42" s="10">
        <v>97.4</v>
      </c>
      <c r="O42" s="15">
        <f>IFERROR(__xludf.DUMMYFUNCTION("IF(ISBLANK($C42), """", GOOGLEFINANCE($C42, ""price""))"),360.75)</f>
        <v>360.75</v>
      </c>
      <c r="P42" s="16">
        <f t="shared" si="2"/>
        <v>0.0240143064</v>
      </c>
      <c r="Q42" s="16">
        <f>IFERROR(__xludf.DUMMYFUNCTION("IF(OR(ISBLANK($G42), IFERROR(INDEX(GOOGLEFINANCE($C42, ""price"", WORKDAY(INT($B42), 1)), 2, 2), """")=""""), """", IF($D42=""LONG"", (IFERROR(INDEX(GOOGLEFINANCE($C42, ""price"", WORKDAY(INT($B42), 1)), 2, 2), """")-$G42)/$G42, ($G42-IFERROR(INDEX(GOOGLE"&amp;"FINANCE($C42, ""price"", WORKDAY(INT($B42), 1)), 2, 2), """"))/$G42))"),0.009906611030684812)</f>
        <v>0.009906611031</v>
      </c>
      <c r="R42" s="16">
        <f>IFERROR(__xludf.DUMMYFUNCTION("IF(OR(ISBLANK($G42), IFERROR(INDEX(GOOGLEFINANCE($C42, ""price"", WORKDAY(INT($B42), 5)), 2, 2), """")=""""), """", IF($D42=""LONG"", (IFERROR(INDEX(GOOGLEFINANCE($C42, ""price"", WORKDAY(INT($B42), 5)), 2, 2), """")-$G42)/$G42, ($G42-IFERROR(INDEX(GOOGLE"&amp;"FINANCE($C42, ""price"", WORKDAY(INT($B42), 5)), 2, 2), """"))/$G42))"),0.07059524823298988)</f>
        <v>0.07059524823</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3901</v>
      </c>
      <c r="U42" s="10" t="s">
        <v>984</v>
      </c>
      <c r="V42" s="10" t="s">
        <v>933</v>
      </c>
      <c r="W42" s="10" t="s">
        <v>51</v>
      </c>
      <c r="X42" s="10" t="s">
        <v>984</v>
      </c>
    </row>
    <row r="43">
      <c r="A43" s="9">
        <f t="shared" si="1"/>
        <v>42</v>
      </c>
      <c r="B43" s="11">
        <v>46225.66753472222</v>
      </c>
      <c r="C43" s="10" t="s">
        <v>129</v>
      </c>
      <c r="D43" s="10" t="s">
        <v>119</v>
      </c>
      <c r="E43" s="10" t="s">
        <v>120</v>
      </c>
      <c r="F43" s="13">
        <v>4.0</v>
      </c>
      <c r="G43" s="14">
        <v>56.6</v>
      </c>
      <c r="H43" s="10" t="s">
        <v>3906</v>
      </c>
      <c r="I43" s="10">
        <v>6.5</v>
      </c>
      <c r="O43" s="15">
        <f>IFERROR(__xludf.DUMMYFUNCTION("IF(ISBLANK($C43), """", GOOGLEFINANCE($C43, ""price""))"),62.75)</f>
        <v>62.75</v>
      </c>
      <c r="P43" s="16">
        <f t="shared" si="2"/>
        <v>-0.1086572438</v>
      </c>
      <c r="Q43" s="16">
        <f>IFERROR(__xludf.DUMMYFUNCTION("IF(OR(ISBLANK($G43), IFERROR(INDEX(GOOGLEFINANCE($C43, ""price"", WORKDAY(INT($B43), 1)), 2, 2), """")=""""), """", IF($D43=""LONG"", (IFERROR(INDEX(GOOGLEFINANCE($C43, ""price"", WORKDAY(INT($B43), 1)), 2, 2), """")-$G43)/$G43, ($G43-IFERROR(INDEX(GOOGLE"&amp;"FINANCE($C43, ""price"", WORKDAY(INT($B43), 1)), 2, 2), """"))/$G43))"),0.009010600706713745)</f>
        <v>0.009010600707</v>
      </c>
      <c r="R43" s="16">
        <f>IFERROR(__xludf.DUMMYFUNCTION("IF(OR(ISBLANK($G43), IFERROR(INDEX(GOOGLEFINANCE($C43, ""price"", WORKDAY(INT($B43), 5)), 2, 2), """")=""""), """", IF($D43=""LONG"", (IFERROR(INDEX(GOOGLEFINANCE($C43, ""price"", WORKDAY(INT($B43), 5)), 2, 2), """")-$G43)/$G43, ($G43-IFERROR(INDEX(GOOGLE"&amp;"FINANCE($C43, ""price"", WORKDAY(INT($B43), 5)), 2, 2), """"))/$G43))"),-0.03745583038869253)</f>
        <v>-0.03745583039</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3910</v>
      </c>
      <c r="U43" s="10" t="s">
        <v>984</v>
      </c>
      <c r="V43" s="10" t="s">
        <v>985</v>
      </c>
      <c r="W43" s="10" t="s">
        <v>51</v>
      </c>
      <c r="X43" s="10" t="s">
        <v>984</v>
      </c>
    </row>
    <row r="44">
      <c r="A44" s="9">
        <f t="shared" si="1"/>
        <v>43</v>
      </c>
      <c r="B44" s="11">
        <v>46225.66747685185</v>
      </c>
      <c r="C44" s="10" t="s">
        <v>312</v>
      </c>
      <c r="D44" s="10" t="s">
        <v>36</v>
      </c>
      <c r="E44" s="10" t="s">
        <v>37</v>
      </c>
      <c r="F44" s="13">
        <v>2.0</v>
      </c>
      <c r="G44" s="14">
        <v>14.85</v>
      </c>
      <c r="H44" s="10" t="s">
        <v>3912</v>
      </c>
      <c r="I44" s="10">
        <v>88.9</v>
      </c>
      <c r="O44" s="15">
        <f>IFERROR(__xludf.DUMMYFUNCTION("IF(ISBLANK($C44), """", GOOGLEFINANCE($C44, ""price""))"),14.7)</f>
        <v>14.7</v>
      </c>
      <c r="P44" s="16">
        <f t="shared" si="2"/>
        <v>-0.0101010101</v>
      </c>
      <c r="Q44" s="16">
        <f>IFERROR(__xludf.DUMMYFUNCTION("IF(OR(ISBLANK($G44), IFERROR(INDEX(GOOGLEFINANCE($C44, ""price"", WORKDAY(INT($B44), 1)), 2, 2), """")=""""), """", IF($D44=""LONG"", (IFERROR(INDEX(GOOGLEFINANCE($C44, ""price"", WORKDAY(INT($B44), 1)), 2, 2), """")-$G44)/$G44, ($G44-IFERROR(INDEX(GOOGLE"&amp;"FINANCE($C44, ""price"", WORKDAY(INT($B44), 1)), 2, 2), """"))/$G44))"),-0.001346801346801318)</f>
        <v>-0.001346801347</v>
      </c>
      <c r="R44" s="16">
        <f>IFERROR(__xludf.DUMMYFUNCTION("IF(OR(ISBLANK($G44), IFERROR(INDEX(GOOGLEFINANCE($C44, ""price"", WORKDAY(INT($B44), 5)), 2, 2), """")=""""), """", IF($D44=""LONG"", (IFERROR(INDEX(GOOGLEFINANCE($C44, ""price"", WORKDAY(INT($B44), 5)), 2, 2), """")-$G44)/$G44, ($G44-IFERROR(INDEX(GOOGLE"&amp;"FINANCE($C44, ""price"", WORKDAY(INT($B44), 5)), 2, 2), """"))/$G44))"),-0.0020202020202019773)</f>
        <v>-0.00202020202</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3916</v>
      </c>
      <c r="U44" s="10" t="s">
        <v>984</v>
      </c>
      <c r="V44" s="10" t="s">
        <v>2714</v>
      </c>
      <c r="W44" s="10" t="s">
        <v>51</v>
      </c>
      <c r="X44" s="10" t="s">
        <v>984</v>
      </c>
    </row>
    <row r="45">
      <c r="A45" s="9">
        <f t="shared" si="1"/>
        <v>44</v>
      </c>
      <c r="B45" s="11">
        <v>46225.66753472222</v>
      </c>
      <c r="C45" s="10" t="s">
        <v>288</v>
      </c>
      <c r="D45" s="10" t="s">
        <v>36</v>
      </c>
      <c r="E45" s="10" t="s">
        <v>37</v>
      </c>
      <c r="F45" s="13">
        <v>2.0</v>
      </c>
      <c r="G45" s="14">
        <v>19.13</v>
      </c>
      <c r="H45" s="10" t="s">
        <v>3920</v>
      </c>
      <c r="I45" s="10">
        <v>88.5</v>
      </c>
      <c r="O45" s="15">
        <f>IFERROR(__xludf.DUMMYFUNCTION("IF(ISBLANK($C45), """", GOOGLEFINANCE($C45, ""price""))"),19.18)</f>
        <v>19.18</v>
      </c>
      <c r="P45" s="16">
        <f t="shared" si="2"/>
        <v>0.002613695766</v>
      </c>
      <c r="Q45" s="16">
        <f>IFERROR(__xludf.DUMMYFUNCTION("IF(OR(ISBLANK($G45), IFERROR(INDEX(GOOGLEFINANCE($C45, ""price"", WORKDAY(INT($B45), 1)), 2, 2), """")=""""), """", IF($D45=""LONG"", (IFERROR(INDEX(GOOGLEFINANCE($C45, ""price"", WORKDAY(INT($B45), 1)), 2, 2), """")-$G45)/$G45, ($G45-IFERROR(INDEX(GOOGLE"&amp;"FINANCE($C45, ""price"", WORKDAY(INT($B45), 1)), 2, 2), """"))/$G45))"),-0.012023000522739176)</f>
        <v>-0.01202300052</v>
      </c>
      <c r="R45" s="16">
        <f>IFERROR(__xludf.DUMMYFUNCTION("IF(OR(ISBLANK($G45), IFERROR(INDEX(GOOGLEFINANCE($C45, ""price"", WORKDAY(INT($B45), 5)), 2, 2), """")=""""), """", IF($D45=""LONG"", (IFERROR(INDEX(GOOGLEFINANCE($C45, ""price"", WORKDAY(INT($B45), 5)), 2, 2), """")-$G45)/$G45, ($G45-IFERROR(INDEX(GOOGLE"&amp;"FINANCE($C45, ""price"", WORKDAY(INT($B45), 5)), 2, 2), """"))/$G45))"),0.034500784108729754)</f>
        <v>0.03450078411</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3925</v>
      </c>
      <c r="U45" s="10" t="s">
        <v>932</v>
      </c>
      <c r="V45" s="10" t="s">
        <v>933</v>
      </c>
      <c r="W45" s="10" t="s">
        <v>51</v>
      </c>
      <c r="X45" s="10" t="s">
        <v>3186</v>
      </c>
    </row>
    <row r="46">
      <c r="A46" s="9">
        <f t="shared" si="1"/>
        <v>45</v>
      </c>
      <c r="B46" s="11">
        <v>46225.66758101852</v>
      </c>
      <c r="C46" s="10" t="s">
        <v>191</v>
      </c>
      <c r="D46" s="10" t="s">
        <v>36</v>
      </c>
      <c r="E46" s="10" t="s">
        <v>37</v>
      </c>
      <c r="F46" s="13">
        <v>2.0</v>
      </c>
      <c r="G46" s="14">
        <v>21.75</v>
      </c>
      <c r="H46" s="10" t="s">
        <v>3927</v>
      </c>
      <c r="I46" s="10">
        <v>93.6</v>
      </c>
      <c r="O46" s="15">
        <f>IFERROR(__xludf.DUMMYFUNCTION("IF(ISBLANK($C46), """", GOOGLEFINANCE($C46, ""price""))"),27.01)</f>
        <v>27.01</v>
      </c>
      <c r="P46" s="16">
        <f t="shared" si="2"/>
        <v>0.2418390805</v>
      </c>
      <c r="Q46" s="16">
        <f>IFERROR(__xludf.DUMMYFUNCTION("IF(OR(ISBLANK($G46), IFERROR(INDEX(GOOGLEFINANCE($C46, ""price"", WORKDAY(INT($B46), 1)), 2, 2), """")=""""), """", IF($D46=""LONG"", (IFERROR(INDEX(GOOGLEFINANCE($C46, ""price"", WORKDAY(INT($B46), 1)), 2, 2), """")-$G46)/$G46, ($G46-IFERROR(INDEX(GOOGLE"&amp;"FINANCE($C46, ""price"", WORKDAY(INT($B46), 1)), 2, 2), """"))/$G46))"),-0.0036781609195401517)</f>
        <v>-0.00367816092</v>
      </c>
      <c r="R46" s="16">
        <f>IFERROR(__xludf.DUMMYFUNCTION("IF(OR(ISBLANK($G46), IFERROR(INDEX(GOOGLEFINANCE($C46, ""price"", WORKDAY(INT($B46), 5)), 2, 2), """")=""""), """", IF($D46=""LONG"", (IFERROR(INDEX(GOOGLEFINANCE($C46, ""price"", WORKDAY(INT($B46), 5)), 2, 2), """")-$G46)/$G46, ($G46-IFERROR(INDEX(GOOGLE"&amp;"FINANCE($C46, ""price"", WORKDAY(INT($B46), 5)), 2, 2), """"))/$G46))"),0.13885057471264367)</f>
        <v>0.1388505747</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3931</v>
      </c>
      <c r="U46" s="10" t="s">
        <v>984</v>
      </c>
      <c r="V46" s="10" t="s">
        <v>985</v>
      </c>
      <c r="W46" s="10" t="s">
        <v>51</v>
      </c>
      <c r="X46" s="10" t="s">
        <v>984</v>
      </c>
    </row>
    <row r="47">
      <c r="A47" s="9">
        <f t="shared" si="1"/>
        <v>46</v>
      </c>
      <c r="B47" s="11">
        <v>46225.667708333334</v>
      </c>
      <c r="C47" s="10" t="s">
        <v>3574</v>
      </c>
      <c r="D47" s="10" t="s">
        <v>36</v>
      </c>
      <c r="E47" s="10" t="s">
        <v>37</v>
      </c>
      <c r="F47" s="13">
        <v>2.0</v>
      </c>
      <c r="G47" s="14">
        <v>331.38</v>
      </c>
      <c r="H47" s="10" t="s">
        <v>3214</v>
      </c>
      <c r="I47" s="10">
        <v>94.0</v>
      </c>
      <c r="O47" s="15">
        <f>IFERROR(__xludf.DUMMYFUNCTION("IF(ISBLANK($C47), """", GOOGLEFINANCE($C47, ""price""))"),342.46)</f>
        <v>342.46</v>
      </c>
      <c r="P47" s="16">
        <f t="shared" si="2"/>
        <v>0.03343593458</v>
      </c>
      <c r="Q47" s="16">
        <f>IFERROR(__xludf.DUMMYFUNCTION("IF(OR(ISBLANK($G47), IFERROR(INDEX(GOOGLEFINANCE($C47, ""price"", WORKDAY(INT($B47), 1)), 2, 2), """")=""""), """", IF($D47=""LONG"", (IFERROR(INDEX(GOOGLEFINANCE($C47, ""price"", WORKDAY(INT($B47), 1)), 2, 2), """")-$G47)/$G47, ($G47-IFERROR(INDEX(GOOGLE"&amp;"FINANCE($C47, ""price"", WORKDAY(INT($B47), 1)), 2, 2), """"))/$G47))"),0.051813627859255286)</f>
        <v>0.05181362786</v>
      </c>
      <c r="R47" s="16">
        <f>IFERROR(__xludf.DUMMYFUNCTION("IF(OR(ISBLANK($G47), IFERROR(INDEX(GOOGLEFINANCE($C47, ""price"", WORKDAY(INT($B47), 5)), 2, 2), """")=""""), """", IF($D47=""LONG"", (IFERROR(INDEX(GOOGLEFINANCE($C47, ""price"", WORKDAY(INT($B47), 5)), 2, 2), """")-$G47)/$G47, ($G47-IFERROR(INDEX(GOOGLE"&amp;"FINANCE($C47, ""price"", WORKDAY(INT($B47), 5)), 2, 2), """"))/$G47))"),0.013157100609572134)</f>
        <v>0.01315710061</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3936</v>
      </c>
      <c r="U47" s="10" t="s">
        <v>984</v>
      </c>
      <c r="V47" s="10" t="s">
        <v>933</v>
      </c>
      <c r="W47" s="10" t="s">
        <v>51</v>
      </c>
      <c r="X47" s="10" t="s">
        <v>984</v>
      </c>
    </row>
    <row r="48">
      <c r="A48" s="9">
        <f t="shared" si="1"/>
        <v>47</v>
      </c>
      <c r="B48" s="11">
        <v>46225.66755787037</v>
      </c>
      <c r="C48" s="10" t="s">
        <v>3615</v>
      </c>
      <c r="D48" s="10" t="s">
        <v>36</v>
      </c>
      <c r="E48" s="10" t="s">
        <v>37</v>
      </c>
      <c r="F48" s="13">
        <v>2.0</v>
      </c>
      <c r="G48" s="14">
        <v>30.96</v>
      </c>
      <c r="H48" s="10" t="s">
        <v>3937</v>
      </c>
      <c r="I48" s="10">
        <v>95.4</v>
      </c>
      <c r="O48" s="15">
        <f>IFERROR(__xludf.DUMMYFUNCTION("IF(ISBLANK($C48), """", GOOGLEFINANCE($C48, ""price""))"),33.87)</f>
        <v>33.87</v>
      </c>
      <c r="P48" s="16">
        <f t="shared" si="2"/>
        <v>0.09399224806</v>
      </c>
      <c r="Q48" s="16">
        <f>IFERROR(__xludf.DUMMYFUNCTION("IF(OR(ISBLANK($G48), IFERROR(INDEX(GOOGLEFINANCE($C48, ""price"", WORKDAY(INT($B48), 1)), 2, 2), """")=""""), """", IF($D48=""LONG"", (IFERROR(INDEX(GOOGLEFINANCE($C48, ""price"", WORKDAY(INT($B48), 1)), 2, 2), """")-$G48)/$G48, ($G48-IFERROR(INDEX(GOOGLE"&amp;"FINANCE($C48, ""price"", WORKDAY(INT($B48), 1)), 2, 2), """"))/$G48))"),-0.039082687338501315)</f>
        <v>-0.03908268734</v>
      </c>
      <c r="R48" s="16">
        <f>IFERROR(__xludf.DUMMYFUNCTION("IF(OR(ISBLANK($G48), IFERROR(INDEX(GOOGLEFINANCE($C48, ""price"", WORKDAY(INT($B48), 5)), 2, 2), """")=""""), """", IF($D48=""LONG"", (IFERROR(INDEX(GOOGLEFINANCE($C48, ""price"", WORKDAY(INT($B48), 5)), 2, 2), """")-$G48)/$G48, ($G48-IFERROR(INDEX(GOOGLE"&amp;"FINANCE($C48, ""price"", WORKDAY(INT($B48), 5)), 2, 2), """"))/$G48))"),0.05426356589147286)</f>
        <v>0.05426356589</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3941</v>
      </c>
      <c r="U48" s="10" t="s">
        <v>984</v>
      </c>
      <c r="V48" s="10" t="s">
        <v>933</v>
      </c>
      <c r="W48" s="10" t="s">
        <v>51</v>
      </c>
      <c r="X48" s="10" t="s">
        <v>984</v>
      </c>
    </row>
    <row r="49">
      <c r="A49" s="9">
        <f t="shared" si="1"/>
        <v>48</v>
      </c>
      <c r="B49" s="11">
        <v>46225.667604166665</v>
      </c>
      <c r="C49" s="10" t="s">
        <v>234</v>
      </c>
      <c r="D49" s="10" t="s">
        <v>36</v>
      </c>
      <c r="E49" s="10" t="s">
        <v>37</v>
      </c>
      <c r="F49" s="13">
        <v>2.0</v>
      </c>
      <c r="G49" s="14">
        <v>64.47</v>
      </c>
      <c r="H49" s="10" t="s">
        <v>3942</v>
      </c>
      <c r="I49" s="10">
        <v>91.0</v>
      </c>
      <c r="O49" s="15">
        <f>IFERROR(__xludf.DUMMYFUNCTION("IF(ISBLANK($C49), """", GOOGLEFINANCE($C49, ""price""))"),63.81)</f>
        <v>63.81</v>
      </c>
      <c r="P49" s="16">
        <f t="shared" si="2"/>
        <v>-0.01023731968</v>
      </c>
      <c r="Q49" s="16">
        <f>IFERROR(__xludf.DUMMYFUNCTION("IF(OR(ISBLANK($G49), IFERROR(INDEX(GOOGLEFINANCE($C49, ""price"", WORKDAY(INT($B49), 1)), 2, 2), """")=""""), """", IF($D49=""LONG"", (IFERROR(INDEX(GOOGLEFINANCE($C49, ""price"", WORKDAY(INT($B49), 1)), 2, 2), """")-$G49)/$G49, ($G49-IFERROR(INDEX(GOOGLE"&amp;"FINANCE($C49, ""price"", WORKDAY(INT($B49), 1)), 2, 2), """"))/$G49))"),-0.017682643089809224)</f>
        <v>-0.01768264309</v>
      </c>
      <c r="R49" s="16">
        <f>IFERROR(__xludf.DUMMYFUNCTION("IF(OR(ISBLANK($G49), IFERROR(INDEX(GOOGLEFINANCE($C49, ""price"", WORKDAY(INT($B49), 5)), 2, 2), """")=""""), """", IF($D49=""LONG"", (IFERROR(INDEX(GOOGLEFINANCE($C49, ""price"", WORKDAY(INT($B49), 5)), 2, 2), """")-$G49)/$G49, ($G49-IFERROR(INDEX(GOOGLE"&amp;"FINANCE($C49, ""price"", WORKDAY(INT($B49), 5)), 2, 2), """"))/$G49))"),-0.025593299208934366)</f>
        <v>-0.02559329921</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3945</v>
      </c>
      <c r="U49" s="10" t="s">
        <v>984</v>
      </c>
      <c r="V49" s="10" t="s">
        <v>2785</v>
      </c>
      <c r="W49" s="10" t="s">
        <v>51</v>
      </c>
      <c r="X49" s="10" t="s">
        <v>984</v>
      </c>
    </row>
    <row r="50">
      <c r="A50" s="9">
        <f t="shared" si="1"/>
        <v>49</v>
      </c>
      <c r="B50" s="11">
        <v>46225.66763888889</v>
      </c>
      <c r="C50" s="10" t="s">
        <v>600</v>
      </c>
      <c r="D50" s="10" t="s">
        <v>36</v>
      </c>
      <c r="E50" s="10" t="s">
        <v>37</v>
      </c>
      <c r="F50" s="13">
        <v>2.0</v>
      </c>
      <c r="G50" s="14">
        <v>218.61</v>
      </c>
      <c r="H50" s="10" t="s">
        <v>3946</v>
      </c>
      <c r="I50" s="10">
        <v>93.5</v>
      </c>
      <c r="L50" s="10" t="s">
        <v>3947</v>
      </c>
      <c r="M50" s="34" t="s">
        <v>951</v>
      </c>
      <c r="N50" s="10" t="s">
        <v>3949</v>
      </c>
      <c r="O50" s="15">
        <f>IFERROR(__xludf.DUMMYFUNCTION("IF(ISBLANK($C50), """", GOOGLEFINANCE($C50, ""price""))"),265.51)</f>
        <v>265.51</v>
      </c>
      <c r="P50" s="16">
        <f t="shared" si="2"/>
        <v>0.2145373039</v>
      </c>
      <c r="Q50" s="16">
        <f>IFERROR(__xludf.DUMMYFUNCTION("IF(OR(ISBLANK($G50), IFERROR(INDEX(GOOGLEFINANCE($C50, ""price"", WORKDAY(INT($B50), 1)), 2, 2), """")=""""), """", IF($D50=""LONG"", (IFERROR(INDEX(GOOGLEFINANCE($C50, ""price"", WORKDAY(INT($B50), 1)), 2, 2), """")-$G50)/$G50, ($G50-IFERROR(INDEX(GOOGLE"&amp;"FINANCE($C50, ""price"", WORKDAY(INT($B50), 1)), 2, 2), """"))/$G50))"),0.04885412378207757)</f>
        <v>0.04885412378</v>
      </c>
      <c r="R50" s="16">
        <f>IFERROR(__xludf.DUMMYFUNCTION("IF(OR(ISBLANK($G50), IFERROR(INDEX(GOOGLEFINANCE($C50, ""price"", WORKDAY(INT($B50), 5)), 2, 2), """")=""""), """", IF($D50=""LONG"", (IFERROR(INDEX(GOOGLEFINANCE($C50, ""price"", WORKDAY(INT($B50), 5)), 2, 2), """")-$G50)/$G50, ($G50-IFERROR(INDEX(GOOGLE"&amp;"FINANCE($C50, ""price"", WORKDAY(INT($B50), 5)), 2, 2), """"))/$G50))"),0.07405882622020948)</f>
        <v>0.07405882622</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3950</v>
      </c>
      <c r="U50" s="10" t="s">
        <v>507</v>
      </c>
      <c r="V50" s="10" t="s">
        <v>3951</v>
      </c>
      <c r="W50" s="10" t="s">
        <v>51</v>
      </c>
      <c r="X50" s="10" t="s">
        <v>2228</v>
      </c>
    </row>
    <row r="51">
      <c r="A51" s="9">
        <f t="shared" si="1"/>
        <v>50</v>
      </c>
      <c r="B51" s="11">
        <v>46225.66763888889</v>
      </c>
      <c r="C51" s="10" t="s">
        <v>358</v>
      </c>
      <c r="D51" s="10" t="s">
        <v>119</v>
      </c>
      <c r="E51" s="10" t="s">
        <v>120</v>
      </c>
      <c r="F51" s="13">
        <v>4.0</v>
      </c>
      <c r="G51" s="14">
        <v>47.67</v>
      </c>
      <c r="H51" s="10" t="s">
        <v>3953</v>
      </c>
      <c r="I51" s="10">
        <v>5.7</v>
      </c>
      <c r="O51" s="15">
        <f>IFERROR(__xludf.DUMMYFUNCTION("IF(ISBLANK($C51), """", GOOGLEFINANCE($C51, ""price""))"),51.54)</f>
        <v>51.54</v>
      </c>
      <c r="P51" s="16">
        <f t="shared" si="2"/>
        <v>-0.08118313405</v>
      </c>
      <c r="Q51" s="16">
        <f>IFERROR(__xludf.DUMMYFUNCTION("IF(OR(ISBLANK($G51), IFERROR(INDEX(GOOGLEFINANCE($C51, ""price"", WORKDAY(INT($B51), 1)), 2, 2), """")=""""), """", IF($D51=""LONG"", (IFERROR(INDEX(GOOGLEFINANCE($C51, ""price"", WORKDAY(INT($B51), 1)), 2, 2), """")-$G51)/$G51, ($G51-IFERROR(INDEX(GOOGLE"&amp;"FINANCE($C51, ""price"", WORKDAY(INT($B51), 1)), 2, 2), """"))/$G51))"),0.009439899307740777)</f>
        <v>0.009439899308</v>
      </c>
      <c r="R51" s="16">
        <f>IFERROR(__xludf.DUMMYFUNCTION("IF(OR(ISBLANK($G51), IFERROR(INDEX(GOOGLEFINANCE($C51, ""price"", WORKDAY(INT($B51), 5)), 2, 2), """")=""""), """", IF($D51=""LONG"", (IFERROR(INDEX(GOOGLEFINANCE($C51, ""price"", WORKDAY(INT($B51), 5)), 2, 2), """")-$G51)/$G51, ($G51-IFERROR(INDEX(GOOGLE"&amp;"FINANCE($C51, ""price"", WORKDAY(INT($B51), 5)), 2, 2), """"))/$G51))"),-0.027061044682190036)</f>
        <v>-0.02706104468</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3956</v>
      </c>
      <c r="U51" s="10" t="s">
        <v>984</v>
      </c>
      <c r="V51" s="10" t="s">
        <v>985</v>
      </c>
      <c r="W51" s="10" t="s">
        <v>51</v>
      </c>
      <c r="X51" s="10" t="s">
        <v>984</v>
      </c>
    </row>
    <row r="52">
      <c r="A52" s="9">
        <f t="shared" si="1"/>
        <v>51</v>
      </c>
      <c r="B52" s="11">
        <v>46225.66755787037</v>
      </c>
      <c r="C52" s="10" t="s">
        <v>3828</v>
      </c>
      <c r="D52" s="10" t="s">
        <v>36</v>
      </c>
      <c r="E52" s="10" t="s">
        <v>37</v>
      </c>
      <c r="F52" s="13">
        <v>2.0</v>
      </c>
      <c r="G52" s="14">
        <v>146.19</v>
      </c>
      <c r="H52" s="10" t="s">
        <v>3957</v>
      </c>
      <c r="I52" s="10">
        <v>98.8</v>
      </c>
      <c r="O52" s="15">
        <f>IFERROR(__xludf.DUMMYFUNCTION("IF(ISBLANK($C52), """", GOOGLEFINANCE($C52, ""price""))"),156.94)</f>
        <v>156.94</v>
      </c>
      <c r="P52" s="16">
        <f t="shared" si="2"/>
        <v>0.07353444148</v>
      </c>
      <c r="Q52" s="16">
        <f>IFERROR(__xludf.DUMMYFUNCTION("IF(OR(ISBLANK($G52), IFERROR(INDEX(GOOGLEFINANCE($C52, ""price"", WORKDAY(INT($B52), 1)), 2, 2), """")=""""), """", IF($D52=""LONG"", (IFERROR(INDEX(GOOGLEFINANCE($C52, ""price"", WORKDAY(INT($B52), 1)), 2, 2), """")-$G52)/$G52, ($G52-IFERROR(INDEX(GOOGLE"&amp;"FINANCE($C52, ""price"", WORKDAY(INT($B52), 1)), 2, 2), """"))/$G52))"),0.013954442848347987)</f>
        <v>0.01395444285</v>
      </c>
      <c r="R52" s="16">
        <f>IFERROR(__xludf.DUMMYFUNCTION("IF(OR(ISBLANK($G52), IFERROR(INDEX(GOOGLEFINANCE($C52, ""price"", WORKDAY(INT($B52), 5)), 2, 2), """")=""""), """", IF($D52=""LONG"", (IFERROR(INDEX(GOOGLEFINANCE($C52, ""price"", WORKDAY(INT($B52), 5)), 2, 2), """")-$G52)/$G52, ($G52-IFERROR(INDEX(GOOGLE"&amp;"FINANCE($C52, ""price"", WORKDAY(INT($B52), 5)), 2, 2), """"))/$G52))"),0.10233258088788569)</f>
        <v>0.1023325809</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3960</v>
      </c>
      <c r="U52" s="10" t="s">
        <v>984</v>
      </c>
      <c r="V52" s="10" t="s">
        <v>1059</v>
      </c>
      <c r="W52" s="10" t="s">
        <v>51</v>
      </c>
      <c r="X52" s="10" t="s">
        <v>984</v>
      </c>
    </row>
    <row r="53">
      <c r="A53" s="9">
        <f t="shared" si="1"/>
        <v>52</v>
      </c>
      <c r="B53" s="11">
        <v>46225.66763888889</v>
      </c>
      <c r="C53" s="10" t="s">
        <v>406</v>
      </c>
      <c r="D53" s="10" t="s">
        <v>36</v>
      </c>
      <c r="E53" s="10" t="s">
        <v>37</v>
      </c>
      <c r="F53" s="13">
        <v>2.0</v>
      </c>
      <c r="G53" s="14">
        <v>179.21</v>
      </c>
      <c r="H53" s="10" t="s">
        <v>3961</v>
      </c>
      <c r="I53" s="10">
        <v>88.7</v>
      </c>
      <c r="L53" s="10" t="s">
        <v>3962</v>
      </c>
      <c r="M53" s="34" t="s">
        <v>3374</v>
      </c>
      <c r="N53" s="10" t="s">
        <v>925</v>
      </c>
      <c r="O53" s="15">
        <f>IFERROR(__xludf.DUMMYFUNCTION("IF(ISBLANK($C53), """", GOOGLEFINANCE($C53, ""price""))"),179.04)</f>
        <v>179.04</v>
      </c>
      <c r="P53" s="16">
        <f t="shared" si="2"/>
        <v>-0.0009486077786</v>
      </c>
      <c r="Q53" s="16">
        <f>IFERROR(__xludf.DUMMYFUNCTION("IF(OR(ISBLANK($G53), IFERROR(INDEX(GOOGLEFINANCE($C53, ""price"", WORKDAY(INT($B53), 1)), 2, 2), """")=""""), """", IF($D53=""LONG"", (IFERROR(INDEX(GOOGLEFINANCE($C53, ""price"", WORKDAY(INT($B53), 1)), 2, 2), """")-$G53)/$G53, ($G53-IFERROR(INDEX(GOOGLE"&amp;"FINANCE($C53, ""price"", WORKDAY(INT($B53), 1)), 2, 2), """"))/$G53))"),9.486077785837146E-4)</f>
        <v>0.0009486077786</v>
      </c>
      <c r="R53" s="16">
        <f>IFERROR(__xludf.DUMMYFUNCTION("IF(OR(ISBLANK($G53), IFERROR(INDEX(GOOGLEFINANCE($C53, ""price"", WORKDAY(INT($B53), 5)), 2, 2), """")=""""), """", IF($D53=""LONG"", (IFERROR(INDEX(GOOGLEFINANCE($C53, ""price"", WORKDAY(INT($B53), 5)), 2, 2), """")-$G53)/$G53, ($G53-IFERROR(INDEX(GOOGLE"&amp;"FINANCE($C53, ""price"", WORKDAY(INT($B53), 5)), 2, 2), """"))/$G53))"),0.011829697003515454)</f>
        <v>0.011829697</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3965</v>
      </c>
      <c r="U53" s="10" t="s">
        <v>704</v>
      </c>
      <c r="V53" s="10" t="s">
        <v>3968</v>
      </c>
      <c r="W53" s="10" t="s">
        <v>51</v>
      </c>
      <c r="X53" s="10" t="s">
        <v>1885</v>
      </c>
    </row>
    <row r="54">
      <c r="A54" s="9">
        <f t="shared" si="1"/>
        <v>53</v>
      </c>
      <c r="B54" s="11">
        <v>46225.66761574074</v>
      </c>
      <c r="C54" s="10" t="s">
        <v>834</v>
      </c>
      <c r="D54" s="10" t="s">
        <v>119</v>
      </c>
      <c r="E54" s="10" t="s">
        <v>120</v>
      </c>
      <c r="F54" s="13">
        <v>4.0</v>
      </c>
      <c r="G54" s="14">
        <v>119.07</v>
      </c>
      <c r="H54" s="10" t="s">
        <v>3970</v>
      </c>
      <c r="I54" s="10">
        <v>15.8</v>
      </c>
      <c r="O54" s="15">
        <f>IFERROR(__xludf.DUMMYFUNCTION("IF(ISBLANK($C54), """", GOOGLEFINANCE($C54, ""price""))"),127.99)</f>
        <v>127.99</v>
      </c>
      <c r="P54" s="16">
        <f t="shared" si="2"/>
        <v>-0.07491391618</v>
      </c>
      <c r="Q54" s="16">
        <f>IFERROR(__xludf.DUMMYFUNCTION("IF(OR(ISBLANK($G54), IFERROR(INDEX(GOOGLEFINANCE($C54, ""price"", WORKDAY(INT($B54), 1)), 2, 2), """")=""""), """", IF($D54=""LONG"", (IFERROR(INDEX(GOOGLEFINANCE($C54, ""price"", WORKDAY(INT($B54), 1)), 2, 2), """")-$G54)/$G54, ($G54-IFERROR(INDEX(GOOGLE"&amp;"FINANCE($C54, ""price"", WORKDAY(INT($B54), 1)), 2, 2), """"))/$G54))"),5.878894767783084E-4)</f>
        <v>0.0005878894768</v>
      </c>
      <c r="R54" s="16">
        <f>IFERROR(__xludf.DUMMYFUNCTION("IF(OR(ISBLANK($G54), IFERROR(INDEX(GOOGLEFINANCE($C54, ""price"", WORKDAY(INT($B54), 5)), 2, 2), """")=""""), """", IF($D54=""LONG"", (IFERROR(INDEX(GOOGLEFINANCE($C54, ""price"", WORKDAY(INT($B54), 5)), 2, 2), """")-$G54)/$G54, ($G54-IFERROR(INDEX(GOOGLE"&amp;"FINANCE($C54, ""price"", WORKDAY(INT($B54), 5)), 2, 2), """"))/$G54))"),-0.005878894767783681)</f>
        <v>-0.005878894768</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3972</v>
      </c>
      <c r="U54" s="10" t="s">
        <v>49</v>
      </c>
      <c r="V54" s="10" t="s">
        <v>3973</v>
      </c>
      <c r="W54" s="10" t="s">
        <v>51</v>
      </c>
      <c r="X54" s="10" t="s">
        <v>3975</v>
      </c>
    </row>
    <row r="55">
      <c r="A55" s="9">
        <f t="shared" si="1"/>
        <v>54</v>
      </c>
      <c r="B55" s="11">
        <v>46225.66762731481</v>
      </c>
      <c r="C55" s="10" t="s">
        <v>471</v>
      </c>
      <c r="D55" s="10" t="s">
        <v>36</v>
      </c>
      <c r="E55" s="10" t="s">
        <v>37</v>
      </c>
      <c r="F55" s="13">
        <v>2.0</v>
      </c>
      <c r="G55" s="14">
        <v>373.14</v>
      </c>
      <c r="H55" s="10" t="s">
        <v>3976</v>
      </c>
      <c r="I55" s="10">
        <v>93.7</v>
      </c>
      <c r="O55" s="15">
        <f>IFERROR(__xludf.DUMMYFUNCTION("IF(ISBLANK($C55), """", GOOGLEFINANCE($C55, ""price""))"),386.92)</f>
        <v>386.92</v>
      </c>
      <c r="P55" s="16">
        <f t="shared" si="2"/>
        <v>0.03692983867</v>
      </c>
      <c r="Q55" s="16">
        <f>IFERROR(__xludf.DUMMYFUNCTION("IF(OR(ISBLANK($G55), IFERROR(INDEX(GOOGLEFINANCE($C55, ""price"", WORKDAY(INT($B55), 1)), 2, 2), """")=""""), """", IF($D55=""LONG"", (IFERROR(INDEX(GOOGLEFINANCE($C55, ""price"", WORKDAY(INT($B55), 1)), 2, 2), """")-$G55)/$G55, ($G55-IFERROR(INDEX(GOOGLE"&amp;"FINANCE($C55, ""price"", WORKDAY(INT($B55), 1)), 2, 2), """"))/$G55))"),0.02318164763895598)</f>
        <v>0.02318164764</v>
      </c>
      <c r="R55" s="16">
        <f>IFERROR(__xludf.DUMMYFUNCTION("IF(OR(ISBLANK($G55), IFERROR(INDEX(GOOGLEFINANCE($C55, ""price"", WORKDAY(INT($B55), 5)), 2, 2), """")=""""), """", IF($D55=""LONG"", (IFERROR(INDEX(GOOGLEFINANCE($C55, ""price"", WORKDAY(INT($B55), 5)), 2, 2), """")-$G55)/$G55, ($G55-IFERROR(INDEX(GOOGLE"&amp;"FINANCE($C55, ""price"", WORKDAY(INT($B55), 5)), 2, 2), """"))/$G55))"),0.020957281449321952)</f>
        <v>0.02095728145</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3979</v>
      </c>
      <c r="U55" s="10" t="s">
        <v>984</v>
      </c>
      <c r="V55" s="10" t="s">
        <v>933</v>
      </c>
      <c r="W55" s="10" t="s">
        <v>51</v>
      </c>
      <c r="X55" s="10" t="s">
        <v>984</v>
      </c>
    </row>
    <row r="56">
      <c r="A56" s="9">
        <f t="shared" si="1"/>
        <v>55</v>
      </c>
      <c r="B56" s="11">
        <v>46225.66769675926</v>
      </c>
      <c r="C56" s="10" t="s">
        <v>248</v>
      </c>
      <c r="D56" s="10" t="s">
        <v>36</v>
      </c>
      <c r="E56" s="10" t="s">
        <v>37</v>
      </c>
      <c r="F56" s="13">
        <v>2.0</v>
      </c>
      <c r="G56" s="14">
        <v>72.43</v>
      </c>
      <c r="H56" s="10" t="s">
        <v>3980</v>
      </c>
      <c r="I56" s="10">
        <v>89.1</v>
      </c>
      <c r="O56" s="15">
        <f>IFERROR(__xludf.DUMMYFUNCTION("IF(ISBLANK($C56), """", GOOGLEFINANCE($C56, ""price""))"),72.43)</f>
        <v>72.43</v>
      </c>
      <c r="P56" s="16">
        <f t="shared" si="2"/>
        <v>0</v>
      </c>
      <c r="Q56" s="16">
        <f>IFERROR(__xludf.DUMMYFUNCTION("IF(OR(ISBLANK($G56), IFERROR(INDEX(GOOGLEFINANCE($C56, ""price"", WORKDAY(INT($B56), 1)), 2, 2), """")=""""), """", IF($D56=""LONG"", (IFERROR(INDEX(GOOGLEFINANCE($C56, ""price"", WORKDAY(INT($B56), 1)), 2, 2), """")-$G56)/$G56, ($G56-IFERROR(INDEX(GOOGLE"&amp;"FINANCE($C56, ""price"", WORKDAY(INT($B56), 1)), 2, 2), """"))/$G56))"),-0.008698053292834594)</f>
        <v>-0.008698053293</v>
      </c>
      <c r="R56" s="16">
        <f>IFERROR(__xludf.DUMMYFUNCTION("IF(OR(ISBLANK($G56), IFERROR(INDEX(GOOGLEFINANCE($C56, ""price"", WORKDAY(INT($B56), 5)), 2, 2), """")=""""), """", IF($D56=""LONG"", (IFERROR(INDEX(GOOGLEFINANCE($C56, ""price"", WORKDAY(INT($B56), 5)), 2, 2), """")-$G56)/$G56, ($G56-IFERROR(INDEX(GOOGLE"&amp;"FINANCE($C56, ""price"", WORKDAY(INT($B56), 5)), 2, 2), """"))/$G56))"),-0.015463205853927992)</f>
        <v>-0.01546320585</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3983</v>
      </c>
      <c r="U56" s="10" t="s">
        <v>984</v>
      </c>
      <c r="V56" s="10" t="s">
        <v>2785</v>
      </c>
      <c r="W56" s="10" t="s">
        <v>51</v>
      </c>
      <c r="X56" s="10" t="s">
        <v>984</v>
      </c>
    </row>
    <row r="57">
      <c r="A57" s="9">
        <f t="shared" si="1"/>
        <v>56</v>
      </c>
      <c r="B57" s="11">
        <v>46225.667662037034</v>
      </c>
      <c r="C57" s="10" t="s">
        <v>174</v>
      </c>
      <c r="D57" s="10" t="s">
        <v>36</v>
      </c>
      <c r="E57" s="10" t="s">
        <v>37</v>
      </c>
      <c r="F57" s="13">
        <v>2.0</v>
      </c>
      <c r="G57" s="14">
        <v>25.21</v>
      </c>
      <c r="H57" s="10" t="s">
        <v>3984</v>
      </c>
      <c r="I57" s="10">
        <v>90.7</v>
      </c>
      <c r="O57" s="15">
        <f>IFERROR(__xludf.DUMMYFUNCTION("IF(ISBLANK($C57), """", GOOGLEFINANCE($C57, ""price""))"),25.09)</f>
        <v>25.09</v>
      </c>
      <c r="P57" s="16">
        <f t="shared" si="2"/>
        <v>-0.004760015867</v>
      </c>
      <c r="Q57" s="16">
        <f>IFERROR(__xludf.DUMMYFUNCTION("IF(OR(ISBLANK($G57), IFERROR(INDEX(GOOGLEFINANCE($C57, ""price"", WORKDAY(INT($B57), 1)), 2, 2), """")=""""), """", IF($D57=""LONG"", (IFERROR(INDEX(GOOGLEFINANCE($C57, ""price"", WORKDAY(INT($B57), 1)), 2, 2), """")-$G57)/$G57, ($G57-IFERROR(INDEX(GOOGLE"&amp;"FINANCE($C57, ""price"", WORKDAY(INT($B57), 1)), 2, 2), """"))/$G57))"),-0.0075366917889726805)</f>
        <v>-0.007536691789</v>
      </c>
      <c r="R57" s="16">
        <f>IFERROR(__xludf.DUMMYFUNCTION("IF(OR(ISBLANK($G57), IFERROR(INDEX(GOOGLEFINANCE($C57, ""price"", WORKDAY(INT($B57), 5)), 2, 2), """")=""""), """", IF($D57=""LONG"", (IFERROR(INDEX(GOOGLEFINANCE($C57, ""price"", WORKDAY(INT($B57), 5)), 2, 2), """")-$G57)/$G57, ($G57-IFERROR(INDEX(GOOGLE"&amp;"FINANCE($C57, ""price"", WORKDAY(INT($B57), 5)), 2, 2), """"))/$G57))"),0.023403411344704476)</f>
        <v>0.02340341134</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3990</v>
      </c>
      <c r="U57" s="10" t="s">
        <v>984</v>
      </c>
      <c r="V57" s="10" t="s">
        <v>2714</v>
      </c>
      <c r="W57" s="10" t="s">
        <v>51</v>
      </c>
      <c r="X57" s="10" t="s">
        <v>984</v>
      </c>
    </row>
    <row r="58">
      <c r="A58" s="9">
        <f t="shared" si="1"/>
        <v>57</v>
      </c>
      <c r="B58" s="11">
        <v>46225.66736111111</v>
      </c>
      <c r="C58" s="10" t="s">
        <v>322</v>
      </c>
      <c r="D58" s="10" t="s">
        <v>119</v>
      </c>
      <c r="E58" s="10" t="s">
        <v>120</v>
      </c>
      <c r="F58" s="13">
        <v>4.0</v>
      </c>
      <c r="G58" s="14">
        <v>125.86</v>
      </c>
      <c r="H58" s="10" t="s">
        <v>3991</v>
      </c>
      <c r="I58" s="10">
        <v>7.7</v>
      </c>
      <c r="O58" s="15">
        <f>IFERROR(__xludf.DUMMYFUNCTION("IF(ISBLANK($C58), """", GOOGLEFINANCE($C58, ""price""))"),143.47)</f>
        <v>143.47</v>
      </c>
      <c r="P58" s="16">
        <f t="shared" si="2"/>
        <v>-0.1399173685</v>
      </c>
      <c r="Q58" s="16">
        <f>IFERROR(__xludf.DUMMYFUNCTION("IF(OR(ISBLANK($G58), IFERROR(INDEX(GOOGLEFINANCE($C58, ""price"", WORKDAY(INT($B58), 1)), 2, 2), """")=""""), """", IF($D58=""LONG"", (IFERROR(INDEX(GOOGLEFINANCE($C58, ""price"", WORKDAY(INT($B58), 1)), 2, 2), """")-$G58)/$G58, ($G58-IFERROR(INDEX(GOOGLE"&amp;"FINANCE($C58, ""price"", WORKDAY(INT($B58), 1)), 2, 2), """"))/$G58))"),0.04624185603051004)</f>
        <v>0.04624185603</v>
      </c>
      <c r="R58" s="16">
        <f>IFERROR(__xludf.DUMMYFUNCTION("IF(OR(ISBLANK($G58), IFERROR(INDEX(GOOGLEFINANCE($C58, ""price"", WORKDAY(INT($B58), 5)), 2, 2), """")=""""), """", IF($D58=""LONG"", (IFERROR(INDEX(GOOGLEFINANCE($C58, ""price"", WORKDAY(INT($B58), 5)), 2, 2), """")-$G58)/$G58, ($G58-IFERROR(INDEX(GOOGLE"&amp;"FINANCE($C58, ""price"", WORKDAY(INT($B58), 5)), 2, 2), """"))/$G58))"),0.0645161290322581)</f>
        <v>0.06451612903</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3995</v>
      </c>
      <c r="U58" s="10" t="s">
        <v>984</v>
      </c>
      <c r="V58" s="10" t="s">
        <v>933</v>
      </c>
      <c r="W58" s="10" t="s">
        <v>51</v>
      </c>
      <c r="X58" s="10" t="s">
        <v>984</v>
      </c>
    </row>
    <row r="59">
      <c r="A59" s="9">
        <f t="shared" si="1"/>
        <v>58</v>
      </c>
      <c r="B59" s="11">
        <v>46225.66740740741</v>
      </c>
      <c r="C59" s="10" t="s">
        <v>1171</v>
      </c>
      <c r="D59" s="10" t="s">
        <v>36</v>
      </c>
      <c r="E59" s="10" t="s">
        <v>37</v>
      </c>
      <c r="F59" s="13">
        <v>2.0</v>
      </c>
      <c r="G59" s="14">
        <v>245.14</v>
      </c>
      <c r="H59" s="10" t="s">
        <v>3997</v>
      </c>
      <c r="I59" s="10">
        <v>83.1</v>
      </c>
      <c r="O59" s="15">
        <f>IFERROR(__xludf.DUMMYFUNCTION("IF(ISBLANK($C59), """", GOOGLEFINANCE($C59, ""price""))"),236.0)</f>
        <v>236</v>
      </c>
      <c r="P59" s="16">
        <f t="shared" si="2"/>
        <v>-0.03728481684</v>
      </c>
      <c r="Q59" s="16">
        <f>IFERROR(__xludf.DUMMYFUNCTION("IF(OR(ISBLANK($G59), IFERROR(INDEX(GOOGLEFINANCE($C59, ""price"", WORKDAY(INT($B59), 1)), 2, 2), """")=""""), """", IF($D59=""LONG"", (IFERROR(INDEX(GOOGLEFINANCE($C59, ""price"", WORKDAY(INT($B59), 1)), 2, 2), """")-$G59)/$G59, ($G59-IFERROR(INDEX(GOOGLE"&amp;"FINANCE($C59, ""price"", WORKDAY(INT($B59), 1)), 2, 2), """"))/$G59))"),0.00779146610100361)</f>
        <v>0.007791466101</v>
      </c>
      <c r="R59" s="16">
        <f>IFERROR(__xludf.DUMMYFUNCTION("IF(OR(ISBLANK($G59), IFERROR(INDEX(GOOGLEFINANCE($C59, ""price"", WORKDAY(INT($B59), 5)), 2, 2), """")=""""), """", IF($D59=""LONG"", (IFERROR(INDEX(GOOGLEFINANCE($C59, ""price"", WORKDAY(INT($B59), 5)), 2, 2), """")-$G59)/$G59, ($G59-IFERROR(INDEX(GOOGLE"&amp;"FINANCE($C59, ""price"", WORKDAY(INT($B59), 5)), 2, 2), """"))/$G59))"),-0.0165619645916618)</f>
        <v>-0.01656196459</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4000</v>
      </c>
      <c r="U59" s="10" t="s">
        <v>932</v>
      </c>
      <c r="V59" s="10" t="s">
        <v>933</v>
      </c>
      <c r="W59" s="10" t="s">
        <v>51</v>
      </c>
      <c r="X59" s="10" t="s">
        <v>3186</v>
      </c>
    </row>
    <row r="60">
      <c r="A60" s="9">
        <f t="shared" si="1"/>
        <v>59</v>
      </c>
      <c r="B60" s="11">
        <v>46225.66755787037</v>
      </c>
      <c r="C60" s="10" t="s">
        <v>142</v>
      </c>
      <c r="D60" s="10" t="s">
        <v>119</v>
      </c>
      <c r="E60" s="10" t="s">
        <v>120</v>
      </c>
      <c r="F60" s="13">
        <v>4.0</v>
      </c>
      <c r="G60" s="14">
        <v>85.04</v>
      </c>
      <c r="H60" s="10" t="s">
        <v>4002</v>
      </c>
      <c r="I60" s="10">
        <v>15.3</v>
      </c>
      <c r="O60" s="15">
        <f>IFERROR(__xludf.DUMMYFUNCTION("IF(ISBLANK($C60), """", GOOGLEFINANCE($C60, ""price""))"),74.36)</f>
        <v>74.36</v>
      </c>
      <c r="P60" s="16">
        <f t="shared" si="2"/>
        <v>0.1255879586</v>
      </c>
      <c r="Q60" s="16">
        <f>IFERROR(__xludf.DUMMYFUNCTION("IF(OR(ISBLANK($G60), IFERROR(INDEX(GOOGLEFINANCE($C60, ""price"", WORKDAY(INT($B60), 1)), 2, 2), """")=""""), """", IF($D60=""LONG"", (IFERROR(INDEX(GOOGLEFINANCE($C60, ""price"", WORKDAY(INT($B60), 1)), 2, 2), """")-$G60)/$G60, ($G60-IFERROR(INDEX(GOOGLE"&amp;"FINANCE($C60, ""price"", WORKDAY(INT($B60), 1)), 2, 2), """"))/$G60))"),0.04339134524929459)</f>
        <v>0.04339134525</v>
      </c>
      <c r="R60" s="16">
        <f>IFERROR(__xludf.DUMMYFUNCTION("IF(OR(ISBLANK($G60), IFERROR(INDEX(GOOGLEFINANCE($C60, ""price"", WORKDAY(INT($B60), 5)), 2, 2), """")=""""), """", IF($D60=""LONG"", (IFERROR(INDEX(GOOGLEFINANCE($C60, ""price"", WORKDAY(INT($B60), 5)), 2, 2), """")-$G60)/$G60, ($G60-IFERROR(INDEX(GOOGLE"&amp;"FINANCE($C60, ""price"", WORKDAY(INT($B60), 5)), 2, 2), """"))/$G60))"),0.16074788334901224)</f>
        <v>0.1607478833</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4004</v>
      </c>
      <c r="U60" s="10" t="s">
        <v>984</v>
      </c>
      <c r="V60" s="10" t="s">
        <v>985</v>
      </c>
      <c r="W60" s="10" t="s">
        <v>51</v>
      </c>
      <c r="X60" s="10" t="s">
        <v>984</v>
      </c>
    </row>
    <row r="61">
      <c r="A61" s="9">
        <f t="shared" si="1"/>
        <v>60</v>
      </c>
      <c r="B61" s="11">
        <v>46225.667662037034</v>
      </c>
      <c r="C61" s="10" t="s">
        <v>258</v>
      </c>
      <c r="D61" s="10" t="s">
        <v>36</v>
      </c>
      <c r="E61" s="10" t="s">
        <v>37</v>
      </c>
      <c r="F61" s="13">
        <v>2.0</v>
      </c>
      <c r="G61" s="14">
        <v>116.07</v>
      </c>
      <c r="H61" s="10" t="s">
        <v>4006</v>
      </c>
      <c r="I61" s="10">
        <v>94.1</v>
      </c>
      <c r="O61" s="15">
        <f>IFERROR(__xludf.DUMMYFUNCTION("IF(ISBLANK($C61), """", GOOGLEFINANCE($C61, ""price""))"),113.62)</f>
        <v>113.62</v>
      </c>
      <c r="P61" s="16">
        <f t="shared" si="2"/>
        <v>-0.0211079521</v>
      </c>
      <c r="Q61" s="16">
        <f>IFERROR(__xludf.DUMMYFUNCTION("IF(OR(ISBLANK($G61), IFERROR(INDEX(GOOGLEFINANCE($C61, ""price"", WORKDAY(INT($B61), 1)), 2, 2), """")=""""), """", IF($D61=""LONG"", (IFERROR(INDEX(GOOGLEFINANCE($C61, ""price"", WORKDAY(INT($B61), 1)), 2, 2), """")-$G61)/$G61, ($G61-IFERROR(INDEX(GOOGLE"&amp;"FINANCE($C61, ""price"", WORKDAY(INT($B61), 1)), 2, 2), """"))/$G61))"),-0.009649349530455677)</f>
        <v>-0.00964934953</v>
      </c>
      <c r="R61" s="16">
        <f>IFERROR(__xludf.DUMMYFUNCTION("IF(OR(ISBLANK($G61), IFERROR(INDEX(GOOGLEFINANCE($C61, ""price"", WORKDAY(INT($B61), 5)), 2, 2), """")=""""), """", IF($D61=""LONG"", (IFERROR(INDEX(GOOGLEFINANCE($C61, ""price"", WORKDAY(INT($B61), 5)), 2, 2), """")-$G61)/$G61, ($G61-IFERROR(INDEX(GOOGLE"&amp;"FINANCE($C61, ""price"", WORKDAY(INT($B61), 5)), 2, 2), """"))/$G61))"),0.024123373826139497)</f>
        <v>0.02412337383</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4009</v>
      </c>
      <c r="U61" s="10" t="s">
        <v>507</v>
      </c>
      <c r="V61" s="10" t="s">
        <v>4010</v>
      </c>
      <c r="W61" s="10" t="s">
        <v>51</v>
      </c>
      <c r="X61" s="10" t="s">
        <v>2228</v>
      </c>
    </row>
    <row r="62">
      <c r="A62" s="9">
        <f t="shared" si="1"/>
        <v>61</v>
      </c>
      <c r="B62" s="11">
        <v>46225.667662037034</v>
      </c>
      <c r="C62" s="10" t="s">
        <v>94</v>
      </c>
      <c r="D62" s="10" t="s">
        <v>36</v>
      </c>
      <c r="E62" s="10" t="s">
        <v>37</v>
      </c>
      <c r="F62" s="13">
        <v>2.0</v>
      </c>
      <c r="G62" s="14">
        <v>57.68</v>
      </c>
      <c r="H62" s="10" t="s">
        <v>4011</v>
      </c>
      <c r="I62" s="10">
        <v>91.8</v>
      </c>
      <c r="O62" s="15">
        <f>IFERROR(__xludf.DUMMYFUNCTION("IF(ISBLANK($C62), """", GOOGLEFINANCE($C62, ""price""))"),56.96)</f>
        <v>56.96</v>
      </c>
      <c r="P62" s="16">
        <f t="shared" si="2"/>
        <v>-0.01248266297</v>
      </c>
      <c r="Q62" s="16">
        <f>IFERROR(__xludf.DUMMYFUNCTION("IF(OR(ISBLANK($G62), IFERROR(INDEX(GOOGLEFINANCE($C62, ""price"", WORKDAY(INT($B62), 1)), 2, 2), """")=""""), """", IF($D62=""LONG"", (IFERROR(INDEX(GOOGLEFINANCE($C62, ""price"", WORKDAY(INT($B62), 1)), 2, 2), """")-$G62)/$G62, ($G62-IFERROR(INDEX(GOOGLE"&amp;"FINANCE($C62, ""price"", WORKDAY(INT($B62), 1)), 2, 2), """"))/$G62))"),-0.00918862690707353)</f>
        <v>-0.009188626907</v>
      </c>
      <c r="R62" s="16">
        <f>IFERROR(__xludf.DUMMYFUNCTION("IF(OR(ISBLANK($G62), IFERROR(INDEX(GOOGLEFINANCE($C62, ""price"", WORKDAY(INT($B62), 5)), 2, 2), """")=""""), """", IF($D62=""LONG"", (IFERROR(INDEX(GOOGLEFINANCE($C62, ""price"", WORKDAY(INT($B62), 5)), 2, 2), """")-$G62)/$G62, ($G62-IFERROR(INDEX(GOOGLE"&amp;"FINANCE($C62, ""price"", WORKDAY(INT($B62), 5)), 2, 2), """"))/$G62))"),-0.019244105409153944)</f>
        <v>-0.01924410541</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4013</v>
      </c>
      <c r="U62" s="10" t="s">
        <v>240</v>
      </c>
      <c r="V62" s="10" t="s">
        <v>4014</v>
      </c>
      <c r="W62" s="10" t="s">
        <v>51</v>
      </c>
      <c r="X62" s="10" t="s">
        <v>1905</v>
      </c>
    </row>
    <row r="63">
      <c r="A63" s="9">
        <f t="shared" si="1"/>
        <v>62</v>
      </c>
      <c r="B63" s="11">
        <v>46225.667662037034</v>
      </c>
      <c r="C63" s="10" t="s">
        <v>2066</v>
      </c>
      <c r="D63" s="10" t="s">
        <v>36</v>
      </c>
      <c r="E63" s="10" t="s">
        <v>37</v>
      </c>
      <c r="F63" s="13">
        <v>2.0</v>
      </c>
      <c r="G63" s="14">
        <v>91.16</v>
      </c>
      <c r="H63" s="10" t="s">
        <v>4016</v>
      </c>
      <c r="I63" s="10">
        <v>98.6</v>
      </c>
      <c r="O63" s="15">
        <f>IFERROR(__xludf.DUMMYFUNCTION("IF(ISBLANK($C63), """", GOOGLEFINANCE($C63, ""price""))"),98.02)</f>
        <v>98.02</v>
      </c>
      <c r="P63" s="16">
        <f t="shared" si="2"/>
        <v>0.07525230364</v>
      </c>
      <c r="Q63" s="16">
        <f>IFERROR(__xludf.DUMMYFUNCTION("IF(OR(ISBLANK($G63), IFERROR(INDEX(GOOGLEFINANCE($C63, ""price"", WORKDAY(INT($B63), 1)), 2, 2), """")=""""), """", IF($D63=""LONG"", (IFERROR(INDEX(GOOGLEFINANCE($C63, ""price"", WORKDAY(INT($B63), 1)), 2, 2), """")-$G63)/$G63, ($G63-IFERROR(INDEX(GOOGLE"&amp;"FINANCE($C63, ""price"", WORKDAY(INT($B63), 1)), 2, 2), """"))/$G63))"),0.00372970601140855)</f>
        <v>0.003729706011</v>
      </c>
      <c r="R63" s="16">
        <f>IFERROR(__xludf.DUMMYFUNCTION("IF(OR(ISBLANK($G63), IFERROR(INDEX(GOOGLEFINANCE($C63, ""price"", WORKDAY(INT($B63), 5)), 2, 2), """")=""""), """", IF($D63=""LONG"", (IFERROR(INDEX(GOOGLEFINANCE($C63, ""price"", WORKDAY(INT($B63), 5)), 2, 2), """")-$G63)/$G63, ($G63-IFERROR(INDEX(GOOGLE"&amp;"FINANCE($C63, ""price"", WORKDAY(INT($B63), 5)), 2, 2), """"))/$G63))"),0.08413777972795088)</f>
        <v>0.08413777973</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4017</v>
      </c>
      <c r="U63" s="10" t="s">
        <v>984</v>
      </c>
      <c r="V63" s="10" t="s">
        <v>985</v>
      </c>
      <c r="W63" s="10" t="s">
        <v>51</v>
      </c>
      <c r="X63" s="10" t="s">
        <v>984</v>
      </c>
    </row>
    <row r="64">
      <c r="A64" s="9">
        <f t="shared" si="1"/>
        <v>63</v>
      </c>
      <c r="B64" s="11">
        <v>46225.66775462963</v>
      </c>
      <c r="C64" s="10" t="s">
        <v>257</v>
      </c>
      <c r="D64" s="10" t="s">
        <v>36</v>
      </c>
      <c r="E64" s="10" t="s">
        <v>37</v>
      </c>
      <c r="F64" s="13">
        <v>2.0</v>
      </c>
      <c r="G64" s="14">
        <v>67.41</v>
      </c>
      <c r="H64" s="10" t="s">
        <v>4018</v>
      </c>
      <c r="I64" s="10">
        <v>93.9</v>
      </c>
      <c r="L64" s="10" t="s">
        <v>4019</v>
      </c>
      <c r="M64" s="34" t="s">
        <v>2106</v>
      </c>
      <c r="N64" s="10" t="s">
        <v>925</v>
      </c>
      <c r="O64" s="15">
        <f>IFERROR(__xludf.DUMMYFUNCTION("IF(ISBLANK($C64), """", GOOGLEFINANCE($C64, ""price""))"),68.81)</f>
        <v>68.81</v>
      </c>
      <c r="P64" s="16">
        <f t="shared" si="2"/>
        <v>0.02076843198</v>
      </c>
      <c r="Q64" s="16">
        <f>IFERROR(__xludf.DUMMYFUNCTION("IF(OR(ISBLANK($G64), IFERROR(INDEX(GOOGLEFINANCE($C64, ""price"", WORKDAY(INT($B64), 1)), 2, 2), """")=""""), """", IF($D64=""LONG"", (IFERROR(INDEX(GOOGLEFINANCE($C64, ""price"", WORKDAY(INT($B64), 1)), 2, 2), """")-$G64)/$G64, ($G64-IFERROR(INDEX(GOOGLE"&amp;"FINANCE($C64, ""price"", WORKDAY(INT($B64), 1)), 2, 2), """"))/$G64))"),0.006378875537754144)</f>
        <v>0.006378875538</v>
      </c>
      <c r="R64" s="16">
        <f>IFERROR(__xludf.DUMMYFUNCTION("IF(OR(ISBLANK($G64), IFERROR(INDEX(GOOGLEFINANCE($C64, ""price"", WORKDAY(INT($B64), 5)), 2, 2), """")=""""), """", IF($D64=""LONG"", (IFERROR(INDEX(GOOGLEFINANCE($C64, ""price"", WORKDAY(INT($B64), 5)), 2, 2), """")-$G64)/$G64, ($G64-IFERROR(INDEX(GOOGLE"&amp;"FINANCE($C64, ""price"", WORKDAY(INT($B64), 5)), 2, 2), """"))/$G64))"),0.08248034416258719)</f>
        <v>0.08248034416</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4022</v>
      </c>
      <c r="U64" s="10" t="s">
        <v>704</v>
      </c>
      <c r="V64" s="10" t="s">
        <v>4023</v>
      </c>
      <c r="W64" s="10" t="s">
        <v>51</v>
      </c>
      <c r="X64" s="10" t="s">
        <v>1885</v>
      </c>
    </row>
    <row r="65">
      <c r="A65" s="9">
        <f t="shared" si="1"/>
        <v>64</v>
      </c>
      <c r="B65" s="11">
        <v>46225.66775462963</v>
      </c>
      <c r="C65" s="10" t="s">
        <v>3081</v>
      </c>
      <c r="D65" s="10" t="s">
        <v>36</v>
      </c>
      <c r="E65" s="10" t="s">
        <v>87</v>
      </c>
      <c r="F65" s="13">
        <v>2.0</v>
      </c>
      <c r="G65" s="14">
        <v>18.09</v>
      </c>
      <c r="H65" s="10" t="s">
        <v>4024</v>
      </c>
      <c r="I65" s="10">
        <v>89.8</v>
      </c>
      <c r="O65" s="15">
        <f>IFERROR(__xludf.DUMMYFUNCTION("IF(ISBLANK($C65), """", GOOGLEFINANCE($C65, ""price""))"),17.0)</f>
        <v>17</v>
      </c>
      <c r="P65" s="16">
        <f t="shared" si="2"/>
        <v>-0.06025428413</v>
      </c>
      <c r="Q65" s="16">
        <f>IFERROR(__xludf.DUMMYFUNCTION("IF(OR(ISBLANK($G65), IFERROR(INDEX(GOOGLEFINANCE($C65, ""price"", WORKDAY(INT($B65), 1)), 2, 2), """")=""""), """", IF($D65=""LONG"", (IFERROR(INDEX(GOOGLEFINANCE($C65, ""price"", WORKDAY(INT($B65), 1)), 2, 2), """")-$G65)/$G65, ($G65-IFERROR(INDEX(GOOGLE"&amp;"FINANCE($C65, ""price"", WORKDAY(INT($B65), 1)), 2, 2), """"))/$G65))"),-0.030403537866224472)</f>
        <v>-0.03040353787</v>
      </c>
      <c r="R65" s="16">
        <f>IFERROR(__xludf.DUMMYFUNCTION("IF(OR(ISBLANK($G65), IFERROR(INDEX(GOOGLEFINANCE($C65, ""price"", WORKDAY(INT($B65), 5)), 2, 2), """")=""""), """", IF($D65=""LONG"", (IFERROR(INDEX(GOOGLEFINANCE($C65, ""price"", WORKDAY(INT($B65), 5)), 2, 2), """")-$G65)/$G65, ($G65-IFERROR(INDEX(GOOGLE"&amp;"FINANCE($C65, ""price"", WORKDAY(INT($B65), 5)), 2, 2), """"))/$G65))"),-0.02100608070757319)</f>
        <v>-0.02100608071</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4028</v>
      </c>
      <c r="U65" s="10" t="s">
        <v>984</v>
      </c>
      <c r="V65" s="10" t="s">
        <v>2714</v>
      </c>
      <c r="W65" s="10" t="s">
        <v>51</v>
      </c>
      <c r="X65" s="10" t="s">
        <v>984</v>
      </c>
    </row>
    <row r="66">
      <c r="A66" s="9">
        <f t="shared" si="1"/>
        <v>65</v>
      </c>
      <c r="B66" s="11">
        <v>46225.66769675926</v>
      </c>
      <c r="C66" s="10" t="s">
        <v>2735</v>
      </c>
      <c r="D66" s="10" t="s">
        <v>119</v>
      </c>
      <c r="E66" s="10" t="s">
        <v>120</v>
      </c>
      <c r="F66" s="13">
        <v>4.0</v>
      </c>
      <c r="G66" s="14">
        <v>8.78</v>
      </c>
      <c r="H66" s="10" t="s">
        <v>4029</v>
      </c>
      <c r="I66" s="10">
        <v>11.7</v>
      </c>
      <c r="O66" s="15">
        <f>IFERROR(__xludf.DUMMYFUNCTION("IF(ISBLANK($C66), """", GOOGLEFINANCE($C66, ""price""))"),9.06)</f>
        <v>9.06</v>
      </c>
      <c r="P66" s="16">
        <f t="shared" si="2"/>
        <v>-0.03189066059</v>
      </c>
      <c r="Q66" s="16">
        <f>IFERROR(__xludf.DUMMYFUNCTION("IF(OR(ISBLANK($G66), IFERROR(INDEX(GOOGLEFINANCE($C66, ""price"", WORKDAY(INT($B66), 1)), 2, 2), """")=""""), """", IF($D66=""LONG"", (IFERROR(INDEX(GOOGLEFINANCE($C66, ""price"", WORKDAY(INT($B66), 1)), 2, 2), """")-$G66)/$G66, ($G66-IFERROR(INDEX(GOOGLE"&amp;"FINANCE($C66, ""price"", WORKDAY(INT($B66), 1)), 2, 2), """"))/$G66))"),0.03302961275626414)</f>
        <v>0.03302961276</v>
      </c>
      <c r="R66" s="16">
        <f>IFERROR(__xludf.DUMMYFUNCTION("IF(OR(ISBLANK($G66), IFERROR(INDEX(GOOGLEFINANCE($C66, ""price"", WORKDAY(INT($B66), 5)), 2, 2), """")=""""), """", IF($D66=""LONG"", (IFERROR(INDEX(GOOGLEFINANCE($C66, ""price"", WORKDAY(INT($B66), 5)), 2, 2), """")-$G66)/$G66, ($G66-IFERROR(INDEX(GOOGLE"&amp;"FINANCE($C66, ""price"", WORKDAY(INT($B66), 5)), 2, 2), """"))/$G66))"),0.09453302961275618)</f>
        <v>0.09453302961</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4031</v>
      </c>
      <c r="U66" s="10" t="s">
        <v>176</v>
      </c>
      <c r="V66" s="10" t="s">
        <v>4033</v>
      </c>
      <c r="W66" s="10" t="s">
        <v>51</v>
      </c>
      <c r="X66" s="10" t="s">
        <v>962</v>
      </c>
    </row>
    <row r="67">
      <c r="A67" s="9">
        <f t="shared" si="1"/>
        <v>66</v>
      </c>
      <c r="B67" s="11">
        <v>46225.66777777778</v>
      </c>
      <c r="C67" s="10" t="s">
        <v>3690</v>
      </c>
      <c r="D67" s="10" t="s">
        <v>36</v>
      </c>
      <c r="E67" s="10" t="s">
        <v>1892</v>
      </c>
      <c r="F67" s="13">
        <v>2.0</v>
      </c>
      <c r="G67" s="14">
        <v>651.14</v>
      </c>
      <c r="H67" s="10" t="s">
        <v>4034</v>
      </c>
      <c r="I67" s="10">
        <v>78.3</v>
      </c>
      <c r="O67" s="15">
        <f>IFERROR(__xludf.DUMMYFUNCTION("IF(ISBLANK($C67), """", GOOGLEFINANCE($C67, ""price""))"),687.52)</f>
        <v>687.52</v>
      </c>
      <c r="P67" s="16">
        <f t="shared" si="2"/>
        <v>0.05587124121</v>
      </c>
      <c r="Q67" s="16">
        <f>IFERROR(__xludf.DUMMYFUNCTION("IF(OR(ISBLANK($G67), IFERROR(INDEX(GOOGLEFINANCE($C67, ""price"", WORKDAY(INT($B67), 1)), 2, 2), """")=""""), """", IF($D67=""LONG"", (IFERROR(INDEX(GOOGLEFINANCE($C67, ""price"", WORKDAY(INT($B67), 1)), 2, 2), """")-$G67)/$G67, ($G67-IFERROR(INDEX(GOOGLE"&amp;"FINANCE($C67, ""price"", WORKDAY(INT($B67), 1)), 2, 2), """"))/$G67))"),1.22861443007711E-4)</f>
        <v>0.000122861443</v>
      </c>
      <c r="R67" s="16">
        <f>IFERROR(__xludf.DUMMYFUNCTION("IF(OR(ISBLANK($G67), IFERROR(INDEX(GOOGLEFINANCE($C67, ""price"", WORKDAY(INT($B67), 5)), 2, 2), """")=""""), """", IF($D67=""LONG"", (IFERROR(INDEX(GOOGLEFINANCE($C67, ""price"", WORKDAY(INT($B67), 5)), 2, 2), """")-$G67)/$G67, ($G67-IFERROR(INDEX(GOOGLE"&amp;"FINANCE($C67, ""price"", WORKDAY(INT($B67), 5)), 2, 2), """"))/$G67))"),-0.0303928494640169)</f>
        <v>-0.03039284946</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4036</v>
      </c>
      <c r="U67" s="10" t="s">
        <v>984</v>
      </c>
      <c r="V67" s="10" t="s">
        <v>933</v>
      </c>
      <c r="W67" s="10" t="s">
        <v>51</v>
      </c>
      <c r="X67" s="10" t="s">
        <v>984</v>
      </c>
    </row>
    <row r="68">
      <c r="A68" s="9">
        <f t="shared" si="1"/>
        <v>67</v>
      </c>
      <c r="B68" s="11">
        <v>46225.667708333334</v>
      </c>
      <c r="C68" s="10" t="s">
        <v>424</v>
      </c>
      <c r="D68" s="10" t="s">
        <v>36</v>
      </c>
      <c r="E68" s="10" t="s">
        <v>37</v>
      </c>
      <c r="F68" s="13">
        <v>2.0</v>
      </c>
      <c r="G68" s="14">
        <v>82.13</v>
      </c>
      <c r="H68" s="10" t="s">
        <v>4037</v>
      </c>
      <c r="I68" s="10">
        <v>92.4</v>
      </c>
      <c r="O68" s="15">
        <f>IFERROR(__xludf.DUMMYFUNCTION("IF(ISBLANK($C68), """", GOOGLEFINANCE($C68, ""price""))"),84.35)</f>
        <v>84.35</v>
      </c>
      <c r="P68" s="16">
        <f t="shared" si="2"/>
        <v>0.02703031779</v>
      </c>
      <c r="Q68" s="16">
        <f>IFERROR(__xludf.DUMMYFUNCTION("IF(OR(ISBLANK($G68), IFERROR(INDEX(GOOGLEFINANCE($C68, ""price"", WORKDAY(INT($B68), 1)), 2, 2), """")=""""), """", IF($D68=""LONG"", (IFERROR(INDEX(GOOGLEFINANCE($C68, ""price"", WORKDAY(INT($B68), 1)), 2, 2), """")-$G68)/$G68, ($G68-IFERROR(INDEX(GOOGLE"&amp;"FINANCE($C68, ""price"", WORKDAY(INT($B68), 1)), 2, 2), """"))/$G68))"),-0.004870327529526257)</f>
        <v>-0.00487032753</v>
      </c>
      <c r="R68" s="16">
        <f>IFERROR(__xludf.DUMMYFUNCTION("IF(OR(ISBLANK($G68), IFERROR(INDEX(GOOGLEFINANCE($C68, ""price"", WORKDAY(INT($B68), 5)), 2, 2), """")=""""), """", IF($D68=""LONG"", (IFERROR(INDEX(GOOGLEFINANCE($C68, ""price"", WORKDAY(INT($B68), 5)), 2, 2), """")-$G68)/$G68, ($G68-IFERROR(INDEX(GOOGLE"&amp;"FINANCE($C68, ""price"", WORKDAY(INT($B68), 5)), 2, 2), """"))/$G68))"),0.0388408620479727)</f>
        <v>0.03884086205</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4039</v>
      </c>
      <c r="U68" s="10" t="s">
        <v>984</v>
      </c>
      <c r="V68" s="10" t="s">
        <v>933</v>
      </c>
      <c r="W68" s="10" t="s">
        <v>51</v>
      </c>
      <c r="X68" s="10" t="s">
        <v>984</v>
      </c>
    </row>
    <row r="69">
      <c r="A69" s="9">
        <f t="shared" si="1"/>
        <v>68</v>
      </c>
      <c r="B69" s="11">
        <v>46225.66773148148</v>
      </c>
      <c r="C69" s="10" t="s">
        <v>264</v>
      </c>
      <c r="D69" s="10" t="s">
        <v>36</v>
      </c>
      <c r="E69" s="10" t="s">
        <v>37</v>
      </c>
      <c r="F69" s="13">
        <v>2.0</v>
      </c>
      <c r="G69" s="14">
        <v>335.42</v>
      </c>
      <c r="H69" s="10" t="s">
        <v>4040</v>
      </c>
      <c r="I69" s="10">
        <v>91.5</v>
      </c>
      <c r="O69" s="15">
        <f>IFERROR(__xludf.DUMMYFUNCTION("IF(ISBLANK($C69), """", GOOGLEFINANCE($C69, ""price""))"),359.49)</f>
        <v>359.49</v>
      </c>
      <c r="P69" s="16">
        <f t="shared" si="2"/>
        <v>0.07176077753</v>
      </c>
      <c r="Q69" s="16">
        <f>IFERROR(__xludf.DUMMYFUNCTION("IF(OR(ISBLANK($G69), IFERROR(INDEX(GOOGLEFINANCE($C69, ""price"", WORKDAY(INT($B69), 1)), 2, 2), """")=""""), """", IF($D69=""LONG"", (IFERROR(INDEX(GOOGLEFINANCE($C69, ""price"", WORKDAY(INT($B69), 1)), 2, 2), """")-$G69)/$G69, ($G69-IFERROR(INDEX(GOOGLE"&amp;"FINANCE($C69, ""price"", WORKDAY(INT($B69), 1)), 2, 2), """"))/$G69))"),-0.02918728757975082)</f>
        <v>-0.02918728758</v>
      </c>
      <c r="R69" s="16">
        <f>IFERROR(__xludf.DUMMYFUNCTION("IF(OR(ISBLANK($G69), IFERROR(INDEX(GOOGLEFINANCE($C69, ""price"", WORKDAY(INT($B69), 5)), 2, 2), """")=""""), """", IF($D69=""LONG"", (IFERROR(INDEX(GOOGLEFINANCE($C69, ""price"", WORKDAY(INT($B69), 5)), 2, 2), """")-$G69)/$G69, ($G69-IFERROR(INDEX(GOOGLE"&amp;"FINANCE($C69, ""price"", WORKDAY(INT($B69), 5)), 2, 2), """"))/$G69))"),-0.06341303440462714)</f>
        <v>-0.0634130344</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4042</v>
      </c>
      <c r="U69" s="10" t="s">
        <v>984</v>
      </c>
      <c r="V69" s="10" t="s">
        <v>933</v>
      </c>
      <c r="W69" s="10" t="s">
        <v>51</v>
      </c>
      <c r="X69" s="10" t="s">
        <v>984</v>
      </c>
    </row>
    <row r="70">
      <c r="A70" s="9">
        <f t="shared" si="1"/>
        <v>69</v>
      </c>
      <c r="B70" s="11">
        <v>46225.66780092593</v>
      </c>
      <c r="C70" s="10" t="s">
        <v>128</v>
      </c>
      <c r="D70" s="10" t="s">
        <v>36</v>
      </c>
      <c r="E70" s="10" t="s">
        <v>37</v>
      </c>
      <c r="F70" s="13">
        <v>2.0</v>
      </c>
      <c r="G70" s="14">
        <v>406.2</v>
      </c>
      <c r="H70" s="10" t="s">
        <v>4043</v>
      </c>
      <c r="I70" s="10">
        <v>84.0</v>
      </c>
      <c r="O70" s="15">
        <f>IFERROR(__xludf.DUMMYFUNCTION("IF(ISBLANK($C70), """", GOOGLEFINANCE($C70, ""price""))"),414.68)</f>
        <v>414.68</v>
      </c>
      <c r="P70" s="16">
        <f t="shared" si="2"/>
        <v>0.02087641556</v>
      </c>
      <c r="Q70" s="16">
        <f>IFERROR(__xludf.DUMMYFUNCTION("IF(OR(ISBLANK($G70), IFERROR(INDEX(GOOGLEFINANCE($C70, ""price"", WORKDAY(INT($B70), 1)), 2, 2), """")=""""), """", IF($D70=""LONG"", (IFERROR(INDEX(GOOGLEFINANCE($C70, ""price"", WORKDAY(INT($B70), 1)), 2, 2), """")-$G70)/$G70, ($G70-IFERROR(INDEX(GOOGLE"&amp;"FINANCE($C70, ""price"", WORKDAY(INT($B70), 1)), 2, 2), """"))/$G70))"),-0.02656326932545535)</f>
        <v>-0.02656326933</v>
      </c>
      <c r="R70" s="16">
        <f>IFERROR(__xludf.DUMMYFUNCTION("IF(OR(ISBLANK($G70), IFERROR(INDEX(GOOGLEFINANCE($C70, ""price"", WORKDAY(INT($B70), 5)), 2, 2), """")=""""), """", IF($D70=""LONG"", (IFERROR(INDEX(GOOGLEFINANCE($C70, ""price"", WORKDAY(INT($B70), 5)), 2, 2), """")-$G70)/$G70, ($G70-IFERROR(INDEX(GOOGLE"&amp;"FINANCE($C70, ""price"", WORKDAY(INT($B70), 5)), 2, 2), """"))/$G70))"),0.021245691777449522)</f>
        <v>0.02124569178</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4045</v>
      </c>
      <c r="U70" s="10" t="s">
        <v>984</v>
      </c>
      <c r="V70" s="10" t="s">
        <v>2785</v>
      </c>
      <c r="W70" s="10" t="s">
        <v>51</v>
      </c>
      <c r="X70" s="10" t="s">
        <v>984</v>
      </c>
    </row>
    <row r="71">
      <c r="A71" s="9">
        <f t="shared" si="1"/>
        <v>70</v>
      </c>
      <c r="B71" s="11">
        <v>46225.667766203704</v>
      </c>
      <c r="C71" s="10" t="s">
        <v>162</v>
      </c>
      <c r="D71" s="10" t="s">
        <v>36</v>
      </c>
      <c r="E71" s="10" t="s">
        <v>37</v>
      </c>
      <c r="F71" s="13">
        <v>2.0</v>
      </c>
      <c r="G71" s="14">
        <v>47.65</v>
      </c>
      <c r="H71" s="10" t="s">
        <v>4047</v>
      </c>
      <c r="I71" s="10">
        <v>89.1</v>
      </c>
      <c r="O71" s="15">
        <f>IFERROR(__xludf.DUMMYFUNCTION("IF(ISBLANK($C71), """", GOOGLEFINANCE($C71, ""price""))"),46.94)</f>
        <v>46.94</v>
      </c>
      <c r="P71" s="16">
        <f t="shared" si="2"/>
        <v>-0.0149003148</v>
      </c>
      <c r="Q71" s="16">
        <f>IFERROR(__xludf.DUMMYFUNCTION("IF(OR(ISBLANK($G71), IFERROR(INDEX(GOOGLEFINANCE($C71, ""price"", WORKDAY(INT($B71), 1)), 2, 2), """")=""""), """", IF($D71=""LONG"", (IFERROR(INDEX(GOOGLEFINANCE($C71, ""price"", WORKDAY(INT($B71), 1)), 2, 2), """")-$G71)/$G71, ($G71-IFERROR(INDEX(GOOGLE"&amp;"FINANCE($C71, ""price"", WORKDAY(INT($B71), 1)), 2, 2), """"))/$G71))"),-0.06169989506820562)</f>
        <v>-0.06169989507</v>
      </c>
      <c r="R71" s="16">
        <f>IFERROR(__xludf.DUMMYFUNCTION("IF(OR(ISBLANK($G71), IFERROR(INDEX(GOOGLEFINANCE($C71, ""price"", WORKDAY(INT($B71), 5)), 2, 2), """")=""""), """", IF($D71=""LONG"", (IFERROR(INDEX(GOOGLEFINANCE($C71, ""price"", WORKDAY(INT($B71), 5)), 2, 2), """")-$G71)/$G71, ($G71-IFERROR(INDEX(GOOGLE"&amp;"FINANCE($C71, ""price"", WORKDAY(INT($B71), 5)), 2, 2), """"))/$G71))"),-0.06862539349422866)</f>
        <v>-0.06862539349</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4048</v>
      </c>
      <c r="U71" s="10" t="s">
        <v>984</v>
      </c>
      <c r="V71" s="10" t="s">
        <v>933</v>
      </c>
      <c r="W71" s="10" t="s">
        <v>51</v>
      </c>
      <c r="X71" s="10" t="s">
        <v>984</v>
      </c>
    </row>
    <row r="72">
      <c r="A72" s="9">
        <f t="shared" si="1"/>
        <v>71</v>
      </c>
      <c r="B72" s="11">
        <v>46225.66775462963</v>
      </c>
      <c r="C72" s="10" t="s">
        <v>3309</v>
      </c>
      <c r="D72" s="10" t="s">
        <v>119</v>
      </c>
      <c r="E72" s="10" t="s">
        <v>120</v>
      </c>
      <c r="F72" s="13">
        <v>4.0</v>
      </c>
      <c r="G72" s="14">
        <v>178.51</v>
      </c>
      <c r="H72" s="10" t="s">
        <v>4049</v>
      </c>
      <c r="I72" s="10">
        <v>10.4</v>
      </c>
      <c r="O72" s="15">
        <f>IFERROR(__xludf.DUMMYFUNCTION("IF(ISBLANK($C72), """", GOOGLEFINANCE($C72, ""price""))"),192.56)</f>
        <v>192.56</v>
      </c>
      <c r="P72" s="16">
        <f t="shared" si="2"/>
        <v>-0.07870707523</v>
      </c>
      <c r="Q72" s="16">
        <f>IFERROR(__xludf.DUMMYFUNCTION("IF(OR(ISBLANK($G72), IFERROR(INDEX(GOOGLEFINANCE($C72, ""price"", WORKDAY(INT($B72), 1)), 2, 2), """")=""""), """", IF($D72=""LONG"", (IFERROR(INDEX(GOOGLEFINANCE($C72, ""price"", WORKDAY(INT($B72), 1)), 2, 2), """")-$G72)/$G72, ($G72-IFERROR(INDEX(GOOGLE"&amp;"FINANCE($C72, ""price"", WORKDAY(INT($B72), 1)), 2, 2), """"))/$G72))"),-0.0046495994622150726)</f>
        <v>-0.004649599462</v>
      </c>
      <c r="R72" s="16">
        <f>IFERROR(__xludf.DUMMYFUNCTION("IF(OR(ISBLANK($G72), IFERROR(INDEX(GOOGLEFINANCE($C72, ""price"", WORKDAY(INT($B72), 5)), 2, 2), """")=""""), """", IF($D72=""LONG"", (IFERROR(INDEX(GOOGLEFINANCE($C72, ""price"", WORKDAY(INT($B72), 5)), 2, 2), """")-$G72)/$G72, ($G72-IFERROR(INDEX(GOOGLE"&amp;"FINANCE($C72, ""price"", WORKDAY(INT($B72), 5)), 2, 2), """"))/$G72))"),-0.05417063469833632)</f>
        <v>-0.0541706347</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4052</v>
      </c>
      <c r="U72" s="10" t="s">
        <v>984</v>
      </c>
      <c r="V72" s="10" t="s">
        <v>985</v>
      </c>
      <c r="W72" s="10" t="s">
        <v>51</v>
      </c>
      <c r="X72" s="10" t="s">
        <v>984</v>
      </c>
    </row>
    <row r="73">
      <c r="A73" s="9">
        <f t="shared" si="1"/>
        <v>72</v>
      </c>
      <c r="B73" s="11">
        <v>46225.66784722222</v>
      </c>
      <c r="C73" s="10" t="s">
        <v>1187</v>
      </c>
      <c r="D73" s="10" t="s">
        <v>119</v>
      </c>
      <c r="E73" s="10" t="s">
        <v>120</v>
      </c>
      <c r="F73" s="13">
        <v>4.0</v>
      </c>
      <c r="G73" s="14">
        <v>112.23</v>
      </c>
      <c r="H73" s="10" t="s">
        <v>4053</v>
      </c>
      <c r="I73" s="10">
        <v>13.8</v>
      </c>
      <c r="O73" s="15">
        <f>IFERROR(__xludf.DUMMYFUNCTION("IF(ISBLANK($C73), """", GOOGLEFINANCE($C73, ""price""))"),120.88)</f>
        <v>120.88</v>
      </c>
      <c r="P73" s="16">
        <f t="shared" si="2"/>
        <v>-0.07707386617</v>
      </c>
      <c r="Q73" s="16">
        <f>IFERROR(__xludf.DUMMYFUNCTION("IF(OR(ISBLANK($G73), IFERROR(INDEX(GOOGLEFINANCE($C73, ""price"", WORKDAY(INT($B73), 1)), 2, 2), """")=""""), """", IF($D73=""LONG"", (IFERROR(INDEX(GOOGLEFINANCE($C73, ""price"", WORKDAY(INT($B73), 1)), 2, 2), """")-$G73)/$G73, ($G73-IFERROR(INDEX(GOOGLE"&amp;"FINANCE($C73, ""price"", WORKDAY(INT($B73), 1)), 2, 2), """"))/$G73))"),-0.004722444979060867)</f>
        <v>-0.004722444979</v>
      </c>
      <c r="R73" s="16">
        <f>IFERROR(__xludf.DUMMYFUNCTION("IF(OR(ISBLANK($G73), IFERROR(INDEX(GOOGLEFINANCE($C73, ""price"", WORKDAY(INT($B73), 5)), 2, 2), """")=""""), """", IF($D73=""LONG"", (IFERROR(INDEX(GOOGLEFINANCE($C73, ""price"", WORKDAY(INT($B73), 5)), 2, 2), """")-$G73)/$G73, ($G73-IFERROR(INDEX(GOOGLE"&amp;"FINANCE($C73, ""price"", WORKDAY(INT($B73), 5)), 2, 2), """"))/$G73))"),-0.0022275683863494608)</f>
        <v>-0.002227568386</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4056</v>
      </c>
      <c r="U73" s="10" t="s">
        <v>984</v>
      </c>
      <c r="V73" s="10" t="s">
        <v>985</v>
      </c>
      <c r="W73" s="10" t="s">
        <v>51</v>
      </c>
      <c r="X73" s="10" t="s">
        <v>984</v>
      </c>
    </row>
    <row r="74">
      <c r="A74" s="9">
        <f t="shared" si="1"/>
        <v>73</v>
      </c>
      <c r="B74" s="11">
        <v>46225.66784722222</v>
      </c>
      <c r="C74" s="10" t="s">
        <v>34</v>
      </c>
      <c r="D74" s="10" t="s">
        <v>36</v>
      </c>
      <c r="E74" s="10" t="s">
        <v>37</v>
      </c>
      <c r="F74" s="13">
        <v>2.0</v>
      </c>
      <c r="G74" s="14">
        <v>192.27</v>
      </c>
      <c r="H74" s="10" t="s">
        <v>4057</v>
      </c>
      <c r="I74" s="10">
        <v>97.4</v>
      </c>
      <c r="O74" s="15">
        <f>IFERROR(__xludf.DUMMYFUNCTION("IF(ISBLANK($C74), """", GOOGLEFINANCE($C74, ""price""))"),189.75)</f>
        <v>189.75</v>
      </c>
      <c r="P74" s="16">
        <f t="shared" si="2"/>
        <v>-0.01310656889</v>
      </c>
      <c r="Q74" s="16">
        <f>IFERROR(__xludf.DUMMYFUNCTION("IF(OR(ISBLANK($G74), IFERROR(INDEX(GOOGLEFINANCE($C74, ""price"", WORKDAY(INT($B74), 1)), 2, 2), """")=""""), """", IF($D74=""LONG"", (IFERROR(INDEX(GOOGLEFINANCE($C74, ""price"", WORKDAY(INT($B74), 1)), 2, 2), """")-$G74)/$G74, ($G74-IFERROR(INDEX(GOOGLE"&amp;"FINANCE($C74, ""price"", WORKDAY(INT($B74), 1)), 2, 2), """"))/$G74))"),0.004680917459822007)</f>
        <v>0.00468091746</v>
      </c>
      <c r="R74" s="16">
        <f>IFERROR(__xludf.DUMMYFUNCTION("IF(OR(ISBLANK($G74), IFERROR(INDEX(GOOGLEFINANCE($C74, ""price"", WORKDAY(INT($B74), 5)), 2, 2), """")=""""), """", IF($D74=""LONG"", (IFERROR(INDEX(GOOGLEFINANCE($C74, ""price"", WORKDAY(INT($B74), 5)), 2, 2), """")-$G74)/$G74, ($G74-IFERROR(INDEX(GOOGLE"&amp;"FINANCE($C74, ""price"", WORKDAY(INT($B74), 5)), 2, 2), """"))/$G74))"),0.10859728506787328)</f>
        <v>0.1085972851</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4059</v>
      </c>
      <c r="U74" s="10" t="s">
        <v>984</v>
      </c>
      <c r="V74" s="10" t="s">
        <v>985</v>
      </c>
      <c r="W74" s="10" t="s">
        <v>51</v>
      </c>
      <c r="X74" s="10" t="s">
        <v>984</v>
      </c>
    </row>
    <row r="75">
      <c r="A75" s="9">
        <f t="shared" si="1"/>
        <v>74</v>
      </c>
      <c r="B75" s="11">
        <v>46225.66747685185</v>
      </c>
      <c r="C75" s="10" t="s">
        <v>3537</v>
      </c>
      <c r="D75" s="10" t="s">
        <v>119</v>
      </c>
      <c r="E75" s="10" t="s">
        <v>120</v>
      </c>
      <c r="F75" s="13">
        <v>4.0</v>
      </c>
      <c r="G75" s="14">
        <v>755.5</v>
      </c>
      <c r="H75" s="10" t="s">
        <v>4061</v>
      </c>
      <c r="I75" s="10">
        <v>8.2</v>
      </c>
      <c r="O75" s="15">
        <f>IFERROR(__xludf.DUMMYFUNCTION("IF(ISBLANK($C75), """", GOOGLEFINANCE($C75, ""price""))"),808.43)</f>
        <v>808.43</v>
      </c>
      <c r="P75" s="16">
        <f t="shared" si="2"/>
        <v>-0.0700595632</v>
      </c>
      <c r="Q75" s="16">
        <f>IFERROR(__xludf.DUMMYFUNCTION("IF(OR(ISBLANK($G75), IFERROR(INDEX(GOOGLEFINANCE($C75, ""price"", WORKDAY(INT($B75), 1)), 2, 2), """")=""""), """", IF($D75=""LONG"", (IFERROR(INDEX(GOOGLEFINANCE($C75, ""price"", WORKDAY(INT($B75), 1)), 2, 2), """")-$G75)/$G75, ($G75-IFERROR(INDEX(GOOGLE"&amp;"FINANCE($C75, ""price"", WORKDAY(INT($B75), 1)), 2, 2), """"))/$G75))"),-0.017961614824619523)</f>
        <v>-0.01796161482</v>
      </c>
      <c r="R75" s="16">
        <f>IFERROR(__xludf.DUMMYFUNCTION("IF(OR(ISBLANK($G75), IFERROR(INDEX(GOOGLEFINANCE($C75, ""price"", WORKDAY(INT($B75), 5)), 2, 2), """")=""""), """", IF($D75=""LONG"", (IFERROR(INDEX(GOOGLEFINANCE($C75, ""price"", WORKDAY(INT($B75), 5)), 2, 2), """")-$G75)/$G75, ($G75-IFERROR(INDEX(GOOGLE"&amp;"FINANCE($C75, ""price"", WORKDAY(INT($B75), 5)), 2, 2), """"))/$G75))"),0.10988749172733286)</f>
        <v>0.1098874917</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4062</v>
      </c>
      <c r="U75" s="10" t="s">
        <v>984</v>
      </c>
      <c r="V75" s="10" t="s">
        <v>985</v>
      </c>
      <c r="W75" s="10" t="s">
        <v>51</v>
      </c>
      <c r="X75" s="10" t="s">
        <v>984</v>
      </c>
    </row>
    <row r="76">
      <c r="A76" s="9">
        <f t="shared" si="1"/>
        <v>75</v>
      </c>
      <c r="B76" s="11">
        <v>46225.66747685185</v>
      </c>
      <c r="C76" s="10" t="s">
        <v>568</v>
      </c>
      <c r="D76" s="10" t="s">
        <v>119</v>
      </c>
      <c r="E76" s="10" t="s">
        <v>120</v>
      </c>
      <c r="F76" s="13">
        <v>4.0</v>
      </c>
      <c r="G76" s="14">
        <v>64.99</v>
      </c>
      <c r="H76" s="10" t="s">
        <v>4064</v>
      </c>
      <c r="I76" s="10">
        <v>10.3</v>
      </c>
      <c r="O76" s="15">
        <f>IFERROR(__xludf.DUMMYFUNCTION("IF(ISBLANK($C76), """", GOOGLEFINANCE($C76, ""price""))"),68.18)</f>
        <v>68.18</v>
      </c>
      <c r="P76" s="16">
        <f t="shared" si="2"/>
        <v>-0.04908447453</v>
      </c>
      <c r="Q76" s="16">
        <f>IFERROR(__xludf.DUMMYFUNCTION("IF(OR(ISBLANK($G76), IFERROR(INDEX(GOOGLEFINANCE($C76, ""price"", WORKDAY(INT($B76), 1)), 2, 2), """")=""""), """", IF($D76=""LONG"", (IFERROR(INDEX(GOOGLEFINANCE($C76, ""price"", WORKDAY(INT($B76), 1)), 2, 2), """")-$G76)/$G76, ($G76-IFERROR(INDEX(GOOGLE"&amp;"FINANCE($C76, ""price"", WORKDAY(INT($B76), 1)), 2, 2), """"))/$G76))"),0.022926604092937296)</f>
        <v>0.02292660409</v>
      </c>
      <c r="R76" s="16">
        <f>IFERROR(__xludf.DUMMYFUNCTION("IF(OR(ISBLANK($G76), IFERROR(INDEX(GOOGLEFINANCE($C76, ""price"", WORKDAY(INT($B76), 5)), 2, 2), """")=""""), """", IF($D76=""LONG"", (IFERROR(INDEX(GOOGLEFINANCE($C76, ""price"", WORKDAY(INT($B76), 5)), 2, 2), """")-$G76)/$G76, ($G76-IFERROR(INDEX(GOOGLE"&amp;"FINANCE($C76, ""price"", WORKDAY(INT($B76), 5)), 2, 2), """"))/$G76))"),0.07693491306354813)</f>
        <v>0.07693491306</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4066</v>
      </c>
      <c r="U76" s="10" t="s">
        <v>984</v>
      </c>
      <c r="V76" s="10" t="s">
        <v>985</v>
      </c>
      <c r="W76" s="10" t="s">
        <v>51</v>
      </c>
      <c r="X76" s="10" t="s">
        <v>984</v>
      </c>
    </row>
    <row r="77">
      <c r="A77" s="9">
        <f t="shared" si="1"/>
        <v>76</v>
      </c>
      <c r="B77" s="11">
        <v>46225.667858796296</v>
      </c>
      <c r="C77" s="10" t="s">
        <v>351</v>
      </c>
      <c r="D77" s="10" t="s">
        <v>36</v>
      </c>
      <c r="E77" s="10" t="s">
        <v>37</v>
      </c>
      <c r="F77" s="13">
        <v>2.0</v>
      </c>
      <c r="G77" s="14">
        <v>226.3</v>
      </c>
      <c r="H77" s="10" t="s">
        <v>4067</v>
      </c>
      <c r="I77" s="10">
        <v>84.3</v>
      </c>
      <c r="O77" s="15">
        <f>IFERROR(__xludf.DUMMYFUNCTION("IF(ISBLANK($C77), """", GOOGLEFINANCE($C77, ""price""))"),221.83)</f>
        <v>221.83</v>
      </c>
      <c r="P77" s="16">
        <f t="shared" si="2"/>
        <v>-0.01975254087</v>
      </c>
      <c r="Q77" s="16">
        <f>IFERROR(__xludf.DUMMYFUNCTION("IF(OR(ISBLANK($G77), IFERROR(INDEX(GOOGLEFINANCE($C77, ""price"", WORKDAY(INT($B77), 1)), 2, 2), """")=""""), """", IF($D77=""LONG"", (IFERROR(INDEX(GOOGLEFINANCE($C77, ""price"", WORKDAY(INT($B77), 1)), 2, 2), """")-$G77)/$G77, ($G77-IFERROR(INDEX(GOOGLE"&amp;"FINANCE($C77, ""price"", WORKDAY(INT($B77), 1)), 2, 2), """"))/$G77))"),-0.00486080424215653)</f>
        <v>-0.004860804242</v>
      </c>
      <c r="R77" s="16">
        <f>IFERROR(__xludf.DUMMYFUNCTION("IF(OR(ISBLANK($G77), IFERROR(INDEX(GOOGLEFINANCE($C77, ""price"", WORKDAY(INT($B77), 5)), 2, 2), """")=""""), """", IF($D77=""LONG"", (IFERROR(INDEX(GOOGLEFINANCE($C77, ""price"", WORKDAY(INT($B77), 5)), 2, 2), """")-$G77)/$G77, ($G77-IFERROR(INDEX(GOOGLE"&amp;"FINANCE($C77, ""price"", WORKDAY(INT($B77), 5)), 2, 2), """"))/$G77))"),0.04114007954043306)</f>
        <v>0.04114007954</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4070</v>
      </c>
      <c r="U77" s="10" t="s">
        <v>932</v>
      </c>
      <c r="V77" s="10" t="s">
        <v>933</v>
      </c>
      <c r="W77" s="10" t="s">
        <v>51</v>
      </c>
      <c r="X77" s="10" t="s">
        <v>3186</v>
      </c>
    </row>
    <row r="78">
      <c r="A78" s="9">
        <f t="shared" si="1"/>
        <v>77</v>
      </c>
      <c r="B78" s="11">
        <v>46225.66777777778</v>
      </c>
      <c r="C78" s="10" t="s">
        <v>1327</v>
      </c>
      <c r="D78" s="10" t="s">
        <v>119</v>
      </c>
      <c r="E78" s="10" t="s">
        <v>120</v>
      </c>
      <c r="F78" s="13">
        <v>4.0</v>
      </c>
      <c r="G78" s="14">
        <v>1034.96</v>
      </c>
      <c r="H78" s="10" t="s">
        <v>4071</v>
      </c>
      <c r="I78" s="10">
        <v>11.1</v>
      </c>
      <c r="O78" s="15">
        <f>IFERROR(__xludf.DUMMYFUNCTION("IF(ISBLANK($C78), """", GOOGLEFINANCE($C78, ""price""))"),1162.66)</f>
        <v>1162.66</v>
      </c>
      <c r="P78" s="16">
        <f t="shared" si="2"/>
        <v>-0.1233864111</v>
      </c>
      <c r="Q78" s="16">
        <f>IFERROR(__xludf.DUMMYFUNCTION("IF(OR(ISBLANK($G78), IFERROR(INDEX(GOOGLEFINANCE($C78, ""price"", WORKDAY(INT($B78), 1)), 2, 2), """")=""""), """", IF($D78=""LONG"", (IFERROR(INDEX(GOOGLEFINANCE($C78, ""price"", WORKDAY(INT($B78), 1)), 2, 2), """")-$G78)/$G78, ($G78-IFERROR(INDEX(GOOGLE"&amp;"FINANCE($C78, ""price"", WORKDAY(INT($B78), 1)), 2, 2), """"))/$G78))"),-0.101211641029605)</f>
        <v>-0.101211641</v>
      </c>
      <c r="R78" s="16">
        <f>IFERROR(__xludf.DUMMYFUNCTION("IF(OR(ISBLANK($G78), IFERROR(INDEX(GOOGLEFINANCE($C78, ""price"", WORKDAY(INT($B78), 5)), 2, 2), """")=""""), """", IF($D78=""LONG"", (IFERROR(INDEX(GOOGLEFINANCE($C78, ""price"", WORKDAY(INT($B78), 5)), 2, 2), """")-$G78)/$G78, ($G78-IFERROR(INDEX(GOOGLE"&amp;"FINANCE($C78, ""price"", WORKDAY(INT($B78), 5)), 2, 2), """"))/$G78))"),-0.019469351472520546)</f>
        <v>-0.01946935147</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4074</v>
      </c>
      <c r="U78" s="10" t="s">
        <v>984</v>
      </c>
      <c r="V78" s="10" t="s">
        <v>985</v>
      </c>
      <c r="W78" s="10" t="s">
        <v>51</v>
      </c>
      <c r="X78" s="10" t="s">
        <v>984</v>
      </c>
    </row>
    <row r="79">
      <c r="A79" s="9">
        <f t="shared" si="1"/>
        <v>78</v>
      </c>
      <c r="B79" s="11">
        <v>46225.66782407407</v>
      </c>
      <c r="C79" s="10" t="s">
        <v>564</v>
      </c>
      <c r="D79" s="10" t="s">
        <v>119</v>
      </c>
      <c r="E79" s="10" t="s">
        <v>120</v>
      </c>
      <c r="F79" s="13">
        <v>4.0</v>
      </c>
      <c r="G79" s="14">
        <v>389.12</v>
      </c>
      <c r="H79" s="10" t="s">
        <v>4076</v>
      </c>
      <c r="I79" s="10">
        <v>14.6</v>
      </c>
      <c r="O79" s="15">
        <f>IFERROR(__xludf.DUMMYFUNCTION("IF(ISBLANK($C79), """", GOOGLEFINANCE($C79, ""price""))"),391.4)</f>
        <v>391.4</v>
      </c>
      <c r="P79" s="16">
        <f t="shared" si="2"/>
        <v>-0.005859375</v>
      </c>
      <c r="Q79" s="16">
        <f>IFERROR(__xludf.DUMMYFUNCTION("IF(OR(ISBLANK($G79), IFERROR(INDEX(GOOGLEFINANCE($C79, ""price"", WORKDAY(INT($B79), 1)), 2, 2), """")=""""), """", IF($D79=""LONG"", (IFERROR(INDEX(GOOGLEFINANCE($C79, ""price"", WORKDAY(INT($B79), 1)), 2, 2), """")-$G79)/$G79, ($G79-IFERROR(INDEX(GOOGLE"&amp;"FINANCE($C79, ""price"", WORKDAY(INT($B79), 1)), 2, 2), """"))/$G79))"),0.025210731907894742)</f>
        <v>0.02521073191</v>
      </c>
      <c r="R79" s="16">
        <f>IFERROR(__xludf.DUMMYFUNCTION("IF(OR(ISBLANK($G79), IFERROR(INDEX(GOOGLEFINANCE($C79, ""price"", WORKDAY(INT($B79), 5)), 2, 2), """")=""""), """", IF($D79=""LONG"", (IFERROR(INDEX(GOOGLEFINANCE($C79, ""price"", WORKDAY(INT($B79), 5)), 2, 2), """")-$G79)/$G79, ($G79-IFERROR(INDEX(GOOGLE"&amp;"FINANCE($C79, ""price"", WORKDAY(INT($B79), 5)), 2, 2), """"))/$G79))"),0.03376850328947365)</f>
        <v>0.03376850329</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4077</v>
      </c>
      <c r="U79" s="10" t="s">
        <v>984</v>
      </c>
      <c r="V79" s="10" t="s">
        <v>985</v>
      </c>
      <c r="W79" s="10" t="s">
        <v>51</v>
      </c>
      <c r="X79" s="10" t="s">
        <v>984</v>
      </c>
    </row>
    <row r="80">
      <c r="A80" s="9">
        <f t="shared" si="1"/>
        <v>79</v>
      </c>
      <c r="B80" s="11">
        <v>46225.66778935185</v>
      </c>
      <c r="C80" s="10" t="s">
        <v>3277</v>
      </c>
      <c r="D80" s="10" t="s">
        <v>119</v>
      </c>
      <c r="E80" s="10" t="s">
        <v>120</v>
      </c>
      <c r="F80" s="13">
        <v>4.0</v>
      </c>
      <c r="G80" s="14">
        <v>139.65</v>
      </c>
      <c r="H80" s="10" t="s">
        <v>4078</v>
      </c>
      <c r="I80" s="10">
        <v>5.5</v>
      </c>
      <c r="O80" s="15">
        <f>IFERROR(__xludf.DUMMYFUNCTION("IF(ISBLANK($C80), """", GOOGLEFINANCE($C80, ""price""))"),144.05)</f>
        <v>144.05</v>
      </c>
      <c r="P80" s="16">
        <f t="shared" si="2"/>
        <v>-0.03150733978</v>
      </c>
      <c r="Q80" s="16">
        <f>IFERROR(__xludf.DUMMYFUNCTION("IF(OR(ISBLANK($G80), IFERROR(INDEX(GOOGLEFINANCE($C80, ""price"", WORKDAY(INT($B80), 1)), 2, 2), """")=""""), """", IF($D80=""LONG"", (IFERROR(INDEX(GOOGLEFINANCE($C80, ""price"", WORKDAY(INT($B80), 1)), 2, 2), """")-$G80)/$G80, ($G80-IFERROR(INDEX(GOOGLE"&amp;"FINANCE($C80, ""price"", WORKDAY(INT($B80), 1)), 2, 2), """"))/$G80))"),0.016111707841031147)</f>
        <v>0.01611170784</v>
      </c>
      <c r="R80" s="16">
        <f>IFERROR(__xludf.DUMMYFUNCTION("IF(OR(ISBLANK($G80), IFERROR(INDEX(GOOGLEFINANCE($C80, ""price"", WORKDAY(INT($B80), 5)), 2, 2), """")=""""), """", IF($D80=""LONG"", (IFERROR(INDEX(GOOGLEFINANCE($C80, ""price"", WORKDAY(INT($B80), 5)), 2, 2), """")-$G80)/$G80, ($G80-IFERROR(INDEX(GOOGLE"&amp;"FINANCE($C80, ""price"", WORKDAY(INT($B80), 5)), 2, 2), """"))/$G80))"),0.011099176512710428)</f>
        <v>0.01109917651</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4080</v>
      </c>
      <c r="U80" s="10" t="s">
        <v>984</v>
      </c>
      <c r="V80" s="10" t="s">
        <v>985</v>
      </c>
      <c r="W80" s="10" t="s">
        <v>51</v>
      </c>
      <c r="X80" s="10" t="s">
        <v>984</v>
      </c>
    </row>
    <row r="81">
      <c r="A81" s="9">
        <f t="shared" si="1"/>
        <v>80</v>
      </c>
      <c r="B81" s="11">
        <v>46225.667858796296</v>
      </c>
      <c r="C81" s="10" t="s">
        <v>273</v>
      </c>
      <c r="D81" s="10" t="s">
        <v>119</v>
      </c>
      <c r="E81" s="10" t="s">
        <v>120</v>
      </c>
      <c r="F81" s="13">
        <v>4.0</v>
      </c>
      <c r="G81" s="14">
        <v>45.26</v>
      </c>
      <c r="H81" s="10" t="s">
        <v>4081</v>
      </c>
      <c r="I81" s="10">
        <v>25.7</v>
      </c>
      <c r="O81" s="15">
        <f>IFERROR(__xludf.DUMMYFUNCTION("IF(ISBLANK($C81), """", GOOGLEFINANCE($C81, ""price""))"),46.11)</f>
        <v>46.11</v>
      </c>
      <c r="P81" s="16">
        <f t="shared" si="2"/>
        <v>-0.01878038003</v>
      </c>
      <c r="Q81" s="16">
        <f>IFERROR(__xludf.DUMMYFUNCTION("IF(OR(ISBLANK($G81), IFERROR(INDEX(GOOGLEFINANCE($C81, ""price"", WORKDAY(INT($B81), 1)), 2, 2), """")=""""), """", IF($D81=""LONG"", (IFERROR(INDEX(GOOGLEFINANCE($C81, ""price"", WORKDAY(INT($B81), 1)), 2, 2), """")-$G81)/$G81, ($G81-IFERROR(INDEX(GOOGLE"&amp;"FINANCE($C81, ""price"", WORKDAY(INT($B81), 1)), 2, 2), """"))/$G81))"),-0.01701281484754757)</f>
        <v>-0.01701281485</v>
      </c>
      <c r="R81" s="16">
        <f>IFERROR(__xludf.DUMMYFUNCTION("IF(OR(ISBLANK($G81), IFERROR(INDEX(GOOGLEFINANCE($C81, ""price"", WORKDAY(INT($B81), 5)), 2, 2), """")=""""), """", IF($D81=""LONG"", (IFERROR(INDEX(GOOGLEFINANCE($C81, ""price"", WORKDAY(INT($B81), 5)), 2, 2), """")-$G81)/$G81, ($G81-IFERROR(INDEX(GOOGLE"&amp;"FINANCE($C81, ""price"", WORKDAY(INT($B81), 5)), 2, 2), """"))/$G81))"),-0.07269111798497568)</f>
        <v>-0.07269111798</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4082</v>
      </c>
      <c r="U81" s="10" t="s">
        <v>984</v>
      </c>
      <c r="V81" s="10" t="s">
        <v>2785</v>
      </c>
      <c r="W81" s="10" t="s">
        <v>51</v>
      </c>
      <c r="X81" s="10" t="s">
        <v>984</v>
      </c>
    </row>
    <row r="82">
      <c r="A82" s="9">
        <f t="shared" si="1"/>
        <v>81</v>
      </c>
      <c r="B82" s="11">
        <v>46225.66769675926</v>
      </c>
      <c r="C82" s="10" t="s">
        <v>3904</v>
      </c>
      <c r="D82" s="10" t="s">
        <v>36</v>
      </c>
      <c r="E82" s="10" t="s">
        <v>37</v>
      </c>
      <c r="F82" s="13">
        <v>2.0</v>
      </c>
      <c r="G82" s="14">
        <v>489.79</v>
      </c>
      <c r="H82" s="10" t="s">
        <v>4083</v>
      </c>
      <c r="I82" s="10">
        <v>95.7</v>
      </c>
      <c r="O82" s="15">
        <f>IFERROR(__xludf.DUMMYFUNCTION("IF(ISBLANK($C82), """", GOOGLEFINANCE($C82, ""price""))"),473.13)</f>
        <v>473.13</v>
      </c>
      <c r="P82" s="16">
        <f t="shared" si="2"/>
        <v>-0.03401457768</v>
      </c>
      <c r="Q82" s="16">
        <f>IFERROR(__xludf.DUMMYFUNCTION("IF(OR(ISBLANK($G82), IFERROR(INDEX(GOOGLEFINANCE($C82, ""price"", WORKDAY(INT($B82), 1)), 2, 2), """")=""""), """", IF($D82=""LONG"", (IFERROR(INDEX(GOOGLEFINANCE($C82, ""price"", WORKDAY(INT($B82), 1)), 2, 2), """")-$G82)/$G82, ($G82-IFERROR(INDEX(GOOGLE"&amp;"FINANCE($C82, ""price"", WORKDAY(INT($B82), 1)), 2, 2), """"))/$G82))"),-0.0358316829661692)</f>
        <v>-0.03583168297</v>
      </c>
      <c r="R82" s="16">
        <f>IFERROR(__xludf.DUMMYFUNCTION("IF(OR(ISBLANK($G82), IFERROR(INDEX(GOOGLEFINANCE($C82, ""price"", WORKDAY(INT($B82), 5)), 2, 2), """")=""""), """", IF($D82=""LONG"", (IFERROR(INDEX(GOOGLEFINANCE($C82, ""price"", WORKDAY(INT($B82), 5)), 2, 2), """")-$G82)/$G82, ($G82-IFERROR(INDEX(GOOGLE"&amp;"FINANCE($C82, ""price"", WORKDAY(INT($B82), 5)), 2, 2), """"))/$G82))"),-0.013373078258028973)</f>
        <v>-0.01337307826</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4084</v>
      </c>
      <c r="U82" s="10" t="s">
        <v>984</v>
      </c>
      <c r="V82" s="10" t="s">
        <v>933</v>
      </c>
      <c r="W82" s="10" t="s">
        <v>51</v>
      </c>
      <c r="X82" s="10" t="s">
        <v>984</v>
      </c>
    </row>
    <row r="83">
      <c r="A83" s="9">
        <f t="shared" si="1"/>
        <v>82</v>
      </c>
      <c r="B83" s="11">
        <v>46225.66789351852</v>
      </c>
      <c r="C83" s="10" t="s">
        <v>3201</v>
      </c>
      <c r="D83" s="10" t="s">
        <v>119</v>
      </c>
      <c r="E83" s="10" t="s">
        <v>120</v>
      </c>
      <c r="F83" s="13">
        <v>4.0</v>
      </c>
      <c r="G83" s="14">
        <v>63.14</v>
      </c>
      <c r="H83" s="10" t="s">
        <v>4085</v>
      </c>
      <c r="I83" s="10">
        <v>7.4</v>
      </c>
      <c r="O83" s="15">
        <f>IFERROR(__xludf.DUMMYFUNCTION("IF(ISBLANK($C83), """", GOOGLEFINANCE($C83, ""price""))"),66.84)</f>
        <v>66.84</v>
      </c>
      <c r="P83" s="16">
        <f t="shared" si="2"/>
        <v>-0.05859993665</v>
      </c>
      <c r="Q83" s="16">
        <f>IFERROR(__xludf.DUMMYFUNCTION("IF(OR(ISBLANK($G83), IFERROR(INDEX(GOOGLEFINANCE($C83, ""price"", WORKDAY(INT($B83), 1)), 2, 2), """")=""""), """", IF($D83=""LONG"", (IFERROR(INDEX(GOOGLEFINANCE($C83, ""price"", WORKDAY(INT($B83), 1)), 2, 2), """")-$G83)/$G83, ($G83-IFERROR(INDEX(GOOGLE"&amp;"FINANCE($C83, ""price"", WORKDAY(INT($B83), 1)), 2, 2), """"))/$G83))"),0.04228698131137158)</f>
        <v>0.04228698131</v>
      </c>
      <c r="R83" s="16">
        <f>IFERROR(__xludf.DUMMYFUNCTION("IF(OR(ISBLANK($G83), IFERROR(INDEX(GOOGLEFINANCE($C83, ""price"", WORKDAY(INT($B83), 5)), 2, 2), """")=""""), """", IF($D83=""LONG"", (IFERROR(INDEX(GOOGLEFINANCE($C83, ""price"", WORKDAY(INT($B83), 5)), 2, 2), """")-$G83)/$G83, ($G83-IFERROR(INDEX(GOOGLE"&amp;"FINANCE($C83, ""price"", WORKDAY(INT($B83), 5)), 2, 2), """"))/$G83))"),0.030883750395945563)</f>
        <v>0.0308837504</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4086</v>
      </c>
      <c r="U83" s="10" t="s">
        <v>984</v>
      </c>
      <c r="V83" s="10" t="s">
        <v>985</v>
      </c>
      <c r="W83" s="10" t="s">
        <v>51</v>
      </c>
      <c r="X83" s="10" t="s">
        <v>984</v>
      </c>
    </row>
    <row r="84">
      <c r="A84" s="9">
        <f t="shared" si="1"/>
        <v>83</v>
      </c>
      <c r="B84" s="11">
        <v>46225.66775462963</v>
      </c>
      <c r="C84" s="10" t="s">
        <v>2793</v>
      </c>
      <c r="D84" s="10" t="s">
        <v>36</v>
      </c>
      <c r="E84" s="10" t="s">
        <v>37</v>
      </c>
      <c r="F84" s="13">
        <v>2.0</v>
      </c>
      <c r="G84" s="14">
        <v>49.31</v>
      </c>
      <c r="H84" s="10" t="s">
        <v>4087</v>
      </c>
      <c r="I84" s="10">
        <v>91.3</v>
      </c>
      <c r="O84" s="15">
        <f>IFERROR(__xludf.DUMMYFUNCTION("IF(ISBLANK($C84), """", GOOGLEFINANCE($C84, ""price""))"),47.37)</f>
        <v>47.37</v>
      </c>
      <c r="P84" s="16">
        <f t="shared" si="2"/>
        <v>-0.03934293247</v>
      </c>
      <c r="Q84" s="16">
        <f>IFERROR(__xludf.DUMMYFUNCTION("IF(OR(ISBLANK($G84), IFERROR(INDEX(GOOGLEFINANCE($C84, ""price"", WORKDAY(INT($B84), 1)), 2, 2), """")=""""), """", IF($D84=""LONG"", (IFERROR(INDEX(GOOGLEFINANCE($C84, ""price"", WORKDAY(INT($B84), 1)), 2, 2), """")-$G84)/$G84, ($G84-IFERROR(INDEX(GOOGLE"&amp;"FINANCE($C84, ""price"", WORKDAY(INT($B84), 1)), 2, 2), """"))/$G84))"),0.0036503751774487874)</f>
        <v>0.003650375177</v>
      </c>
      <c r="R84" s="16">
        <f>IFERROR(__xludf.DUMMYFUNCTION("IF(OR(ISBLANK($G84), IFERROR(INDEX(GOOGLEFINANCE($C84, ""price"", WORKDAY(INT($B84), 5)), 2, 2), """")=""""), """", IF($D84=""LONG"", (IFERROR(INDEX(GOOGLEFINANCE($C84, ""price"", WORKDAY(INT($B84), 5)), 2, 2), """")-$G84)/$G84, ($G84-IFERROR(INDEX(GOOGLE"&amp;"FINANCE($C84, ""price"", WORKDAY(INT($B84), 5)), 2, 2), """"))/$G84))"),-0.0036503751774487874)</f>
        <v>-0.003650375177</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4088</v>
      </c>
      <c r="U84" s="10" t="s">
        <v>984</v>
      </c>
      <c r="V84" s="10" t="s">
        <v>2785</v>
      </c>
      <c r="W84" s="10" t="s">
        <v>51</v>
      </c>
      <c r="X84" s="10" t="s">
        <v>984</v>
      </c>
    </row>
    <row r="85">
      <c r="A85" s="9">
        <f t="shared" si="1"/>
        <v>84</v>
      </c>
      <c r="B85" s="11">
        <v>46225.66783564815</v>
      </c>
      <c r="C85" s="10" t="s">
        <v>392</v>
      </c>
      <c r="D85" s="10" t="s">
        <v>36</v>
      </c>
      <c r="E85" s="10" t="s">
        <v>37</v>
      </c>
      <c r="F85" s="13">
        <v>2.0</v>
      </c>
      <c r="G85" s="14">
        <v>232.12</v>
      </c>
      <c r="H85" s="10" t="s">
        <v>4089</v>
      </c>
      <c r="I85" s="10">
        <v>95.0</v>
      </c>
      <c r="O85" s="15">
        <f>IFERROR(__xludf.DUMMYFUNCTION("IF(ISBLANK($C85), """", GOOGLEFINANCE($C85, ""price""))"),180.67)</f>
        <v>180.67</v>
      </c>
      <c r="P85" s="16">
        <f t="shared" si="2"/>
        <v>-0.2216525935</v>
      </c>
      <c r="Q85" s="16">
        <f>IFERROR(__xludf.DUMMYFUNCTION("IF(OR(ISBLANK($G85), IFERROR(INDEX(GOOGLEFINANCE($C85, ""price"", WORKDAY(INT($B85), 1)), 2, 2), """")=""""), """", IF($D85=""LONG"", (IFERROR(INDEX(GOOGLEFINANCE($C85, ""price"", WORKDAY(INT($B85), 1)), 2, 2), """")-$G85)/$G85, ($G85-IFERROR(INDEX(GOOGLE"&amp;"FINANCE($C85, ""price"", WORKDAY(INT($B85), 1)), 2, 2), """"))/$G85))"),0.009262450456660373)</f>
        <v>0.009262450457</v>
      </c>
      <c r="R85" s="16">
        <f>IFERROR(__xludf.DUMMYFUNCTION("IF(OR(ISBLANK($G85), IFERROR(INDEX(GOOGLEFINANCE($C85, ""price"", WORKDAY(INT($B85), 5)), 2, 2), """")=""""), """", IF($D85=""LONG"", (IFERROR(INDEX(GOOGLEFINANCE($C85, ""price"", WORKDAY(INT($B85), 5)), 2, 2), """")-$G85)/$G85, ($G85-IFERROR(INDEX(GOOGLE"&amp;"FINANCE($C85, ""price"", WORKDAY(INT($B85), 5)), 2, 2), """"))/$G85))"),0.03808374978459419)</f>
        <v>0.03808374978</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4090</v>
      </c>
      <c r="U85" s="10" t="s">
        <v>932</v>
      </c>
      <c r="V85" s="10" t="s">
        <v>933</v>
      </c>
      <c r="W85" s="10" t="s">
        <v>51</v>
      </c>
      <c r="X85" s="10" t="s">
        <v>3186</v>
      </c>
    </row>
    <row r="86">
      <c r="A86" s="9">
        <f t="shared" si="1"/>
        <v>85</v>
      </c>
      <c r="B86" s="11">
        <v>46225.66748842593</v>
      </c>
      <c r="C86" s="10" t="s">
        <v>173</v>
      </c>
      <c r="D86" s="10" t="s">
        <v>36</v>
      </c>
      <c r="E86" s="10" t="s">
        <v>37</v>
      </c>
      <c r="F86" s="13">
        <v>2.0</v>
      </c>
      <c r="G86" s="14">
        <v>86.43</v>
      </c>
      <c r="H86" s="10" t="s">
        <v>4091</v>
      </c>
      <c r="I86" s="10">
        <v>93.5</v>
      </c>
      <c r="O86" s="15">
        <f>IFERROR(__xludf.DUMMYFUNCTION("IF(ISBLANK($C86), """", GOOGLEFINANCE($C86, ""price""))"),87.59)</f>
        <v>87.59</v>
      </c>
      <c r="P86" s="16">
        <f t="shared" si="2"/>
        <v>0.01342126576</v>
      </c>
      <c r="Q86" s="16">
        <f>IFERROR(__xludf.DUMMYFUNCTION("IF(OR(ISBLANK($G86), IFERROR(INDEX(GOOGLEFINANCE($C86, ""price"", WORKDAY(INT($B86), 1)), 2, 2), """")=""""), """", IF($D86=""LONG"", (IFERROR(INDEX(GOOGLEFINANCE($C86, ""price"", WORKDAY(INT($B86), 1)), 2, 2), """")-$G86)/$G86, ($G86-IFERROR(INDEX(GOOGLE"&amp;"FINANCE($C86, ""price"", WORKDAY(INT($B86), 1)), 2, 2), """"))/$G86))"),-0.0027768136063867762)</f>
        <v>-0.002776813606</v>
      </c>
      <c r="R86" s="16">
        <f>IFERROR(__xludf.DUMMYFUNCTION("IF(OR(ISBLANK($G86), IFERROR(INDEX(GOOGLEFINANCE($C86, ""price"", WORKDAY(INT($B86), 5)), 2, 2), """")=""""), """", IF($D86=""LONG"", (IFERROR(INDEX(GOOGLEFINANCE($C86, ""price"", WORKDAY(INT($B86), 5)), 2, 2), """")-$G86)/$G86, ($G86-IFERROR(INDEX(GOOGLE"&amp;"FINANCE($C86, ""price"", WORKDAY(INT($B86), 5)), 2, 2), """"))/$G86))"),-0.029619345134791183)</f>
        <v>-0.02961934513</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4092</v>
      </c>
      <c r="U86" s="10" t="s">
        <v>176</v>
      </c>
      <c r="V86" s="10" t="s">
        <v>4093</v>
      </c>
      <c r="W86" s="10" t="s">
        <v>51</v>
      </c>
      <c r="X86" s="10" t="s">
        <v>962</v>
      </c>
    </row>
    <row r="87">
      <c r="A87" s="9">
        <f t="shared" si="1"/>
        <v>86</v>
      </c>
      <c r="B87" s="11">
        <v>46225.6675</v>
      </c>
      <c r="C87" s="10" t="s">
        <v>397</v>
      </c>
      <c r="D87" s="10" t="s">
        <v>36</v>
      </c>
      <c r="E87" s="10" t="s">
        <v>37</v>
      </c>
      <c r="F87" s="13">
        <v>2.0</v>
      </c>
      <c r="G87" s="14">
        <v>261.09</v>
      </c>
      <c r="H87" s="10" t="s">
        <v>4094</v>
      </c>
      <c r="I87" s="10">
        <v>89.0</v>
      </c>
      <c r="O87" s="15">
        <f>IFERROR(__xludf.DUMMYFUNCTION("IF(ISBLANK($C87), """", GOOGLEFINANCE($C87, ""price""))"),306.57)</f>
        <v>306.57</v>
      </c>
      <c r="P87" s="16">
        <f t="shared" si="2"/>
        <v>0.1741928071</v>
      </c>
      <c r="Q87" s="16">
        <f>IFERROR(__xludf.DUMMYFUNCTION("IF(OR(ISBLANK($G87), IFERROR(INDEX(GOOGLEFINANCE($C87, ""price"", WORKDAY(INT($B87), 1)), 2, 2), """")=""""), """", IF($D87=""LONG"", (IFERROR(INDEX(GOOGLEFINANCE($C87, ""price"", WORKDAY(INT($B87), 1)), 2, 2), """")-$G87)/$G87, ($G87-IFERROR(INDEX(GOOGLE"&amp;"FINANCE($C87, ""price"", WORKDAY(INT($B87), 1)), 2, 2), """"))/$G87))"),-0.013328737217051445)</f>
        <v>-0.01332873722</v>
      </c>
      <c r="R87" s="16">
        <f>IFERROR(__xludf.DUMMYFUNCTION("IF(OR(ISBLANK($G87), IFERROR(INDEX(GOOGLEFINANCE($C87, ""price"", WORKDAY(INT($B87), 5)), 2, 2), """")=""""), """", IF($D87=""LONG"", (IFERROR(INDEX(GOOGLEFINANCE($C87, ""price"", WORKDAY(INT($B87), 5)), 2, 2), """")-$G87)/$G87, ($G87-IFERROR(INDEX(GOOGLE"&amp;"FINANCE($C87, ""price"", WORKDAY(INT($B87), 5)), 2, 2), """"))/$G87))"),0.1653835842046804)</f>
        <v>0.1653835842</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4095</v>
      </c>
      <c r="U87" s="10" t="s">
        <v>704</v>
      </c>
      <c r="V87" s="10" t="s">
        <v>4096</v>
      </c>
      <c r="W87" s="10" t="s">
        <v>51</v>
      </c>
      <c r="X87" s="10" t="s">
        <v>1885</v>
      </c>
    </row>
    <row r="88">
      <c r="A88" s="9">
        <f t="shared" si="1"/>
        <v>87</v>
      </c>
      <c r="B88" s="11">
        <v>46225.66774305556</v>
      </c>
      <c r="C88" s="10" t="s">
        <v>379</v>
      </c>
      <c r="D88" s="10" t="s">
        <v>36</v>
      </c>
      <c r="E88" s="10" t="s">
        <v>37</v>
      </c>
      <c r="F88" s="13">
        <v>2.0</v>
      </c>
      <c r="G88" s="14">
        <v>49.9</v>
      </c>
      <c r="H88" s="10" t="s">
        <v>4097</v>
      </c>
      <c r="I88" s="10">
        <v>89.0</v>
      </c>
      <c r="O88" s="15">
        <f>IFERROR(__xludf.DUMMYFUNCTION("IF(ISBLANK($C88), """", GOOGLEFINANCE($C88, ""price""))"),50.7)</f>
        <v>50.7</v>
      </c>
      <c r="P88" s="16">
        <f t="shared" si="2"/>
        <v>0.01603206413</v>
      </c>
      <c r="Q88" s="16">
        <f>IFERROR(__xludf.DUMMYFUNCTION("IF(OR(ISBLANK($G88), IFERROR(INDEX(GOOGLEFINANCE($C88, ""price"", WORKDAY(INT($B88), 1)), 2, 2), """")=""""), """", IF($D88=""LONG"", (IFERROR(INDEX(GOOGLEFINANCE($C88, ""price"", WORKDAY(INT($B88), 1)), 2, 2), """")-$G88)/$G88, ($G88-IFERROR(INDEX(GOOGLE"&amp;"FINANCE($C88, ""price"", WORKDAY(INT($B88), 1)), 2, 2), """"))/$G88))"),0.05831663326653314)</f>
        <v>0.05831663327</v>
      </c>
      <c r="R88" s="16">
        <f>IFERROR(__xludf.DUMMYFUNCTION("IF(OR(ISBLANK($G88), IFERROR(INDEX(GOOGLEFINANCE($C88, ""price"", WORKDAY(INT($B88), 5)), 2, 2), """")=""""), """", IF($D88=""LONG"", (IFERROR(INDEX(GOOGLEFINANCE($C88, ""price"", WORKDAY(INT($B88), 5)), 2, 2), """")-$G88)/$G88, ($G88-IFERROR(INDEX(GOOGLE"&amp;"FINANCE($C88, ""price"", WORKDAY(INT($B88), 5)), 2, 2), """"))/$G88))"),0.016833667334669407)</f>
        <v>0.01683366733</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4098</v>
      </c>
      <c r="U88" s="10" t="s">
        <v>984</v>
      </c>
      <c r="V88" s="10" t="s">
        <v>933</v>
      </c>
      <c r="W88" s="10" t="s">
        <v>51</v>
      </c>
      <c r="X88" s="10" t="s">
        <v>984</v>
      </c>
    </row>
    <row r="89">
      <c r="A89" s="9">
        <f t="shared" si="1"/>
        <v>88</v>
      </c>
      <c r="B89" s="11">
        <v>46225.66788194444</v>
      </c>
      <c r="C89" s="10" t="s">
        <v>76</v>
      </c>
      <c r="D89" s="10" t="s">
        <v>36</v>
      </c>
      <c r="E89" s="10" t="s">
        <v>37</v>
      </c>
      <c r="F89" s="13">
        <v>2.0</v>
      </c>
      <c r="G89" s="14">
        <v>273.91</v>
      </c>
      <c r="H89" s="10" t="s">
        <v>1044</v>
      </c>
      <c r="I89" s="10">
        <v>94.8</v>
      </c>
      <c r="O89" s="15">
        <f>IFERROR(__xludf.DUMMYFUNCTION("IF(ISBLANK($C89), """", GOOGLEFINANCE($C89, ""price""))"),294.7)</f>
        <v>294.7</v>
      </c>
      <c r="P89" s="16">
        <f t="shared" si="2"/>
        <v>0.07590084334</v>
      </c>
      <c r="Q89" s="16">
        <f>IFERROR(__xludf.DUMMYFUNCTION("IF(OR(ISBLANK($G89), IFERROR(INDEX(GOOGLEFINANCE($C89, ""price"", WORKDAY(INT($B89), 1)), 2, 2), """")=""""), """", IF($D89=""LONG"", (IFERROR(INDEX(GOOGLEFINANCE($C89, ""price"", WORKDAY(INT($B89), 1)), 2, 2), """")-$G89)/$G89, ($G89-IFERROR(INDEX(GOOGLE"&amp;"FINANCE($C89, ""price"", WORKDAY(INT($B89), 1)), 2, 2), """"))/$G89))"),0.010952502646854805)</f>
        <v>0.01095250265</v>
      </c>
      <c r="R89" s="16">
        <f>IFERROR(__xludf.DUMMYFUNCTION("IF(OR(ISBLANK($G89), IFERROR(INDEX(GOOGLEFINANCE($C89, ""price"", WORKDAY(INT($B89), 5)), 2, 2), """")=""""), """", IF($D89=""LONG"", (IFERROR(INDEX(GOOGLEFINANCE($C89, ""price"", WORKDAY(INT($B89), 5)), 2, 2), """")-$G89)/$G89, ($G89-IFERROR(INDEX(GOOGLE"&amp;"FINANCE($C89, ""price"", WORKDAY(INT($B89), 5)), 2, 2), """"))/$G89))"),0.06768646635756256)</f>
        <v>0.06768646636</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4099</v>
      </c>
      <c r="U89" s="10" t="s">
        <v>984</v>
      </c>
      <c r="V89" s="10" t="s">
        <v>933</v>
      </c>
      <c r="W89" s="10" t="s">
        <v>51</v>
      </c>
      <c r="X89" s="10" t="s">
        <v>984</v>
      </c>
    </row>
    <row r="90">
      <c r="A90" s="9">
        <f t="shared" si="1"/>
        <v>89</v>
      </c>
      <c r="B90" s="11">
        <v>46225.66746527778</v>
      </c>
      <c r="C90" s="10" t="s">
        <v>170</v>
      </c>
      <c r="D90" s="10" t="s">
        <v>36</v>
      </c>
      <c r="E90" s="10" t="s">
        <v>37</v>
      </c>
      <c r="F90" s="13">
        <v>2.0</v>
      </c>
      <c r="G90" s="14">
        <v>71.08</v>
      </c>
      <c r="H90" s="10" t="s">
        <v>4100</v>
      </c>
      <c r="I90" s="10">
        <v>93.3</v>
      </c>
      <c r="O90" s="15">
        <f>IFERROR(__xludf.DUMMYFUNCTION("IF(ISBLANK($C90), """", GOOGLEFINANCE($C90, ""price""))"),66.8)</f>
        <v>66.8</v>
      </c>
      <c r="P90" s="16">
        <f t="shared" si="2"/>
        <v>-0.06021384356</v>
      </c>
      <c r="Q90" s="16">
        <f>IFERROR(__xludf.DUMMYFUNCTION("IF(OR(ISBLANK($G90), IFERROR(INDEX(GOOGLEFINANCE($C90, ""price"", WORKDAY(INT($B90), 1)), 2, 2), """")=""""), """", IF($D90=""LONG"", (IFERROR(INDEX(GOOGLEFINANCE($C90, ""price"", WORKDAY(INT($B90), 1)), 2, 2), """")-$G90)/$G90, ($G90-IFERROR(INDEX(GOOGLE"&amp;"FINANCE($C90, ""price"", WORKDAY(INT($B90), 1)), 2, 2), """"))/$G90))"),0.005346088913899767)</f>
        <v>0.005346088914</v>
      </c>
      <c r="R90" s="16">
        <f>IFERROR(__xludf.DUMMYFUNCTION("IF(OR(ISBLANK($G90), IFERROR(INDEX(GOOGLEFINANCE($C90, ""price"", WORKDAY(INT($B90), 5)), 2, 2), """")=""""), """", IF($D90=""LONG"", (IFERROR(INDEX(GOOGLEFINANCE($C90, ""price"", WORKDAY(INT($B90), 5)), 2, 2), """")-$G90)/$G90, ($G90-IFERROR(INDEX(GOOGLE"&amp;"FINANCE($C90, ""price"", WORKDAY(INT($B90), 5)), 2, 2), """"))/$G90))"),-0.007456387169386623)</f>
        <v>-0.007456387169</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4101</v>
      </c>
      <c r="U90" s="10" t="s">
        <v>984</v>
      </c>
      <c r="V90" s="10" t="s">
        <v>2785</v>
      </c>
      <c r="W90" s="10" t="s">
        <v>51</v>
      </c>
      <c r="X90" s="10" t="s">
        <v>984</v>
      </c>
    </row>
    <row r="91">
      <c r="A91" s="9">
        <f t="shared" si="1"/>
        <v>90</v>
      </c>
      <c r="B91" s="11">
        <v>46225.66756944444</v>
      </c>
      <c r="C91" s="10" t="s">
        <v>303</v>
      </c>
      <c r="D91" s="10" t="s">
        <v>36</v>
      </c>
      <c r="E91" s="10" t="s">
        <v>133</v>
      </c>
      <c r="F91" s="13">
        <v>2.0</v>
      </c>
      <c r="G91" s="14">
        <v>108.09</v>
      </c>
      <c r="H91" s="10" t="s">
        <v>4102</v>
      </c>
      <c r="I91" s="10">
        <v>81.4</v>
      </c>
      <c r="O91" s="15">
        <f>IFERROR(__xludf.DUMMYFUNCTION("IF(ISBLANK($C91), """", GOOGLEFINANCE($C91, ""price""))"),96.22)</f>
        <v>96.22</v>
      </c>
      <c r="P91" s="16">
        <f t="shared" si="2"/>
        <v>-0.1098158942</v>
      </c>
      <c r="Q91" s="16">
        <f>IFERROR(__xludf.DUMMYFUNCTION("IF(OR(ISBLANK($G91), IFERROR(INDEX(GOOGLEFINANCE($C91, ""price"", WORKDAY(INT($B91), 1)), 2, 2), """")=""""), """", IF($D91=""LONG"", (IFERROR(INDEX(GOOGLEFINANCE($C91, ""price"", WORKDAY(INT($B91), 1)), 2, 2), """")-$G91)/$G91, ($G91-IFERROR(INDEX(GOOGLE"&amp;"FINANCE($C91, ""price"", WORKDAY(INT($B91), 1)), 2, 2), """"))/$G91))"),-0.011101859561476574)</f>
        <v>-0.01110185956</v>
      </c>
      <c r="R91" s="16">
        <f>IFERROR(__xludf.DUMMYFUNCTION("IF(OR(ISBLANK($G91), IFERROR(INDEX(GOOGLEFINANCE($C91, ""price"", WORKDAY(INT($B91), 5)), 2, 2), """")=""""), """", IF($D91=""LONG"", (IFERROR(INDEX(GOOGLEFINANCE($C91, ""price"", WORKDAY(INT($B91), 5)), 2, 2), """")-$G91)/$G91, ($G91-IFERROR(INDEX(GOOGLE"&amp;"FINANCE($C91, ""price"", WORKDAY(INT($B91), 5)), 2, 2), """"))/$G91))"),-0.02007586270700344)</f>
        <v>-0.02007586271</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4103</v>
      </c>
      <c r="U91" s="10" t="s">
        <v>932</v>
      </c>
      <c r="V91" s="10" t="s">
        <v>933</v>
      </c>
      <c r="W91" s="10" t="s">
        <v>51</v>
      </c>
      <c r="X91" s="10" t="s">
        <v>3186</v>
      </c>
    </row>
    <row r="92">
      <c r="A92" s="9">
        <f t="shared" si="1"/>
        <v>91</v>
      </c>
      <c r="B92" s="11">
        <v>46225.66736111111</v>
      </c>
      <c r="C92" s="10" t="s">
        <v>169</v>
      </c>
      <c r="D92" s="10" t="s">
        <v>119</v>
      </c>
      <c r="E92" s="10" t="s">
        <v>120</v>
      </c>
      <c r="F92" s="13">
        <v>4.0</v>
      </c>
      <c r="G92" s="14">
        <v>278.94</v>
      </c>
      <c r="H92" s="10" t="s">
        <v>4104</v>
      </c>
      <c r="I92" s="10">
        <v>17.7</v>
      </c>
      <c r="O92" s="15">
        <f>IFERROR(__xludf.DUMMYFUNCTION("IF(ISBLANK($C92), """", GOOGLEFINANCE($C92, ""price""))"),231.78)</f>
        <v>231.78</v>
      </c>
      <c r="P92" s="16">
        <f t="shared" si="2"/>
        <v>0.1690686169</v>
      </c>
      <c r="Q92" s="16">
        <f>IFERROR(__xludf.DUMMYFUNCTION("IF(OR(ISBLANK($G92), IFERROR(INDEX(GOOGLEFINANCE($C92, ""price"", WORKDAY(INT($B92), 1)), 2, 2), """")=""""), """", IF($D92=""LONG"", (IFERROR(INDEX(GOOGLEFINANCE($C92, ""price"", WORKDAY(INT($B92), 1)), 2, 2), """")-$G92)/$G92, ($G92-IFERROR(INDEX(GOOGLE"&amp;"FINANCE($C92, ""price"", WORKDAY(INT($B92), 1)), 2, 2), """"))/$G92))"),0.005915250591524978)</f>
        <v>0.005915250592</v>
      </c>
      <c r="R92" s="16">
        <f>IFERROR(__xludf.DUMMYFUNCTION("IF(OR(ISBLANK($G92), IFERROR(INDEX(GOOGLEFINANCE($C92, ""price"", WORKDAY(INT($B92), 5)), 2, 2), """")=""""), """", IF($D92=""LONG"", (IFERROR(INDEX(GOOGLEFINANCE($C92, ""price"", WORKDAY(INT($B92), 5)), 2, 2), """")-$G92)/$G92, ($G92-IFERROR(INDEX(GOOGLE"&amp;"FINANCE($C92, ""price"", WORKDAY(INT($B92), 5)), 2, 2), """"))/$G92))"),0.1360866136086614)</f>
        <v>0.1360866136</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4105</v>
      </c>
      <c r="U92" s="10" t="s">
        <v>984</v>
      </c>
      <c r="V92" s="10" t="s">
        <v>985</v>
      </c>
      <c r="W92" s="10" t="s">
        <v>51</v>
      </c>
      <c r="X92" s="10" t="s">
        <v>984</v>
      </c>
    </row>
    <row r="93">
      <c r="A93" s="9">
        <f t="shared" si="1"/>
        <v>92</v>
      </c>
      <c r="B93" s="11">
        <v>46225.66761574074</v>
      </c>
      <c r="C93" s="10" t="s">
        <v>4106</v>
      </c>
      <c r="D93" s="10" t="s">
        <v>36</v>
      </c>
      <c r="E93" s="10" t="s">
        <v>133</v>
      </c>
      <c r="F93" s="13">
        <v>2.0</v>
      </c>
      <c r="G93" s="14">
        <v>60.77</v>
      </c>
      <c r="H93" s="10" t="s">
        <v>4107</v>
      </c>
      <c r="I93" s="10">
        <v>88.8</v>
      </c>
      <c r="O93" s="15">
        <f>IFERROR(__xludf.DUMMYFUNCTION("IF(ISBLANK($C93), """", GOOGLEFINANCE($C93, ""price""))"),64.15)</f>
        <v>64.15</v>
      </c>
      <c r="P93" s="16">
        <f t="shared" si="2"/>
        <v>0.05561954912</v>
      </c>
      <c r="Q93" s="16">
        <f>IFERROR(__xludf.DUMMYFUNCTION("IF(OR(ISBLANK($G93), IFERROR(INDEX(GOOGLEFINANCE($C93, ""price"", WORKDAY(INT($B93), 1)), 2, 2), """")=""""), """", IF($D93=""LONG"", (IFERROR(INDEX(GOOGLEFINANCE($C93, ""price"", WORKDAY(INT($B93), 1)), 2, 2), """")-$G93)/$G93, ($G93-IFERROR(INDEX(GOOGLE"&amp;"FINANCE($C93, ""price"", WORKDAY(INT($B93), 1)), 2, 2), """"))/$G93))"),0.012177061049860044)</f>
        <v>0.01217706105</v>
      </c>
      <c r="R93" s="16">
        <f>IFERROR(__xludf.DUMMYFUNCTION("IF(OR(ISBLANK($G93), IFERROR(INDEX(GOOGLEFINANCE($C93, ""price"", WORKDAY(INT($B93), 5)), 2, 2), """")=""""), """", IF($D93=""LONG"", (IFERROR(INDEX(GOOGLEFINANCE($C93, ""price"", WORKDAY(INT($B93), 5)), 2, 2), """")-$G93)/$G93, ($G93-IFERROR(INDEX(GOOGLE"&amp;"FINANCE($C93, ""price"", WORKDAY(INT($B93), 5)), 2, 2), """"))/$G93))"),0.038341286819154156)</f>
        <v>0.03834128682</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4108</v>
      </c>
      <c r="U93" s="10" t="s">
        <v>932</v>
      </c>
      <c r="V93" s="10" t="s">
        <v>933</v>
      </c>
      <c r="W93" s="10" t="s">
        <v>51</v>
      </c>
      <c r="X93" s="10" t="s">
        <v>3186</v>
      </c>
    </row>
    <row r="94">
      <c r="A94" s="9">
        <f t="shared" si="1"/>
        <v>93</v>
      </c>
      <c r="B94" s="11">
        <v>46225.66751157407</v>
      </c>
      <c r="C94" s="10" t="s">
        <v>3242</v>
      </c>
      <c r="D94" s="10" t="s">
        <v>36</v>
      </c>
      <c r="E94" s="10" t="s">
        <v>37</v>
      </c>
      <c r="F94" s="13">
        <v>2.0</v>
      </c>
      <c r="G94" s="14">
        <v>325.86</v>
      </c>
      <c r="H94" s="10" t="s">
        <v>4109</v>
      </c>
      <c r="I94" s="10">
        <v>90.5</v>
      </c>
      <c r="O94" s="15">
        <f>IFERROR(__xludf.DUMMYFUNCTION("IF(ISBLANK($C94), """", GOOGLEFINANCE($C94, ""price""))"),312.41)</f>
        <v>312.41</v>
      </c>
      <c r="P94" s="16">
        <f t="shared" si="2"/>
        <v>-0.04127539434</v>
      </c>
      <c r="Q94" s="16">
        <f>IFERROR(__xludf.DUMMYFUNCTION("IF(OR(ISBLANK($G94), IFERROR(INDEX(GOOGLEFINANCE($C94, ""price"", WORKDAY(INT($B94), 1)), 2, 2), """")=""""), """", IF($D94=""LONG"", (IFERROR(INDEX(GOOGLEFINANCE($C94, ""price"", WORKDAY(INT($B94), 1)), 2, 2), """")-$G94)/$G94, ($G94-IFERROR(INDEX(GOOGLE"&amp;"FINANCE($C94, ""price"", WORKDAY(INT($B94), 1)), 2, 2), """"))/$G94))"),-0.012888970723623607)</f>
        <v>-0.01288897072</v>
      </c>
      <c r="R94" s="16">
        <f>IFERROR(__xludf.DUMMYFUNCTION("IF(OR(ISBLANK($G94), IFERROR(INDEX(GOOGLEFINANCE($C94, ""price"", WORKDAY(INT($B94), 5)), 2, 2), """")=""""), """", IF($D94=""LONG"", (IFERROR(INDEX(GOOGLEFINANCE($C94, ""price"", WORKDAY(INT($B94), 5)), 2, 2), """")-$G94)/$G94, ($G94-IFERROR(INDEX(GOOGLE"&amp;"FINANCE($C94, ""price"", WORKDAY(INT($B94), 5)), 2, 2), """"))/$G94))"),0.03783833548149507)</f>
        <v>0.03783833548</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4110</v>
      </c>
      <c r="U94" s="10" t="s">
        <v>932</v>
      </c>
      <c r="V94" s="10" t="s">
        <v>933</v>
      </c>
      <c r="W94" s="10" t="s">
        <v>51</v>
      </c>
      <c r="X94" s="10" t="s">
        <v>3186</v>
      </c>
    </row>
    <row r="95">
      <c r="A95" s="9">
        <f t="shared" si="1"/>
        <v>94</v>
      </c>
      <c r="B95" s="11">
        <v>46225.667592592596</v>
      </c>
      <c r="C95" s="10" t="s">
        <v>3480</v>
      </c>
      <c r="D95" s="10" t="s">
        <v>36</v>
      </c>
      <c r="E95" s="10" t="s">
        <v>133</v>
      </c>
      <c r="F95" s="13">
        <v>2.0</v>
      </c>
      <c r="G95" s="14">
        <v>26.13</v>
      </c>
      <c r="H95" s="10" t="s">
        <v>4111</v>
      </c>
      <c r="I95" s="10">
        <v>86.9</v>
      </c>
      <c r="O95" s="15">
        <f>IFERROR(__xludf.DUMMYFUNCTION("IF(ISBLANK($C95), """", GOOGLEFINANCE($C95, ""price""))"),24.43)</f>
        <v>24.43</v>
      </c>
      <c r="P95" s="16">
        <f t="shared" si="2"/>
        <v>-0.06505931879</v>
      </c>
      <c r="Q95" s="16">
        <f>IFERROR(__xludf.DUMMYFUNCTION("IF(OR(ISBLANK($G95), IFERROR(INDEX(GOOGLEFINANCE($C95, ""price"", WORKDAY(INT($B95), 1)), 2, 2), """")=""""), """", IF($D95=""LONG"", (IFERROR(INDEX(GOOGLEFINANCE($C95, ""price"", WORKDAY(INT($B95), 1)), 2, 2), """")-$G95)/$G95, ($G95-IFERROR(INDEX(GOOGLE"&amp;"FINANCE($C95, ""price"", WORKDAY(INT($B95), 1)), 2, 2), """"))/$G95))"),-0.01492537313432838)</f>
        <v>-0.01492537313</v>
      </c>
      <c r="R95" s="16">
        <f>IFERROR(__xludf.DUMMYFUNCTION("IF(OR(ISBLANK($G95), IFERROR(INDEX(GOOGLEFINANCE($C95, ""price"", WORKDAY(INT($B95), 5)), 2, 2), """")=""""), """", IF($D95=""LONG"", (IFERROR(INDEX(GOOGLEFINANCE($C95, ""price"", WORKDAY(INT($B95), 5)), 2, 2), """")-$G95)/$G95, ($G95-IFERROR(INDEX(GOOGLE"&amp;"FINANCE($C95, ""price"", WORKDAY(INT($B95), 5)), 2, 2), """"))/$G95))"),-0.004592422502870166)</f>
        <v>-0.004592422503</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4112</v>
      </c>
      <c r="U95" s="10" t="s">
        <v>932</v>
      </c>
      <c r="V95" s="10" t="s">
        <v>933</v>
      </c>
      <c r="W95" s="10" t="s">
        <v>51</v>
      </c>
      <c r="X95" s="10" t="s">
        <v>3186</v>
      </c>
    </row>
    <row r="96">
      <c r="A96" s="9">
        <f t="shared" si="1"/>
        <v>95</v>
      </c>
      <c r="B96" s="11">
        <v>46225.66755787037</v>
      </c>
      <c r="C96" s="10" t="s">
        <v>1507</v>
      </c>
      <c r="D96" s="10" t="s">
        <v>36</v>
      </c>
      <c r="E96" s="10" t="s">
        <v>37</v>
      </c>
      <c r="F96" s="13">
        <v>2.0</v>
      </c>
      <c r="G96" s="14">
        <v>78.96</v>
      </c>
      <c r="H96" s="10" t="s">
        <v>4113</v>
      </c>
      <c r="I96" s="10">
        <v>97.8</v>
      </c>
      <c r="O96" s="15">
        <f>IFERROR(__xludf.DUMMYFUNCTION("IF(ISBLANK($C96), """", GOOGLEFINANCE($C96, ""price""))"),87.69)</f>
        <v>87.69</v>
      </c>
      <c r="P96" s="16">
        <f t="shared" si="2"/>
        <v>0.11056231</v>
      </c>
      <c r="Q96" s="16">
        <f>IFERROR(__xludf.DUMMYFUNCTION("IF(OR(ISBLANK($G96), IFERROR(INDEX(GOOGLEFINANCE($C96, ""price"", WORKDAY(INT($B96), 1)), 2, 2), """")=""""), """", IF($D96=""LONG"", (IFERROR(INDEX(GOOGLEFINANCE($C96, ""price"", WORKDAY(INT($B96), 1)), 2, 2), """")-$G96)/$G96, ($G96-IFERROR(INDEX(GOOGLE"&amp;"FINANCE($C96, ""price"", WORKDAY(INT($B96), 1)), 2, 2), """"))/$G96))"),-0.013931104356636201)</f>
        <v>-0.01393110436</v>
      </c>
      <c r="R96" s="16">
        <f>IFERROR(__xludf.DUMMYFUNCTION("IF(OR(ISBLANK($G96), IFERROR(INDEX(GOOGLEFINANCE($C96, ""price"", WORKDAY(INT($B96), 5)), 2, 2), """")=""""), """", IF($D96=""LONG"", (IFERROR(INDEX(GOOGLEFINANCE($C96, ""price"", WORKDAY(INT($B96), 5)), 2, 2), """")-$G96)/$G96, ($G96-IFERROR(INDEX(GOOGLE"&amp;"FINANCE($C96, ""price"", WORKDAY(INT($B96), 5)), 2, 2), """"))/$G96))"),0.11790780141843975)</f>
        <v>0.1179078014</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4114</v>
      </c>
      <c r="U96" s="10" t="s">
        <v>984</v>
      </c>
      <c r="V96" s="10" t="s">
        <v>985</v>
      </c>
      <c r="W96" s="10" t="s">
        <v>51</v>
      </c>
      <c r="X96" s="10" t="s">
        <v>984</v>
      </c>
    </row>
    <row r="97">
      <c r="A97" s="9">
        <f t="shared" si="1"/>
        <v>96</v>
      </c>
      <c r="B97" s="11">
        <v>46225.667662037034</v>
      </c>
      <c r="C97" s="10" t="s">
        <v>3715</v>
      </c>
      <c r="D97" s="10" t="s">
        <v>119</v>
      </c>
      <c r="E97" s="10" t="s">
        <v>120</v>
      </c>
      <c r="F97" s="13">
        <v>4.0</v>
      </c>
      <c r="G97" s="14">
        <v>92.36</v>
      </c>
      <c r="H97" s="10" t="s">
        <v>4115</v>
      </c>
      <c r="I97" s="10">
        <v>9.5</v>
      </c>
      <c r="O97" s="15">
        <f>IFERROR(__xludf.DUMMYFUNCTION("IF(ISBLANK($C97), """", GOOGLEFINANCE($C97, ""price""))"),78.33)</f>
        <v>78.33</v>
      </c>
      <c r="P97" s="16">
        <f t="shared" si="2"/>
        <v>0.1519055868</v>
      </c>
      <c r="Q97" s="16">
        <f>IFERROR(__xludf.DUMMYFUNCTION("IF(OR(ISBLANK($G97), IFERROR(INDEX(GOOGLEFINANCE($C97, ""price"", WORKDAY(INT($B97), 1)), 2, 2), """")=""""), """", IF($D97=""LONG"", (IFERROR(INDEX(GOOGLEFINANCE($C97, ""price"", WORKDAY(INT($B97), 1)), 2, 2), """")-$G97)/$G97, ($G97-IFERROR(INDEX(GOOGLE"&amp;"FINANCE($C97, ""price"", WORKDAY(INT($B97), 1)), 2, 2), """"))/$G97))"),0.02414465136422698)</f>
        <v>0.02414465136</v>
      </c>
      <c r="R97" s="16">
        <f>IFERROR(__xludf.DUMMYFUNCTION("IF(OR(ISBLANK($G97), IFERROR(INDEX(GOOGLEFINANCE($C97, ""price"", WORKDAY(INT($B97), 5)), 2, 2), """")=""""), """", IF($D97=""LONG"", (IFERROR(INDEX(GOOGLEFINANCE($C97, ""price"", WORKDAY(INT($B97), 5)), 2, 2), """")-$G97)/$G97, ($G97-IFERROR(INDEX(GOOGLE"&amp;"FINANCE($C97, ""price"", WORKDAY(INT($B97), 5)), 2, 2), """"))/$G97))"),0.14616717193590298)</f>
        <v>0.1461671719</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4116</v>
      </c>
      <c r="U97" s="10" t="s">
        <v>984</v>
      </c>
      <c r="V97" s="10" t="s">
        <v>985</v>
      </c>
      <c r="W97" s="10" t="s">
        <v>51</v>
      </c>
      <c r="X97" s="10" t="s">
        <v>984</v>
      </c>
    </row>
    <row r="98">
      <c r="A98" s="9">
        <f t="shared" si="1"/>
        <v>97</v>
      </c>
      <c r="B98" s="11">
        <v>46225.66753472222</v>
      </c>
      <c r="C98" s="10" t="s">
        <v>86</v>
      </c>
      <c r="D98" s="10" t="s">
        <v>36</v>
      </c>
      <c r="E98" s="10" t="s">
        <v>37</v>
      </c>
      <c r="F98" s="13">
        <v>2.0</v>
      </c>
      <c r="G98" s="14">
        <v>83.54</v>
      </c>
      <c r="H98" s="10" t="s">
        <v>4117</v>
      </c>
      <c r="I98" s="10">
        <v>95.2</v>
      </c>
      <c r="O98" s="15">
        <f>IFERROR(__xludf.DUMMYFUNCTION("IF(ISBLANK($C98), """", GOOGLEFINANCE($C98, ""price""))"),88.24)</f>
        <v>88.24</v>
      </c>
      <c r="P98" s="16">
        <f t="shared" si="2"/>
        <v>0.05626047402</v>
      </c>
      <c r="Q98" s="16">
        <f>IFERROR(__xludf.DUMMYFUNCTION("IF(OR(ISBLANK($G98), IFERROR(INDEX(GOOGLEFINANCE($C98, ""price"", WORKDAY(INT($B98), 1)), 2, 2), """")=""""), """", IF($D98=""LONG"", (IFERROR(INDEX(GOOGLEFINANCE($C98, ""price"", WORKDAY(INT($B98), 1)), 2, 2), """")-$G98)/$G98, ($G98-IFERROR(INDEX(GOOGLE"&amp;"FINANCE($C98, ""price"", WORKDAY(INT($B98), 1)), 2, 2), """"))/$G98))"),0.009217141489106967)</f>
        <v>0.009217141489</v>
      </c>
      <c r="R98" s="16">
        <f>IFERROR(__xludf.DUMMYFUNCTION("IF(OR(ISBLANK($G98), IFERROR(INDEX(GOOGLEFINANCE($C98, ""price"", WORKDAY(INT($B98), 5)), 2, 2), """")=""""), """", IF($D98=""LONG"", (IFERROR(INDEX(GOOGLEFINANCE($C98, ""price"", WORKDAY(INT($B98), 5)), 2, 2), """")-$G98)/$G98, ($G98-IFERROR(INDEX(GOOGLE"&amp;"FINANCE($C98, ""price"", WORKDAY(INT($B98), 5)), 2, 2), """"))/$G98))"),0.012808235575772002)</f>
        <v>0.01280823558</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4118</v>
      </c>
      <c r="U98" s="10" t="s">
        <v>984</v>
      </c>
      <c r="V98" s="10" t="s">
        <v>985</v>
      </c>
      <c r="W98" s="10" t="s">
        <v>51</v>
      </c>
      <c r="X98" s="10" t="s">
        <v>984</v>
      </c>
    </row>
    <row r="99">
      <c r="A99" s="9">
        <f t="shared" si="1"/>
        <v>98</v>
      </c>
      <c r="B99" s="11">
        <v>46225.66784722222</v>
      </c>
      <c r="C99" s="10" t="s">
        <v>197</v>
      </c>
      <c r="D99" s="10" t="s">
        <v>36</v>
      </c>
      <c r="E99" s="10" t="s">
        <v>37</v>
      </c>
      <c r="F99" s="13">
        <v>2.0</v>
      </c>
      <c r="G99" s="14">
        <v>210.27</v>
      </c>
      <c r="H99" s="10" t="s">
        <v>4119</v>
      </c>
      <c r="I99" s="10">
        <v>87.4</v>
      </c>
      <c r="O99" s="15">
        <f>IFERROR(__xludf.DUMMYFUNCTION("IF(ISBLANK($C99), """", GOOGLEFINANCE($C99, ""price""))"),238.5)</f>
        <v>238.5</v>
      </c>
      <c r="P99" s="16">
        <f t="shared" si="2"/>
        <v>0.1342559566</v>
      </c>
      <c r="Q99" s="16">
        <f>IFERROR(__xludf.DUMMYFUNCTION("IF(OR(ISBLANK($G99), IFERROR(INDEX(GOOGLEFINANCE($C99, ""price"", WORKDAY(INT($B99), 1)), 2, 2), """")=""""), """", IF($D99=""LONG"", (IFERROR(INDEX(GOOGLEFINANCE($C99, ""price"", WORKDAY(INT($B99), 1)), 2, 2), """")-$G99)/$G99, ($G99-IFERROR(INDEX(GOOGLE"&amp;"FINANCE($C99, ""price"", WORKDAY(INT($B99), 1)), 2, 2), """"))/$G99))"),0.08384458077709608)</f>
        <v>0.08384458078</v>
      </c>
      <c r="R99" s="16">
        <f>IFERROR(__xludf.DUMMYFUNCTION("IF(OR(ISBLANK($G99), IFERROR(INDEX(GOOGLEFINANCE($C99, ""price"", WORKDAY(INT($B99), 5)), 2, 2), """")=""""), """", IF($D99=""LONG"", (IFERROR(INDEX(GOOGLEFINANCE($C99, ""price"", WORKDAY(INT($B99), 5)), 2, 2), """")-$G99)/$G99, ($G99-IFERROR(INDEX(GOOGLE"&amp;"FINANCE($C99, ""price"", WORKDAY(INT($B99), 5)), 2, 2), """"))/$G99))"),0.11865696485471056)</f>
        <v>0.1186569649</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4120</v>
      </c>
      <c r="U99" s="10" t="s">
        <v>984</v>
      </c>
      <c r="V99" s="10" t="s">
        <v>933</v>
      </c>
      <c r="W99" s="10" t="s">
        <v>51</v>
      </c>
      <c r="X99" s="10" t="s">
        <v>984</v>
      </c>
    </row>
    <row r="100">
      <c r="A100" s="9">
        <f t="shared" si="1"/>
        <v>99</v>
      </c>
      <c r="B100" s="11">
        <v>46225.667546296296</v>
      </c>
      <c r="C100" s="10" t="s">
        <v>1198</v>
      </c>
      <c r="D100" s="10" t="s">
        <v>36</v>
      </c>
      <c r="E100" s="10" t="s">
        <v>37</v>
      </c>
      <c r="F100" s="13">
        <v>2.0</v>
      </c>
      <c r="G100" s="14">
        <v>343.07</v>
      </c>
      <c r="H100" s="10" t="s">
        <v>4121</v>
      </c>
      <c r="I100" s="10">
        <v>91.7</v>
      </c>
      <c r="L100" s="10" t="s">
        <v>4122</v>
      </c>
      <c r="M100" s="34" t="s">
        <v>3374</v>
      </c>
      <c r="N100" s="10" t="s">
        <v>925</v>
      </c>
      <c r="O100" s="15">
        <f>IFERROR(__xludf.DUMMYFUNCTION("IF(ISBLANK($C100), """", GOOGLEFINANCE($C100, ""price""))"),354.03)</f>
        <v>354.03</v>
      </c>
      <c r="P100" s="16">
        <f t="shared" si="2"/>
        <v>0.03194683301</v>
      </c>
      <c r="Q100" s="16">
        <f>IFERROR(__xludf.DUMMYFUNCTION("IF(OR(ISBLANK($G100), IFERROR(INDEX(GOOGLEFINANCE($C100, ""price"", WORKDAY(INT($B100), 1)), 2, 2), """")=""""), """", IF($D100=""LONG"", (IFERROR(INDEX(GOOGLEFINANCE($C100, ""price"", WORKDAY(INT($B100), 1)), 2, 2), """")-$G100)/$G100, ($G100-IFERROR(IND"&amp;"EX(GOOGLEFINANCE($C100, ""price"", WORKDAY(INT($B100), 1)), 2, 2), """"))/$G100))"),0.029673244527355952)</f>
        <v>0.02967324453</v>
      </c>
      <c r="R100" s="16">
        <f>IFERROR(__xludf.DUMMYFUNCTION("IF(OR(ISBLANK($G100), IFERROR(INDEX(GOOGLEFINANCE($C100, ""price"", WORKDAY(INT($B100), 5)), 2, 2), """")=""""), """", IF($D100=""LONG"", (IFERROR(INDEX(GOOGLEFINANCE($C100, ""price"", WORKDAY(INT($B100), 5)), 2, 2), """")-$G100)/$G100, ($G100-IFERROR(IND"&amp;"EX(GOOGLEFINANCE($C100, ""price"", WORKDAY(INT($B100), 5)), 2, 2), """"))/$G100))"),0.054886757804529646)</f>
        <v>0.0548867578</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4123</v>
      </c>
      <c r="U100" s="10" t="s">
        <v>240</v>
      </c>
      <c r="V100" s="10" t="s">
        <v>4124</v>
      </c>
      <c r="W100" s="10" t="s">
        <v>51</v>
      </c>
      <c r="X100" s="10" t="s">
        <v>1905</v>
      </c>
    </row>
    <row r="101">
      <c r="A101" s="9">
        <f t="shared" si="1"/>
        <v>100</v>
      </c>
      <c r="B101" s="11">
        <v>46225.66768518519</v>
      </c>
      <c r="C101" s="10" t="s">
        <v>310</v>
      </c>
      <c r="D101" s="10" t="s">
        <v>36</v>
      </c>
      <c r="E101" s="10" t="s">
        <v>37</v>
      </c>
      <c r="F101" s="13">
        <v>2.0</v>
      </c>
      <c r="G101" s="14">
        <v>198.53</v>
      </c>
      <c r="H101" s="10" t="s">
        <v>4125</v>
      </c>
      <c r="I101" s="10">
        <v>91.8</v>
      </c>
      <c r="O101" s="15">
        <f>IFERROR(__xludf.DUMMYFUNCTION("IF(ISBLANK($C101), """", GOOGLEFINANCE($C101, ""price""))"),232.43)</f>
        <v>232.43</v>
      </c>
      <c r="P101" s="16">
        <f t="shared" si="2"/>
        <v>0.1707550496</v>
      </c>
      <c r="Q101" s="16">
        <f>IFERROR(__xludf.DUMMYFUNCTION("IF(OR(ISBLANK($G101), IFERROR(INDEX(GOOGLEFINANCE($C101, ""price"", WORKDAY(INT($B101), 1)), 2, 2), """")=""""), """", IF($D101=""LONG"", (IFERROR(INDEX(GOOGLEFINANCE($C101, ""price"", WORKDAY(INT($B101), 1)), 2, 2), """")-$G101)/$G101, ($G101-IFERROR(IND"&amp;"EX(GOOGLEFINANCE($C101, ""price"", WORKDAY(INT($B101), 1)), 2, 2), """"))/$G101))"),0.04427542436911294)</f>
        <v>0.04427542437</v>
      </c>
      <c r="R101" s="16">
        <f>IFERROR(__xludf.DUMMYFUNCTION("IF(OR(ISBLANK($G101), IFERROR(INDEX(GOOGLEFINANCE($C101, ""price"", WORKDAY(INT($B101), 5)), 2, 2), """")=""""), """", IF($D101=""LONG"", (IFERROR(INDEX(GOOGLEFINANCE($C101, ""price"", WORKDAY(INT($B101), 5)), 2, 2), """")-$G101)/$G101, ($G101-IFERROR(IND"&amp;"EX(GOOGLEFINANCE($C101, ""price"", WORKDAY(INT($B101), 5)), 2, 2), """"))/$G101))"),0.24696519417720245)</f>
        <v>0.2469651942</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4126</v>
      </c>
      <c r="U101" s="10" t="s">
        <v>984</v>
      </c>
      <c r="V101" s="10" t="s">
        <v>2714</v>
      </c>
      <c r="W101" s="10" t="s">
        <v>51</v>
      </c>
      <c r="X101" s="10" t="s">
        <v>984</v>
      </c>
    </row>
    <row r="102">
      <c r="A102" s="9">
        <f t="shared" si="1"/>
        <v>101</v>
      </c>
      <c r="B102" s="11">
        <v>46225.66762731481</v>
      </c>
      <c r="C102" s="10" t="s">
        <v>232</v>
      </c>
      <c r="D102" s="10" t="s">
        <v>119</v>
      </c>
      <c r="E102" s="10" t="s">
        <v>120</v>
      </c>
      <c r="F102" s="13">
        <v>4.0</v>
      </c>
      <c r="G102" s="14">
        <v>77.55</v>
      </c>
      <c r="H102" s="10" t="s">
        <v>4127</v>
      </c>
      <c r="I102" s="10">
        <v>12.8</v>
      </c>
      <c r="O102" s="15">
        <f>IFERROR(__xludf.DUMMYFUNCTION("IF(ISBLANK($C102), """", GOOGLEFINANCE($C102, ""price""))"),74.92)</f>
        <v>74.92</v>
      </c>
      <c r="P102" s="16">
        <f t="shared" si="2"/>
        <v>0.03391360413</v>
      </c>
      <c r="Q102" s="16">
        <f>IFERROR(__xludf.DUMMYFUNCTION("IF(OR(ISBLANK($G102), IFERROR(INDEX(GOOGLEFINANCE($C102, ""price"", WORKDAY(INT($B102), 1)), 2, 2), """")=""""), """", IF($D102=""LONG"", (IFERROR(INDEX(GOOGLEFINANCE($C102, ""price"", WORKDAY(INT($B102), 1)), 2, 2), """")-$G102)/$G102, ($G102-IFERROR(IND"&amp;"EX(GOOGLEFINANCE($C102, ""price"", WORKDAY(INT($B102), 1)), 2, 2), """"))/$G102))"),0.03842682140554486)</f>
        <v>0.03842682141</v>
      </c>
      <c r="R102" s="16">
        <f>IFERROR(__xludf.DUMMYFUNCTION("IF(OR(ISBLANK($G102), IFERROR(INDEX(GOOGLEFINANCE($C102, ""price"", WORKDAY(INT($B102), 5)), 2, 2), """")=""""), """", IF($D102=""LONG"", (IFERROR(INDEX(GOOGLEFINANCE($C102, ""price"", WORKDAY(INT($B102), 5)), 2, 2), """")-$G102)/$G102, ($G102-IFERROR(IND"&amp;"EX(GOOGLEFINANCE($C102, ""price"", WORKDAY(INT($B102), 5)), 2, 2), """"))/$G102))"),-0.019858156028368875)</f>
        <v>-0.01985815603</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4128</v>
      </c>
      <c r="U102" s="10" t="s">
        <v>984</v>
      </c>
      <c r="V102" s="10" t="s">
        <v>933</v>
      </c>
      <c r="W102" s="10" t="s">
        <v>51</v>
      </c>
      <c r="X102" s="10" t="s">
        <v>984</v>
      </c>
    </row>
    <row r="103">
      <c r="A103" s="9">
        <f t="shared" si="1"/>
        <v>102</v>
      </c>
      <c r="B103" s="11">
        <v>46225.66767361111</v>
      </c>
      <c r="C103" s="10" t="s">
        <v>707</v>
      </c>
      <c r="D103" s="10" t="s">
        <v>36</v>
      </c>
      <c r="E103" s="10" t="s">
        <v>37</v>
      </c>
      <c r="F103" s="13">
        <v>2.0</v>
      </c>
      <c r="G103" s="14">
        <v>112.09</v>
      </c>
      <c r="H103" s="10" t="s">
        <v>4129</v>
      </c>
      <c r="I103" s="10">
        <v>92.5</v>
      </c>
      <c r="O103" s="15">
        <f>IFERROR(__xludf.DUMMYFUNCTION("IF(ISBLANK($C103), """", GOOGLEFINANCE($C103, ""price""))"),108.95)</f>
        <v>108.95</v>
      </c>
      <c r="P103" s="16">
        <f t="shared" si="2"/>
        <v>-0.02801320368</v>
      </c>
      <c r="Q103" s="16">
        <f>IFERROR(__xludf.DUMMYFUNCTION("IF(OR(ISBLANK($G103), IFERROR(INDEX(GOOGLEFINANCE($C103, ""price"", WORKDAY(INT($B103), 1)), 2, 2), """")=""""), """", IF($D103=""LONG"", (IFERROR(INDEX(GOOGLEFINANCE($C103, ""price"", WORKDAY(INT($B103), 1)), 2, 2), """")-$G103)/$G103, ($G103-IFERROR(IND"&amp;"EX(GOOGLEFINANCE($C103, ""price"", WORKDAY(INT($B103), 1)), 2, 2), """"))/$G103))"),0.006244981711125014)</f>
        <v>0.006244981711</v>
      </c>
      <c r="R103" s="16">
        <f>IFERROR(__xludf.DUMMYFUNCTION("IF(OR(ISBLANK($G103), IFERROR(INDEX(GOOGLEFINANCE($C103, ""price"", WORKDAY(INT($B103), 5)), 2, 2), """")=""""), """", IF($D103=""LONG"", (IFERROR(INDEX(GOOGLEFINANCE($C103, ""price"", WORKDAY(INT($B103), 5)), 2, 2), """")-$G103)/$G103, ($G103-IFERROR(IND"&amp;"EX(GOOGLEFINANCE($C103, ""price"", WORKDAY(INT($B103), 5)), 2, 2), """"))/$G103))"),0.0014274243911142528)</f>
        <v>0.001427424391</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4130</v>
      </c>
      <c r="U103" s="10" t="s">
        <v>984</v>
      </c>
      <c r="V103" s="10" t="s">
        <v>2785</v>
      </c>
      <c r="W103" s="10" t="s">
        <v>51</v>
      </c>
      <c r="X103" s="10" t="s">
        <v>984</v>
      </c>
    </row>
    <row r="104">
      <c r="A104" s="9">
        <f t="shared" si="1"/>
        <v>103</v>
      </c>
      <c r="B104" s="11">
        <v>46225.667604166665</v>
      </c>
      <c r="C104" s="10" t="s">
        <v>123</v>
      </c>
      <c r="D104" s="10" t="s">
        <v>36</v>
      </c>
      <c r="E104" s="10" t="s">
        <v>37</v>
      </c>
      <c r="F104" s="13">
        <v>2.0</v>
      </c>
      <c r="G104" s="14">
        <v>18.3</v>
      </c>
      <c r="H104" s="10" t="s">
        <v>4131</v>
      </c>
      <c r="I104" s="10">
        <v>93.0</v>
      </c>
      <c r="O104" s="15">
        <f>IFERROR(__xludf.DUMMYFUNCTION("IF(ISBLANK($C104), """", GOOGLEFINANCE($C104, ""price""))"),17.36)</f>
        <v>17.36</v>
      </c>
      <c r="P104" s="16">
        <f t="shared" si="2"/>
        <v>-0.05136612022</v>
      </c>
      <c r="Q104" s="16">
        <f>IFERROR(__xludf.DUMMYFUNCTION("IF(OR(ISBLANK($G104), IFERROR(INDEX(GOOGLEFINANCE($C104, ""price"", WORKDAY(INT($B104), 1)), 2, 2), """")=""""), """", IF($D104=""LONG"", (IFERROR(INDEX(GOOGLEFINANCE($C104, ""price"", WORKDAY(INT($B104), 1)), 2, 2), """")-$G104)/$G104, ($G104-IFERROR(IND"&amp;"EX(GOOGLEFINANCE($C104, ""price"", WORKDAY(INT($B104), 1)), 2, 2), """"))/$G104))"),-0.049180327868852576)</f>
        <v>-0.04918032787</v>
      </c>
      <c r="R104" s="16">
        <f>IFERROR(__xludf.DUMMYFUNCTION("IF(OR(ISBLANK($G104), IFERROR(INDEX(GOOGLEFINANCE($C104, ""price"", WORKDAY(INT($B104), 5)), 2, 2), """")=""""), """", IF($D104=""LONG"", (IFERROR(INDEX(GOOGLEFINANCE($C104, ""price"", WORKDAY(INT($B104), 5)), 2, 2), """")-$G104)/$G104, ($G104-IFERROR(IND"&amp;"EX(GOOGLEFINANCE($C104, ""price"", WORKDAY(INT($B104), 5)), 2, 2), """"))/$G104))"),-0.07978142076502737)</f>
        <v>-0.07978142077</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4132</v>
      </c>
      <c r="U104" s="10" t="s">
        <v>984</v>
      </c>
      <c r="V104" s="10" t="s">
        <v>2785</v>
      </c>
      <c r="W104" s="10" t="s">
        <v>51</v>
      </c>
      <c r="X104" s="10" t="s">
        <v>984</v>
      </c>
    </row>
    <row r="105">
      <c r="A105" s="9">
        <f t="shared" si="1"/>
        <v>104</v>
      </c>
      <c r="B105" s="11">
        <v>46225.667604166665</v>
      </c>
      <c r="C105" s="10" t="s">
        <v>426</v>
      </c>
      <c r="D105" s="10" t="s">
        <v>36</v>
      </c>
      <c r="E105" s="10" t="s">
        <v>37</v>
      </c>
      <c r="F105" s="13">
        <v>2.0</v>
      </c>
      <c r="G105" s="14">
        <v>526.25</v>
      </c>
      <c r="H105" s="10" t="s">
        <v>4133</v>
      </c>
      <c r="I105" s="10">
        <v>92.5</v>
      </c>
      <c r="O105" s="15">
        <f>IFERROR(__xludf.DUMMYFUNCTION("IF(ISBLANK($C105), """", GOOGLEFINANCE($C105, ""price""))"),580.02)</f>
        <v>580.02</v>
      </c>
      <c r="P105" s="16">
        <f t="shared" si="2"/>
        <v>0.102175772</v>
      </c>
      <c r="Q105" s="16">
        <f>IFERROR(__xludf.DUMMYFUNCTION("IF(OR(ISBLANK($G105), IFERROR(INDEX(GOOGLEFINANCE($C105, ""price"", WORKDAY(INT($B105), 1)), 2, 2), """")=""""), """", IF($D105=""LONG"", (IFERROR(INDEX(GOOGLEFINANCE($C105, ""price"", WORKDAY(INT($B105), 1)), 2, 2), """")-$G105)/$G105, ($G105-IFERROR(IND"&amp;"EX(GOOGLEFINANCE($C105, ""price"", WORKDAY(INT($B105), 1)), 2, 2), """"))/$G105))"),0.0875439429928742)</f>
        <v>0.08754394299</v>
      </c>
      <c r="R105" s="16">
        <f>IFERROR(__xludf.DUMMYFUNCTION("IF(OR(ISBLANK($G105), IFERROR(INDEX(GOOGLEFINANCE($C105, ""price"", WORKDAY(INT($B105), 5)), 2, 2), """")=""""), """", IF($D105=""LONG"", (IFERROR(INDEX(GOOGLEFINANCE($C105, ""price"", WORKDAY(INT($B105), 5)), 2, 2), """")-$G105)/$G105, ($G105-IFERROR(IND"&amp;"EX(GOOGLEFINANCE($C105, ""price"", WORKDAY(INT($B105), 5)), 2, 2), """"))/$G105))"),0.09541092636579579)</f>
        <v>0.09541092637</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4134</v>
      </c>
      <c r="U105" s="10" t="s">
        <v>984</v>
      </c>
      <c r="V105" s="10" t="s">
        <v>985</v>
      </c>
      <c r="W105" s="10" t="s">
        <v>51</v>
      </c>
      <c r="X105" s="10" t="s">
        <v>984</v>
      </c>
    </row>
    <row r="106">
      <c r="A106" s="9">
        <f t="shared" si="1"/>
        <v>105</v>
      </c>
      <c r="B106" s="11">
        <v>46225.66761574074</v>
      </c>
      <c r="C106" s="10" t="s">
        <v>4135</v>
      </c>
      <c r="D106" s="10" t="s">
        <v>36</v>
      </c>
      <c r="E106" s="10" t="s">
        <v>37</v>
      </c>
      <c r="F106" s="13">
        <v>2.0</v>
      </c>
      <c r="G106" s="14">
        <v>366.04</v>
      </c>
      <c r="H106" s="10" t="s">
        <v>4136</v>
      </c>
      <c r="I106" s="10">
        <v>88.9</v>
      </c>
      <c r="L106" s="10" t="s">
        <v>4137</v>
      </c>
      <c r="M106" s="34" t="s">
        <v>951</v>
      </c>
      <c r="N106" s="10" t="s">
        <v>925</v>
      </c>
      <c r="O106" s="15">
        <f>IFERROR(__xludf.DUMMYFUNCTION("IF(ISBLANK($C106), """", GOOGLEFINANCE($C106, ""price""))"),404.85)</f>
        <v>404.85</v>
      </c>
      <c r="P106" s="16">
        <f t="shared" si="2"/>
        <v>0.1060266638</v>
      </c>
      <c r="Q106" s="16">
        <f>IFERROR(__xludf.DUMMYFUNCTION("IF(OR(ISBLANK($G106), IFERROR(INDEX(GOOGLEFINANCE($C106, ""price"", WORKDAY(INT($B106), 1)), 2, 2), """")=""""), """", IF($D106=""LONG"", (IFERROR(INDEX(GOOGLEFINANCE($C106, ""price"", WORKDAY(INT($B106), 1)), 2, 2), """")-$G106)/$G106, ($G106-IFERROR(IND"&amp;"EX(GOOGLEFINANCE($C106, ""price"", WORKDAY(INT($B106), 1)), 2, 2), """"))/$G106))"),0.014916402578953063)</f>
        <v>0.01491640258</v>
      </c>
      <c r="R106" s="16">
        <f>IFERROR(__xludf.DUMMYFUNCTION("IF(OR(ISBLANK($G106), IFERROR(INDEX(GOOGLEFINANCE($C106, ""price"", WORKDAY(INT($B106), 5)), 2, 2), """")=""""), """", IF($D106=""LONG"", (IFERROR(INDEX(GOOGLEFINANCE($C106, ""price"", WORKDAY(INT($B106), 5)), 2, 2), """")-$G106)/$G106, ($G106-IFERROR(IND"&amp;"EX(GOOGLEFINANCE($C106, ""price"", WORKDAY(INT($B106), 5)), 2, 2), """"))/$G106))"),0.05900994426838587)</f>
        <v>0.05900994427</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4138</v>
      </c>
      <c r="U106" s="10" t="s">
        <v>722</v>
      </c>
      <c r="V106" s="10" t="s">
        <v>4139</v>
      </c>
      <c r="W106" s="10" t="s">
        <v>51</v>
      </c>
      <c r="X106" s="10" t="s">
        <v>3433</v>
      </c>
    </row>
    <row r="107">
      <c r="A107" s="9">
        <f t="shared" si="1"/>
        <v>106</v>
      </c>
      <c r="B107" s="11">
        <v>46225.66756944444</v>
      </c>
      <c r="C107" s="10" t="s">
        <v>98</v>
      </c>
      <c r="D107" s="10" t="s">
        <v>36</v>
      </c>
      <c r="E107" s="10" t="s">
        <v>37</v>
      </c>
      <c r="F107" s="13">
        <v>2.0</v>
      </c>
      <c r="G107" s="14">
        <v>30.86</v>
      </c>
      <c r="H107" s="10" t="s">
        <v>1747</v>
      </c>
      <c r="I107" s="10">
        <v>93.1</v>
      </c>
      <c r="O107" s="15">
        <f>IFERROR(__xludf.DUMMYFUNCTION("IF(ISBLANK($C107), """", GOOGLEFINANCE($C107, ""price""))"),31.39)</f>
        <v>31.39</v>
      </c>
      <c r="P107" s="16">
        <f t="shared" si="2"/>
        <v>0.01717433571</v>
      </c>
      <c r="Q107" s="16">
        <f>IFERROR(__xludf.DUMMYFUNCTION("IF(OR(ISBLANK($G107), IFERROR(INDEX(GOOGLEFINANCE($C107, ""price"", WORKDAY(INT($B107), 1)), 2, 2), """")=""""), """", IF($D107=""LONG"", (IFERROR(INDEX(GOOGLEFINANCE($C107, ""price"", WORKDAY(INT($B107), 1)), 2, 2), """")-$G107)/$G107, ($G107-IFERROR(IND"&amp;"EX(GOOGLEFINANCE($C107, ""price"", WORKDAY(INT($B107), 1)), 2, 2), """"))/$G107))"),-0.00648088139987036)</f>
        <v>-0.0064808814</v>
      </c>
      <c r="R107" s="16">
        <f>IFERROR(__xludf.DUMMYFUNCTION("IF(OR(ISBLANK($G107), IFERROR(INDEX(GOOGLEFINANCE($C107, ""price"", WORKDAY(INT($B107), 5)), 2, 2), """")=""""), """", IF($D107=""LONG"", (IFERROR(INDEX(GOOGLEFINANCE($C107, ""price"", WORKDAY(INT($B107), 5)), 2, 2), """")-$G107)/$G107, ($G107-IFERROR(IND"&amp;"EX(GOOGLEFINANCE($C107, ""price"", WORKDAY(INT($B107), 5)), 2, 2), """"))/$G107))"),0.002592352559948213)</f>
        <v>0.00259235256</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4140</v>
      </c>
      <c r="U107" s="10" t="s">
        <v>932</v>
      </c>
      <c r="V107" s="10" t="s">
        <v>933</v>
      </c>
      <c r="W107" s="10" t="s">
        <v>51</v>
      </c>
      <c r="X107" s="10" t="s">
        <v>3186</v>
      </c>
    </row>
    <row r="108">
      <c r="A108" s="9">
        <f t="shared" si="1"/>
        <v>107</v>
      </c>
      <c r="B108" s="11">
        <v>46225.66761574074</v>
      </c>
      <c r="C108" s="10" t="s">
        <v>696</v>
      </c>
      <c r="D108" s="10" t="s">
        <v>36</v>
      </c>
      <c r="E108" s="10" t="s">
        <v>37</v>
      </c>
      <c r="F108" s="13">
        <v>2.0</v>
      </c>
      <c r="G108" s="14">
        <v>177.42</v>
      </c>
      <c r="H108" s="10" t="s">
        <v>4141</v>
      </c>
      <c r="I108" s="10">
        <v>90.1</v>
      </c>
      <c r="O108" s="15">
        <f>IFERROR(__xludf.DUMMYFUNCTION("IF(ISBLANK($C108), """", GOOGLEFINANCE($C108, ""price""))"),178.56)</f>
        <v>178.56</v>
      </c>
      <c r="P108" s="16">
        <f t="shared" si="2"/>
        <v>0.00642543118</v>
      </c>
      <c r="Q108" s="16">
        <f>IFERROR(__xludf.DUMMYFUNCTION("IF(OR(ISBLANK($G108), IFERROR(INDEX(GOOGLEFINANCE($C108, ""price"", WORKDAY(INT($B108), 1)), 2, 2), """")=""""), """", IF($D108=""LONG"", (IFERROR(INDEX(GOOGLEFINANCE($C108, ""price"", WORKDAY(INT($B108), 1)), 2, 2), """")-$G108)/$G108, ($G108-IFERROR(IND"&amp;"EX(GOOGLEFINANCE($C108, ""price"", WORKDAY(INT($B108), 1)), 2, 2), """"))/$G108))"),-0.006989065494307185)</f>
        <v>-0.006989065494</v>
      </c>
      <c r="R108" s="16">
        <f>IFERROR(__xludf.DUMMYFUNCTION("IF(OR(ISBLANK($G108), IFERROR(INDEX(GOOGLEFINANCE($C108, ""price"", WORKDAY(INT($B108), 5)), 2, 2), """")=""""), """", IF($D108=""LONG"", (IFERROR(INDEX(GOOGLEFINANCE($C108, ""price"", WORKDAY(INT($B108), 5)), 2, 2), """")-$G108)/$G108, ($G108-IFERROR(IND"&amp;"EX(GOOGLEFINANCE($C108, ""price"", WORKDAY(INT($B108), 5)), 2, 2), """"))/$G108))"),-0.04108894149475816)</f>
        <v>-0.04108894149</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4142</v>
      </c>
      <c r="U108" s="10" t="s">
        <v>704</v>
      </c>
      <c r="V108" s="10" t="s">
        <v>4143</v>
      </c>
      <c r="W108" s="10" t="s">
        <v>51</v>
      </c>
      <c r="X108" s="10" t="s">
        <v>1885</v>
      </c>
    </row>
    <row r="109">
      <c r="A109" s="9">
        <f t="shared" si="1"/>
        <v>108</v>
      </c>
      <c r="B109" s="11">
        <v>46225.66767361111</v>
      </c>
      <c r="C109" s="10" t="s">
        <v>1555</v>
      </c>
      <c r="D109" s="10" t="s">
        <v>36</v>
      </c>
      <c r="E109" s="10" t="s">
        <v>37</v>
      </c>
      <c r="F109" s="13">
        <v>2.0</v>
      </c>
      <c r="G109" s="14">
        <v>373.04</v>
      </c>
      <c r="H109" s="10" t="s">
        <v>4144</v>
      </c>
      <c r="I109" s="10">
        <v>92.6</v>
      </c>
      <c r="O109" s="15">
        <f>IFERROR(__xludf.DUMMYFUNCTION("IF(ISBLANK($C109), """", GOOGLEFINANCE($C109, ""price""))"),370.35)</f>
        <v>370.35</v>
      </c>
      <c r="P109" s="16">
        <f t="shared" si="2"/>
        <v>-0.007211022947</v>
      </c>
      <c r="Q109" s="16">
        <f>IFERROR(__xludf.DUMMYFUNCTION("IF(OR(ISBLANK($G109), IFERROR(INDEX(GOOGLEFINANCE($C109, ""price"", WORKDAY(INT($B109), 1)), 2, 2), """")=""""), """", IF($D109=""LONG"", (IFERROR(INDEX(GOOGLEFINANCE($C109, ""price"", WORKDAY(INT($B109), 1)), 2, 2), """")-$G109)/$G109, ($G109-IFERROR(IND"&amp;"EX(GOOGLEFINANCE($C109, ""price"", WORKDAY(INT($B109), 1)), 2, 2), """"))/$G109))"),0.006755307741797077)</f>
        <v>0.006755307742</v>
      </c>
      <c r="R109" s="16">
        <f>IFERROR(__xludf.DUMMYFUNCTION("IF(OR(ISBLANK($G109), IFERROR(INDEX(GOOGLEFINANCE($C109, ""price"", WORKDAY(INT($B109), 5)), 2, 2), """")=""""), """", IF($D109=""LONG"", (IFERROR(INDEX(GOOGLEFINANCE($C109, ""price"", WORKDAY(INT($B109), 5)), 2, 2), """")-$G109)/$G109, ($G109-IFERROR(IND"&amp;"EX(GOOGLEFINANCE($C109, ""price"", WORKDAY(INT($B109), 5)), 2, 2), """"))/$G109))"),0.055892129530345176)</f>
        <v>0.05589212953</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4145</v>
      </c>
      <c r="U109" s="10" t="s">
        <v>984</v>
      </c>
      <c r="V109" s="10" t="s">
        <v>998</v>
      </c>
      <c r="W109" s="10" t="s">
        <v>51</v>
      </c>
      <c r="X109" s="10" t="s">
        <v>984</v>
      </c>
    </row>
    <row r="110">
      <c r="A110" s="9">
        <f t="shared" si="1"/>
        <v>109</v>
      </c>
      <c r="B110" s="11">
        <v>46225.667662037034</v>
      </c>
      <c r="C110" s="10" t="s">
        <v>3629</v>
      </c>
      <c r="D110" s="10" t="s">
        <v>119</v>
      </c>
      <c r="E110" s="10" t="s">
        <v>120</v>
      </c>
      <c r="F110" s="13">
        <v>4.0</v>
      </c>
      <c r="G110" s="14">
        <v>1792.03</v>
      </c>
      <c r="H110" s="10" t="s">
        <v>4146</v>
      </c>
      <c r="I110" s="10">
        <v>0.7</v>
      </c>
      <c r="O110" s="15">
        <f>IFERROR(__xludf.DUMMYFUNCTION("IF(ISBLANK($C110), """", GOOGLEFINANCE($C110, ""price""))"),1713.6)</f>
        <v>1713.6</v>
      </c>
      <c r="P110" s="16">
        <f t="shared" si="2"/>
        <v>0.04376600838</v>
      </c>
      <c r="Q110" s="16">
        <f>IFERROR(__xludf.DUMMYFUNCTION("IF(OR(ISBLANK($G110), IFERROR(INDEX(GOOGLEFINANCE($C110, ""price"", WORKDAY(INT($B110), 1)), 2, 2), """")=""""), """", IF($D110=""LONG"", (IFERROR(INDEX(GOOGLEFINANCE($C110, ""price"", WORKDAY(INT($B110), 1)), 2, 2), """")-$G110)/$G110, ($G110-IFERROR(IND"&amp;"EX(GOOGLEFINANCE($C110, ""price"", WORKDAY(INT($B110), 1)), 2, 2), """"))/$G110))"),-0.02182999168540712)</f>
        <v>-0.02182999169</v>
      </c>
      <c r="R110" s="16">
        <f>IFERROR(__xludf.DUMMYFUNCTION("IF(OR(ISBLANK($G110), IFERROR(INDEX(GOOGLEFINANCE($C110, ""price"", WORKDAY(INT($B110), 5)), 2, 2), """")=""""), """", IF($D110=""LONG"", (IFERROR(INDEX(GOOGLEFINANCE($C110, ""price"", WORKDAY(INT($B110), 5)), 2, 2), """")-$G110)/$G110, ($G110-IFERROR(IND"&amp;"EX(GOOGLEFINANCE($C110, ""price"", WORKDAY(INT($B110), 5)), 2, 2), """"))/$G110))"),0.1518222351188317)</f>
        <v>0.1518222351</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4147</v>
      </c>
      <c r="U110" s="10" t="s">
        <v>984</v>
      </c>
      <c r="V110" s="10" t="s">
        <v>985</v>
      </c>
      <c r="W110" s="10" t="s">
        <v>51</v>
      </c>
      <c r="X110" s="10" t="s">
        <v>984</v>
      </c>
    </row>
    <row r="111">
      <c r="A111" s="9">
        <f t="shared" si="1"/>
        <v>110</v>
      </c>
      <c r="B111" s="11">
        <v>46225.66752314815</v>
      </c>
      <c r="C111" s="10" t="s">
        <v>55</v>
      </c>
      <c r="D111" s="10" t="s">
        <v>36</v>
      </c>
      <c r="E111" s="10" t="s">
        <v>37</v>
      </c>
      <c r="F111" s="13">
        <v>2.0</v>
      </c>
      <c r="G111" s="14">
        <v>1163.0</v>
      </c>
      <c r="H111" s="10" t="s">
        <v>4148</v>
      </c>
      <c r="I111" s="10">
        <v>88.3</v>
      </c>
      <c r="L111" s="10" t="s">
        <v>4149</v>
      </c>
      <c r="M111" s="34" t="s">
        <v>921</v>
      </c>
      <c r="N111" s="10" t="s">
        <v>925</v>
      </c>
      <c r="O111" s="15">
        <f>IFERROR(__xludf.DUMMYFUNCTION("IF(ISBLANK($C111), """", GOOGLEFINANCE($C111, ""price""))"),1191.94)</f>
        <v>1191.94</v>
      </c>
      <c r="P111" s="16">
        <f t="shared" si="2"/>
        <v>0.02488392089</v>
      </c>
      <c r="Q111" s="16">
        <f>IFERROR(__xludf.DUMMYFUNCTION("IF(OR(ISBLANK($G111), IFERROR(INDEX(GOOGLEFINANCE($C111, ""price"", WORKDAY(INT($B111), 1)), 2, 2), """")=""""), """", IF($D111=""LONG"", (IFERROR(INDEX(GOOGLEFINANCE($C111, ""price"", WORKDAY(INT($B111), 1)), 2, 2), """")-$G111)/$G111, ($G111-IFERROR(IND"&amp;"EX(GOOGLEFINANCE($C111, ""price"", WORKDAY(INT($B111), 1)), 2, 2), """"))/$G111))"),0.0196646603611349)</f>
        <v>0.01966466036</v>
      </c>
      <c r="R111" s="16">
        <f>IFERROR(__xludf.DUMMYFUNCTION("IF(OR(ISBLANK($G111), IFERROR(INDEX(GOOGLEFINANCE($C111, ""price"", WORKDAY(INT($B111), 5)), 2, 2), """")=""""), """", IF($D111=""LONG"", (IFERROR(INDEX(GOOGLEFINANCE($C111, ""price"", WORKDAY(INT($B111), 5)), 2, 2), """")-$G111)/$G111, ($G111-IFERROR(IND"&amp;"EX(GOOGLEFINANCE($C111, ""price"", WORKDAY(INT($B111), 5)), 2, 2), """"))/$G111))"),0.04042992261392948)</f>
        <v>0.04042992261</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4150</v>
      </c>
      <c r="U111" s="10" t="s">
        <v>507</v>
      </c>
      <c r="V111" s="10" t="s">
        <v>4151</v>
      </c>
      <c r="W111" s="10" t="s">
        <v>51</v>
      </c>
      <c r="X111" s="10" t="s">
        <v>2228</v>
      </c>
    </row>
    <row r="112">
      <c r="A112" s="9">
        <f t="shared" si="1"/>
        <v>111</v>
      </c>
      <c r="B112" s="11">
        <v>46225.667650462965</v>
      </c>
      <c r="C112" s="10" t="s">
        <v>721</v>
      </c>
      <c r="D112" s="10" t="s">
        <v>119</v>
      </c>
      <c r="E112" s="10" t="s">
        <v>120</v>
      </c>
      <c r="F112" s="13">
        <v>4.0</v>
      </c>
      <c r="G112" s="14">
        <v>400.7</v>
      </c>
      <c r="H112" s="10" t="s">
        <v>4152</v>
      </c>
      <c r="I112" s="10">
        <v>7.5</v>
      </c>
      <c r="O112" s="15">
        <f>IFERROR(__xludf.DUMMYFUNCTION("IF(ISBLANK($C112), """", GOOGLEFINANCE($C112, ""price""))"),413.07)</f>
        <v>413.07</v>
      </c>
      <c r="P112" s="16">
        <f t="shared" si="2"/>
        <v>-0.03087097579</v>
      </c>
      <c r="Q112" s="16">
        <f>IFERROR(__xludf.DUMMYFUNCTION("IF(OR(ISBLANK($G112), IFERROR(INDEX(GOOGLEFINANCE($C112, ""price"", WORKDAY(INT($B112), 1)), 2, 2), """")=""""), """", IF($D112=""LONG"", (IFERROR(INDEX(GOOGLEFINANCE($C112, ""price"", WORKDAY(INT($B112), 1)), 2, 2), """")-$G112)/$G112, ($G112-IFERROR(IND"&amp;"EX(GOOGLEFINANCE($C112, ""price"", WORKDAY(INT($B112), 1)), 2, 2), """"))/$G112))"),0.03149488395308212)</f>
        <v>0.03149488395</v>
      </c>
      <c r="R112" s="16">
        <f>IFERROR(__xludf.DUMMYFUNCTION("IF(OR(ISBLANK($G112), IFERROR(INDEX(GOOGLEFINANCE($C112, ""price"", WORKDAY(INT($B112), 5)), 2, 2), """")=""""), """", IF($D112=""LONG"", (IFERROR(INDEX(GOOGLEFINANCE($C112, ""price"", WORKDAY(INT($B112), 5)), 2, 2), """")-$G112)/$G112, ($G112-IFERROR(IND"&amp;"EX(GOOGLEFINANCE($C112, ""price"", WORKDAY(INT($B112), 5)), 2, 2), """"))/$G112))"),0.034314948839530825)</f>
        <v>0.03431494884</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4153</v>
      </c>
      <c r="U112" s="10" t="s">
        <v>984</v>
      </c>
      <c r="V112" s="10" t="s">
        <v>985</v>
      </c>
      <c r="W112" s="10" t="s">
        <v>51</v>
      </c>
      <c r="X112" s="10" t="s">
        <v>984</v>
      </c>
    </row>
    <row r="113">
      <c r="A113" s="9">
        <f t="shared" si="1"/>
        <v>112</v>
      </c>
      <c r="B113" s="11">
        <v>46225.66753472222</v>
      </c>
      <c r="C113" s="10" t="s">
        <v>41</v>
      </c>
      <c r="D113" s="10" t="s">
        <v>36</v>
      </c>
      <c r="E113" s="10" t="s">
        <v>37</v>
      </c>
      <c r="F113" s="13">
        <v>2.0</v>
      </c>
      <c r="G113" s="14">
        <v>183.89</v>
      </c>
      <c r="H113" s="10" t="s">
        <v>4154</v>
      </c>
      <c r="I113" s="10">
        <v>72.0</v>
      </c>
      <c r="O113" s="15">
        <f>IFERROR(__xludf.DUMMYFUNCTION("IF(ISBLANK($C113), """", GOOGLEFINANCE($C113, ""price""))"),186.02)</f>
        <v>186.02</v>
      </c>
      <c r="P113" s="16">
        <f t="shared" si="2"/>
        <v>0.01158301158</v>
      </c>
      <c r="Q113" s="16">
        <f>IFERROR(__xludf.DUMMYFUNCTION("IF(OR(ISBLANK($G113), IFERROR(INDEX(GOOGLEFINANCE($C113, ""price"", WORKDAY(INT($B113), 1)), 2, 2), """")=""""), """", IF($D113=""LONG"", (IFERROR(INDEX(GOOGLEFINANCE($C113, ""price"", WORKDAY(INT($B113), 1)), 2, 2), """")-$G113)/$G113, ($G113-IFERROR(IND"&amp;"EX(GOOGLEFINANCE($C113, ""price"", WORKDAY(INT($B113), 1)), 2, 2), """"))/$G113))"),-0.0696612105062808)</f>
        <v>-0.06966121051</v>
      </c>
      <c r="R113" s="16">
        <f>IFERROR(__xludf.DUMMYFUNCTION("IF(OR(ISBLANK($G113), IFERROR(INDEX(GOOGLEFINANCE($C113, ""price"", WORKDAY(INT($B113), 5)), 2, 2), """")=""""), """", IF($D113=""LONG"", (IFERROR(INDEX(GOOGLEFINANCE($C113, ""price"", WORKDAY(INT($B113), 5)), 2, 2), """")-$G113)/$G113, ($G113-IFERROR(IND"&amp;"EX(GOOGLEFINANCE($C113, ""price"", WORKDAY(INT($B113), 5)), 2, 2), """"))/$G113))"),-0.02289412148567067)</f>
        <v>-0.02289412149</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4155</v>
      </c>
      <c r="U113" s="10" t="s">
        <v>984</v>
      </c>
      <c r="V113" s="10" t="s">
        <v>933</v>
      </c>
      <c r="W113" s="10" t="s">
        <v>51</v>
      </c>
      <c r="X113" s="10" t="s">
        <v>984</v>
      </c>
    </row>
    <row r="114">
      <c r="A114" s="9">
        <f t="shared" si="1"/>
        <v>113</v>
      </c>
      <c r="B114" s="11">
        <v>46225.66774305556</v>
      </c>
      <c r="C114" s="10" t="s">
        <v>52</v>
      </c>
      <c r="D114" s="10" t="s">
        <v>36</v>
      </c>
      <c r="E114" s="10" t="s">
        <v>37</v>
      </c>
      <c r="F114" s="13">
        <v>2.0</v>
      </c>
      <c r="G114" s="14">
        <v>115.78</v>
      </c>
      <c r="H114" s="10" t="s">
        <v>2694</v>
      </c>
      <c r="I114" s="10">
        <v>94.8</v>
      </c>
      <c r="O114" s="15">
        <f>IFERROR(__xludf.DUMMYFUNCTION("IF(ISBLANK($C114), """", GOOGLEFINANCE($C114, ""price""))"),118.38)</f>
        <v>118.38</v>
      </c>
      <c r="P114" s="16">
        <f t="shared" si="2"/>
        <v>0.02245638279</v>
      </c>
      <c r="Q114" s="16">
        <f>IFERROR(__xludf.DUMMYFUNCTION("IF(OR(ISBLANK($G114), IFERROR(INDEX(GOOGLEFINANCE($C114, ""price"", WORKDAY(INT($B114), 1)), 2, 2), """")=""""), """", IF($D114=""LONG"", (IFERROR(INDEX(GOOGLEFINANCE($C114, ""price"", WORKDAY(INT($B114), 1)), 2, 2), """")-$G114)/$G114, ($G114-IFERROR(IND"&amp;"EX(GOOGLEFINANCE($C114, ""price"", WORKDAY(INT($B114), 1)), 2, 2), """"))/$G114))"),0.007859733978234553)</f>
        <v>0.007859733978</v>
      </c>
      <c r="R114" s="16">
        <f>IFERROR(__xludf.DUMMYFUNCTION("IF(OR(ISBLANK($G114), IFERROR(INDEX(GOOGLEFINANCE($C114, ""price"", WORKDAY(INT($B114), 5)), 2, 2), """")=""""), """", IF($D114=""LONG"", (IFERROR(INDEX(GOOGLEFINANCE($C114, ""price"", WORKDAY(INT($B114), 5)), 2, 2), """")-$G114)/$G114, ($G114-IFERROR(IND"&amp;"EX(GOOGLEFINANCE($C114, ""price"", WORKDAY(INT($B114), 5)), 2, 2), """"))/$G114))"),0.09777163586111585)</f>
        <v>0.09777163586</v>
      </c>
      <c r="S114" s="16" t="str">
        <f>IFERROR(__xludf.DUMMYFUNCTION("IF(OR(ISBLANK($G114), IFERROR(INDEX(GOOGLEFINANCE($C114, ""price"", WORKDAY(INT($B114), 20)), 2, 2), """")=""""), """", IF($D114=""LONG"", (IFERROR(INDEX(GOOGLEFINANCE($C114, ""price"", WORKDAY(INT($B114), 20)), 2, 2), """")-$G114)/$G114, ($G114-IFERROR(I"&amp;"NDEX(GOOGLEFINANCE($C114, ""price"", WORKDAY(INT($B114), 20)), 2, 2), """"))/$G114))"),"")</f>
        <v/>
      </c>
      <c r="T114" s="10" t="s">
        <v>4156</v>
      </c>
      <c r="U114" s="10" t="s">
        <v>704</v>
      </c>
      <c r="V114" s="10" t="s">
        <v>4157</v>
      </c>
      <c r="W114" s="10" t="s">
        <v>51</v>
      </c>
      <c r="X114" s="10" t="s">
        <v>1885</v>
      </c>
    </row>
    <row r="115">
      <c r="A115" s="9">
        <f t="shared" si="1"/>
        <v>114</v>
      </c>
      <c r="B115" s="11">
        <v>46225.66763888889</v>
      </c>
      <c r="C115" s="10" t="s">
        <v>185</v>
      </c>
      <c r="D115" s="10" t="s">
        <v>36</v>
      </c>
      <c r="E115" s="10" t="s">
        <v>37</v>
      </c>
      <c r="F115" s="13">
        <v>2.0</v>
      </c>
      <c r="G115" s="14">
        <v>78.03</v>
      </c>
      <c r="H115" s="10" t="s">
        <v>4158</v>
      </c>
      <c r="I115" s="10">
        <v>90.3</v>
      </c>
      <c r="O115" s="15">
        <f>IFERROR(__xludf.DUMMYFUNCTION("IF(ISBLANK($C115), """", GOOGLEFINANCE($C115, ""price""))"),75.47)</f>
        <v>75.47</v>
      </c>
      <c r="P115" s="16">
        <f t="shared" si="2"/>
        <v>-0.0328078944</v>
      </c>
      <c r="Q115" s="16">
        <f>IFERROR(__xludf.DUMMYFUNCTION("IF(OR(ISBLANK($G115), IFERROR(INDEX(GOOGLEFINANCE($C115, ""price"", WORKDAY(INT($B115), 1)), 2, 2), """")=""""), """", IF($D115=""LONG"", (IFERROR(INDEX(GOOGLEFINANCE($C115, ""price"", WORKDAY(INT($B115), 1)), 2, 2), """")-$G115)/$G115, ($G115-IFERROR(IND"&amp;"EX(GOOGLEFINANCE($C115, ""price"", WORKDAY(INT($B115), 1)), 2, 2), """"))/$G115))"),-0.008842752787389436)</f>
        <v>-0.008842752787</v>
      </c>
      <c r="R115" s="16">
        <f>IFERROR(__xludf.DUMMYFUNCTION("IF(OR(ISBLANK($G115), IFERROR(INDEX(GOOGLEFINANCE($C115, ""price"", WORKDAY(INT($B115), 5)), 2, 2), """")=""""), """", IF($D115=""LONG"", (IFERROR(INDEX(GOOGLEFINANCE($C115, ""price"", WORKDAY(INT($B115), 5)), 2, 2), """")-$G115)/$G115, ($G115-IFERROR(IND"&amp;"EX(GOOGLEFINANCE($C115, ""price"", WORKDAY(INT($B115), 5)), 2, 2), """"))/$G115))"),-0.07010124311162372)</f>
        <v>-0.07010124311</v>
      </c>
      <c r="S115" s="16" t="str">
        <f>IFERROR(__xludf.DUMMYFUNCTION("IF(OR(ISBLANK($G115), IFERROR(INDEX(GOOGLEFINANCE($C115, ""price"", WORKDAY(INT($B115), 20)), 2, 2), """")=""""), """", IF($D115=""LONG"", (IFERROR(INDEX(GOOGLEFINANCE($C115, ""price"", WORKDAY(INT($B115), 20)), 2, 2), """")-$G115)/$G115, ($G115-IFERROR(I"&amp;"NDEX(GOOGLEFINANCE($C115, ""price"", WORKDAY(INT($B115), 20)), 2, 2), """"))/$G115))"),"")</f>
        <v/>
      </c>
      <c r="T115" s="10" t="s">
        <v>4159</v>
      </c>
      <c r="U115" s="10" t="s">
        <v>984</v>
      </c>
      <c r="V115" s="10" t="s">
        <v>998</v>
      </c>
      <c r="W115" s="10" t="s">
        <v>51</v>
      </c>
      <c r="X115" s="10" t="s">
        <v>984</v>
      </c>
    </row>
    <row r="116">
      <c r="A116" s="9">
        <f t="shared" si="1"/>
        <v>115</v>
      </c>
      <c r="B116" s="11">
        <v>46225.667592592596</v>
      </c>
      <c r="C116" s="10" t="s">
        <v>3445</v>
      </c>
      <c r="D116" s="10" t="s">
        <v>36</v>
      </c>
      <c r="E116" s="10" t="s">
        <v>37</v>
      </c>
      <c r="F116" s="13">
        <v>2.0</v>
      </c>
      <c r="G116" s="14">
        <v>243.1</v>
      </c>
      <c r="H116" s="10" t="s">
        <v>4160</v>
      </c>
      <c r="I116" s="10">
        <v>99.1</v>
      </c>
      <c r="O116" s="15">
        <f>IFERROR(__xludf.DUMMYFUNCTION("IF(ISBLANK($C116), """", GOOGLEFINANCE($C116, ""price""))"),273.51)</f>
        <v>273.51</v>
      </c>
      <c r="P116" s="16">
        <f t="shared" si="2"/>
        <v>0.1250925545</v>
      </c>
      <c r="Q116" s="16">
        <f>IFERROR(__xludf.DUMMYFUNCTION("IF(OR(ISBLANK($G116), IFERROR(INDEX(GOOGLEFINANCE($C116, ""price"", WORKDAY(INT($B116), 1)), 2, 2), """")=""""), """", IF($D116=""LONG"", (IFERROR(INDEX(GOOGLEFINANCE($C116, ""price"", WORKDAY(INT($B116), 1)), 2, 2), """")-$G116)/$G116, ($G116-IFERROR(IND"&amp;"EX(GOOGLEFINANCE($C116, ""price"", WORKDAY(INT($B116), 1)), 2, 2), """"))/$G116))"),-9.049773755656062E-4)</f>
        <v>-0.0009049773756</v>
      </c>
      <c r="R116" s="16">
        <f>IFERROR(__xludf.DUMMYFUNCTION("IF(OR(ISBLANK($G116), IFERROR(INDEX(GOOGLEFINANCE($C116, ""price"", WORKDAY(INT($B116), 5)), 2, 2), """")=""""), """", IF($D116=""LONG"", (IFERROR(INDEX(GOOGLEFINANCE($C116, ""price"", WORKDAY(INT($B116), 5)), 2, 2), """")-$G116)/$G116, ($G116-IFERROR(IND"&amp;"EX(GOOGLEFINANCE($C116, ""price"", WORKDAY(INT($B116), 5)), 2, 2), """"))/$G116))"),0.1245166598107775)</f>
        <v>0.1245166598</v>
      </c>
      <c r="S116" s="16" t="str">
        <f>IFERROR(__xludf.DUMMYFUNCTION("IF(OR(ISBLANK($G116), IFERROR(INDEX(GOOGLEFINANCE($C116, ""price"", WORKDAY(INT($B116), 20)), 2, 2), """")=""""), """", IF($D116=""LONG"", (IFERROR(INDEX(GOOGLEFINANCE($C116, ""price"", WORKDAY(INT($B116), 20)), 2, 2), """")-$G116)/$G116, ($G116-IFERROR(I"&amp;"NDEX(GOOGLEFINANCE($C116, ""price"", WORKDAY(INT($B116), 20)), 2, 2), """"))/$G116))"),"")</f>
        <v/>
      </c>
      <c r="T116" s="10" t="s">
        <v>4161</v>
      </c>
      <c r="U116" s="10" t="s">
        <v>984</v>
      </c>
      <c r="V116" s="10" t="s">
        <v>985</v>
      </c>
      <c r="W116" s="10" t="s">
        <v>51</v>
      </c>
      <c r="X116" s="10" t="s">
        <v>984</v>
      </c>
    </row>
    <row r="117">
      <c r="A117" s="9">
        <f t="shared" si="1"/>
        <v>116</v>
      </c>
      <c r="B117" s="11">
        <v>46225.66763888889</v>
      </c>
      <c r="C117" s="10" t="s">
        <v>117</v>
      </c>
      <c r="D117" s="10" t="s">
        <v>36</v>
      </c>
      <c r="E117" s="10" t="s">
        <v>37</v>
      </c>
      <c r="F117" s="13">
        <v>2.0</v>
      </c>
      <c r="G117" s="14">
        <v>23.09</v>
      </c>
      <c r="H117" s="10" t="s">
        <v>4162</v>
      </c>
      <c r="I117" s="10">
        <v>86.1</v>
      </c>
      <c r="O117" s="15">
        <f>IFERROR(__xludf.DUMMYFUNCTION("IF(ISBLANK($C117), """", GOOGLEFINANCE($C117, ""price""))"),22.66)</f>
        <v>22.66</v>
      </c>
      <c r="P117" s="16">
        <f t="shared" si="2"/>
        <v>-0.01862278042</v>
      </c>
      <c r="Q117" s="16">
        <f>IFERROR(__xludf.DUMMYFUNCTION("IF(OR(ISBLANK($G117), IFERROR(INDEX(GOOGLEFINANCE($C117, ""price"", WORKDAY(INT($B117), 1)), 2, 2), """")=""""), """", IF($D117=""LONG"", (IFERROR(INDEX(GOOGLEFINANCE($C117, ""price"", WORKDAY(INT($B117), 1)), 2, 2), """")-$G117)/$G117, ($G117-IFERROR(IND"&amp;"EX(GOOGLEFINANCE($C117, ""price"", WORKDAY(INT($B117), 1)), 2, 2), """"))/$G117))"),-0.01602425292334348)</f>
        <v>-0.01602425292</v>
      </c>
      <c r="R117" s="16">
        <f>IFERROR(__xludf.DUMMYFUNCTION("IF(OR(ISBLANK($G117), IFERROR(INDEX(GOOGLEFINANCE($C117, ""price"", WORKDAY(INT($B117), 5)), 2, 2), """")=""""), """", IF($D117=""LONG"", (IFERROR(INDEX(GOOGLEFINANCE($C117, ""price"", WORKDAY(INT($B117), 5)), 2, 2), """")-$G117)/$G117, ($G117-IFERROR(IND"&amp;"EX(GOOGLEFINANCE($C117, ""price"", WORKDAY(INT($B117), 5)), 2, 2), """"))/$G117))"),-0.03941100043308792)</f>
        <v>-0.03941100043</v>
      </c>
      <c r="S117" s="16" t="str">
        <f>IFERROR(__xludf.DUMMYFUNCTION("IF(OR(ISBLANK($G117), IFERROR(INDEX(GOOGLEFINANCE($C117, ""price"", WORKDAY(INT($B117), 20)), 2, 2), """")=""""), """", IF($D117=""LONG"", (IFERROR(INDEX(GOOGLEFINANCE($C117, ""price"", WORKDAY(INT($B117), 20)), 2, 2), """")-$G117)/$G117, ($G117-IFERROR(I"&amp;"NDEX(GOOGLEFINANCE($C117, ""price"", WORKDAY(INT($B117), 20)), 2, 2), """"))/$G117))"),"")</f>
        <v/>
      </c>
      <c r="T117" s="10" t="s">
        <v>4163</v>
      </c>
      <c r="U117" s="10" t="s">
        <v>984</v>
      </c>
      <c r="V117" s="10" t="s">
        <v>933</v>
      </c>
      <c r="W117" s="10" t="s">
        <v>51</v>
      </c>
      <c r="X117" s="10" t="s">
        <v>984</v>
      </c>
    </row>
    <row r="118">
      <c r="A118" s="9">
        <f t="shared" si="1"/>
        <v>117</v>
      </c>
      <c r="B118" s="11">
        <v>46225.66778935185</v>
      </c>
      <c r="C118" s="10" t="s">
        <v>47</v>
      </c>
      <c r="D118" s="10" t="s">
        <v>36</v>
      </c>
      <c r="E118" s="10" t="s">
        <v>37</v>
      </c>
      <c r="F118" s="13">
        <v>2.0</v>
      </c>
      <c r="G118" s="14">
        <v>292.95</v>
      </c>
      <c r="H118" s="10" t="s">
        <v>4164</v>
      </c>
      <c r="I118" s="10">
        <v>94.2</v>
      </c>
      <c r="L118" s="10" t="s">
        <v>4165</v>
      </c>
      <c r="M118" s="34" t="s">
        <v>951</v>
      </c>
      <c r="N118" s="10" t="s">
        <v>925</v>
      </c>
      <c r="O118" s="15">
        <f>IFERROR(__xludf.DUMMYFUNCTION("IF(ISBLANK($C118), """", GOOGLEFINANCE($C118, ""price""))"),285.12)</f>
        <v>285.12</v>
      </c>
      <c r="P118" s="16">
        <f t="shared" si="2"/>
        <v>-0.0267281106</v>
      </c>
      <c r="Q118" s="16">
        <f>IFERROR(__xludf.DUMMYFUNCTION("IF(OR(ISBLANK($G118), IFERROR(INDEX(GOOGLEFINANCE($C118, ""price"", WORKDAY(INT($B118), 1)), 2, 2), """")=""""), """", IF($D118=""LONG"", (IFERROR(INDEX(GOOGLEFINANCE($C118, ""price"", WORKDAY(INT($B118), 1)), 2, 2), """")-$G118)/$G118, ($G118-IFERROR(IND"&amp;"EX(GOOGLEFINANCE($C118, ""price"", WORKDAY(INT($B118), 1)), 2, 2), """"))/$G118))"),8.533879501621438E-4)</f>
        <v>0.0008533879502</v>
      </c>
      <c r="R118" s="16">
        <f>IFERROR(__xludf.DUMMYFUNCTION("IF(OR(ISBLANK($G118), IFERROR(INDEX(GOOGLEFINANCE($C118, ""price"", WORKDAY(INT($B118), 5)), 2, 2), """")=""""), """", IF($D118=""LONG"", (IFERROR(INDEX(GOOGLEFINANCE($C118, ""price"", WORKDAY(INT($B118), 5)), 2, 2), """")-$G118)/$G118, ($G118-IFERROR(IND"&amp;"EX(GOOGLEFINANCE($C118, ""price"", WORKDAY(INT($B118), 5)), 2, 2), """"))/$G118))"),0.013142174432497091)</f>
        <v>0.01314217443</v>
      </c>
      <c r="S118" s="16" t="str">
        <f>IFERROR(__xludf.DUMMYFUNCTION("IF(OR(ISBLANK($G118), IFERROR(INDEX(GOOGLEFINANCE($C118, ""price"", WORKDAY(INT($B118), 20)), 2, 2), """")=""""), """", IF($D118=""LONG"", (IFERROR(INDEX(GOOGLEFINANCE($C118, ""price"", WORKDAY(INT($B118), 20)), 2, 2), """")-$G118)/$G118, ($G118-IFERROR(I"&amp;"NDEX(GOOGLEFINANCE($C118, ""price"", WORKDAY(INT($B118), 20)), 2, 2), """"))/$G118))"),"")</f>
        <v/>
      </c>
      <c r="T118" s="10" t="s">
        <v>4166</v>
      </c>
      <c r="U118" s="10" t="s">
        <v>704</v>
      </c>
      <c r="V118" s="10" t="s">
        <v>4167</v>
      </c>
      <c r="W118" s="10" t="s">
        <v>51</v>
      </c>
      <c r="X118" s="10" t="s">
        <v>1885</v>
      </c>
    </row>
    <row r="119">
      <c r="A119" s="9">
        <f t="shared" si="1"/>
        <v>118</v>
      </c>
      <c r="B119" s="11">
        <v>46225.667546296296</v>
      </c>
      <c r="C119" s="10" t="s">
        <v>3104</v>
      </c>
      <c r="D119" s="10" t="s">
        <v>36</v>
      </c>
      <c r="E119" s="10" t="s">
        <v>37</v>
      </c>
      <c r="F119" s="13">
        <v>2.0</v>
      </c>
      <c r="G119" s="14">
        <v>168.0</v>
      </c>
      <c r="H119" s="10" t="s">
        <v>4168</v>
      </c>
      <c r="I119" s="10">
        <v>93.1</v>
      </c>
      <c r="O119" s="15">
        <f>IFERROR(__xludf.DUMMYFUNCTION("IF(ISBLANK($C119), """", GOOGLEFINANCE($C119, ""price""))"),179.33)</f>
        <v>179.33</v>
      </c>
      <c r="P119" s="16">
        <f t="shared" si="2"/>
        <v>0.06744047619</v>
      </c>
      <c r="Q119" s="16">
        <f>IFERROR(__xludf.DUMMYFUNCTION("IF(OR(ISBLANK($G119), IFERROR(INDEX(GOOGLEFINANCE($C119, ""price"", WORKDAY(INT($B119), 1)), 2, 2), """")=""""), """", IF($D119=""LONG"", (IFERROR(INDEX(GOOGLEFINANCE($C119, ""price"", WORKDAY(INT($B119), 1)), 2, 2), """")-$G119)/$G119, ($G119-IFERROR(IND"&amp;"EX(GOOGLEFINANCE($C119, ""price"", WORKDAY(INT($B119), 1)), 2, 2), """"))/$G119))"),-0.011071428571428652)</f>
        <v>-0.01107142857</v>
      </c>
      <c r="R119" s="16">
        <f>IFERROR(__xludf.DUMMYFUNCTION("IF(OR(ISBLANK($G119), IFERROR(INDEX(GOOGLEFINANCE($C119, ""price"", WORKDAY(INT($B119), 5)), 2, 2), """")=""""), """", IF($D119=""LONG"", (IFERROR(INDEX(GOOGLEFINANCE($C119, ""price"", WORKDAY(INT($B119), 5)), 2, 2), """")-$G119)/$G119, ($G119-IFERROR(IND"&amp;"EX(GOOGLEFINANCE($C119, ""price"", WORKDAY(INT($B119), 5)), 2, 2), """"))/$G119))"),0.036666666666666646)</f>
        <v>0.03666666667</v>
      </c>
      <c r="S119" s="16" t="str">
        <f>IFERROR(__xludf.DUMMYFUNCTION("IF(OR(ISBLANK($G119), IFERROR(INDEX(GOOGLEFINANCE($C119, ""price"", WORKDAY(INT($B119), 20)), 2, 2), """")=""""), """", IF($D119=""LONG"", (IFERROR(INDEX(GOOGLEFINANCE($C119, ""price"", WORKDAY(INT($B119), 20)), 2, 2), """")-$G119)/$G119, ($G119-IFERROR(I"&amp;"NDEX(GOOGLEFINANCE($C119, ""price"", WORKDAY(INT($B119), 20)), 2, 2), """"))/$G119))"),"")</f>
        <v/>
      </c>
      <c r="T119" s="10" t="s">
        <v>4169</v>
      </c>
      <c r="U119" s="10" t="s">
        <v>984</v>
      </c>
      <c r="V119" s="10" t="s">
        <v>998</v>
      </c>
      <c r="W119" s="10" t="s">
        <v>51</v>
      </c>
      <c r="X119" s="10" t="s">
        <v>984</v>
      </c>
    </row>
    <row r="120">
      <c r="A120" s="9">
        <f t="shared" si="1"/>
        <v>119</v>
      </c>
      <c r="B120" s="11">
        <v>46225.66763888889</v>
      </c>
      <c r="C120" s="10" t="s">
        <v>80</v>
      </c>
      <c r="D120" s="10" t="s">
        <v>36</v>
      </c>
      <c r="E120" s="10" t="s">
        <v>37</v>
      </c>
      <c r="F120" s="13">
        <v>2.0</v>
      </c>
      <c r="G120" s="14">
        <v>253.32</v>
      </c>
      <c r="H120" s="10" t="s">
        <v>4170</v>
      </c>
      <c r="I120" s="10">
        <v>87.3</v>
      </c>
      <c r="O120" s="15">
        <f>IFERROR(__xludf.DUMMYFUNCTION("IF(ISBLANK($C120), """", GOOGLEFINANCE($C120, ""price""))"),243.87)</f>
        <v>243.87</v>
      </c>
      <c r="P120" s="16">
        <f t="shared" si="2"/>
        <v>-0.03730459498</v>
      </c>
      <c r="Q120" s="16">
        <f>IFERROR(__xludf.DUMMYFUNCTION("IF(OR(ISBLANK($G120), IFERROR(INDEX(GOOGLEFINANCE($C120, ""price"", WORKDAY(INT($B120), 1)), 2, 2), """")=""""), """", IF($D120=""LONG"", (IFERROR(INDEX(GOOGLEFINANCE($C120, ""price"", WORKDAY(INT($B120), 1)), 2, 2), """")-$G120)/$G120, ($G120-IFERROR(IND"&amp;"EX(GOOGLEFINANCE($C120, ""price"", WORKDAY(INT($B120), 1)), 2, 2), """"))/$G120))"),0.014211274277593647)</f>
        <v>0.01421127428</v>
      </c>
      <c r="R120" s="16">
        <f>IFERROR(__xludf.DUMMYFUNCTION("IF(OR(ISBLANK($G120), IFERROR(INDEX(GOOGLEFINANCE($C120, ""price"", WORKDAY(INT($B120), 5)), 2, 2), """")=""""), """", IF($D120=""LONG"", (IFERROR(INDEX(GOOGLEFINANCE($C120, ""price"", WORKDAY(INT($B120), 5)), 2, 2), """")-$G120)/$G120, ($G120-IFERROR(IND"&amp;"EX(GOOGLEFINANCE($C120, ""price"", WORKDAY(INT($B120), 5)), 2, 2), """"))/$G120))"),0.03939681035843999)</f>
        <v>0.03939681036</v>
      </c>
      <c r="S120" s="16" t="str">
        <f>IFERROR(__xludf.DUMMYFUNCTION("IF(OR(ISBLANK($G120), IFERROR(INDEX(GOOGLEFINANCE($C120, ""price"", WORKDAY(INT($B120), 20)), 2, 2), """")=""""), """", IF($D120=""LONG"", (IFERROR(INDEX(GOOGLEFINANCE($C120, ""price"", WORKDAY(INT($B120), 20)), 2, 2), """")-$G120)/$G120, ($G120-IFERROR(I"&amp;"NDEX(GOOGLEFINANCE($C120, ""price"", WORKDAY(INT($B120), 20)), 2, 2), """"))/$G120))"),"")</f>
        <v/>
      </c>
      <c r="T120" s="10" t="s">
        <v>4171</v>
      </c>
      <c r="U120" s="10" t="s">
        <v>984</v>
      </c>
      <c r="V120" s="10" t="s">
        <v>998</v>
      </c>
      <c r="W120" s="10" t="s">
        <v>51</v>
      </c>
      <c r="X120" s="10" t="s">
        <v>984</v>
      </c>
    </row>
    <row r="121">
      <c r="A121" s="9">
        <f t="shared" si="1"/>
        <v>120</v>
      </c>
      <c r="B121" s="11">
        <v>46225.66774305556</v>
      </c>
      <c r="C121" s="10" t="s">
        <v>2692</v>
      </c>
      <c r="D121" s="10" t="s">
        <v>36</v>
      </c>
      <c r="E121" s="10" t="s">
        <v>37</v>
      </c>
      <c r="F121" s="13">
        <v>2.0</v>
      </c>
      <c r="G121" s="14">
        <v>65.03</v>
      </c>
      <c r="H121" s="10" t="s">
        <v>4172</v>
      </c>
      <c r="I121" s="10">
        <v>92.2</v>
      </c>
      <c r="O121" s="15">
        <f>IFERROR(__xludf.DUMMYFUNCTION("IF(ISBLANK($C121), """", GOOGLEFINANCE($C121, ""price""))"),62.36)</f>
        <v>62.36</v>
      </c>
      <c r="P121" s="16">
        <f t="shared" si="2"/>
        <v>-0.04105797324</v>
      </c>
      <c r="Q121" s="16">
        <f>IFERROR(__xludf.DUMMYFUNCTION("IF(OR(ISBLANK($G121), IFERROR(INDEX(GOOGLEFINANCE($C121, ""price"", WORKDAY(INT($B121), 1)), 2, 2), """")=""""), """", IF($D121=""LONG"", (IFERROR(INDEX(GOOGLEFINANCE($C121, ""price"", WORKDAY(INT($B121), 1)), 2, 2), """")-$G121)/$G121, ($G121-IFERROR(IND"&amp;"EX(GOOGLEFINANCE($C121, ""price"", WORKDAY(INT($B121), 1)), 2, 2), """"))/$G121))"),-0.004767030601260992)</f>
        <v>-0.004767030601</v>
      </c>
      <c r="R121" s="16">
        <f>IFERROR(__xludf.DUMMYFUNCTION("IF(OR(ISBLANK($G121), IFERROR(INDEX(GOOGLEFINANCE($C121, ""price"", WORKDAY(INT($B121), 5)), 2, 2), """")=""""), """", IF($D121=""LONG"", (IFERROR(INDEX(GOOGLEFINANCE($C121, ""price"", WORKDAY(INT($B121), 5)), 2, 2), """")-$G121)/$G121, ($G121-IFERROR(IND"&amp;"EX(GOOGLEFINANCE($C121, ""price"", WORKDAY(INT($B121), 5)), 2, 2), """"))/$G121))"),0.00784253421497778)</f>
        <v>0.007842534215</v>
      </c>
      <c r="S121" s="16" t="str">
        <f>IFERROR(__xludf.DUMMYFUNCTION("IF(OR(ISBLANK($G121), IFERROR(INDEX(GOOGLEFINANCE($C121, ""price"", WORKDAY(INT($B121), 20)), 2, 2), """")=""""), """", IF($D121=""LONG"", (IFERROR(INDEX(GOOGLEFINANCE($C121, ""price"", WORKDAY(INT($B121), 20)), 2, 2), """")-$G121)/$G121, ($G121-IFERROR(I"&amp;"NDEX(GOOGLEFINANCE($C121, ""price"", WORKDAY(INT($B121), 20)), 2, 2), """"))/$G121))"),"")</f>
        <v/>
      </c>
      <c r="T121" s="10" t="s">
        <v>4173</v>
      </c>
      <c r="U121" s="10" t="s">
        <v>932</v>
      </c>
      <c r="V121" s="10" t="s">
        <v>933</v>
      </c>
      <c r="W121" s="10" t="s">
        <v>51</v>
      </c>
      <c r="X121" s="10" t="s">
        <v>3186</v>
      </c>
    </row>
    <row r="122">
      <c r="A122" s="9">
        <f t="shared" si="1"/>
        <v>121</v>
      </c>
      <c r="B122" s="11">
        <v>46225.667546296296</v>
      </c>
      <c r="C122" s="10" t="s">
        <v>2084</v>
      </c>
      <c r="D122" s="10" t="s">
        <v>36</v>
      </c>
      <c r="E122" s="10" t="s">
        <v>37</v>
      </c>
      <c r="F122" s="13">
        <v>2.0</v>
      </c>
      <c r="G122" s="14">
        <v>286.56</v>
      </c>
      <c r="H122" s="10" t="s">
        <v>4174</v>
      </c>
      <c r="I122" s="10">
        <v>96.8</v>
      </c>
      <c r="O122" s="15">
        <f>IFERROR(__xludf.DUMMYFUNCTION("IF(ISBLANK($C122), """", GOOGLEFINANCE($C122, ""price""))"),340.01)</f>
        <v>340.01</v>
      </c>
      <c r="P122" s="16">
        <f t="shared" si="2"/>
        <v>0.1865228922</v>
      </c>
      <c r="Q122" s="16">
        <f>IFERROR(__xludf.DUMMYFUNCTION("IF(OR(ISBLANK($G122), IFERROR(INDEX(GOOGLEFINANCE($C122, ""price"", WORKDAY(INT($B122), 1)), 2, 2), """")=""""), """", IF($D122=""LONG"", (IFERROR(INDEX(GOOGLEFINANCE($C122, ""price"", WORKDAY(INT($B122), 1)), 2, 2), """")-$G122)/$G122, ($G122-IFERROR(IND"&amp;"EX(GOOGLEFINANCE($C122, ""price"", WORKDAY(INT($B122), 1)), 2, 2), """"))/$G122))"),0.006316303740926865)</f>
        <v>0.006316303741</v>
      </c>
      <c r="R122" s="16">
        <f>IFERROR(__xludf.DUMMYFUNCTION("IF(OR(ISBLANK($G122), IFERROR(INDEX(GOOGLEFINANCE($C122, ""price"", WORKDAY(INT($B122), 5)), 2, 2), """")=""""), """", IF($D122=""LONG"", (IFERROR(INDEX(GOOGLEFINANCE($C122, ""price"", WORKDAY(INT($B122), 5)), 2, 2), """")-$G122)/$G122, ($G122-IFERROR(IND"&amp;"EX(GOOGLEFINANCE($C122, ""price"", WORKDAY(INT($B122), 5)), 2, 2), """"))/$G122))"),0.10249162479061978)</f>
        <v>0.1024916248</v>
      </c>
      <c r="S122" s="16" t="str">
        <f>IFERROR(__xludf.DUMMYFUNCTION("IF(OR(ISBLANK($G122), IFERROR(INDEX(GOOGLEFINANCE($C122, ""price"", WORKDAY(INT($B122), 20)), 2, 2), """")=""""), """", IF($D122=""LONG"", (IFERROR(INDEX(GOOGLEFINANCE($C122, ""price"", WORKDAY(INT($B122), 20)), 2, 2), """")-$G122)/$G122, ($G122-IFERROR(I"&amp;"NDEX(GOOGLEFINANCE($C122, ""price"", WORKDAY(INT($B122), 20)), 2, 2), """"))/$G122))"),"")</f>
        <v/>
      </c>
      <c r="T122" s="10" t="s">
        <v>4175</v>
      </c>
      <c r="U122" s="10" t="s">
        <v>984</v>
      </c>
      <c r="V122" s="10" t="s">
        <v>985</v>
      </c>
      <c r="W122" s="10" t="s">
        <v>51</v>
      </c>
      <c r="X122" s="10" t="s">
        <v>984</v>
      </c>
    </row>
    <row r="123">
      <c r="A123" s="9">
        <f t="shared" si="1"/>
        <v>122</v>
      </c>
      <c r="B123" s="11">
        <v>46225.66769675926</v>
      </c>
      <c r="C123" s="10" t="s">
        <v>296</v>
      </c>
      <c r="D123" s="10" t="s">
        <v>36</v>
      </c>
      <c r="E123" s="10" t="s">
        <v>133</v>
      </c>
      <c r="F123" s="13">
        <v>2.0</v>
      </c>
      <c r="G123" s="14">
        <v>118.86</v>
      </c>
      <c r="H123" s="10" t="s">
        <v>4176</v>
      </c>
      <c r="I123" s="10">
        <v>88.3</v>
      </c>
      <c r="O123" s="15">
        <f>IFERROR(__xludf.DUMMYFUNCTION("IF(ISBLANK($C123), """", GOOGLEFINANCE($C123, ""price""))"),121.5)</f>
        <v>121.5</v>
      </c>
      <c r="P123" s="16">
        <f t="shared" si="2"/>
        <v>0.02221100454</v>
      </c>
      <c r="Q123" s="16">
        <f>IFERROR(__xludf.DUMMYFUNCTION("IF(OR(ISBLANK($G123), IFERROR(INDEX(GOOGLEFINANCE($C123, ""price"", WORKDAY(INT($B123), 1)), 2, 2), """")=""""), """", IF($D123=""LONG"", (IFERROR(INDEX(GOOGLEFINANCE($C123, ""price"", WORKDAY(INT($B123), 1)), 2, 2), """")-$G123)/$G123, ($G123-IFERROR(IND"&amp;"EX(GOOGLEFINANCE($C123, ""price"", WORKDAY(INT($B123), 1)), 2, 2), """"))/$G123))"),-0.00858152448258452)</f>
        <v>-0.008581524483</v>
      </c>
      <c r="R123" s="16">
        <f>IFERROR(__xludf.DUMMYFUNCTION("IF(OR(ISBLANK($G123), IFERROR(INDEX(GOOGLEFINANCE($C123, ""price"", WORKDAY(INT($B123), 5)), 2, 2), """")=""""), """", IF($D123=""LONG"", (IFERROR(INDEX(GOOGLEFINANCE($C123, ""price"", WORKDAY(INT($B123), 5)), 2, 2), """")-$G123)/$G123, ($G123-IFERROR(IND"&amp;"EX(GOOGLEFINANCE($C123, ""price"", WORKDAY(INT($B123), 5)), 2, 2), """"))/$G123))"),0.03171798754837621)</f>
        <v>0.03171798755</v>
      </c>
      <c r="S123" s="16" t="str">
        <f>IFERROR(__xludf.DUMMYFUNCTION("IF(OR(ISBLANK($G123), IFERROR(INDEX(GOOGLEFINANCE($C123, ""price"", WORKDAY(INT($B123), 20)), 2, 2), """")=""""), """", IF($D123=""LONG"", (IFERROR(INDEX(GOOGLEFINANCE($C123, ""price"", WORKDAY(INT($B123), 20)), 2, 2), """")-$G123)/$G123, ($G123-IFERROR(I"&amp;"NDEX(GOOGLEFINANCE($C123, ""price"", WORKDAY(INT($B123), 20)), 2, 2), """"))/$G123))"),"")</f>
        <v/>
      </c>
      <c r="T123" s="10" t="s">
        <v>4177</v>
      </c>
      <c r="U123" s="10" t="s">
        <v>932</v>
      </c>
      <c r="V123" s="10" t="s">
        <v>933</v>
      </c>
      <c r="W123" s="10" t="s">
        <v>51</v>
      </c>
      <c r="X123" s="10" t="s">
        <v>3186</v>
      </c>
    </row>
    <row r="124">
      <c r="A124" s="9">
        <f t="shared" si="1"/>
        <v>123</v>
      </c>
      <c r="B124" s="11">
        <v>46225.66780092593</v>
      </c>
      <c r="C124" s="10" t="s">
        <v>1504</v>
      </c>
      <c r="D124" s="10" t="s">
        <v>119</v>
      </c>
      <c r="E124" s="10" t="s">
        <v>120</v>
      </c>
      <c r="F124" s="13">
        <v>4.0</v>
      </c>
      <c r="G124" s="14">
        <v>30.53</v>
      </c>
      <c r="H124" s="10" t="s">
        <v>4178</v>
      </c>
      <c r="I124" s="10">
        <v>27.8</v>
      </c>
      <c r="O124" s="15">
        <f>IFERROR(__xludf.DUMMYFUNCTION("IF(ISBLANK($C124), """", GOOGLEFINANCE($C124, ""price""))"),29.38)</f>
        <v>29.38</v>
      </c>
      <c r="P124" s="16">
        <f t="shared" si="2"/>
        <v>0.03766786767</v>
      </c>
      <c r="Q124" s="16">
        <f>IFERROR(__xludf.DUMMYFUNCTION("IF(OR(ISBLANK($G124), IFERROR(INDEX(GOOGLEFINANCE($C124, ""price"", WORKDAY(INT($B124), 1)), 2, 2), """")=""""), """", IF($D124=""LONG"", (IFERROR(INDEX(GOOGLEFINANCE($C124, ""price"", WORKDAY(INT($B124), 1)), 2, 2), """")-$G124)/$G124, ($G124-IFERROR(IND"&amp;"EX(GOOGLEFINANCE($C124, ""price"", WORKDAY(INT($B124), 1)), 2, 2), """"))/$G124))"),-0.021945627251883332)</f>
        <v>-0.02194562725</v>
      </c>
      <c r="R124" s="16">
        <f>IFERROR(__xludf.DUMMYFUNCTION("IF(OR(ISBLANK($G124), IFERROR(INDEX(GOOGLEFINANCE($C124, ""price"", WORKDAY(INT($B124), 5)), 2, 2), """")=""""), """", IF($D124=""LONG"", (IFERROR(INDEX(GOOGLEFINANCE($C124, ""price"", WORKDAY(INT($B124), 5)), 2, 2), """")-$G124)/$G124, ($G124-IFERROR(IND"&amp;"EX(GOOGLEFINANCE($C124, ""price"", WORKDAY(INT($B124), 5)), 2, 2), """"))/$G124))"),0.15820504421880124)</f>
        <v>0.1582050442</v>
      </c>
      <c r="S124" s="16" t="str">
        <f>IFERROR(__xludf.DUMMYFUNCTION("IF(OR(ISBLANK($G124), IFERROR(INDEX(GOOGLEFINANCE($C124, ""price"", WORKDAY(INT($B124), 20)), 2, 2), """")=""""), """", IF($D124=""LONG"", (IFERROR(INDEX(GOOGLEFINANCE($C124, ""price"", WORKDAY(INT($B124), 20)), 2, 2), """")-$G124)/$G124, ($G124-IFERROR(I"&amp;"NDEX(GOOGLEFINANCE($C124, ""price"", WORKDAY(INT($B124), 20)), 2, 2), """"))/$G124))"),"")</f>
        <v/>
      </c>
      <c r="T124" s="10" t="s">
        <v>4179</v>
      </c>
      <c r="U124" s="10" t="s">
        <v>984</v>
      </c>
      <c r="V124" s="10" t="s">
        <v>1059</v>
      </c>
      <c r="W124" s="10" t="s">
        <v>51</v>
      </c>
      <c r="X124" s="10" t="s">
        <v>984</v>
      </c>
    </row>
    <row r="125">
      <c r="A125" s="9">
        <f t="shared" si="1"/>
        <v>124</v>
      </c>
      <c r="B125" s="11">
        <v>46225.66769675926</v>
      </c>
      <c r="C125" s="10" t="s">
        <v>260</v>
      </c>
      <c r="D125" s="10" t="s">
        <v>36</v>
      </c>
      <c r="E125" s="10" t="s">
        <v>37</v>
      </c>
      <c r="F125" s="13">
        <v>2.0</v>
      </c>
      <c r="G125" s="14">
        <v>104.48</v>
      </c>
      <c r="H125" s="10" t="s">
        <v>4180</v>
      </c>
      <c r="I125" s="10">
        <v>87.2</v>
      </c>
      <c r="L125" s="10" t="s">
        <v>4181</v>
      </c>
      <c r="M125" s="34" t="s">
        <v>951</v>
      </c>
      <c r="N125" s="10" t="s">
        <v>925</v>
      </c>
      <c r="O125" s="15">
        <f>IFERROR(__xludf.DUMMYFUNCTION("IF(ISBLANK($C125), """", GOOGLEFINANCE($C125, ""price""))"),90.71)</f>
        <v>90.71</v>
      </c>
      <c r="P125" s="16">
        <f t="shared" si="2"/>
        <v>-0.131795559</v>
      </c>
      <c r="Q125" s="16">
        <f>IFERROR(__xludf.DUMMYFUNCTION("IF(OR(ISBLANK($G125), IFERROR(INDEX(GOOGLEFINANCE($C125, ""price"", WORKDAY(INT($B125), 1)), 2, 2), """")=""""), """", IF($D125=""LONG"", (IFERROR(INDEX(GOOGLEFINANCE($C125, ""price"", WORKDAY(INT($B125), 1)), 2, 2), """")-$G125)/$G125, ($G125-IFERROR(IND"&amp;"EX(GOOGLEFINANCE($C125, ""price"", WORKDAY(INT($B125), 1)), 2, 2), """"))/$G125))"),-0.027756508422664677)</f>
        <v>-0.02775650842</v>
      </c>
      <c r="R125" s="16">
        <f>IFERROR(__xludf.DUMMYFUNCTION("IF(OR(ISBLANK($G125), IFERROR(INDEX(GOOGLEFINANCE($C125, ""price"", WORKDAY(INT($B125), 5)), 2, 2), """")=""""), """", IF($D125=""LONG"", (IFERROR(INDEX(GOOGLEFINANCE($C125, ""price"", WORKDAY(INT($B125), 5)), 2, 2), """")-$G125)/$G125, ($G125-IFERROR(IND"&amp;"EX(GOOGLEFINANCE($C125, ""price"", WORKDAY(INT($B125), 5)), 2, 2), """"))/$G125))"),-0.14012251148545177)</f>
        <v>-0.1401225115</v>
      </c>
      <c r="S125" s="16" t="str">
        <f>IFERROR(__xludf.DUMMYFUNCTION("IF(OR(ISBLANK($G125), IFERROR(INDEX(GOOGLEFINANCE($C125, ""price"", WORKDAY(INT($B125), 20)), 2, 2), """")=""""), """", IF($D125=""LONG"", (IFERROR(INDEX(GOOGLEFINANCE($C125, ""price"", WORKDAY(INT($B125), 20)), 2, 2), """")-$G125)/$G125, ($G125-IFERROR(I"&amp;"NDEX(GOOGLEFINANCE($C125, ""price"", WORKDAY(INT($B125), 20)), 2, 2), """"))/$G125))"),"")</f>
        <v/>
      </c>
      <c r="T125" s="10" t="s">
        <v>4182</v>
      </c>
      <c r="U125" s="10" t="s">
        <v>240</v>
      </c>
      <c r="V125" s="10" t="s">
        <v>4183</v>
      </c>
      <c r="W125" s="10" t="s">
        <v>51</v>
      </c>
      <c r="X125" s="10" t="s">
        <v>1905</v>
      </c>
    </row>
    <row r="126">
      <c r="A126" s="9">
        <f t="shared" si="1"/>
        <v>125</v>
      </c>
      <c r="B126" s="11">
        <v>46225.66756944444</v>
      </c>
      <c r="C126" s="10" t="s">
        <v>2250</v>
      </c>
      <c r="D126" s="10" t="s">
        <v>36</v>
      </c>
      <c r="E126" s="10" t="s">
        <v>37</v>
      </c>
      <c r="F126" s="13">
        <v>2.0</v>
      </c>
      <c r="G126" s="14">
        <v>242.48</v>
      </c>
      <c r="H126" s="10" t="s">
        <v>4184</v>
      </c>
      <c r="I126" s="10">
        <v>99.1</v>
      </c>
      <c r="O126" s="15">
        <f>IFERROR(__xludf.DUMMYFUNCTION("IF(ISBLANK($C126), """", GOOGLEFINANCE($C126, ""price""))"),251.74)</f>
        <v>251.74</v>
      </c>
      <c r="P126" s="16">
        <f t="shared" si="2"/>
        <v>0.0381887166</v>
      </c>
      <c r="Q126" s="16">
        <f>IFERROR(__xludf.DUMMYFUNCTION("IF(OR(ISBLANK($G126), IFERROR(INDEX(GOOGLEFINANCE($C126, ""price"", WORKDAY(INT($B126), 1)), 2, 2), """")=""""), """", IF($D126=""LONG"", (IFERROR(INDEX(GOOGLEFINANCE($C126, ""price"", WORKDAY(INT($B126), 1)), 2, 2), """")-$G126)/$G126, ($G126-IFERROR(IND"&amp;"EX(GOOGLEFINANCE($C126, ""price"", WORKDAY(INT($B126), 1)), 2, 2), """"))/$G126))"),-0.0011134938964037521)</f>
        <v>-0.001113493896</v>
      </c>
      <c r="R126" s="16">
        <f>IFERROR(__xludf.DUMMYFUNCTION("IF(OR(ISBLANK($G126), IFERROR(INDEX(GOOGLEFINANCE($C126, ""price"", WORKDAY(INT($B126), 5)), 2, 2), """")=""""), """", IF($D126=""LONG"", (IFERROR(INDEX(GOOGLEFINANCE($C126, ""price"", WORKDAY(INT($B126), 5)), 2, 2), """")-$G126)/$G126, ($G126-IFERROR(IND"&amp;"EX(GOOGLEFINANCE($C126, ""price"", WORKDAY(INT($B126), 5)), 2, 2), """"))/$G126))"),0.10899868030353034)</f>
        <v>0.1089986803</v>
      </c>
      <c r="S126" s="16" t="str">
        <f>IFERROR(__xludf.DUMMYFUNCTION("IF(OR(ISBLANK($G126), IFERROR(INDEX(GOOGLEFINANCE($C126, ""price"", WORKDAY(INT($B126), 20)), 2, 2), """")=""""), """", IF($D126=""LONG"", (IFERROR(INDEX(GOOGLEFINANCE($C126, ""price"", WORKDAY(INT($B126), 20)), 2, 2), """")-$G126)/$G126, ($G126-IFERROR(I"&amp;"NDEX(GOOGLEFINANCE($C126, ""price"", WORKDAY(INT($B126), 20)), 2, 2), """"))/$G126))"),"")</f>
        <v/>
      </c>
      <c r="T126" s="10" t="s">
        <v>4185</v>
      </c>
      <c r="U126" s="10" t="s">
        <v>984</v>
      </c>
      <c r="V126" s="10" t="s">
        <v>985</v>
      </c>
      <c r="W126" s="10" t="s">
        <v>51</v>
      </c>
      <c r="X126" s="10" t="s">
        <v>984</v>
      </c>
    </row>
    <row r="127">
      <c r="A127" s="9">
        <f t="shared" si="1"/>
        <v>126</v>
      </c>
      <c r="B127" s="11">
        <v>46225.667662037034</v>
      </c>
      <c r="C127" s="10" t="s">
        <v>337</v>
      </c>
      <c r="D127" s="10" t="s">
        <v>119</v>
      </c>
      <c r="E127" s="10" t="s">
        <v>120</v>
      </c>
      <c r="F127" s="13">
        <v>4.0</v>
      </c>
      <c r="G127" s="14">
        <v>44.29</v>
      </c>
      <c r="H127" s="10" t="s">
        <v>4186</v>
      </c>
      <c r="I127" s="10">
        <v>12.2</v>
      </c>
      <c r="O127" s="15">
        <f>IFERROR(__xludf.DUMMYFUNCTION("IF(ISBLANK($C127), """", GOOGLEFINANCE($C127, ""price""))"),46.99)</f>
        <v>46.99</v>
      </c>
      <c r="P127" s="16">
        <f t="shared" si="2"/>
        <v>-0.0609618424</v>
      </c>
      <c r="Q127" s="16">
        <f>IFERROR(__xludf.DUMMYFUNCTION("IF(OR(ISBLANK($G127), IFERROR(INDEX(GOOGLEFINANCE($C127, ""price"", WORKDAY(INT($B127), 1)), 2, 2), """")=""""), """", IF($D127=""LONG"", (IFERROR(INDEX(GOOGLEFINANCE($C127, ""price"", WORKDAY(INT($B127), 1)), 2, 2), """")-$G127)/$G127, ($G127-IFERROR(IND"&amp;"EX(GOOGLEFINANCE($C127, ""price"", WORKDAY(INT($B127), 1)), 2, 2), """"))/$G127))"),0.010611876270038357)</f>
        <v>0.01061187627</v>
      </c>
      <c r="R127" s="16">
        <f>IFERROR(__xludf.DUMMYFUNCTION("IF(OR(ISBLANK($G127), IFERROR(INDEX(GOOGLEFINANCE($C127, ""price"", WORKDAY(INT($B127), 5)), 2, 2), """")=""""), """", IF($D127=""LONG"", (IFERROR(INDEX(GOOGLEFINANCE($C127, ""price"", WORKDAY(INT($B127), 5)), 2, 2), """")-$G127)/$G127, ($G127-IFERROR(IND"&amp;"EX(GOOGLEFINANCE($C127, ""price"", WORKDAY(INT($B127), 5)), 2, 2), """"))/$G127))"),-0.06615488823662226)</f>
        <v>-0.06615488824</v>
      </c>
      <c r="S127" s="16" t="str">
        <f>IFERROR(__xludf.DUMMYFUNCTION("IF(OR(ISBLANK($G127), IFERROR(INDEX(GOOGLEFINANCE($C127, ""price"", WORKDAY(INT($B127), 20)), 2, 2), """")=""""), """", IF($D127=""LONG"", (IFERROR(INDEX(GOOGLEFINANCE($C127, ""price"", WORKDAY(INT($B127), 20)), 2, 2), """")-$G127)/$G127, ($G127-IFERROR(I"&amp;"NDEX(GOOGLEFINANCE($C127, ""price"", WORKDAY(INT($B127), 20)), 2, 2), """"))/$G127))"),"")</f>
        <v/>
      </c>
      <c r="T127" s="10" t="s">
        <v>4187</v>
      </c>
      <c r="U127" s="10" t="s">
        <v>984</v>
      </c>
      <c r="V127" s="10" t="s">
        <v>985</v>
      </c>
      <c r="W127" s="10" t="s">
        <v>51</v>
      </c>
      <c r="X127" s="10" t="s">
        <v>984</v>
      </c>
    </row>
    <row r="128">
      <c r="A128" s="9">
        <f t="shared" si="1"/>
        <v>127</v>
      </c>
      <c r="B128" s="11">
        <v>46225.667650462965</v>
      </c>
      <c r="C128" s="10" t="s">
        <v>4188</v>
      </c>
      <c r="D128" s="10" t="s">
        <v>119</v>
      </c>
      <c r="E128" s="10" t="s">
        <v>120</v>
      </c>
      <c r="F128" s="13">
        <v>4.0</v>
      </c>
      <c r="G128" s="14">
        <v>324.26</v>
      </c>
      <c r="H128" s="10" t="s">
        <v>4189</v>
      </c>
      <c r="I128" s="10">
        <v>13.1</v>
      </c>
      <c r="O128" s="15">
        <f>IFERROR(__xludf.DUMMYFUNCTION("IF(ISBLANK($C128), """", GOOGLEFINANCE($C128, ""price""))"),321.98)</f>
        <v>321.98</v>
      </c>
      <c r="P128" s="16">
        <f t="shared" si="2"/>
        <v>0.00703139456</v>
      </c>
      <c r="Q128" s="16">
        <f>IFERROR(__xludf.DUMMYFUNCTION("IF(OR(ISBLANK($G128), IFERROR(INDEX(GOOGLEFINANCE($C128, ""price"", WORKDAY(INT($B128), 1)), 2, 2), """")=""""), """", IF($D128=""LONG"", (IFERROR(INDEX(GOOGLEFINANCE($C128, ""price"", WORKDAY(INT($B128), 1)), 2, 2), """")-$G128)/$G128, ($G128-IFERROR(IND"&amp;"EX(GOOGLEFINANCE($C128, ""price"", WORKDAY(INT($B128), 1)), 2, 2), """"))/$G128))"),0.012582495528279726)</f>
        <v>0.01258249553</v>
      </c>
      <c r="R128" s="16">
        <f>IFERROR(__xludf.DUMMYFUNCTION("IF(OR(ISBLANK($G128), IFERROR(INDEX(GOOGLEFINANCE($C128, ""price"", WORKDAY(INT($B128), 5)), 2, 2), """")=""""), """", IF($D128=""LONG"", (IFERROR(INDEX(GOOGLEFINANCE($C128, ""price"", WORKDAY(INT($B128), 5)), 2, 2), """")-$G128)/$G128, ($G128-IFERROR(IND"&amp;"EX(GOOGLEFINANCE($C128, ""price"", WORKDAY(INT($B128), 5)), 2, 2), """"))/$G128))"),0.007833220255350532)</f>
        <v>0.007833220255</v>
      </c>
      <c r="S128" s="16" t="str">
        <f>IFERROR(__xludf.DUMMYFUNCTION("IF(OR(ISBLANK($G128), IFERROR(INDEX(GOOGLEFINANCE($C128, ""price"", WORKDAY(INT($B128), 20)), 2, 2), """")=""""), """", IF($D128=""LONG"", (IFERROR(INDEX(GOOGLEFINANCE($C128, ""price"", WORKDAY(INT($B128), 20)), 2, 2), """")-$G128)/$G128, ($G128-IFERROR(I"&amp;"NDEX(GOOGLEFINANCE($C128, ""price"", WORKDAY(INT($B128), 20)), 2, 2), """"))/$G128))"),"")</f>
        <v/>
      </c>
      <c r="T128" s="10" t="s">
        <v>4190</v>
      </c>
      <c r="U128" s="10" t="s">
        <v>984</v>
      </c>
      <c r="V128" s="10" t="s">
        <v>985</v>
      </c>
      <c r="W128" s="10" t="s">
        <v>51</v>
      </c>
      <c r="X128" s="10" t="s">
        <v>984</v>
      </c>
    </row>
    <row r="129">
      <c r="A129" s="9">
        <f t="shared" si="1"/>
        <v>128</v>
      </c>
      <c r="B129" s="11">
        <v>46225.667662037034</v>
      </c>
      <c r="C129" s="10" t="s">
        <v>845</v>
      </c>
      <c r="D129" s="10" t="s">
        <v>119</v>
      </c>
      <c r="E129" s="10" t="s">
        <v>120</v>
      </c>
      <c r="F129" s="13">
        <v>4.0</v>
      </c>
      <c r="G129" s="14">
        <v>238.63</v>
      </c>
      <c r="H129" s="10" t="s">
        <v>4191</v>
      </c>
      <c r="I129" s="10">
        <v>6.0</v>
      </c>
      <c r="O129" s="15">
        <f>IFERROR(__xludf.DUMMYFUNCTION("IF(ISBLANK($C129), """", GOOGLEFINANCE($C129, ""price""))"),261.48)</f>
        <v>261.48</v>
      </c>
      <c r="P129" s="16">
        <f t="shared" si="2"/>
        <v>-0.09575493442</v>
      </c>
      <c r="Q129" s="16">
        <f>IFERROR(__xludf.DUMMYFUNCTION("IF(OR(ISBLANK($G129), IFERROR(INDEX(GOOGLEFINANCE($C129, ""price"", WORKDAY(INT($B129), 1)), 2, 2), """")=""""), """", IF($D129=""LONG"", (IFERROR(INDEX(GOOGLEFINANCE($C129, ""price"", WORKDAY(INT($B129), 1)), 2, 2), """")-$G129)/$G129, ($G129-IFERROR(IND"&amp;"EX(GOOGLEFINANCE($C129, ""price"", WORKDAY(INT($B129), 1)), 2, 2), """"))/$G129))"),-0.008129740602606536)</f>
        <v>-0.008129740603</v>
      </c>
      <c r="R129" s="16">
        <f>IFERROR(__xludf.DUMMYFUNCTION("IF(OR(ISBLANK($G129), IFERROR(INDEX(GOOGLEFINANCE($C129, ""price"", WORKDAY(INT($B129), 5)), 2, 2), """")=""""), """", IF($D129=""LONG"", (IFERROR(INDEX(GOOGLEFINANCE($C129, ""price"", WORKDAY(INT($B129), 5)), 2, 2), """")-$G129)/$G129, ($G129-IFERROR(IND"&amp;"EX(GOOGLEFINANCE($C129, ""price"", WORKDAY(INT($B129), 5)), 2, 2), """"))/$G129))"),-0.05745296065037928)</f>
        <v>-0.05745296065</v>
      </c>
      <c r="S129" s="16" t="str">
        <f>IFERROR(__xludf.DUMMYFUNCTION("IF(OR(ISBLANK($G129), IFERROR(INDEX(GOOGLEFINANCE($C129, ""price"", WORKDAY(INT($B129), 20)), 2, 2), """")=""""), """", IF($D129=""LONG"", (IFERROR(INDEX(GOOGLEFINANCE($C129, ""price"", WORKDAY(INT($B129), 20)), 2, 2), """")-$G129)/$G129, ($G129-IFERROR(I"&amp;"NDEX(GOOGLEFINANCE($C129, ""price"", WORKDAY(INT($B129), 20)), 2, 2), """"))/$G129))"),"")</f>
        <v/>
      </c>
      <c r="T129" s="10" t="s">
        <v>4192</v>
      </c>
      <c r="U129" s="10" t="s">
        <v>492</v>
      </c>
      <c r="V129" s="10" t="s">
        <v>493</v>
      </c>
      <c r="W129" s="10" t="s">
        <v>51</v>
      </c>
      <c r="X129" s="10" t="s">
        <v>492</v>
      </c>
    </row>
    <row r="130">
      <c r="A130" s="9">
        <f t="shared" si="1"/>
        <v>129</v>
      </c>
      <c r="B130" s="11">
        <v>46225.667650462965</v>
      </c>
      <c r="C130" s="10" t="s">
        <v>2750</v>
      </c>
      <c r="D130" s="10" t="s">
        <v>36</v>
      </c>
      <c r="E130" s="10" t="s">
        <v>37</v>
      </c>
      <c r="F130" s="13">
        <v>2.0</v>
      </c>
      <c r="G130" s="14">
        <v>79.38</v>
      </c>
      <c r="H130" s="10" t="s">
        <v>4083</v>
      </c>
      <c r="I130" s="10">
        <v>94.8</v>
      </c>
      <c r="O130" s="15">
        <f>IFERROR(__xludf.DUMMYFUNCTION("IF(ISBLANK($C130), """", GOOGLEFINANCE($C130, ""price""))"),82.51)</f>
        <v>82.51</v>
      </c>
      <c r="P130" s="16">
        <f t="shared" si="2"/>
        <v>0.03943058705</v>
      </c>
      <c r="Q130" s="16">
        <f>IFERROR(__xludf.DUMMYFUNCTION("IF(OR(ISBLANK($G130), IFERROR(INDEX(GOOGLEFINANCE($C130, ""price"", WORKDAY(INT($B130), 1)), 2, 2), """")=""""), """", IF($D130=""LONG"", (IFERROR(INDEX(GOOGLEFINANCE($C130, ""price"", WORKDAY(INT($B130), 1)), 2, 2), """")-$G130)/$G130, ($G130-IFERROR(IND"&amp;"EX(GOOGLEFINANCE($C130, ""price"", WORKDAY(INT($B130), 1)), 2, 2), """"))/$G130))"),-0.0186444948349709)</f>
        <v>-0.01864449483</v>
      </c>
      <c r="R130" s="16">
        <f>IFERROR(__xludf.DUMMYFUNCTION("IF(OR(ISBLANK($G130), IFERROR(INDEX(GOOGLEFINANCE($C130, ""price"", WORKDAY(INT($B130), 5)), 2, 2), """")=""""), """", IF($D130=""LONG"", (IFERROR(INDEX(GOOGLEFINANCE($C130, ""price"", WORKDAY(INT($B130), 5)), 2, 2), """")-$G130)/$G130, ($G130-IFERROR(IND"&amp;"EX(GOOGLEFINANCE($C130, ""price"", WORKDAY(INT($B130), 5)), 2, 2), """"))/$G130))"),0.04031242126480226)</f>
        <v>0.04031242126</v>
      </c>
      <c r="S130" s="16" t="str">
        <f>IFERROR(__xludf.DUMMYFUNCTION("IF(OR(ISBLANK($G130), IFERROR(INDEX(GOOGLEFINANCE($C130, ""price"", WORKDAY(INT($B130), 20)), 2, 2), """")=""""), """", IF($D130=""LONG"", (IFERROR(INDEX(GOOGLEFINANCE($C130, ""price"", WORKDAY(INT($B130), 20)), 2, 2), """")-$G130)/$G130, ($G130-IFERROR(I"&amp;"NDEX(GOOGLEFINANCE($C130, ""price"", WORKDAY(INT($B130), 20)), 2, 2), """"))/$G130))"),"")</f>
        <v/>
      </c>
      <c r="T130" s="10" t="s">
        <v>4193</v>
      </c>
      <c r="U130" s="10" t="s">
        <v>984</v>
      </c>
      <c r="V130" s="10" t="s">
        <v>2714</v>
      </c>
      <c r="W130" s="10" t="s">
        <v>51</v>
      </c>
      <c r="X130" s="10" t="s">
        <v>984</v>
      </c>
    </row>
    <row r="131">
      <c r="A131" s="9">
        <f t="shared" si="1"/>
        <v>130</v>
      </c>
      <c r="B131" s="11">
        <v>46225.667604166665</v>
      </c>
      <c r="C131" s="10" t="s">
        <v>226</v>
      </c>
      <c r="D131" s="10" t="s">
        <v>36</v>
      </c>
      <c r="E131" s="10" t="s">
        <v>37</v>
      </c>
      <c r="F131" s="13">
        <v>2.0</v>
      </c>
      <c r="G131" s="14">
        <v>22.18</v>
      </c>
      <c r="H131" s="10" t="s">
        <v>4194</v>
      </c>
      <c r="I131" s="10">
        <v>91.7</v>
      </c>
      <c r="O131" s="15">
        <f>IFERROR(__xludf.DUMMYFUNCTION("IF(ISBLANK($C131), """", GOOGLEFINANCE($C131, ""price""))"),21.1)</f>
        <v>21.1</v>
      </c>
      <c r="P131" s="16">
        <f t="shared" si="2"/>
        <v>-0.04869251578</v>
      </c>
      <c r="Q131" s="16">
        <f>IFERROR(__xludf.DUMMYFUNCTION("IF(OR(ISBLANK($G131), IFERROR(INDEX(GOOGLEFINANCE($C131, ""price"", WORKDAY(INT($B131), 1)), 2, 2), """")=""""), """", IF($D131=""LONG"", (IFERROR(INDEX(GOOGLEFINANCE($C131, ""price"", WORKDAY(INT($B131), 1)), 2, 2), """")-$G131)/$G131, ($G131-IFERROR(IND"&amp;"EX(GOOGLEFINANCE($C131, ""price"", WORKDAY(INT($B131), 1)), 2, 2), """"))/$G131))"),-0.00450856627592432)</f>
        <v>-0.004508566276</v>
      </c>
      <c r="R131" s="16">
        <f>IFERROR(__xludf.DUMMYFUNCTION("IF(OR(ISBLANK($G131), IFERROR(INDEX(GOOGLEFINANCE($C131, ""price"", WORKDAY(INT($B131), 5)), 2, 2), """")=""""), """", IF($D131=""LONG"", (IFERROR(INDEX(GOOGLEFINANCE($C131, ""price"", WORKDAY(INT($B131), 5)), 2, 2), """")-$G131)/$G131, ($G131-IFERROR(IND"&amp;"EX(GOOGLEFINANCE($C131, ""price"", WORKDAY(INT($B131), 5)), 2, 2), """"))/$G131))"),0.013525698827772801)</f>
        <v>0.01352569883</v>
      </c>
      <c r="S131" s="16" t="str">
        <f>IFERROR(__xludf.DUMMYFUNCTION("IF(OR(ISBLANK($G131), IFERROR(INDEX(GOOGLEFINANCE($C131, ""price"", WORKDAY(INT($B131), 20)), 2, 2), """")=""""), """", IF($D131=""LONG"", (IFERROR(INDEX(GOOGLEFINANCE($C131, ""price"", WORKDAY(INT($B131), 20)), 2, 2), """")-$G131)/$G131, ($G131-IFERROR(I"&amp;"NDEX(GOOGLEFINANCE($C131, ""price"", WORKDAY(INT($B131), 20)), 2, 2), """"))/$G131))"),"")</f>
        <v/>
      </c>
      <c r="T131" s="10" t="s">
        <v>4195</v>
      </c>
      <c r="U131" s="10" t="s">
        <v>704</v>
      </c>
      <c r="V131" s="10" t="s">
        <v>4196</v>
      </c>
      <c r="W131" s="10" t="s">
        <v>51</v>
      </c>
      <c r="X131" s="10" t="s">
        <v>1885</v>
      </c>
    </row>
    <row r="132">
      <c r="A132" s="9">
        <f t="shared" si="1"/>
        <v>131</v>
      </c>
      <c r="B132" s="11">
        <v>46225.66768518519</v>
      </c>
      <c r="C132" s="10" t="s">
        <v>3867</v>
      </c>
      <c r="D132" s="10" t="s">
        <v>36</v>
      </c>
      <c r="E132" s="10" t="s">
        <v>133</v>
      </c>
      <c r="F132" s="13">
        <v>2.0</v>
      </c>
      <c r="G132" s="14">
        <v>25.11</v>
      </c>
      <c r="H132" s="10" t="s">
        <v>4197</v>
      </c>
      <c r="I132" s="10">
        <v>76.8</v>
      </c>
      <c r="O132" s="15">
        <f>IFERROR(__xludf.DUMMYFUNCTION("IF(ISBLANK($C132), """", GOOGLEFINANCE($C132, ""price""))"),28.18)</f>
        <v>28.18</v>
      </c>
      <c r="P132" s="16">
        <f t="shared" si="2"/>
        <v>0.122262047</v>
      </c>
      <c r="Q132" s="16">
        <f>IFERROR(__xludf.DUMMYFUNCTION("IF(OR(ISBLANK($G132), IFERROR(INDEX(GOOGLEFINANCE($C132, ""price"", WORKDAY(INT($B132), 1)), 2, 2), """")=""""), """", IF($D132=""LONG"", (IFERROR(INDEX(GOOGLEFINANCE($C132, ""price"", WORKDAY(INT($B132), 1)), 2, 2), """")-$G132)/$G132, ($G132-IFERROR(IND"&amp;"EX(GOOGLEFINANCE($C132, ""price"", WORKDAY(INT($B132), 1)), 2, 2), """"))/$G132))"),-0.02389486260453994)</f>
        <v>-0.0238948626</v>
      </c>
      <c r="R132" s="16">
        <f>IFERROR(__xludf.DUMMYFUNCTION("IF(OR(ISBLANK($G132), IFERROR(INDEX(GOOGLEFINANCE($C132, ""price"", WORKDAY(INT($B132), 5)), 2, 2), """")=""""), """", IF($D132=""LONG"", (IFERROR(INDEX(GOOGLEFINANCE($C132, ""price"", WORKDAY(INT($B132), 5)), 2, 2), """")-$G132)/$G132, ($G132-IFERROR(IND"&amp;"EX(GOOGLEFINANCE($C132, ""price"", WORKDAY(INT($B132), 5)), 2, 2), """"))/$G132))"),0.13142174432497017)</f>
        <v>0.1314217443</v>
      </c>
      <c r="S132" s="16" t="str">
        <f>IFERROR(__xludf.DUMMYFUNCTION("IF(OR(ISBLANK($G132), IFERROR(INDEX(GOOGLEFINANCE($C132, ""price"", WORKDAY(INT($B132), 20)), 2, 2), """")=""""), """", IF($D132=""LONG"", (IFERROR(INDEX(GOOGLEFINANCE($C132, ""price"", WORKDAY(INT($B132), 20)), 2, 2), """")-$G132)/$G132, ($G132-IFERROR(I"&amp;"NDEX(GOOGLEFINANCE($C132, ""price"", WORKDAY(INT($B132), 20)), 2, 2), """"))/$G132))"),"")</f>
        <v/>
      </c>
      <c r="T132" s="10" t="s">
        <v>4198</v>
      </c>
      <c r="U132" s="10" t="s">
        <v>984</v>
      </c>
      <c r="V132" s="10" t="s">
        <v>2714</v>
      </c>
      <c r="W132" s="10" t="s">
        <v>51</v>
      </c>
      <c r="X132" s="10" t="s">
        <v>984</v>
      </c>
    </row>
    <row r="133">
      <c r="A133" s="9">
        <f t="shared" si="1"/>
        <v>132</v>
      </c>
      <c r="B133" s="11">
        <v>46225.667662037034</v>
      </c>
      <c r="C133" s="10" t="s">
        <v>408</v>
      </c>
      <c r="D133" s="10" t="s">
        <v>36</v>
      </c>
      <c r="E133" s="10" t="s">
        <v>37</v>
      </c>
      <c r="F133" s="13">
        <v>2.0</v>
      </c>
      <c r="G133" s="14">
        <v>250.76</v>
      </c>
      <c r="H133" s="10" t="s">
        <v>4199</v>
      </c>
      <c r="I133" s="10">
        <v>93.6</v>
      </c>
      <c r="O133" s="15">
        <f>IFERROR(__xludf.DUMMYFUNCTION("IF(ISBLANK($C133), """", GOOGLEFINANCE($C133, ""price""))"),250.14)</f>
        <v>250.14</v>
      </c>
      <c r="P133" s="16">
        <f t="shared" si="2"/>
        <v>-0.00247248365</v>
      </c>
      <c r="Q133" s="16">
        <f>IFERROR(__xludf.DUMMYFUNCTION("IF(OR(ISBLANK($G133), IFERROR(INDEX(GOOGLEFINANCE($C133, ""price"", WORKDAY(INT($B133), 1)), 2, 2), """")=""""), """", IF($D133=""LONG"", (IFERROR(INDEX(GOOGLEFINANCE($C133, ""price"", WORKDAY(INT($B133), 1)), 2, 2), """")-$G133)/$G133, ($G133-IFERROR(IND"&amp;"EX(GOOGLEFINANCE($C133, ""price"", WORKDAY(INT($B133), 1)), 2, 2), """"))/$G133))"),-0.01910193013239748)</f>
        <v>-0.01910193013</v>
      </c>
      <c r="R133" s="16">
        <f>IFERROR(__xludf.DUMMYFUNCTION("IF(OR(ISBLANK($G133), IFERROR(INDEX(GOOGLEFINANCE($C133, ""price"", WORKDAY(INT($B133), 5)), 2, 2), """")=""""), """", IF($D133=""LONG"", (IFERROR(INDEX(GOOGLEFINANCE($C133, ""price"", WORKDAY(INT($B133), 5)), 2, 2), """")-$G133)/$G133, ($G133-IFERROR(IND"&amp;"EX(GOOGLEFINANCE($C133, ""price"", WORKDAY(INT($B133), 5)), 2, 2), """"))/$G133))"),-0.001714787047375891)</f>
        <v>-0.001714787047</v>
      </c>
      <c r="S133" s="16" t="str">
        <f>IFERROR(__xludf.DUMMYFUNCTION("IF(OR(ISBLANK($G133), IFERROR(INDEX(GOOGLEFINANCE($C133, ""price"", WORKDAY(INT($B133), 20)), 2, 2), """")=""""), """", IF($D133=""LONG"", (IFERROR(INDEX(GOOGLEFINANCE($C133, ""price"", WORKDAY(INT($B133), 20)), 2, 2), """")-$G133)/$G133, ($G133-IFERROR(I"&amp;"NDEX(GOOGLEFINANCE($C133, ""price"", WORKDAY(INT($B133), 20)), 2, 2), """"))/$G133))"),"")</f>
        <v/>
      </c>
      <c r="T133" s="10" t="s">
        <v>4200</v>
      </c>
      <c r="U133" s="10" t="s">
        <v>984</v>
      </c>
      <c r="V133" s="10" t="s">
        <v>2785</v>
      </c>
      <c r="W133" s="10" t="s">
        <v>51</v>
      </c>
      <c r="X133" s="10" t="s">
        <v>984</v>
      </c>
    </row>
    <row r="134">
      <c r="A134" s="9">
        <f t="shared" si="1"/>
        <v>133</v>
      </c>
      <c r="B134" s="11">
        <v>46225.667650462965</v>
      </c>
      <c r="C134" s="10" t="s">
        <v>455</v>
      </c>
      <c r="D134" s="10" t="s">
        <v>36</v>
      </c>
      <c r="E134" s="10" t="s">
        <v>37</v>
      </c>
      <c r="F134" s="13">
        <v>2.0</v>
      </c>
      <c r="G134" s="14">
        <v>108.89</v>
      </c>
      <c r="H134" s="10" t="s">
        <v>4201</v>
      </c>
      <c r="I134" s="10">
        <v>96.0</v>
      </c>
      <c r="O134" s="15">
        <f>IFERROR(__xludf.DUMMYFUNCTION("IF(ISBLANK($C134), """", GOOGLEFINANCE($C134, ""price""))"),108.66)</f>
        <v>108.66</v>
      </c>
      <c r="P134" s="16">
        <f t="shared" si="2"/>
        <v>-0.002112223345</v>
      </c>
      <c r="Q134" s="16">
        <f>IFERROR(__xludf.DUMMYFUNCTION("IF(OR(ISBLANK($G134), IFERROR(INDEX(GOOGLEFINANCE($C134, ""price"", WORKDAY(INT($B134), 1)), 2, 2), """")=""""), """", IF($D134=""LONG"", (IFERROR(INDEX(GOOGLEFINANCE($C134, ""price"", WORKDAY(INT($B134), 1)), 2, 2), """")-$G134)/$G134, ($G134-IFERROR(IND"&amp;"EX(GOOGLEFINANCE($C134, ""price"", WORKDAY(INT($B134), 1)), 2, 2), """"))/$G134))"),-0.014510056019836516)</f>
        <v>-0.01451005602</v>
      </c>
      <c r="R134" s="16">
        <f>IFERROR(__xludf.DUMMYFUNCTION("IF(OR(ISBLANK($G134), IFERROR(INDEX(GOOGLEFINANCE($C134, ""price"", WORKDAY(INT($B134), 5)), 2, 2), """")=""""), """", IF($D134=""LONG"", (IFERROR(INDEX(GOOGLEFINANCE($C134, ""price"", WORKDAY(INT($B134), 5)), 2, 2), """")-$G134)/$G134, ($G134-IFERROR(IND"&amp;"EX(GOOGLEFINANCE($C134, ""price"", WORKDAY(INT($B134), 5)), 2, 2), """"))/$G134))"),0.03967306456056564)</f>
        <v>0.03967306456</v>
      </c>
      <c r="S134" s="16" t="str">
        <f>IFERROR(__xludf.DUMMYFUNCTION("IF(OR(ISBLANK($G134), IFERROR(INDEX(GOOGLEFINANCE($C134, ""price"", WORKDAY(INT($B134), 20)), 2, 2), """")=""""), """", IF($D134=""LONG"", (IFERROR(INDEX(GOOGLEFINANCE($C134, ""price"", WORKDAY(INT($B134), 20)), 2, 2), """")-$G134)/$G134, ($G134-IFERROR(I"&amp;"NDEX(GOOGLEFINANCE($C134, ""price"", WORKDAY(INT($B134), 20)), 2, 2), """"))/$G134))"),"")</f>
        <v/>
      </c>
      <c r="T134" s="10" t="s">
        <v>4203</v>
      </c>
      <c r="U134" s="10" t="s">
        <v>984</v>
      </c>
      <c r="V134" s="10" t="s">
        <v>985</v>
      </c>
      <c r="W134" s="10" t="s">
        <v>51</v>
      </c>
      <c r="X134" s="10" t="s">
        <v>984</v>
      </c>
    </row>
    <row r="135">
      <c r="A135" s="9">
        <f t="shared" si="1"/>
        <v>134</v>
      </c>
      <c r="B135" s="11">
        <v>46225.66775462963</v>
      </c>
      <c r="C135" s="10" t="s">
        <v>104</v>
      </c>
      <c r="D135" s="10" t="s">
        <v>36</v>
      </c>
      <c r="E135" s="10" t="s">
        <v>37</v>
      </c>
      <c r="F135" s="13">
        <v>2.0</v>
      </c>
      <c r="G135" s="14">
        <v>120.27</v>
      </c>
      <c r="H135" s="10" t="s">
        <v>4204</v>
      </c>
      <c r="I135" s="10">
        <v>96.9</v>
      </c>
      <c r="O135" s="15">
        <f>IFERROR(__xludf.DUMMYFUNCTION("IF(ISBLANK($C135), """", GOOGLEFINANCE($C135, ""price""))"),127.45)</f>
        <v>127.45</v>
      </c>
      <c r="P135" s="16">
        <f t="shared" si="2"/>
        <v>0.05969901056</v>
      </c>
      <c r="Q135" s="16">
        <f>IFERROR(__xludf.DUMMYFUNCTION("IF(OR(ISBLANK($G135), IFERROR(INDEX(GOOGLEFINANCE($C135, ""price"", WORKDAY(INT($B135), 1)), 2, 2), """")=""""), """", IF($D135=""LONG"", (IFERROR(INDEX(GOOGLEFINANCE($C135, ""price"", WORKDAY(INT($B135), 1)), 2, 2), """")-$G135)/$G135, ($G135-IFERROR(IND"&amp;"EX(GOOGLEFINANCE($C135, ""price"", WORKDAY(INT($B135), 1)), 2, 2), """"))/$G135))"),-0.04248773592749646)</f>
        <v>-0.04248773593</v>
      </c>
      <c r="R135" s="16">
        <f>IFERROR(__xludf.DUMMYFUNCTION("IF(OR(ISBLANK($G135), IFERROR(INDEX(GOOGLEFINANCE($C135, ""price"", WORKDAY(INT($B135), 5)), 2, 2), """")=""""), """", IF($D135=""LONG"", (IFERROR(INDEX(GOOGLEFINANCE($C135, ""price"", WORKDAY(INT($B135), 5)), 2, 2), """")-$G135)/$G135, ($G135-IFERROR(IND"&amp;"EX(GOOGLEFINANCE($C135, ""price"", WORKDAY(INT($B135), 5)), 2, 2), """"))/$G135))"),0.06992599983370758)</f>
        <v>0.06992599983</v>
      </c>
      <c r="S135" s="16" t="str">
        <f>IFERROR(__xludf.DUMMYFUNCTION("IF(OR(ISBLANK($G135), IFERROR(INDEX(GOOGLEFINANCE($C135, ""price"", WORKDAY(INT($B135), 20)), 2, 2), """")=""""), """", IF($D135=""LONG"", (IFERROR(INDEX(GOOGLEFINANCE($C135, ""price"", WORKDAY(INT($B135), 20)), 2, 2), """")-$G135)/$G135, ($G135-IFERROR(I"&amp;"NDEX(GOOGLEFINANCE($C135, ""price"", WORKDAY(INT($B135), 20)), 2, 2), """"))/$G135))"),"")</f>
        <v/>
      </c>
      <c r="T135" s="10" t="s">
        <v>4208</v>
      </c>
      <c r="U135" s="10" t="s">
        <v>984</v>
      </c>
      <c r="V135" s="10" t="s">
        <v>1059</v>
      </c>
      <c r="W135" s="10" t="s">
        <v>51</v>
      </c>
      <c r="X135" s="10" t="s">
        <v>984</v>
      </c>
    </row>
    <row r="136">
      <c r="A136" s="9">
        <f t="shared" si="1"/>
        <v>135</v>
      </c>
      <c r="B136" s="11">
        <v>46225.66778935185</v>
      </c>
      <c r="C136" s="10" t="s">
        <v>398</v>
      </c>
      <c r="D136" s="10" t="s">
        <v>36</v>
      </c>
      <c r="E136" s="10" t="s">
        <v>37</v>
      </c>
      <c r="F136" s="13">
        <v>2.0</v>
      </c>
      <c r="G136" s="14">
        <v>71.77</v>
      </c>
      <c r="H136" s="10" t="s">
        <v>4209</v>
      </c>
      <c r="I136" s="10">
        <v>95.9</v>
      </c>
      <c r="O136" s="15">
        <f>IFERROR(__xludf.DUMMYFUNCTION("IF(ISBLANK($C136), """", GOOGLEFINANCE($C136, ""price""))"),71.9)</f>
        <v>71.9</v>
      </c>
      <c r="P136" s="16">
        <f t="shared" si="2"/>
        <v>0.001811341786</v>
      </c>
      <c r="Q136" s="16">
        <f>IFERROR(__xludf.DUMMYFUNCTION("IF(OR(ISBLANK($G136), IFERROR(INDEX(GOOGLEFINANCE($C136, ""price"", WORKDAY(INT($B136), 1)), 2, 2), """")=""""), """", IF($D136=""LONG"", (IFERROR(INDEX(GOOGLEFINANCE($C136, ""price"", WORKDAY(INT($B136), 1)), 2, 2), """")-$G136)/$G136, ($G136-IFERROR(IND"&amp;"EX(GOOGLEFINANCE($C136, ""price"", WORKDAY(INT($B136), 1)), 2, 2), """"))/$G136))"),0.0)</f>
        <v>0</v>
      </c>
      <c r="R136" s="16">
        <f>IFERROR(__xludf.DUMMYFUNCTION("IF(OR(ISBLANK($G136), IFERROR(INDEX(GOOGLEFINANCE($C136, ""price"", WORKDAY(INT($B136), 5)), 2, 2), """")=""""), """", IF($D136=""LONG"", (IFERROR(INDEX(GOOGLEFINANCE($C136, ""price"", WORKDAY(INT($B136), 5)), 2, 2), """")-$G136)/$G136, ($G136-IFERROR(IND"&amp;"EX(GOOGLEFINANCE($C136, ""price"", WORKDAY(INT($B136), 5)), 2, 2), """"))/$G136))"),0.00362268357252341)</f>
        <v>0.003622683573</v>
      </c>
      <c r="S136" s="16" t="str">
        <f>IFERROR(__xludf.DUMMYFUNCTION("IF(OR(ISBLANK($G136), IFERROR(INDEX(GOOGLEFINANCE($C136, ""price"", WORKDAY(INT($B136), 20)), 2, 2), """")=""""), """", IF($D136=""LONG"", (IFERROR(INDEX(GOOGLEFINANCE($C136, ""price"", WORKDAY(INT($B136), 20)), 2, 2), """")-$G136)/$G136, ($G136-IFERROR(I"&amp;"NDEX(GOOGLEFINANCE($C136, ""price"", WORKDAY(INT($B136), 20)), 2, 2), """"))/$G136))"),"")</f>
        <v/>
      </c>
      <c r="T136" s="10" t="s">
        <v>4214</v>
      </c>
      <c r="U136" s="10" t="s">
        <v>984</v>
      </c>
      <c r="V136" s="10" t="s">
        <v>2785</v>
      </c>
      <c r="W136" s="10" t="s">
        <v>51</v>
      </c>
      <c r="X136" s="10" t="s">
        <v>984</v>
      </c>
    </row>
    <row r="137">
      <c r="A137" s="9">
        <f t="shared" si="1"/>
        <v>136</v>
      </c>
      <c r="B137" s="11">
        <v>46225.66763888889</v>
      </c>
      <c r="C137" s="10" t="s">
        <v>1022</v>
      </c>
      <c r="D137" s="10" t="s">
        <v>119</v>
      </c>
      <c r="E137" s="10" t="s">
        <v>120</v>
      </c>
      <c r="F137" s="13">
        <v>4.0</v>
      </c>
      <c r="G137" s="14">
        <v>33.03</v>
      </c>
      <c r="H137" s="10" t="s">
        <v>4217</v>
      </c>
      <c r="I137" s="10">
        <v>3.1</v>
      </c>
      <c r="O137" s="15">
        <f>IFERROR(__xludf.DUMMYFUNCTION("IF(ISBLANK($C137), """", GOOGLEFINANCE($C137, ""price""))"),32.51)</f>
        <v>32.51</v>
      </c>
      <c r="P137" s="16">
        <f t="shared" si="2"/>
        <v>0.0157432637</v>
      </c>
      <c r="Q137" s="16">
        <f>IFERROR(__xludf.DUMMYFUNCTION("IF(OR(ISBLANK($G137), IFERROR(INDEX(GOOGLEFINANCE($C137, ""price"", WORKDAY(INT($B137), 1)), 2, 2), """")=""""), """", IF($D137=""LONG"", (IFERROR(INDEX(GOOGLEFINANCE($C137, ""price"", WORKDAY(INT($B137), 1)), 2, 2), """")-$G137)/$G137, ($G137-IFERROR(IND"&amp;"EX(GOOGLEFINANCE($C137, ""price"", WORKDAY(INT($B137), 1)), 2, 2), """"))/$G137))"),0.009688162276718143)</f>
        <v>0.009688162277</v>
      </c>
      <c r="R137" s="16">
        <f>IFERROR(__xludf.DUMMYFUNCTION("IF(OR(ISBLANK($G137), IFERROR(INDEX(GOOGLEFINANCE($C137, ""price"", WORKDAY(INT($B137), 5)), 2, 2), """")=""""), """", IF($D137=""LONG"", (IFERROR(INDEX(GOOGLEFINANCE($C137, ""price"", WORKDAY(INT($B137), 5)), 2, 2), """")-$G137)/$G137, ($G137-IFERROR(IND"&amp;"EX(GOOGLEFINANCE($C137, ""price"", WORKDAY(INT($B137), 5)), 2, 2), """"))/$G137))"),0.05570693309112927)</f>
        <v>0.05570693309</v>
      </c>
      <c r="S137" s="16" t="str">
        <f>IFERROR(__xludf.DUMMYFUNCTION("IF(OR(ISBLANK($G137), IFERROR(INDEX(GOOGLEFINANCE($C137, ""price"", WORKDAY(INT($B137), 20)), 2, 2), """")=""""), """", IF($D137=""LONG"", (IFERROR(INDEX(GOOGLEFINANCE($C137, ""price"", WORKDAY(INT($B137), 20)), 2, 2), """")-$G137)/$G137, ($G137-IFERROR(I"&amp;"NDEX(GOOGLEFINANCE($C137, ""price"", WORKDAY(INT($B137), 20)), 2, 2), """"))/$G137))"),"")</f>
        <v/>
      </c>
      <c r="T137" s="10" t="s">
        <v>4221</v>
      </c>
      <c r="U137" s="10" t="s">
        <v>984</v>
      </c>
      <c r="V137" s="10" t="s">
        <v>2714</v>
      </c>
      <c r="W137" s="10" t="s">
        <v>51</v>
      </c>
      <c r="X137" s="10" t="s">
        <v>984</v>
      </c>
    </row>
    <row r="138">
      <c r="A138" s="9">
        <f t="shared" si="1"/>
        <v>137</v>
      </c>
      <c r="B138" s="11">
        <v>46225.66773148148</v>
      </c>
      <c r="C138" s="10" t="s">
        <v>272</v>
      </c>
      <c r="D138" s="10" t="s">
        <v>36</v>
      </c>
      <c r="E138" s="10" t="s">
        <v>87</v>
      </c>
      <c r="F138" s="13">
        <v>2.0</v>
      </c>
      <c r="G138" s="14">
        <v>348.33</v>
      </c>
      <c r="H138" s="10" t="s">
        <v>4222</v>
      </c>
      <c r="I138" s="10">
        <v>93.1</v>
      </c>
      <c r="O138" s="15">
        <f>IFERROR(__xludf.DUMMYFUNCTION("IF(ISBLANK($C138), """", GOOGLEFINANCE($C138, ""price""))"),356.3)</f>
        <v>356.3</v>
      </c>
      <c r="P138" s="16">
        <f t="shared" si="2"/>
        <v>0.02288060173</v>
      </c>
      <c r="Q138" s="16">
        <f>IFERROR(__xludf.DUMMYFUNCTION("IF(OR(ISBLANK($G138), IFERROR(INDEX(GOOGLEFINANCE($C138, ""price"", WORKDAY(INT($B138), 1)), 2, 2), """")=""""), """", IF($D138=""LONG"", (IFERROR(INDEX(GOOGLEFINANCE($C138, ""price"", WORKDAY(INT($B138), 1)), 2, 2), """")-$G138)/$G138, ($G138-IFERROR(IND"&amp;"EX(GOOGLEFINANCE($C138, ""price"", WORKDAY(INT($B138), 1)), 2, 2), """"))/$G138))"),0.004507220164786246)</f>
        <v>0.004507220165</v>
      </c>
      <c r="R138" s="16">
        <f>IFERROR(__xludf.DUMMYFUNCTION("IF(OR(ISBLANK($G138), IFERROR(INDEX(GOOGLEFINANCE($C138, ""price"", WORKDAY(INT($B138), 5)), 2, 2), """")=""""), """", IF($D138=""LONG"", (IFERROR(INDEX(GOOGLEFINANCE($C138, ""price"", WORKDAY(INT($B138), 5)), 2, 2), """")-$G138)/$G138, ($G138-IFERROR(IND"&amp;"EX(GOOGLEFINANCE($C138, ""price"", WORKDAY(INT($B138), 5)), 2, 2), """"))/$G138))"),-0.010392443946832041)</f>
        <v>-0.01039244395</v>
      </c>
      <c r="S138" s="16" t="str">
        <f>IFERROR(__xludf.DUMMYFUNCTION("IF(OR(ISBLANK($G138), IFERROR(INDEX(GOOGLEFINANCE($C138, ""price"", WORKDAY(INT($B138), 20)), 2, 2), """")=""""), """", IF($D138=""LONG"", (IFERROR(INDEX(GOOGLEFINANCE($C138, ""price"", WORKDAY(INT($B138), 20)), 2, 2), """")-$G138)/$G138, ($G138-IFERROR(I"&amp;"NDEX(GOOGLEFINANCE($C138, ""price"", WORKDAY(INT($B138), 20)), 2, 2), """"))/$G138))"),"")</f>
        <v/>
      </c>
      <c r="T138" s="10" t="s">
        <v>4226</v>
      </c>
      <c r="U138" s="10" t="s">
        <v>984</v>
      </c>
      <c r="V138" s="10" t="s">
        <v>998</v>
      </c>
      <c r="W138" s="10" t="s">
        <v>51</v>
      </c>
      <c r="X138" s="10" t="s">
        <v>984</v>
      </c>
    </row>
    <row r="139">
      <c r="A139" s="9">
        <f t="shared" si="1"/>
        <v>138</v>
      </c>
      <c r="B139" s="11">
        <v>46225.66762731481</v>
      </c>
      <c r="C139" s="10" t="s">
        <v>1154</v>
      </c>
      <c r="D139" s="10" t="s">
        <v>36</v>
      </c>
      <c r="E139" s="10" t="s">
        <v>37</v>
      </c>
      <c r="F139" s="13">
        <v>2.0</v>
      </c>
      <c r="G139" s="14">
        <v>1285.82</v>
      </c>
      <c r="H139" s="10" t="s">
        <v>4229</v>
      </c>
      <c r="I139" s="10">
        <v>96.1</v>
      </c>
      <c r="O139" s="15">
        <f>IFERROR(__xludf.DUMMYFUNCTION("IF(ISBLANK($C139), """", GOOGLEFINANCE($C139, ""price""))"),1421.24)</f>
        <v>1421.24</v>
      </c>
      <c r="P139" s="16">
        <f t="shared" si="2"/>
        <v>0.1053180072</v>
      </c>
      <c r="Q139" s="16">
        <f>IFERROR(__xludf.DUMMYFUNCTION("IF(OR(ISBLANK($G139), IFERROR(INDEX(GOOGLEFINANCE($C139, ""price"", WORKDAY(INT($B139), 1)), 2, 2), """")=""""), """", IF($D139=""LONG"", (IFERROR(INDEX(GOOGLEFINANCE($C139, ""price"", WORKDAY(INT($B139), 1)), 2, 2), """")-$G139)/$G139, ($G139-IFERROR(IND"&amp;"EX(GOOGLEFINANCE($C139, ""price"", WORKDAY(INT($B139), 1)), 2, 2), """"))/$G139))"),0.035813721982859155)</f>
        <v>0.03581372198</v>
      </c>
      <c r="R139" s="16">
        <f>IFERROR(__xludf.DUMMYFUNCTION("IF(OR(ISBLANK($G139), IFERROR(INDEX(GOOGLEFINANCE($C139, ""price"", WORKDAY(INT($B139), 5)), 2, 2), """")=""""), """", IF($D139=""LONG"", (IFERROR(INDEX(GOOGLEFINANCE($C139, ""price"", WORKDAY(INT($B139), 5)), 2, 2), """")-$G139)/$G139, ($G139-IFERROR(IND"&amp;"EX(GOOGLEFINANCE($C139, ""price"", WORKDAY(INT($B139), 5)), 2, 2), """"))/$G139))"),0.07972344496119207)</f>
        <v>0.07972344496</v>
      </c>
      <c r="S139" s="16" t="str">
        <f>IFERROR(__xludf.DUMMYFUNCTION("IF(OR(ISBLANK($G139), IFERROR(INDEX(GOOGLEFINANCE($C139, ""price"", WORKDAY(INT($B139), 20)), 2, 2), """")=""""), """", IF($D139=""LONG"", (IFERROR(INDEX(GOOGLEFINANCE($C139, ""price"", WORKDAY(INT($B139), 20)), 2, 2), """")-$G139)/$G139, ($G139-IFERROR(I"&amp;"NDEX(GOOGLEFINANCE($C139, ""price"", WORKDAY(INT($B139), 20)), 2, 2), """"))/$G139))"),"")</f>
        <v/>
      </c>
      <c r="T139" s="10" t="s">
        <v>4232</v>
      </c>
      <c r="U139" s="10" t="s">
        <v>984</v>
      </c>
      <c r="V139" s="10" t="s">
        <v>985</v>
      </c>
      <c r="W139" s="10" t="s">
        <v>51</v>
      </c>
      <c r="X139" s="10" t="s">
        <v>984</v>
      </c>
    </row>
    <row r="140">
      <c r="A140" s="9">
        <f t="shared" si="1"/>
        <v>139</v>
      </c>
      <c r="B140" s="11">
        <v>46225.66778935185</v>
      </c>
      <c r="C140" s="10" t="s">
        <v>3702</v>
      </c>
      <c r="D140" s="10" t="s">
        <v>36</v>
      </c>
      <c r="E140" s="10" t="s">
        <v>37</v>
      </c>
      <c r="F140" s="13">
        <v>2.0</v>
      </c>
      <c r="G140" s="14">
        <v>532.11</v>
      </c>
      <c r="H140" s="10" t="s">
        <v>4233</v>
      </c>
      <c r="I140" s="10">
        <v>98.5</v>
      </c>
      <c r="O140" s="15">
        <f>IFERROR(__xludf.DUMMYFUNCTION("IF(ISBLANK($C140), """", GOOGLEFINANCE($C140, ""price""))"),575.95)</f>
        <v>575.95</v>
      </c>
      <c r="P140" s="16">
        <f t="shared" si="2"/>
        <v>0.08238897972</v>
      </c>
      <c r="Q140" s="16">
        <f>IFERROR(__xludf.DUMMYFUNCTION("IF(OR(ISBLANK($G140), IFERROR(INDEX(GOOGLEFINANCE($C140, ""price"", WORKDAY(INT($B140), 1)), 2, 2), """")=""""), """", IF($D140=""LONG"", (IFERROR(INDEX(GOOGLEFINANCE($C140, ""price"", WORKDAY(INT($B140), 1)), 2, 2), """")-$G140)/$G140, ($G140-IFERROR(IND"&amp;"EX(GOOGLEFINANCE($C140, ""price"", WORKDAY(INT($B140), 1)), 2, 2), """"))/$G140))"),-0.003420345417301028)</f>
        <v>-0.003420345417</v>
      </c>
      <c r="R140" s="16">
        <f>IFERROR(__xludf.DUMMYFUNCTION("IF(OR(ISBLANK($G140), IFERROR(INDEX(GOOGLEFINANCE($C140, ""price"", WORKDAY(INT($B140), 5)), 2, 2), """")=""""), """", IF($D140=""LONG"", (IFERROR(INDEX(GOOGLEFINANCE($C140, ""price"", WORKDAY(INT($B140), 5)), 2, 2), """")-$G140)/$G140, ($G140-IFERROR(IND"&amp;"EX(GOOGLEFINANCE($C140, ""price"", WORKDAY(INT($B140), 5)), 2, 2), """"))/$G140))"),0.058653285974704546)</f>
        <v>0.05865328597</v>
      </c>
      <c r="S140" s="16" t="str">
        <f>IFERROR(__xludf.DUMMYFUNCTION("IF(OR(ISBLANK($G140), IFERROR(INDEX(GOOGLEFINANCE($C140, ""price"", WORKDAY(INT($B140), 20)), 2, 2), """")=""""), """", IF($D140=""LONG"", (IFERROR(INDEX(GOOGLEFINANCE($C140, ""price"", WORKDAY(INT($B140), 20)), 2, 2), """")-$G140)/$G140, ($G140-IFERROR(I"&amp;"NDEX(GOOGLEFINANCE($C140, ""price"", WORKDAY(INT($B140), 20)), 2, 2), """"))/$G140))"),"")</f>
        <v/>
      </c>
      <c r="T140" s="10" t="s">
        <v>4236</v>
      </c>
      <c r="U140" s="10" t="s">
        <v>984</v>
      </c>
      <c r="V140" s="10" t="s">
        <v>985</v>
      </c>
      <c r="W140" s="10" t="s">
        <v>51</v>
      </c>
      <c r="X140" s="10" t="s">
        <v>984</v>
      </c>
    </row>
    <row r="141">
      <c r="A141" s="9">
        <f t="shared" si="1"/>
        <v>140</v>
      </c>
      <c r="B141" s="11">
        <v>46225.66762731481</v>
      </c>
      <c r="C141" s="10" t="s">
        <v>114</v>
      </c>
      <c r="D141" s="10" t="s">
        <v>36</v>
      </c>
      <c r="E141" s="10" t="s">
        <v>37</v>
      </c>
      <c r="F141" s="13">
        <v>2.0</v>
      </c>
      <c r="G141" s="14">
        <v>220.46</v>
      </c>
      <c r="H141" s="10" t="s">
        <v>4237</v>
      </c>
      <c r="I141" s="10">
        <v>96.1</v>
      </c>
      <c r="O141" s="15">
        <f>IFERROR(__xludf.DUMMYFUNCTION("IF(ISBLANK($C141), """", GOOGLEFINANCE($C141, ""price""))"),237.66)</f>
        <v>237.66</v>
      </c>
      <c r="P141" s="16">
        <f t="shared" si="2"/>
        <v>0.0780186882</v>
      </c>
      <c r="Q141" s="16">
        <f>IFERROR(__xludf.DUMMYFUNCTION("IF(OR(ISBLANK($G141), IFERROR(INDEX(GOOGLEFINANCE($C141, ""price"", WORKDAY(INT($B141), 1)), 2, 2), """")=""""), """", IF($D141=""LONG"", (IFERROR(INDEX(GOOGLEFINANCE($C141, ""price"", WORKDAY(INT($B141), 1)), 2, 2), """")-$G141)/$G141, ($G141-IFERROR(IND"&amp;"EX(GOOGLEFINANCE($C141, ""price"", WORKDAY(INT($B141), 1)), 2, 2), """"))/$G141))"),0.025038555747074216)</f>
        <v>0.02503855575</v>
      </c>
      <c r="R141" s="16">
        <f>IFERROR(__xludf.DUMMYFUNCTION("IF(OR(ISBLANK($G141), IFERROR(INDEX(GOOGLEFINANCE($C141, ""price"", WORKDAY(INT($B141), 5)), 2, 2), """")=""""), """", IF($D141=""LONG"", (IFERROR(INDEX(GOOGLEFINANCE($C141, ""price"", WORKDAY(INT($B141), 5)), 2, 2), """")-$G141)/$G141, ($G141-IFERROR(IND"&amp;"EX(GOOGLEFINANCE($C141, ""price"", WORKDAY(INT($B141), 5)), 2, 2), """"))/$G141))"),0.039281502313344804)</f>
        <v>0.03928150231</v>
      </c>
      <c r="S141" s="16" t="str">
        <f>IFERROR(__xludf.DUMMYFUNCTION("IF(OR(ISBLANK($G141), IFERROR(INDEX(GOOGLEFINANCE($C141, ""price"", WORKDAY(INT($B141), 20)), 2, 2), """")=""""), """", IF($D141=""LONG"", (IFERROR(INDEX(GOOGLEFINANCE($C141, ""price"", WORKDAY(INT($B141), 20)), 2, 2), """")-$G141)/$G141, ($G141-IFERROR(I"&amp;"NDEX(GOOGLEFINANCE($C141, ""price"", WORKDAY(INT($B141), 20)), 2, 2), """"))/$G141))"),"")</f>
        <v/>
      </c>
      <c r="T141" s="10" t="s">
        <v>4241</v>
      </c>
      <c r="U141" s="10" t="s">
        <v>984</v>
      </c>
      <c r="V141" s="10" t="s">
        <v>985</v>
      </c>
      <c r="W141" s="10" t="s">
        <v>51</v>
      </c>
      <c r="X141" s="10" t="s">
        <v>984</v>
      </c>
    </row>
    <row r="142">
      <c r="A142" s="9">
        <f t="shared" si="1"/>
        <v>141</v>
      </c>
      <c r="B142" s="11">
        <v>46225.667766203704</v>
      </c>
      <c r="C142" s="10" t="s">
        <v>2048</v>
      </c>
      <c r="D142" s="10" t="s">
        <v>36</v>
      </c>
      <c r="E142" s="10" t="s">
        <v>37</v>
      </c>
      <c r="F142" s="13">
        <v>2.0</v>
      </c>
      <c r="G142" s="14">
        <v>292.28</v>
      </c>
      <c r="H142" s="10" t="s">
        <v>4244</v>
      </c>
      <c r="I142" s="10">
        <v>93.1</v>
      </c>
      <c r="O142" s="15">
        <f>IFERROR(__xludf.DUMMYFUNCTION("IF(ISBLANK($C142), """", GOOGLEFINANCE($C142, ""price""))"),295.38)</f>
        <v>295.38</v>
      </c>
      <c r="P142" s="16">
        <f t="shared" si="2"/>
        <v>0.01060626796</v>
      </c>
      <c r="Q142" s="16">
        <f>IFERROR(__xludf.DUMMYFUNCTION("IF(OR(ISBLANK($G142), IFERROR(INDEX(GOOGLEFINANCE($C142, ""price"", WORKDAY(INT($B142), 1)), 2, 2), """")=""""), """", IF($D142=""LONG"", (IFERROR(INDEX(GOOGLEFINANCE($C142, ""price"", WORKDAY(INT($B142), 1)), 2, 2), """")-$G142)/$G142, ($G142-IFERROR(IND"&amp;"EX(GOOGLEFINANCE($C142, ""price"", WORKDAY(INT($B142), 1)), 2, 2), """"))/$G142))"),0.041227589982208886)</f>
        <v>0.04122758998</v>
      </c>
      <c r="R142" s="16">
        <f>IFERROR(__xludf.DUMMYFUNCTION("IF(OR(ISBLANK($G142), IFERROR(INDEX(GOOGLEFINANCE($C142, ""price"", WORKDAY(INT($B142), 5)), 2, 2), """")=""""), """", IF($D142=""LONG"", (IFERROR(INDEX(GOOGLEFINANCE($C142, ""price"", WORKDAY(INT($B142), 5)), 2, 2), """")-$G142)/$G142, ($G142-IFERROR(IND"&amp;"EX(GOOGLEFINANCE($C142, ""price"", WORKDAY(INT($B142), 5)), 2, 2), """"))/$G142))"),-3.0792390858072735E-4)</f>
        <v>-0.0003079239086</v>
      </c>
      <c r="S142" s="16" t="str">
        <f>IFERROR(__xludf.DUMMYFUNCTION("IF(OR(ISBLANK($G142), IFERROR(INDEX(GOOGLEFINANCE($C142, ""price"", WORKDAY(INT($B142), 20)), 2, 2), """")=""""), """", IF($D142=""LONG"", (IFERROR(INDEX(GOOGLEFINANCE($C142, ""price"", WORKDAY(INT($B142), 20)), 2, 2), """")-$G142)/$G142, ($G142-IFERROR(I"&amp;"NDEX(GOOGLEFINANCE($C142, ""price"", WORKDAY(INT($B142), 20)), 2, 2), """"))/$G142))"),"")</f>
        <v/>
      </c>
      <c r="T142" s="10" t="s">
        <v>4248</v>
      </c>
      <c r="U142" s="10" t="s">
        <v>984</v>
      </c>
      <c r="V142" s="10" t="s">
        <v>933</v>
      </c>
      <c r="W142" s="10" t="s">
        <v>51</v>
      </c>
      <c r="X142" s="10" t="s">
        <v>984</v>
      </c>
    </row>
    <row r="143">
      <c r="A143" s="9">
        <f t="shared" si="1"/>
        <v>142</v>
      </c>
      <c r="B143" s="11">
        <v>46225.66782407407</v>
      </c>
      <c r="C143" s="10" t="s">
        <v>3364</v>
      </c>
      <c r="D143" s="10" t="s">
        <v>36</v>
      </c>
      <c r="E143" s="10" t="s">
        <v>37</v>
      </c>
      <c r="F143" s="13">
        <v>2.0</v>
      </c>
      <c r="G143" s="14">
        <v>184.47</v>
      </c>
      <c r="H143" s="10" t="s">
        <v>4249</v>
      </c>
      <c r="I143" s="10">
        <v>99.1</v>
      </c>
      <c r="O143" s="15">
        <f>IFERROR(__xludf.DUMMYFUNCTION("IF(ISBLANK($C143), """", GOOGLEFINANCE($C143, ""price""))"),217.8)</f>
        <v>217.8</v>
      </c>
      <c r="P143" s="16">
        <f t="shared" si="2"/>
        <v>0.1806797853</v>
      </c>
      <c r="Q143" s="16">
        <f>IFERROR(__xludf.DUMMYFUNCTION("IF(OR(ISBLANK($G143), IFERROR(INDEX(GOOGLEFINANCE($C143, ""price"", WORKDAY(INT($B143), 1)), 2, 2), """")=""""), """", IF($D143=""LONG"", (IFERROR(INDEX(GOOGLEFINANCE($C143, ""price"", WORKDAY(INT($B143), 1)), 2, 2), """")-$G143)/$G143, ($G143-IFERROR(IND"&amp;"EX(GOOGLEFINANCE($C143, ""price"", WORKDAY(INT($B143), 1)), 2, 2), """"))/$G143))"),-0.026508375345584576)</f>
        <v>-0.02650837535</v>
      </c>
      <c r="R143" s="16">
        <f>IFERROR(__xludf.DUMMYFUNCTION("IF(OR(ISBLANK($G143), IFERROR(INDEX(GOOGLEFINANCE($C143, ""price"", WORKDAY(INT($B143), 5)), 2, 2), """")=""""), """", IF($D143=""LONG"", (IFERROR(INDEX(GOOGLEFINANCE($C143, ""price"", WORKDAY(INT($B143), 5)), 2, 2), """")-$G143)/$G143, ($G143-IFERROR(IND"&amp;"EX(GOOGLEFINANCE($C143, ""price"", WORKDAY(INT($B143), 5)), 2, 2), """"))/$G143))"),0.1270667317178945)</f>
        <v>0.1270667317</v>
      </c>
      <c r="S143" s="16" t="str">
        <f>IFERROR(__xludf.DUMMYFUNCTION("IF(OR(ISBLANK($G143), IFERROR(INDEX(GOOGLEFINANCE($C143, ""price"", WORKDAY(INT($B143), 20)), 2, 2), """")=""""), """", IF($D143=""LONG"", (IFERROR(INDEX(GOOGLEFINANCE($C143, ""price"", WORKDAY(INT($B143), 20)), 2, 2), """")-$G143)/$G143, ($G143-IFERROR(I"&amp;"NDEX(GOOGLEFINANCE($C143, ""price"", WORKDAY(INT($B143), 20)), 2, 2), """"))/$G143))"),"")</f>
        <v/>
      </c>
      <c r="T143" s="10" t="s">
        <v>4252</v>
      </c>
      <c r="U143" s="10" t="s">
        <v>984</v>
      </c>
      <c r="V143" s="10" t="s">
        <v>1059</v>
      </c>
      <c r="W143" s="10" t="s">
        <v>51</v>
      </c>
      <c r="X143" s="10" t="s">
        <v>984</v>
      </c>
    </row>
    <row r="144">
      <c r="A144" s="9">
        <f t="shared" si="1"/>
        <v>143</v>
      </c>
      <c r="B144" s="11">
        <v>46225.66769675926</v>
      </c>
      <c r="C144" s="10" t="s">
        <v>548</v>
      </c>
      <c r="D144" s="10" t="s">
        <v>36</v>
      </c>
      <c r="E144" s="10" t="s">
        <v>133</v>
      </c>
      <c r="F144" s="13">
        <v>2.0</v>
      </c>
      <c r="G144" s="14">
        <v>97.17</v>
      </c>
      <c r="H144" s="10" t="s">
        <v>4254</v>
      </c>
      <c r="I144" s="10">
        <v>68.6</v>
      </c>
      <c r="O144" s="15">
        <f>IFERROR(__xludf.DUMMYFUNCTION("IF(ISBLANK($C144), """", GOOGLEFINANCE($C144, ""price""))"),92.26)</f>
        <v>92.26</v>
      </c>
      <c r="P144" s="16">
        <f t="shared" si="2"/>
        <v>-0.05052999897</v>
      </c>
      <c r="Q144" s="16">
        <f>IFERROR(__xludf.DUMMYFUNCTION("IF(OR(ISBLANK($G144), IFERROR(INDEX(GOOGLEFINANCE($C144, ""price"", WORKDAY(INT($B144), 1)), 2, 2), """")=""""), """", IF($D144=""LONG"", (IFERROR(INDEX(GOOGLEFINANCE($C144, ""price"", WORKDAY(INT($B144), 1)), 2, 2), """")-$G144)/$G144, ($G144-IFERROR(IND"&amp;"EX(GOOGLEFINANCE($C144, ""price"", WORKDAY(INT($B144), 1)), 2, 2), """"))/$G144))"),0.007718431614695894)</f>
        <v>0.007718431615</v>
      </c>
      <c r="R144" s="16">
        <f>IFERROR(__xludf.DUMMYFUNCTION("IF(OR(ISBLANK($G144), IFERROR(INDEX(GOOGLEFINANCE($C144, ""price"", WORKDAY(INT($B144), 5)), 2, 2), """")=""""), """", IF($D144=""LONG"", (IFERROR(INDEX(GOOGLEFINANCE($C144, ""price"", WORKDAY(INT($B144), 5)), 2, 2), """")-$G144)/$G144, ($G144-IFERROR(IND"&amp;"EX(GOOGLEFINANCE($C144, ""price"", WORKDAY(INT($B144), 5)), 2, 2), """"))/$G144))"),0.005660183184110293)</f>
        <v>0.005660183184</v>
      </c>
      <c r="S144" s="16" t="str">
        <f>IFERROR(__xludf.DUMMYFUNCTION("IF(OR(ISBLANK($G144), IFERROR(INDEX(GOOGLEFINANCE($C144, ""price"", WORKDAY(INT($B144), 20)), 2, 2), """")=""""), """", IF($D144=""LONG"", (IFERROR(INDEX(GOOGLEFINANCE($C144, ""price"", WORKDAY(INT($B144), 20)), 2, 2), """")-$G144)/$G144, ($G144-IFERROR(I"&amp;"NDEX(GOOGLEFINANCE($C144, ""price"", WORKDAY(INT($B144), 20)), 2, 2), """"))/$G144))"),"")</f>
        <v/>
      </c>
      <c r="T144" s="10" t="s">
        <v>4257</v>
      </c>
      <c r="U144" s="10" t="s">
        <v>984</v>
      </c>
      <c r="V144" s="10" t="s">
        <v>985</v>
      </c>
      <c r="W144" s="10" t="s">
        <v>51</v>
      </c>
      <c r="X144" s="10" t="s">
        <v>984</v>
      </c>
    </row>
    <row r="145">
      <c r="A145" s="9">
        <f t="shared" si="1"/>
        <v>144</v>
      </c>
      <c r="B145" s="11">
        <v>46225.667708333334</v>
      </c>
      <c r="C145" s="10" t="s">
        <v>800</v>
      </c>
      <c r="D145" s="10" t="s">
        <v>36</v>
      </c>
      <c r="E145" s="10" t="s">
        <v>37</v>
      </c>
      <c r="F145" s="13">
        <v>2.0</v>
      </c>
      <c r="G145" s="14">
        <v>300.8</v>
      </c>
      <c r="H145" s="10" t="s">
        <v>3351</v>
      </c>
      <c r="I145" s="10">
        <v>96.6</v>
      </c>
      <c r="O145" s="15">
        <f>IFERROR(__xludf.DUMMYFUNCTION("IF(ISBLANK($C145), """", GOOGLEFINANCE($C145, ""price""))"),325.01)</f>
        <v>325.01</v>
      </c>
      <c r="P145" s="16">
        <f t="shared" si="2"/>
        <v>0.08048537234</v>
      </c>
      <c r="Q145" s="16">
        <f>IFERROR(__xludf.DUMMYFUNCTION("IF(OR(ISBLANK($G145), IFERROR(INDEX(GOOGLEFINANCE($C145, ""price"", WORKDAY(INT($B145), 1)), 2, 2), """")=""""), """", IF($D145=""LONG"", (IFERROR(INDEX(GOOGLEFINANCE($C145, ""price"", WORKDAY(INT($B145), 1)), 2, 2), """")-$G145)/$G145, ($G145-IFERROR(IND"&amp;"EX(GOOGLEFINANCE($C145, ""price"", WORKDAY(INT($B145), 1)), 2, 2), """"))/$G145))"),0.01416223404255316)</f>
        <v>0.01416223404</v>
      </c>
      <c r="R145" s="16">
        <f>IFERROR(__xludf.DUMMYFUNCTION("IF(OR(ISBLANK($G145), IFERROR(INDEX(GOOGLEFINANCE($C145, ""price"", WORKDAY(INT($B145), 5)), 2, 2), """")=""""), """", IF($D145=""LONG"", (IFERROR(INDEX(GOOGLEFINANCE($C145, ""price"", WORKDAY(INT($B145), 5)), 2, 2), """")-$G145)/$G145, ($G145-IFERROR(IND"&amp;"EX(GOOGLEFINANCE($C145, ""price"", WORKDAY(INT($B145), 5)), 2, 2), """"))/$G145))"),0.05920877659574469)</f>
        <v>0.0592087766</v>
      </c>
      <c r="S145" s="16" t="str">
        <f>IFERROR(__xludf.DUMMYFUNCTION("IF(OR(ISBLANK($G145), IFERROR(INDEX(GOOGLEFINANCE($C145, ""price"", WORKDAY(INT($B145), 20)), 2, 2), """")=""""), """", IF($D145=""LONG"", (IFERROR(INDEX(GOOGLEFINANCE($C145, ""price"", WORKDAY(INT($B145), 20)), 2, 2), """")-$G145)/$G145, ($G145-IFERROR(I"&amp;"NDEX(GOOGLEFINANCE($C145, ""price"", WORKDAY(INT($B145), 20)), 2, 2), """"))/$G145))"),"")</f>
        <v/>
      </c>
      <c r="T145" s="10" t="s">
        <v>4260</v>
      </c>
      <c r="U145" s="10" t="s">
        <v>984</v>
      </c>
      <c r="V145" s="10" t="s">
        <v>1059</v>
      </c>
      <c r="W145" s="10" t="s">
        <v>51</v>
      </c>
      <c r="X145" s="10" t="s">
        <v>984</v>
      </c>
    </row>
    <row r="146">
      <c r="A146" s="9">
        <f t="shared" si="1"/>
        <v>145</v>
      </c>
      <c r="B146" s="11">
        <v>46225.667604166665</v>
      </c>
      <c r="C146" s="10" t="s">
        <v>374</v>
      </c>
      <c r="D146" s="10" t="s">
        <v>36</v>
      </c>
      <c r="E146" s="10" t="s">
        <v>37</v>
      </c>
      <c r="F146" s="13">
        <v>2.0</v>
      </c>
      <c r="G146" s="14">
        <v>70.5</v>
      </c>
      <c r="H146" s="10" t="s">
        <v>4263</v>
      </c>
      <c r="I146" s="10">
        <v>94.0</v>
      </c>
      <c r="O146" s="15">
        <f>IFERROR(__xludf.DUMMYFUNCTION("IF(ISBLANK($C146), """", GOOGLEFINANCE($C146, ""price""))"),73.32)</f>
        <v>73.32</v>
      </c>
      <c r="P146" s="16">
        <f t="shared" si="2"/>
        <v>0.04</v>
      </c>
      <c r="Q146" s="16">
        <f>IFERROR(__xludf.DUMMYFUNCTION("IF(OR(ISBLANK($G146), IFERROR(INDEX(GOOGLEFINANCE($C146, ""price"", WORKDAY(INT($B146), 1)), 2, 2), """")=""""), """", IF($D146=""LONG"", (IFERROR(INDEX(GOOGLEFINANCE($C146, ""price"", WORKDAY(INT($B146), 1)), 2, 2), """")-$G146)/$G146, ($G146-IFERROR(IND"&amp;"EX(GOOGLEFINANCE($C146, ""price"", WORKDAY(INT($B146), 1)), 2, 2), """"))/$G146))"),-0.0038297872340424966)</f>
        <v>-0.003829787234</v>
      </c>
      <c r="R146" s="16">
        <f>IFERROR(__xludf.DUMMYFUNCTION("IF(OR(ISBLANK($G146), IFERROR(INDEX(GOOGLEFINANCE($C146, ""price"", WORKDAY(INT($B146), 5)), 2, 2), """")=""""), """", IF($D146=""LONG"", (IFERROR(INDEX(GOOGLEFINANCE($C146, ""price"", WORKDAY(INT($B146), 5)), 2, 2), """")-$G146)/$G146, ($G146-IFERROR(IND"&amp;"EX(GOOGLEFINANCE($C146, ""price"", WORKDAY(INT($B146), 5)), 2, 2), """"))/$G146))"),0.03631205673758869)</f>
        <v>0.03631205674</v>
      </c>
      <c r="S146" s="16" t="str">
        <f>IFERROR(__xludf.DUMMYFUNCTION("IF(OR(ISBLANK($G146), IFERROR(INDEX(GOOGLEFINANCE($C146, ""price"", WORKDAY(INT($B146), 20)), 2, 2), """")=""""), """", IF($D146=""LONG"", (IFERROR(INDEX(GOOGLEFINANCE($C146, ""price"", WORKDAY(INT($B146), 20)), 2, 2), """")-$G146)/$G146, ($G146-IFERROR(I"&amp;"NDEX(GOOGLEFINANCE($C146, ""price"", WORKDAY(INT($B146), 20)), 2, 2), """"))/$G146))"),"")</f>
        <v/>
      </c>
      <c r="T146" s="10" t="s">
        <v>4265</v>
      </c>
      <c r="U146" s="10" t="s">
        <v>984</v>
      </c>
      <c r="V146" s="10" t="s">
        <v>1059</v>
      </c>
      <c r="W146" s="10" t="s">
        <v>51</v>
      </c>
      <c r="X146" s="10" t="s">
        <v>984</v>
      </c>
    </row>
    <row r="147">
      <c r="A147" s="9">
        <f t="shared" si="1"/>
        <v>146</v>
      </c>
      <c r="B147" s="11">
        <v>46225.667650462965</v>
      </c>
      <c r="C147" s="10" t="s">
        <v>1603</v>
      </c>
      <c r="D147" s="10" t="s">
        <v>36</v>
      </c>
      <c r="E147" s="10" t="s">
        <v>37</v>
      </c>
      <c r="F147" s="13">
        <v>2.0</v>
      </c>
      <c r="G147" s="14">
        <v>140.87</v>
      </c>
      <c r="H147" s="10" t="s">
        <v>2985</v>
      </c>
      <c r="I147" s="10">
        <v>94.0</v>
      </c>
      <c r="O147" s="15">
        <f>IFERROR(__xludf.DUMMYFUNCTION("IF(ISBLANK($C147), """", GOOGLEFINANCE($C147, ""price""))"),144.51)</f>
        <v>144.51</v>
      </c>
      <c r="P147" s="16">
        <f t="shared" si="2"/>
        <v>0.02583942642</v>
      </c>
      <c r="Q147" s="16">
        <f>IFERROR(__xludf.DUMMYFUNCTION("IF(OR(ISBLANK($G147), IFERROR(INDEX(GOOGLEFINANCE($C147, ""price"", WORKDAY(INT($B147), 1)), 2, 2), """")=""""), """", IF($D147=""LONG"", (IFERROR(INDEX(GOOGLEFINANCE($C147, ""price"", WORKDAY(INT($B147), 1)), 2, 2), """")-$G147)/$G147, ($G147-IFERROR(IND"&amp;"EX(GOOGLEFINANCE($C147, ""price"", WORKDAY(INT($B147), 1)), 2, 2), """"))/$G147))"),0.009299354014339479)</f>
        <v>0.009299354014</v>
      </c>
      <c r="R147" s="16">
        <f>IFERROR(__xludf.DUMMYFUNCTION("IF(OR(ISBLANK($G147), IFERROR(INDEX(GOOGLEFINANCE($C147, ""price"", WORKDAY(INT($B147), 5)), 2, 2), """")=""""), """", IF($D147=""LONG"", (IFERROR(INDEX(GOOGLEFINANCE($C147, ""price"", WORKDAY(INT($B147), 5)), 2, 2), """")-$G147)/$G147, ($G147-IFERROR(IND"&amp;"EX(GOOGLEFINANCE($C147, ""price"", WORKDAY(INT($B147), 5)), 2, 2), """"))/$G147))"),0.03414495634272735)</f>
        <v>0.03414495634</v>
      </c>
      <c r="S147" s="16" t="str">
        <f>IFERROR(__xludf.DUMMYFUNCTION("IF(OR(ISBLANK($G147), IFERROR(INDEX(GOOGLEFINANCE($C147, ""price"", WORKDAY(INT($B147), 20)), 2, 2), """")=""""), """", IF($D147=""LONG"", (IFERROR(INDEX(GOOGLEFINANCE($C147, ""price"", WORKDAY(INT($B147), 20)), 2, 2), """")-$G147)/$G147, ($G147-IFERROR(I"&amp;"NDEX(GOOGLEFINANCE($C147, ""price"", WORKDAY(INT($B147), 20)), 2, 2), """"))/$G147))"),"")</f>
        <v/>
      </c>
      <c r="T147" s="10" t="s">
        <v>4268</v>
      </c>
      <c r="U147" s="10" t="s">
        <v>984</v>
      </c>
      <c r="V147" s="10" t="s">
        <v>2785</v>
      </c>
      <c r="W147" s="10" t="s">
        <v>51</v>
      </c>
      <c r="X147" s="10" t="s">
        <v>984</v>
      </c>
    </row>
    <row r="148">
      <c r="A148" s="9">
        <f t="shared" si="1"/>
        <v>147</v>
      </c>
      <c r="B148" s="11">
        <v>46225.66778935185</v>
      </c>
      <c r="C148" s="10" t="s">
        <v>746</v>
      </c>
      <c r="D148" s="10" t="s">
        <v>119</v>
      </c>
      <c r="E148" s="10" t="s">
        <v>120</v>
      </c>
      <c r="F148" s="13">
        <v>4.0</v>
      </c>
      <c r="G148" s="14">
        <v>166.08</v>
      </c>
      <c r="H148" s="10" t="s">
        <v>4269</v>
      </c>
      <c r="I148" s="10">
        <v>14.0</v>
      </c>
      <c r="O148" s="15">
        <f>IFERROR(__xludf.DUMMYFUNCTION("IF(ISBLANK($C148), """", GOOGLEFINANCE($C148, ""price""))"),171.2)</f>
        <v>171.2</v>
      </c>
      <c r="P148" s="16">
        <f t="shared" si="2"/>
        <v>-0.03082851638</v>
      </c>
      <c r="Q148" s="16">
        <f>IFERROR(__xludf.DUMMYFUNCTION("IF(OR(ISBLANK($G148), IFERROR(INDEX(GOOGLEFINANCE($C148, ""price"", WORKDAY(INT($B148), 1)), 2, 2), """")=""""), """", IF($D148=""LONG"", (IFERROR(INDEX(GOOGLEFINANCE($C148, ""price"", WORKDAY(INT($B148), 1)), 2, 2), """")-$G148)/$G148, ($G148-IFERROR(IND"&amp;"EX(GOOGLEFINANCE($C148, ""price"", WORKDAY(INT($B148), 1)), 2, 2), """"))/$G148))"),0.008610308285163817)</f>
        <v>0.008610308285</v>
      </c>
      <c r="R148" s="16">
        <f>IFERROR(__xludf.DUMMYFUNCTION("IF(OR(ISBLANK($G148), IFERROR(INDEX(GOOGLEFINANCE($C148, ""price"", WORKDAY(INT($B148), 5)), 2, 2), """")=""""), """", IF($D148=""LONG"", (IFERROR(INDEX(GOOGLEFINANCE($C148, ""price"", WORKDAY(INT($B148), 5)), 2, 2), """")-$G148)/$G148, ($G148-IFERROR(IND"&amp;"EX(GOOGLEFINANCE($C148, ""price"", WORKDAY(INT($B148), 5)), 2, 2), """"))/$G148))"),-0.07935934489402684)</f>
        <v>-0.07935934489</v>
      </c>
      <c r="S148" s="16" t="str">
        <f>IFERROR(__xludf.DUMMYFUNCTION("IF(OR(ISBLANK($G148), IFERROR(INDEX(GOOGLEFINANCE($C148, ""price"", WORKDAY(INT($B148), 20)), 2, 2), """")=""""), """", IF($D148=""LONG"", (IFERROR(INDEX(GOOGLEFINANCE($C148, ""price"", WORKDAY(INT($B148), 20)), 2, 2), """")-$G148)/$G148, ($G148-IFERROR(I"&amp;"NDEX(GOOGLEFINANCE($C148, ""price"", WORKDAY(INT($B148), 20)), 2, 2), """"))/$G148))"),"")</f>
        <v/>
      </c>
      <c r="T148" s="10" t="s">
        <v>4272</v>
      </c>
      <c r="U148" s="10" t="s">
        <v>615</v>
      </c>
      <c r="V148" s="10" t="s">
        <v>4273</v>
      </c>
      <c r="W148" s="10" t="s">
        <v>51</v>
      </c>
      <c r="X148" s="10" t="s">
        <v>2637</v>
      </c>
    </row>
    <row r="149">
      <c r="A149" s="9">
        <f t="shared" si="1"/>
        <v>148</v>
      </c>
      <c r="B149" s="11">
        <v>46225.66784722222</v>
      </c>
      <c r="C149" s="10" t="s">
        <v>939</v>
      </c>
      <c r="D149" s="10" t="s">
        <v>36</v>
      </c>
      <c r="E149" s="10" t="s">
        <v>37</v>
      </c>
      <c r="F149" s="13">
        <v>2.0</v>
      </c>
      <c r="G149" s="14">
        <v>194.74</v>
      </c>
      <c r="H149" s="10" t="s">
        <v>4274</v>
      </c>
      <c r="I149" s="10">
        <v>92.9</v>
      </c>
      <c r="O149" s="15">
        <f>IFERROR(__xludf.DUMMYFUNCTION("IF(ISBLANK($C149), """", GOOGLEFINANCE($C149, ""price""))"),223.25)</f>
        <v>223.25</v>
      </c>
      <c r="P149" s="16">
        <f t="shared" si="2"/>
        <v>0.1464003286</v>
      </c>
      <c r="Q149" s="16">
        <f>IFERROR(__xludf.DUMMYFUNCTION("IF(OR(ISBLANK($G149), IFERROR(INDEX(GOOGLEFINANCE($C149, ""price"", WORKDAY(INT($B149), 1)), 2, 2), """")=""""), """", IF($D149=""LONG"", (IFERROR(INDEX(GOOGLEFINANCE($C149, ""price"", WORKDAY(INT($B149), 1)), 2, 2), """")-$G149)/$G149, ($G149-IFERROR(IND"&amp;"EX(GOOGLEFINANCE($C149, ""price"", WORKDAY(INT($B149), 1)), 2, 2), """"))/$G149))"),0.07404744787922352)</f>
        <v>0.07404744788</v>
      </c>
      <c r="R149" s="16">
        <f>IFERROR(__xludf.DUMMYFUNCTION("IF(OR(ISBLANK($G149), IFERROR(INDEX(GOOGLEFINANCE($C149, ""price"", WORKDAY(INT($B149), 5)), 2, 2), """")=""""), """", IF($D149=""LONG"", (IFERROR(INDEX(GOOGLEFINANCE($C149, ""price"", WORKDAY(INT($B149), 5)), 2, 2), """")-$G149)/$G149, ($G149-IFERROR(IND"&amp;"EX(GOOGLEFINANCE($C149, ""price"", WORKDAY(INT($B149), 5)), 2, 2), """"))/$G149))"),0.10531991373112863)</f>
        <v>0.1053199137</v>
      </c>
      <c r="S149" s="16" t="str">
        <f>IFERROR(__xludf.DUMMYFUNCTION("IF(OR(ISBLANK($G149), IFERROR(INDEX(GOOGLEFINANCE($C149, ""price"", WORKDAY(INT($B149), 20)), 2, 2), """")=""""), """", IF($D149=""LONG"", (IFERROR(INDEX(GOOGLEFINANCE($C149, ""price"", WORKDAY(INT($B149), 20)), 2, 2), """")-$G149)/$G149, ($G149-IFERROR(I"&amp;"NDEX(GOOGLEFINANCE($C149, ""price"", WORKDAY(INT($B149), 20)), 2, 2), """"))/$G149))"),"")</f>
        <v/>
      </c>
      <c r="T149" s="10" t="s">
        <v>4276</v>
      </c>
      <c r="U149" s="10" t="s">
        <v>984</v>
      </c>
      <c r="V149" s="10" t="s">
        <v>933</v>
      </c>
      <c r="W149" s="10" t="s">
        <v>51</v>
      </c>
      <c r="X149" s="10" t="s">
        <v>984</v>
      </c>
    </row>
    <row r="150">
      <c r="A150" s="9">
        <f t="shared" si="1"/>
        <v>149</v>
      </c>
      <c r="B150" s="11">
        <v>46225.66787037037</v>
      </c>
      <c r="C150" s="10" t="s">
        <v>2941</v>
      </c>
      <c r="D150" s="10" t="s">
        <v>119</v>
      </c>
      <c r="E150" s="10" t="s">
        <v>120</v>
      </c>
      <c r="F150" s="13">
        <v>4.0</v>
      </c>
      <c r="G150" s="14">
        <v>155.44</v>
      </c>
      <c r="H150" s="10" t="s">
        <v>4278</v>
      </c>
      <c r="I150" s="10">
        <v>4.7</v>
      </c>
      <c r="O150" s="15">
        <f>IFERROR(__xludf.DUMMYFUNCTION("IF(ISBLANK($C150), """", GOOGLEFINANCE($C150, ""price""))"),162.06)</f>
        <v>162.06</v>
      </c>
      <c r="P150" s="16">
        <f t="shared" si="2"/>
        <v>-0.04258878024</v>
      </c>
      <c r="Q150" s="16">
        <f>IFERROR(__xludf.DUMMYFUNCTION("IF(OR(ISBLANK($G150), IFERROR(INDEX(GOOGLEFINANCE($C150, ""price"", WORKDAY(INT($B150), 1)), 2, 2), """")=""""), """", IF($D150=""LONG"", (IFERROR(INDEX(GOOGLEFINANCE($C150, ""price"", WORKDAY(INT($B150), 1)), 2, 2), """")-$G150)/$G150, ($G150-IFERROR(IND"&amp;"EX(GOOGLEFINANCE($C150, ""price"", WORKDAY(INT($B150), 1)), 2, 2), """"))/$G150))"),0.01260936695831194)</f>
        <v>0.01260936696</v>
      </c>
      <c r="R150" s="16">
        <f>IFERROR(__xludf.DUMMYFUNCTION("IF(OR(ISBLANK($G150), IFERROR(INDEX(GOOGLEFINANCE($C150, ""price"", WORKDAY(INT($B150), 5)), 2, 2), """")=""""), """", IF($D150=""LONG"", (IFERROR(INDEX(GOOGLEFINANCE($C150, ""price"", WORKDAY(INT($B150), 5)), 2, 2), """")-$G150)/$G150, ($G150-IFERROR(IND"&amp;"EX(GOOGLEFINANCE($C150, ""price"", WORKDAY(INT($B150), 5)), 2, 2), """"))/$G150))"),-0.03982243952650539)</f>
        <v>-0.03982243953</v>
      </c>
      <c r="S150" s="16" t="str">
        <f>IFERROR(__xludf.DUMMYFUNCTION("IF(OR(ISBLANK($G150), IFERROR(INDEX(GOOGLEFINANCE($C150, ""price"", WORKDAY(INT($B150), 20)), 2, 2), """")=""""), """", IF($D150=""LONG"", (IFERROR(INDEX(GOOGLEFINANCE($C150, ""price"", WORKDAY(INT($B150), 20)), 2, 2), """")-$G150)/$G150, ($G150-IFERROR(I"&amp;"NDEX(GOOGLEFINANCE($C150, ""price"", WORKDAY(INT($B150), 20)), 2, 2), """"))/$G150))"),"")</f>
        <v/>
      </c>
      <c r="T150" s="10" t="s">
        <v>4280</v>
      </c>
      <c r="U150" s="10" t="s">
        <v>984</v>
      </c>
      <c r="V150" s="10" t="s">
        <v>985</v>
      </c>
      <c r="W150" s="10" t="s">
        <v>51</v>
      </c>
      <c r="X150" s="10" t="s">
        <v>984</v>
      </c>
    </row>
    <row r="151">
      <c r="A151" s="9">
        <f t="shared" si="1"/>
        <v>150</v>
      </c>
      <c r="B151" s="11">
        <v>46225.6674537037</v>
      </c>
      <c r="C151" s="10" t="s">
        <v>3359</v>
      </c>
      <c r="D151" s="10" t="s">
        <v>36</v>
      </c>
      <c r="E151" s="10" t="s">
        <v>37</v>
      </c>
      <c r="F151" s="13">
        <v>2.0</v>
      </c>
      <c r="G151" s="14">
        <v>429.09</v>
      </c>
      <c r="H151" s="10" t="s">
        <v>4282</v>
      </c>
      <c r="I151" s="10">
        <v>96.3</v>
      </c>
      <c r="O151" s="15">
        <f>IFERROR(__xludf.DUMMYFUNCTION("IF(ISBLANK($C151), """", GOOGLEFINANCE($C151, ""price""))"),405.24)</f>
        <v>405.24</v>
      </c>
      <c r="P151" s="16">
        <f t="shared" si="2"/>
        <v>-0.05558274488</v>
      </c>
      <c r="Q151" s="16">
        <f>IFERROR(__xludf.DUMMYFUNCTION("IF(OR(ISBLANK($G151), IFERROR(INDEX(GOOGLEFINANCE($C151, ""price"", WORKDAY(INT($B151), 1)), 2, 2), """")=""""), """", IF($D151=""LONG"", (IFERROR(INDEX(GOOGLEFINANCE($C151, ""price"", WORKDAY(INT($B151), 1)), 2, 2), """")-$G151)/$G151, ($G151-IFERROR(IND"&amp;"EX(GOOGLEFINANCE($C151, ""price"", WORKDAY(INT($B151), 1)), 2, 2), """"))/$G151))"),-0.021184366916031545)</f>
        <v>-0.02118436692</v>
      </c>
      <c r="R151" s="16">
        <f>IFERROR(__xludf.DUMMYFUNCTION("IF(OR(ISBLANK($G151), IFERROR(INDEX(GOOGLEFINANCE($C151, ""price"", WORKDAY(INT($B151), 5)), 2, 2), """")=""""), """", IF($D151=""LONG"", (IFERROR(INDEX(GOOGLEFINANCE($C151, ""price"", WORKDAY(INT($B151), 5)), 2, 2), """")-$G151)/$G151, ($G151-IFERROR(IND"&amp;"EX(GOOGLEFINANCE($C151, ""price"", WORKDAY(INT($B151), 5)), 2, 2), """"))/$G151))"),-0.022023351744389262)</f>
        <v>-0.02202335174</v>
      </c>
      <c r="S151" s="16" t="str">
        <f>IFERROR(__xludf.DUMMYFUNCTION("IF(OR(ISBLANK($G151), IFERROR(INDEX(GOOGLEFINANCE($C151, ""price"", WORKDAY(INT($B151), 20)), 2, 2), """")=""""), """", IF($D151=""LONG"", (IFERROR(INDEX(GOOGLEFINANCE($C151, ""price"", WORKDAY(INT($B151), 20)), 2, 2), """")-$G151)/$G151, ($G151-IFERROR(I"&amp;"NDEX(GOOGLEFINANCE($C151, ""price"", WORKDAY(INT($B151), 20)), 2, 2), """"))/$G151))"),"")</f>
        <v/>
      </c>
      <c r="T151" s="10" t="s">
        <v>4284</v>
      </c>
      <c r="U151" s="10" t="s">
        <v>984</v>
      </c>
      <c r="V151" s="10" t="s">
        <v>985</v>
      </c>
      <c r="W151" s="10" t="s">
        <v>51</v>
      </c>
      <c r="X151" s="10" t="s">
        <v>984</v>
      </c>
    </row>
    <row r="152">
      <c r="A152" s="9">
        <f t="shared" si="1"/>
        <v>151</v>
      </c>
      <c r="B152" s="11">
        <v>46225.66784722222</v>
      </c>
      <c r="C152" s="10" t="s">
        <v>108</v>
      </c>
      <c r="D152" s="10" t="s">
        <v>36</v>
      </c>
      <c r="E152" s="10" t="s">
        <v>37</v>
      </c>
      <c r="F152" s="13">
        <v>2.0</v>
      </c>
      <c r="G152" s="14">
        <v>122.17</v>
      </c>
      <c r="H152" s="10" t="s">
        <v>4287</v>
      </c>
      <c r="I152" s="10">
        <v>96.5</v>
      </c>
      <c r="L152" s="10" t="s">
        <v>4288</v>
      </c>
      <c r="M152" s="34" t="s">
        <v>951</v>
      </c>
      <c r="N152" s="10" t="s">
        <v>925</v>
      </c>
      <c r="O152" s="15">
        <f>IFERROR(__xludf.DUMMYFUNCTION("IF(ISBLANK($C152), """", GOOGLEFINANCE($C152, ""price""))"),129.68)</f>
        <v>129.68</v>
      </c>
      <c r="P152" s="16">
        <f t="shared" si="2"/>
        <v>0.06147171973</v>
      </c>
      <c r="Q152" s="16">
        <f>IFERROR(__xludf.DUMMYFUNCTION("IF(OR(ISBLANK($G152), IFERROR(INDEX(GOOGLEFINANCE($C152, ""price"", WORKDAY(INT($B152), 1)), 2, 2), """")=""""), """", IF($D152=""LONG"", (IFERROR(INDEX(GOOGLEFINANCE($C152, ""price"", WORKDAY(INT($B152), 1)), 2, 2), """")-$G152)/$G152, ($G152-IFERROR(IND"&amp;"EX(GOOGLEFINANCE($C152, ""price"", WORKDAY(INT($B152), 1)), 2, 2), """"))/$G152))"),-0.03699762625849223)</f>
        <v>-0.03699762626</v>
      </c>
      <c r="R152" s="16">
        <f>IFERROR(__xludf.DUMMYFUNCTION("IF(OR(ISBLANK($G152), IFERROR(INDEX(GOOGLEFINANCE($C152, ""price"", WORKDAY(INT($B152), 5)), 2, 2), """")=""""), """", IF($D152=""LONG"", (IFERROR(INDEX(GOOGLEFINANCE($C152, ""price"", WORKDAY(INT($B152), 5)), 2, 2), """")-$G152)/$G152, ($G152-IFERROR(IND"&amp;"EX(GOOGLEFINANCE($C152, ""price"", WORKDAY(INT($B152), 5)), 2, 2), """"))/$G152))"),0.05549643938773829)</f>
        <v>0.05549643939</v>
      </c>
      <c r="S152" s="16" t="str">
        <f>IFERROR(__xludf.DUMMYFUNCTION("IF(OR(ISBLANK($G152), IFERROR(INDEX(GOOGLEFINANCE($C152, ""price"", WORKDAY(INT($B152), 20)), 2, 2), """")=""""), """", IF($D152=""LONG"", (IFERROR(INDEX(GOOGLEFINANCE($C152, ""price"", WORKDAY(INT($B152), 20)), 2, 2), """")-$G152)/$G152, ($G152-IFERROR(I"&amp;"NDEX(GOOGLEFINANCE($C152, ""price"", WORKDAY(INT($B152), 20)), 2, 2), """"))/$G152))"),"")</f>
        <v/>
      </c>
      <c r="T152" s="10" t="s">
        <v>4290</v>
      </c>
      <c r="U152" s="10" t="s">
        <v>507</v>
      </c>
      <c r="V152" s="10" t="s">
        <v>4292</v>
      </c>
      <c r="W152" s="10" t="s">
        <v>51</v>
      </c>
      <c r="X152" s="10" t="s">
        <v>2228</v>
      </c>
    </row>
    <row r="153">
      <c r="A153" s="9">
        <f t="shared" si="1"/>
        <v>152</v>
      </c>
      <c r="B153" s="11">
        <v>46225.66784722222</v>
      </c>
      <c r="C153" s="10" t="s">
        <v>1778</v>
      </c>
      <c r="D153" s="10" t="s">
        <v>36</v>
      </c>
      <c r="E153" s="10" t="s">
        <v>37</v>
      </c>
      <c r="F153" s="13">
        <v>2.0</v>
      </c>
      <c r="G153" s="14">
        <v>88.54</v>
      </c>
      <c r="H153" s="10" t="s">
        <v>4294</v>
      </c>
      <c r="I153" s="10">
        <v>93.9</v>
      </c>
      <c r="O153" s="15">
        <f>IFERROR(__xludf.DUMMYFUNCTION("IF(ISBLANK($C153), """", GOOGLEFINANCE($C153, ""price""))"),76.86)</f>
        <v>76.86</v>
      </c>
      <c r="P153" s="16">
        <f t="shared" si="2"/>
        <v>-0.1319177773</v>
      </c>
      <c r="Q153" s="16">
        <f>IFERROR(__xludf.DUMMYFUNCTION("IF(OR(ISBLANK($G153), IFERROR(INDEX(GOOGLEFINANCE($C153, ""price"", WORKDAY(INT($B153), 1)), 2, 2), """")=""""), """", IF($D153=""LONG"", (IFERROR(INDEX(GOOGLEFINANCE($C153, ""price"", WORKDAY(INT($B153), 1)), 2, 2), """")-$G153)/$G153, ($G153-IFERROR(IND"&amp;"EX(GOOGLEFINANCE($C153, ""price"", WORKDAY(INT($B153), 1)), 2, 2), """"))/$G153))"),0.002710639259091878)</f>
        <v>0.002710639259</v>
      </c>
      <c r="R153" s="16">
        <f>IFERROR(__xludf.DUMMYFUNCTION("IF(OR(ISBLANK($G153), IFERROR(INDEX(GOOGLEFINANCE($C153, ""price"", WORKDAY(INT($B153), 5)), 2, 2), """")=""""), """", IF($D153=""LONG"", (IFERROR(INDEX(GOOGLEFINANCE($C153, ""price"", WORKDAY(INT($B153), 5)), 2, 2), """")-$G153)/$G153, ($G153-IFERROR(IND"&amp;"EX(GOOGLEFINANCE($C153, ""price"", WORKDAY(INT($B153), 5)), 2, 2), """"))/$G153))"),0.02224983058504629)</f>
        <v>0.02224983059</v>
      </c>
      <c r="S153" s="16" t="str">
        <f>IFERROR(__xludf.DUMMYFUNCTION("IF(OR(ISBLANK($G153), IFERROR(INDEX(GOOGLEFINANCE($C153, ""price"", WORKDAY(INT($B153), 20)), 2, 2), """")=""""), """", IF($D153=""LONG"", (IFERROR(INDEX(GOOGLEFINANCE($C153, ""price"", WORKDAY(INT($B153), 20)), 2, 2), """")-$G153)/$G153, ($G153-IFERROR(I"&amp;"NDEX(GOOGLEFINANCE($C153, ""price"", WORKDAY(INT($B153), 20)), 2, 2), """"))/$G153))"),"")</f>
        <v/>
      </c>
      <c r="T153" s="10" t="s">
        <v>4296</v>
      </c>
      <c r="U153" s="10" t="s">
        <v>984</v>
      </c>
      <c r="V153" s="10" t="s">
        <v>933</v>
      </c>
      <c r="W153" s="10" t="s">
        <v>51</v>
      </c>
      <c r="X153" s="10" t="s">
        <v>984</v>
      </c>
    </row>
    <row r="154">
      <c r="A154" s="9">
        <f t="shared" si="1"/>
        <v>153</v>
      </c>
      <c r="B154" s="11">
        <v>46225.66767361111</v>
      </c>
      <c r="C154" s="10" t="s">
        <v>440</v>
      </c>
      <c r="D154" s="10" t="s">
        <v>36</v>
      </c>
      <c r="E154" s="10" t="s">
        <v>37</v>
      </c>
      <c r="F154" s="13">
        <v>2.0</v>
      </c>
      <c r="G154" s="14">
        <v>93.27</v>
      </c>
      <c r="H154" s="10" t="s">
        <v>2949</v>
      </c>
      <c r="I154" s="10">
        <v>92.2</v>
      </c>
      <c r="O154" s="15">
        <f>IFERROR(__xludf.DUMMYFUNCTION("IF(ISBLANK($C154), """", GOOGLEFINANCE($C154, ""price""))"),99.95)</f>
        <v>99.95</v>
      </c>
      <c r="P154" s="16">
        <f t="shared" si="2"/>
        <v>0.07162002788</v>
      </c>
      <c r="Q154" s="16">
        <f>IFERROR(__xludf.DUMMYFUNCTION("IF(OR(ISBLANK($G154), IFERROR(INDEX(GOOGLEFINANCE($C154, ""price"", WORKDAY(INT($B154), 1)), 2, 2), """")=""""), """", IF($D154=""LONG"", (IFERROR(INDEX(GOOGLEFINANCE($C154, ""price"", WORKDAY(INT($B154), 1)), 2, 2), """")-$G154)/$G154, ($G154-IFERROR(IND"&amp;"EX(GOOGLEFINANCE($C154, ""price"", WORKDAY(INT($B154), 1)), 2, 2), """"))/$G154))"),-0.00782673957328176)</f>
        <v>-0.007826739573</v>
      </c>
      <c r="R154" s="16">
        <f>IFERROR(__xludf.DUMMYFUNCTION("IF(OR(ISBLANK($G154), IFERROR(INDEX(GOOGLEFINANCE($C154, ""price"", WORKDAY(INT($B154), 5)), 2, 2), """")=""""), """", IF($D154=""LONG"", (IFERROR(INDEX(GOOGLEFINANCE($C154, ""price"", WORKDAY(INT($B154), 5)), 2, 2), """")-$G154)/$G154, ($G154-IFERROR(IND"&amp;"EX(GOOGLEFINANCE($C154, ""price"", WORKDAY(INT($B154), 5)), 2, 2), """"))/$G154))"),0.040205853972338376)</f>
        <v>0.04020585397</v>
      </c>
      <c r="S154" s="16" t="str">
        <f>IFERROR(__xludf.DUMMYFUNCTION("IF(OR(ISBLANK($G154), IFERROR(INDEX(GOOGLEFINANCE($C154, ""price"", WORKDAY(INT($B154), 20)), 2, 2), """")=""""), """", IF($D154=""LONG"", (IFERROR(INDEX(GOOGLEFINANCE($C154, ""price"", WORKDAY(INT($B154), 20)), 2, 2), """")-$G154)/$G154, ($G154-IFERROR(I"&amp;"NDEX(GOOGLEFINANCE($C154, ""price"", WORKDAY(INT($B154), 20)), 2, 2), """"))/$G154))"),"")</f>
        <v/>
      </c>
      <c r="T154" s="10" t="s">
        <v>4299</v>
      </c>
      <c r="U154" s="10" t="s">
        <v>932</v>
      </c>
      <c r="V154" s="10" t="s">
        <v>933</v>
      </c>
      <c r="W154" s="10" t="s">
        <v>51</v>
      </c>
      <c r="X154" s="10" t="s">
        <v>3186</v>
      </c>
    </row>
    <row r="155">
      <c r="A155" s="9">
        <f t="shared" si="1"/>
        <v>154</v>
      </c>
      <c r="B155" s="11">
        <v>46225.66784722222</v>
      </c>
      <c r="C155" s="10" t="s">
        <v>323</v>
      </c>
      <c r="D155" s="10" t="s">
        <v>36</v>
      </c>
      <c r="E155" s="10" t="s">
        <v>37</v>
      </c>
      <c r="F155" s="13">
        <v>2.0</v>
      </c>
      <c r="G155" s="14">
        <v>208.94</v>
      </c>
      <c r="H155" s="10" t="s">
        <v>4301</v>
      </c>
      <c r="I155" s="10">
        <v>83.0</v>
      </c>
      <c r="O155" s="15">
        <f>IFERROR(__xludf.DUMMYFUNCTION("IF(ISBLANK($C155), """", GOOGLEFINANCE($C155, ""price""))"),209.7)</f>
        <v>209.7</v>
      </c>
      <c r="P155" s="16">
        <f t="shared" si="2"/>
        <v>0.003637407868</v>
      </c>
      <c r="Q155" s="16">
        <f>IFERROR(__xludf.DUMMYFUNCTION("IF(OR(ISBLANK($G155), IFERROR(INDEX(GOOGLEFINANCE($C155, ""price"", WORKDAY(INT($B155), 1)), 2, 2), """")=""""), """", IF($D155=""LONG"", (IFERROR(INDEX(GOOGLEFINANCE($C155, ""price"", WORKDAY(INT($B155), 1)), 2, 2), """")-$G155)/$G155, ($G155-IFERROR(IND"&amp;"EX(GOOGLEFINANCE($C155, ""price"", WORKDAY(INT($B155), 1)), 2, 2), """"))/$G155))"),2.871637790753435E-4)</f>
        <v>0.0002871637791</v>
      </c>
      <c r="R155" s="16">
        <f>IFERROR(__xludf.DUMMYFUNCTION("IF(OR(ISBLANK($G155), IFERROR(INDEX(GOOGLEFINANCE($C155, ""price"", WORKDAY(INT($B155), 5)), 2, 2), """")=""""), """", IF($D155=""LONG"", (IFERROR(INDEX(GOOGLEFINANCE($C155, ""price"", WORKDAY(INT($B155), 5)), 2, 2), """")-$G155)/$G155, ($G155-IFERROR(IND"&amp;"EX(GOOGLEFINANCE($C155, ""price"", WORKDAY(INT($B155), 5)), 2, 2), """"))/$G155))"),-1.4358188953767176E-4)</f>
        <v>-0.0001435818895</v>
      </c>
      <c r="S155" s="16" t="str">
        <f>IFERROR(__xludf.DUMMYFUNCTION("IF(OR(ISBLANK($G155), IFERROR(INDEX(GOOGLEFINANCE($C155, ""price"", WORKDAY(INT($B155), 20)), 2, 2), """")=""""), """", IF($D155=""LONG"", (IFERROR(INDEX(GOOGLEFINANCE($C155, ""price"", WORKDAY(INT($B155), 20)), 2, 2), """")-$G155)/$G155, ($G155-IFERROR(I"&amp;"NDEX(GOOGLEFINANCE($C155, ""price"", WORKDAY(INT($B155), 20)), 2, 2), """"))/$G155))"),"")</f>
        <v/>
      </c>
      <c r="T155" s="10" t="s">
        <v>4302</v>
      </c>
      <c r="U155" s="10" t="s">
        <v>932</v>
      </c>
      <c r="V155" s="10" t="s">
        <v>933</v>
      </c>
      <c r="W155" s="10" t="s">
        <v>51</v>
      </c>
      <c r="X155" s="10" t="s">
        <v>3186</v>
      </c>
    </row>
    <row r="156">
      <c r="A156" s="9">
        <f t="shared" si="1"/>
        <v>155</v>
      </c>
      <c r="B156" s="11">
        <v>46225.66778935185</v>
      </c>
      <c r="C156" s="10" t="s">
        <v>826</v>
      </c>
      <c r="D156" s="10" t="s">
        <v>36</v>
      </c>
      <c r="E156" s="10" t="s">
        <v>37</v>
      </c>
      <c r="F156" s="13">
        <v>2.0</v>
      </c>
      <c r="G156" s="14">
        <v>353.41</v>
      </c>
      <c r="H156" s="10" t="s">
        <v>1771</v>
      </c>
      <c r="I156" s="10">
        <v>97.8</v>
      </c>
      <c r="L156" s="10" t="s">
        <v>4304</v>
      </c>
      <c r="M156" s="34" t="s">
        <v>1789</v>
      </c>
      <c r="N156" s="10" t="s">
        <v>925</v>
      </c>
      <c r="O156" s="15">
        <f>IFERROR(__xludf.DUMMYFUNCTION("IF(ISBLANK($C156), """", GOOGLEFINANCE($C156, ""price""))"),370.47)</f>
        <v>370.47</v>
      </c>
      <c r="P156" s="16">
        <f t="shared" si="2"/>
        <v>0.04827254464</v>
      </c>
      <c r="Q156" s="16">
        <f>IFERROR(__xludf.DUMMYFUNCTION("IF(OR(ISBLANK($G156), IFERROR(INDEX(GOOGLEFINANCE($C156, ""price"", WORKDAY(INT($B156), 1)), 2, 2), """")=""""), """", IF($D156=""LONG"", (IFERROR(INDEX(GOOGLEFINANCE($C156, ""price"", WORKDAY(INT($B156), 1)), 2, 2), """")-$G156)/$G156, ($G156-IFERROR(IND"&amp;"EX(GOOGLEFINANCE($C156, ""price"", WORKDAY(INT($B156), 1)), 2, 2), """"))/$G156))"),-0.005121530234005835)</f>
        <v>-0.005121530234</v>
      </c>
      <c r="R156" s="16">
        <f>IFERROR(__xludf.DUMMYFUNCTION("IF(OR(ISBLANK($G156), IFERROR(INDEX(GOOGLEFINANCE($C156, ""price"", WORKDAY(INT($B156), 5)), 2, 2), """")=""""), """", IF($D156=""LONG"", (IFERROR(INDEX(GOOGLEFINANCE($C156, ""price"", WORKDAY(INT($B156), 5)), 2, 2), """")-$G156)/$G156, ($G156-IFERROR(IND"&amp;"EX(GOOGLEFINANCE($C156, ""price"", WORKDAY(INT($B156), 5)), 2, 2), """"))/$G156))"),0.0433490846325797)</f>
        <v>0.04334908463</v>
      </c>
      <c r="S156" s="16" t="str">
        <f>IFERROR(__xludf.DUMMYFUNCTION("IF(OR(ISBLANK($G156), IFERROR(INDEX(GOOGLEFINANCE($C156, ""price"", WORKDAY(INT($B156), 20)), 2, 2), """")=""""), """", IF($D156=""LONG"", (IFERROR(INDEX(GOOGLEFINANCE($C156, ""price"", WORKDAY(INT($B156), 20)), 2, 2), """")-$G156)/$G156, ($G156-IFERROR(I"&amp;"NDEX(GOOGLEFINANCE($C156, ""price"", WORKDAY(INT($B156), 20)), 2, 2), """"))/$G156))"),"")</f>
        <v/>
      </c>
      <c r="T156" s="10" t="s">
        <v>4306</v>
      </c>
      <c r="U156" s="10" t="s">
        <v>704</v>
      </c>
      <c r="V156" s="10" t="s">
        <v>4307</v>
      </c>
      <c r="W156" s="10" t="s">
        <v>51</v>
      </c>
      <c r="X156" s="10" t="s">
        <v>1885</v>
      </c>
    </row>
    <row r="157">
      <c r="A157" s="9">
        <f t="shared" si="1"/>
        <v>156</v>
      </c>
      <c r="B157" s="11">
        <v>46225.667708333334</v>
      </c>
      <c r="C157" s="10" t="s">
        <v>149</v>
      </c>
      <c r="D157" s="10" t="s">
        <v>36</v>
      </c>
      <c r="E157" s="10" t="s">
        <v>37</v>
      </c>
      <c r="F157" s="13">
        <v>2.0</v>
      </c>
      <c r="G157" s="14">
        <v>120.36</v>
      </c>
      <c r="H157" s="10" t="s">
        <v>4309</v>
      </c>
      <c r="I157" s="10">
        <v>94.0</v>
      </c>
      <c r="O157" s="15">
        <f>IFERROR(__xludf.DUMMYFUNCTION("IF(ISBLANK($C157), """", GOOGLEFINANCE($C157, ""price""))"),132.79)</f>
        <v>132.79</v>
      </c>
      <c r="P157" s="16">
        <f t="shared" si="2"/>
        <v>0.1032735128</v>
      </c>
      <c r="Q157" s="16">
        <f>IFERROR(__xludf.DUMMYFUNCTION("IF(OR(ISBLANK($G157), IFERROR(INDEX(GOOGLEFINANCE($C157, ""price"", WORKDAY(INT($B157), 1)), 2, 2), """")=""""), """", IF($D157=""LONG"", (IFERROR(INDEX(GOOGLEFINANCE($C157, ""price"", WORKDAY(INT($B157), 1)), 2, 2), """")-$G157)/$G157, ($G157-IFERROR(IND"&amp;"EX(GOOGLEFINANCE($C157, ""price"", WORKDAY(INT($B157), 1)), 2, 2), """"))/$G157))"),-0.0025756065137919762)</f>
        <v>-0.002575606514</v>
      </c>
      <c r="R157" s="16">
        <f>IFERROR(__xludf.DUMMYFUNCTION("IF(OR(ISBLANK($G157), IFERROR(INDEX(GOOGLEFINANCE($C157, ""price"", WORKDAY(INT($B157), 5)), 2, 2), """")=""""), """", IF($D157=""LONG"", (IFERROR(INDEX(GOOGLEFINANCE($C157, ""price"", WORKDAY(INT($B157), 5)), 2, 2), """")-$G157)/$G157, ($G157-IFERROR(IND"&amp;"EX(GOOGLEFINANCE($C157, ""price"", WORKDAY(INT($B157), 5)), 2, 2), """"))/$G157))"),0.07992688600864066)</f>
        <v>0.07992688601</v>
      </c>
      <c r="S157" s="16" t="str">
        <f>IFERROR(__xludf.DUMMYFUNCTION("IF(OR(ISBLANK($G157), IFERROR(INDEX(GOOGLEFINANCE($C157, ""price"", WORKDAY(INT($B157), 20)), 2, 2), """")=""""), """", IF($D157=""LONG"", (IFERROR(INDEX(GOOGLEFINANCE($C157, ""price"", WORKDAY(INT($B157), 20)), 2, 2), """")-$G157)/$G157, ($G157-IFERROR(I"&amp;"NDEX(GOOGLEFINANCE($C157, ""price"", WORKDAY(INT($B157), 20)), 2, 2), """"))/$G157))"),"")</f>
        <v/>
      </c>
      <c r="T157" s="10" t="s">
        <v>4311</v>
      </c>
      <c r="U157" s="10" t="s">
        <v>984</v>
      </c>
      <c r="V157" s="10" t="s">
        <v>985</v>
      </c>
      <c r="W157" s="10" t="s">
        <v>51</v>
      </c>
      <c r="X157" s="10" t="s">
        <v>984</v>
      </c>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52.88"/>
    <col customWidth="1" min="12" max="12" width="34.5"/>
  </cols>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111" si="1">ROW()-1</f>
        <v>1</v>
      </c>
      <c r="B2" s="11">
        <v>46226.66737268519</v>
      </c>
      <c r="C2" s="10" t="s">
        <v>303</v>
      </c>
      <c r="D2" s="10" t="s">
        <v>36</v>
      </c>
      <c r="E2" s="10" t="s">
        <v>37</v>
      </c>
      <c r="F2" s="13">
        <v>2.0</v>
      </c>
      <c r="G2" s="14">
        <v>106.89</v>
      </c>
      <c r="H2" s="10" t="s">
        <v>4202</v>
      </c>
      <c r="I2" s="10">
        <v>86.4</v>
      </c>
      <c r="O2" s="15">
        <f>IFERROR(__xludf.DUMMYFUNCTION("IF(ISBLANK($C2), """", GOOGLEFINANCE($C2, ""price""))"),96.22)</f>
        <v>96.22</v>
      </c>
      <c r="P2" s="16">
        <f t="shared" ref="P2:P111" si="2">IF(OR(ISBLANK($G2), ISBLANK($O2)), "", IF($D2="LONG", ($O2-$G2)/$G2, ($G2-$O2)/$G2))</f>
        <v>-0.09982224717</v>
      </c>
      <c r="Q2" s="16">
        <f>IFERROR(__xludf.DUMMYFUNCTION("IF(OR(ISBLANK($G2), IFERROR(INDEX(GOOGLEFINANCE($C2, ""price"", WORKDAY(INT($B2), 1)), 2, 2), """")=""""), """", IF($D2=""LONG"", (IFERROR(INDEX(GOOGLEFINANCE($C2, ""price"", WORKDAY(INT($B2), 1)), 2, 2), """")-$G2)/$G2, ($G2-IFERROR(INDEX(GOOGLEFINANCE($"&amp;"C2, ""price"", WORKDAY(INT($B2), 1)), 2, 2), """"))/$G2))"),0.007952100290017722)</f>
        <v>0.00795210029</v>
      </c>
      <c r="R2" s="16">
        <f>IFERROR(__xludf.DUMMYFUNCTION("IF(OR(ISBLANK($G2), IFERROR(INDEX(GOOGLEFINANCE($C2, ""price"", WORKDAY(INT($B2), 5)), 2, 2), """")=""""), """", IF($D2=""LONG"", (IFERROR(INDEX(GOOGLEFINANCE($C2, ""price"", WORKDAY(INT($B2), 5)), 2, 2), """")-$G2)/$G2, ($G2-IFERROR(INDEX(GOOGLEFINANCE($"&amp;"C2, ""price"", WORKDAY(INT($B2), 5)), 2, 2), """"))/$G2))"),-0.015623538216858468)</f>
        <v>-0.01562353822</v>
      </c>
      <c r="S2" s="16" t="str">
        <f>IFERROR(__xludf.DUMMYFUNCTION("IF(OR(ISBLANK($G2), IFERROR(INDEX(GOOGLEFINANCE($C2, ""price"", WORKDAY(INT($B2), 20)), 2, 2), """")=""""), """", IF($D2=""LONG"", (IFERROR(INDEX(GOOGLEFINANCE($C2, ""price"", WORKDAY(INT($B2), 20)), 2, 2), """")-$G2)/$G2, ($G2-IFERROR(INDEX(GOOGLEFINANCE"&amp;"($C2, ""price"", WORKDAY(INT($B2), 20)), 2, 2), """"))/$G2))"),"")</f>
        <v/>
      </c>
      <c r="T2" s="10" t="s">
        <v>4205</v>
      </c>
      <c r="U2" s="10" t="s">
        <v>240</v>
      </c>
      <c r="V2" s="10" t="s">
        <v>4206</v>
      </c>
      <c r="W2" s="10" t="s">
        <v>51</v>
      </c>
      <c r="X2" s="10" t="s">
        <v>1905</v>
      </c>
    </row>
    <row r="3">
      <c r="A3" s="9">
        <f t="shared" si="1"/>
        <v>2</v>
      </c>
      <c r="B3" s="11">
        <v>46226.66737268519</v>
      </c>
      <c r="C3" s="10" t="s">
        <v>288</v>
      </c>
      <c r="D3" s="10" t="s">
        <v>36</v>
      </c>
      <c r="E3" s="10" t="s">
        <v>37</v>
      </c>
      <c r="F3" s="13">
        <v>2.0</v>
      </c>
      <c r="G3" s="14">
        <v>18.9</v>
      </c>
      <c r="H3" s="10" t="s">
        <v>4207</v>
      </c>
      <c r="I3" s="10">
        <v>87.8</v>
      </c>
      <c r="O3" s="15">
        <f>IFERROR(__xludf.DUMMYFUNCTION("IF(ISBLANK($C3), """", GOOGLEFINANCE($C3, ""price""))"),19.18)</f>
        <v>19.18</v>
      </c>
      <c r="P3" s="16">
        <f t="shared" si="2"/>
        <v>0.01481481481</v>
      </c>
      <c r="Q3" s="16">
        <f>IFERROR(__xludf.DUMMYFUNCTION("IF(OR(ISBLANK($G3), IFERROR(INDEX(GOOGLEFINANCE($C3, ""price"", WORKDAY(INT($B3), 1)), 2, 2), """")=""""), """", IF($D3=""LONG"", (IFERROR(INDEX(GOOGLEFINANCE($C3, ""price"", WORKDAY(INT($B3), 1)), 2, 2), """")-$G3)/$G3, ($G3-IFERROR(INDEX(GOOGLEFINANCE($"&amp;"C3, ""price"", WORKDAY(INT($B3), 1)), 2, 2), """"))/$G3))"),0.02010582010582024)</f>
        <v>0.02010582011</v>
      </c>
      <c r="R3" s="16">
        <f>IFERROR(__xludf.DUMMYFUNCTION("IF(OR(ISBLANK($G3), IFERROR(INDEX(GOOGLEFINANCE($C3, ""price"", WORKDAY(INT($B3), 5)), 2, 2), """")=""""), """", IF($D3=""LONG"", (IFERROR(INDEX(GOOGLEFINANCE($C3, ""price"", WORKDAY(INT($B3), 5)), 2, 2), """")-$G3)/$G3, ($G3-IFERROR(INDEX(GOOGLEFINANCE($"&amp;"C3, ""price"", WORKDAY(INT($B3), 5)), 2, 2), """"))/$G3))"),0.0216931216931217)</f>
        <v>0.02169312169</v>
      </c>
      <c r="S3" s="16" t="str">
        <f>IFERROR(__xludf.DUMMYFUNCTION("IF(OR(ISBLANK($G3), IFERROR(INDEX(GOOGLEFINANCE($C3, ""price"", WORKDAY(INT($B3), 20)), 2, 2), """")=""""), """", IF($D3=""LONG"", (IFERROR(INDEX(GOOGLEFINANCE($C3, ""price"", WORKDAY(INT($B3), 20)), 2, 2), """")-$G3)/$G3, ($G3-IFERROR(INDEX(GOOGLEFINANCE"&amp;"($C3, ""price"", WORKDAY(INT($B3), 20)), 2, 2), """"))/$G3))"),"")</f>
        <v/>
      </c>
      <c r="T3" s="10" t="s">
        <v>4210</v>
      </c>
      <c r="U3" s="10" t="s">
        <v>704</v>
      </c>
      <c r="V3" s="10" t="s">
        <v>4211</v>
      </c>
      <c r="W3" s="10" t="s">
        <v>51</v>
      </c>
      <c r="X3" s="10" t="s">
        <v>1885</v>
      </c>
    </row>
    <row r="4">
      <c r="A4" s="9">
        <f t="shared" si="1"/>
        <v>3</v>
      </c>
      <c r="B4" s="11">
        <v>46226.66741898148</v>
      </c>
      <c r="C4" s="10" t="s">
        <v>826</v>
      </c>
      <c r="D4" s="10" t="s">
        <v>36</v>
      </c>
      <c r="E4" s="10" t="s">
        <v>37</v>
      </c>
      <c r="F4" s="13">
        <v>2.0</v>
      </c>
      <c r="G4" s="14">
        <v>351.53</v>
      </c>
      <c r="H4" s="10" t="s">
        <v>4212</v>
      </c>
      <c r="I4" s="10">
        <v>96.8</v>
      </c>
      <c r="L4" s="10" t="s">
        <v>4213</v>
      </c>
      <c r="M4" s="34" t="s">
        <v>921</v>
      </c>
      <c r="N4" s="10" t="s">
        <v>925</v>
      </c>
      <c r="O4" s="15">
        <f>IFERROR(__xludf.DUMMYFUNCTION("IF(ISBLANK($C4), """", GOOGLEFINANCE($C4, ""price""))"),370.47)</f>
        <v>370.47</v>
      </c>
      <c r="P4" s="16">
        <f t="shared" si="2"/>
        <v>0.05387875857</v>
      </c>
      <c r="Q4" s="16">
        <f>IFERROR(__xludf.DUMMYFUNCTION("IF(OR(ISBLANK($G4), IFERROR(INDEX(GOOGLEFINANCE($C4, ""price"", WORKDAY(INT($B4), 1)), 2, 2), """")=""""), """", IF($D4=""LONG"", (IFERROR(INDEX(GOOGLEFINANCE($C4, ""price"", WORKDAY(INT($B4), 1)), 2, 2), """")-$G4)/$G4, ($G4-IFERROR(INDEX(GOOGLEFINANCE($"&amp;"C4, ""price"", WORKDAY(INT($B4), 1)), 2, 2), """"))/$G4))"),0.011976218245953508)</f>
        <v>0.01197621825</v>
      </c>
      <c r="R4" s="16">
        <f>IFERROR(__xludf.DUMMYFUNCTION("IF(OR(ISBLANK($G4), IFERROR(INDEX(GOOGLEFINANCE($C4, ""price"", WORKDAY(INT($B4), 5)), 2, 2), """")=""""), """", IF($D4=""LONG"", (IFERROR(INDEX(GOOGLEFINANCE($C4, ""price"", WORKDAY(INT($B4), 5)), 2, 2), """")-$G4)/$G4, ($G4-IFERROR(INDEX(GOOGLEFINANCE($"&amp;"C4, ""price"", WORKDAY(INT($B4), 5)), 2, 2), """"))/$G4))"),0.04193098739794615)</f>
        <v>0.0419309874</v>
      </c>
      <c r="S4" s="16" t="str">
        <f>IFERROR(__xludf.DUMMYFUNCTION("IF(OR(ISBLANK($G4), IFERROR(INDEX(GOOGLEFINANCE($C4, ""price"", WORKDAY(INT($B4), 20)), 2, 2), """")=""""), """", IF($D4=""LONG"", (IFERROR(INDEX(GOOGLEFINANCE($C4, ""price"", WORKDAY(INT($B4), 20)), 2, 2), """")-$G4)/$G4, ($G4-IFERROR(INDEX(GOOGLEFINANCE"&amp;"($C4, ""price"", WORKDAY(INT($B4), 20)), 2, 2), """"))/$G4))"),"")</f>
        <v/>
      </c>
      <c r="T4" s="10" t="s">
        <v>4215</v>
      </c>
      <c r="U4" s="10" t="s">
        <v>704</v>
      </c>
      <c r="V4" s="10" t="s">
        <v>4216</v>
      </c>
      <c r="W4" s="10" t="s">
        <v>51</v>
      </c>
      <c r="X4" s="10" t="s">
        <v>1885</v>
      </c>
    </row>
    <row r="5">
      <c r="A5" s="9">
        <f t="shared" si="1"/>
        <v>4</v>
      </c>
      <c r="B5" s="11">
        <v>46226.66738425926</v>
      </c>
      <c r="C5" s="10" t="s">
        <v>2311</v>
      </c>
      <c r="D5" s="10" t="s">
        <v>36</v>
      </c>
      <c r="E5" s="10" t="s">
        <v>37</v>
      </c>
      <c r="F5" s="13">
        <v>2.0</v>
      </c>
      <c r="G5" s="14">
        <v>237.18</v>
      </c>
      <c r="H5" s="10" t="s">
        <v>4218</v>
      </c>
      <c r="I5" s="10">
        <v>95.5</v>
      </c>
      <c r="O5" s="15">
        <f>IFERROR(__xludf.DUMMYFUNCTION("IF(ISBLANK($C5), """", GOOGLEFINANCE($C5, ""price""))"),229.01)</f>
        <v>229.01</v>
      </c>
      <c r="P5" s="16">
        <f t="shared" si="2"/>
        <v>-0.03444641201</v>
      </c>
      <c r="Q5" s="16">
        <f>IFERROR(__xludf.DUMMYFUNCTION("IF(OR(ISBLANK($G5), IFERROR(INDEX(GOOGLEFINANCE($C5, ""price"", WORKDAY(INT($B5), 1)), 2, 2), """")=""""), """", IF($D5=""LONG"", (IFERROR(INDEX(GOOGLEFINANCE($C5, ""price"", WORKDAY(INT($B5), 1)), 2, 2), """")-$G5)/$G5, ($G5-IFERROR(INDEX(GOOGLEFINANCE($"&amp;"C5, ""price"", WORKDAY(INT($B5), 1)), 2, 2), """"))/$G5))"),0.0066194451471455985)</f>
        <v>0.006619445147</v>
      </c>
      <c r="R5" s="16">
        <f>IFERROR(__xludf.DUMMYFUNCTION("IF(OR(ISBLANK($G5), IFERROR(INDEX(GOOGLEFINANCE($C5, ""price"", WORKDAY(INT($B5), 5)), 2, 2), """")=""""), """", IF($D5=""LONG"", (IFERROR(INDEX(GOOGLEFINANCE($C5, ""price"", WORKDAY(INT($B5), 5)), 2, 2), """")-$G5)/$G5, ($G5-IFERROR(INDEX(GOOGLEFINANCE($"&amp;"C5, ""price"", WORKDAY(INT($B5), 5)), 2, 2), """"))/$G5))"),-0.045745847036006385)</f>
        <v>-0.04574584704</v>
      </c>
      <c r="S5" s="16" t="str">
        <f>IFERROR(__xludf.DUMMYFUNCTION("IF(OR(ISBLANK($G5), IFERROR(INDEX(GOOGLEFINANCE($C5, ""price"", WORKDAY(INT($B5), 20)), 2, 2), """")=""""), """", IF($D5=""LONG"", (IFERROR(INDEX(GOOGLEFINANCE($C5, ""price"", WORKDAY(INT($B5), 20)), 2, 2), """")-$G5)/$G5, ($G5-IFERROR(INDEX(GOOGLEFINANCE"&amp;"($C5, ""price"", WORKDAY(INT($B5), 20)), 2, 2), """"))/$G5))"),"")</f>
        <v/>
      </c>
      <c r="T5" s="10" t="s">
        <v>4219</v>
      </c>
      <c r="U5" s="10" t="s">
        <v>984</v>
      </c>
      <c r="V5" s="10" t="s">
        <v>933</v>
      </c>
      <c r="W5" s="10" t="s">
        <v>51</v>
      </c>
      <c r="X5" s="10" t="s">
        <v>984</v>
      </c>
    </row>
    <row r="6">
      <c r="A6" s="9">
        <f t="shared" si="1"/>
        <v>5</v>
      </c>
      <c r="B6" s="11">
        <v>46226.66744212963</v>
      </c>
      <c r="C6" s="10" t="s">
        <v>3364</v>
      </c>
      <c r="D6" s="10" t="s">
        <v>36</v>
      </c>
      <c r="E6" s="10" t="s">
        <v>37</v>
      </c>
      <c r="F6" s="13">
        <v>2.0</v>
      </c>
      <c r="G6" s="14">
        <v>179.57</v>
      </c>
      <c r="H6" s="10" t="s">
        <v>4220</v>
      </c>
      <c r="I6" s="10">
        <v>99.1</v>
      </c>
      <c r="O6" s="15">
        <f>IFERROR(__xludf.DUMMYFUNCTION("IF(ISBLANK($C6), """", GOOGLEFINANCE($C6, ""price""))"),217.8)</f>
        <v>217.8</v>
      </c>
      <c r="P6" s="16">
        <f t="shared" si="2"/>
        <v>0.2128974773</v>
      </c>
      <c r="Q6" s="16">
        <f>IFERROR(__xludf.DUMMYFUNCTION("IF(OR(ISBLANK($G6), IFERROR(INDEX(GOOGLEFINANCE($C6, ""price"", WORKDAY(INT($B6), 1)), 2, 2), """")=""""), """", IF($D6=""LONG"", (IFERROR(INDEX(GOOGLEFINANCE($C6, ""price"", WORKDAY(INT($B6), 1)), 2, 2), """")-$G6)/$G6, ($G6-IFERROR(INDEX(GOOGLEFINANCE($"&amp;"C6, ""price"", WORKDAY(INT($B6), 1)), 2, 2), """"))/$G6))"),0.0371442891351563)</f>
        <v>0.03714428914</v>
      </c>
      <c r="R6" s="16">
        <f>IFERROR(__xludf.DUMMYFUNCTION("IF(OR(ISBLANK($G6), IFERROR(INDEX(GOOGLEFINANCE($C6, ""price"", WORKDAY(INT($B6), 5)), 2, 2), """")=""""), """", IF($D6=""LONG"", (IFERROR(INDEX(GOOGLEFINANCE($C6, ""price"", WORKDAY(INT($B6), 5)), 2, 2), """")-$G6)/$G6, ($G6-IFERROR(INDEX(GOOGLEFINANCE($"&amp;"C6, ""price"", WORKDAY(INT($B6), 5)), 2, 2), """"))/$G6))"),0.12245920810825868)</f>
        <v>0.1224592081</v>
      </c>
      <c r="S6" s="16" t="str">
        <f>IFERROR(__xludf.DUMMYFUNCTION("IF(OR(ISBLANK($G6), IFERROR(INDEX(GOOGLEFINANCE($C6, ""price"", WORKDAY(INT($B6), 20)), 2, 2), """")=""""), """", IF($D6=""LONG"", (IFERROR(INDEX(GOOGLEFINANCE($C6, ""price"", WORKDAY(INT($B6), 20)), 2, 2), """")-$G6)/$G6, ($G6-IFERROR(INDEX(GOOGLEFINANCE"&amp;"($C6, ""price"", WORKDAY(INT($B6), 20)), 2, 2), """"))/$G6))"),"")</f>
        <v/>
      </c>
      <c r="T6" s="10" t="s">
        <v>4223</v>
      </c>
      <c r="U6" s="10" t="s">
        <v>984</v>
      </c>
      <c r="V6" s="10" t="s">
        <v>985</v>
      </c>
      <c r="W6" s="10" t="s">
        <v>51</v>
      </c>
      <c r="X6" s="10" t="s">
        <v>984</v>
      </c>
    </row>
    <row r="7">
      <c r="A7" s="9">
        <f t="shared" si="1"/>
        <v>6</v>
      </c>
      <c r="B7" s="11">
        <v>46226.66738425926</v>
      </c>
      <c r="C7" s="10" t="s">
        <v>419</v>
      </c>
      <c r="D7" s="10" t="s">
        <v>36</v>
      </c>
      <c r="E7" s="10" t="s">
        <v>4224</v>
      </c>
      <c r="F7" s="13">
        <v>4.0</v>
      </c>
      <c r="G7" s="14">
        <v>81.99</v>
      </c>
      <c r="H7" s="10" t="s">
        <v>4225</v>
      </c>
      <c r="I7" s="10">
        <v>31.7</v>
      </c>
      <c r="O7" s="15">
        <f>IFERROR(__xludf.DUMMYFUNCTION("IF(ISBLANK($C7), """", GOOGLEFINANCE($C7, ""price""))"),91.98)</f>
        <v>91.98</v>
      </c>
      <c r="P7" s="16">
        <f t="shared" si="2"/>
        <v>0.1218441273</v>
      </c>
      <c r="Q7" s="16">
        <f>IFERROR(__xludf.DUMMYFUNCTION("IF(OR(ISBLANK($G7), IFERROR(INDEX(GOOGLEFINANCE($C7, ""price"", WORKDAY(INT($B7), 1)), 2, 2), """")=""""), """", IF($D7=""LONG"", (IFERROR(INDEX(GOOGLEFINANCE($C7, ""price"", WORKDAY(INT($B7), 1)), 2, 2), """")-$G7)/$G7, ($G7-IFERROR(INDEX(GOOGLEFINANCE($"&amp;"C7, ""price"", WORKDAY(INT($B7), 1)), 2, 2), """"))/$G7))"),0.03744359068179055)</f>
        <v>0.03744359068</v>
      </c>
      <c r="R7" s="16">
        <f>IFERROR(__xludf.DUMMYFUNCTION("IF(OR(ISBLANK($G7), IFERROR(INDEX(GOOGLEFINANCE($C7, ""price"", WORKDAY(INT($B7), 5)), 2, 2), """")=""""), """", IF($D7=""LONG"", (IFERROR(INDEX(GOOGLEFINANCE($C7, ""price"", WORKDAY(INT($B7), 5)), 2, 2), """")-$G7)/$G7, ($G7-IFERROR(INDEX(GOOGLEFINANCE($"&amp;"C7, ""price"", WORKDAY(INT($B7), 5)), 2, 2), """"))/$G7))"),0.0804976216611783)</f>
        <v>0.08049762166</v>
      </c>
      <c r="S7" s="16" t="str">
        <f>IFERROR(__xludf.DUMMYFUNCTION("IF(OR(ISBLANK($G7), IFERROR(INDEX(GOOGLEFINANCE($C7, ""price"", WORKDAY(INT($B7), 20)), 2, 2), """")=""""), """", IF($D7=""LONG"", (IFERROR(INDEX(GOOGLEFINANCE($C7, ""price"", WORKDAY(INT($B7), 20)), 2, 2), """")-$G7)/$G7, ($G7-IFERROR(INDEX(GOOGLEFINANCE"&amp;"($C7, ""price"", WORKDAY(INT($B7), 20)), 2, 2), """"))/$G7))"),"")</f>
        <v/>
      </c>
      <c r="T7" s="10" t="s">
        <v>4227</v>
      </c>
      <c r="U7" s="10" t="s">
        <v>984</v>
      </c>
      <c r="V7" s="10" t="s">
        <v>1059</v>
      </c>
      <c r="W7" s="10" t="s">
        <v>51</v>
      </c>
      <c r="X7" s="10" t="s">
        <v>984</v>
      </c>
    </row>
    <row r="8">
      <c r="A8" s="9">
        <f t="shared" si="1"/>
        <v>7</v>
      </c>
      <c r="B8" s="11">
        <v>46226.66740740741</v>
      </c>
      <c r="C8" s="10" t="s">
        <v>499</v>
      </c>
      <c r="D8" s="10" t="s">
        <v>36</v>
      </c>
      <c r="E8" s="10" t="s">
        <v>37</v>
      </c>
      <c r="F8" s="13">
        <v>2.0</v>
      </c>
      <c r="G8" s="14">
        <v>115.65</v>
      </c>
      <c r="H8" s="10" t="s">
        <v>4228</v>
      </c>
      <c r="I8" s="10">
        <v>91.3</v>
      </c>
      <c r="O8" s="15">
        <f>IFERROR(__xludf.DUMMYFUNCTION("IF(ISBLANK($C8), """", GOOGLEFINANCE($C8, ""price""))"),115.98)</f>
        <v>115.98</v>
      </c>
      <c r="P8" s="16">
        <f t="shared" si="2"/>
        <v>0.002853437095</v>
      </c>
      <c r="Q8" s="16">
        <f>IFERROR(__xludf.DUMMYFUNCTION("IF(OR(ISBLANK($G8), IFERROR(INDEX(GOOGLEFINANCE($C8, ""price"", WORKDAY(INT($B8), 1)), 2, 2), """")=""""), """", IF($D8=""LONG"", (IFERROR(INDEX(GOOGLEFINANCE($C8, ""price"", WORKDAY(INT($B8), 1)), 2, 2), """")-$G8)/$G8, ($G8-IFERROR(INDEX(GOOGLEFINANCE($"&amp;"C8, ""price"", WORKDAY(INT($B8), 1)), 2, 2), """"))/$G8))"),0.019455252918287938)</f>
        <v>0.01945525292</v>
      </c>
      <c r="R8" s="16">
        <f>IFERROR(__xludf.DUMMYFUNCTION("IF(OR(ISBLANK($G8), IFERROR(INDEX(GOOGLEFINANCE($C8, ""price"", WORKDAY(INT($B8), 5)), 2, 2), """")=""""), """", IF($D8=""LONG"", (IFERROR(INDEX(GOOGLEFINANCE($C8, ""price"", WORKDAY(INT($B8), 5)), 2, 2), """")-$G8)/$G8, ($G8-IFERROR(INDEX(GOOGLEFINANCE($"&amp;"C8, ""price"", WORKDAY(INT($B8), 5)), 2, 2), """"))/$G8))"),0.00622568093385213)</f>
        <v>0.006225680934</v>
      </c>
      <c r="S8" s="16" t="str">
        <f>IFERROR(__xludf.DUMMYFUNCTION("IF(OR(ISBLANK($G8), IFERROR(INDEX(GOOGLEFINANCE($C8, ""price"", WORKDAY(INT($B8), 20)), 2, 2), """")=""""), """", IF($D8=""LONG"", (IFERROR(INDEX(GOOGLEFINANCE($C8, ""price"", WORKDAY(INT($B8), 20)), 2, 2), """")-$G8)/$G8, ($G8-IFERROR(INDEX(GOOGLEFINANCE"&amp;"($C8, ""price"", WORKDAY(INT($B8), 20)), 2, 2), """"))/$G8))"),"")</f>
        <v/>
      </c>
      <c r="T8" s="10" t="s">
        <v>4230</v>
      </c>
      <c r="U8" s="10" t="s">
        <v>984</v>
      </c>
      <c r="V8" s="10" t="s">
        <v>933</v>
      </c>
      <c r="W8" s="10" t="s">
        <v>51</v>
      </c>
      <c r="X8" s="10" t="s">
        <v>984</v>
      </c>
    </row>
    <row r="9">
      <c r="A9" s="9">
        <f t="shared" si="1"/>
        <v>8</v>
      </c>
      <c r="B9" s="11">
        <v>46226.667395833334</v>
      </c>
      <c r="C9" s="10" t="s">
        <v>148</v>
      </c>
      <c r="D9" s="10" t="s">
        <v>36</v>
      </c>
      <c r="E9" s="10" t="s">
        <v>37</v>
      </c>
      <c r="F9" s="13">
        <v>2.0</v>
      </c>
      <c r="G9" s="14">
        <v>192.44</v>
      </c>
      <c r="H9" s="10" t="s">
        <v>4231</v>
      </c>
      <c r="I9" s="10">
        <v>76.9</v>
      </c>
      <c r="O9" s="15">
        <f>IFERROR(__xludf.DUMMYFUNCTION("IF(ISBLANK($C9), """", GOOGLEFINANCE($C9, ""price""))"),199.98)</f>
        <v>199.98</v>
      </c>
      <c r="P9" s="16">
        <f t="shared" si="2"/>
        <v>0.03918104344</v>
      </c>
      <c r="Q9" s="16">
        <f>IFERROR(__xludf.DUMMYFUNCTION("IF(OR(ISBLANK($G9), IFERROR(INDEX(GOOGLEFINANCE($C9, ""price"", WORKDAY(INT($B9), 1)), 2, 2), """")=""""), """", IF($D9=""LONG"", (IFERROR(INDEX(GOOGLEFINANCE($C9, ""price"", WORKDAY(INT($B9), 1)), 2, 2), """")-$G9)/$G9, ($G9-IFERROR(INDEX(GOOGLEFINANCE($"&amp;"C9, ""price"", WORKDAY(INT($B9), 1)), 2, 2), """"))/$G9))"),-0.004884639368114725)</f>
        <v>-0.004884639368</v>
      </c>
      <c r="R9" s="16">
        <f>IFERROR(__xludf.DUMMYFUNCTION("IF(OR(ISBLANK($G9), IFERROR(INDEX(GOOGLEFINANCE($C9, ""price"", WORKDAY(INT($B9), 5)), 2, 2), """")=""""), """", IF($D9=""LONG"", (IFERROR(INDEX(GOOGLEFINANCE($C9, ""price"", WORKDAY(INT($B9), 5)), 2, 2), """")-$G9)/$G9, ($G9-IFERROR(INDEX(GOOGLEFINANCE($"&amp;"C9, ""price"", WORKDAY(INT($B9), 5)), 2, 2), """"))/$G9))"),0.019382664726668)</f>
        <v>0.01938266473</v>
      </c>
      <c r="S9" s="16" t="str">
        <f>IFERROR(__xludf.DUMMYFUNCTION("IF(OR(ISBLANK($G9), IFERROR(INDEX(GOOGLEFINANCE($C9, ""price"", WORKDAY(INT($B9), 20)), 2, 2), """")=""""), """", IF($D9=""LONG"", (IFERROR(INDEX(GOOGLEFINANCE($C9, ""price"", WORKDAY(INT($B9), 20)), 2, 2), """")-$G9)/$G9, ($G9-IFERROR(INDEX(GOOGLEFINANCE"&amp;"($C9, ""price"", WORKDAY(INT($B9), 20)), 2, 2), """"))/$G9))"),"")</f>
        <v/>
      </c>
      <c r="T9" s="10" t="s">
        <v>4234</v>
      </c>
      <c r="U9" s="10" t="s">
        <v>984</v>
      </c>
      <c r="V9" s="10" t="s">
        <v>985</v>
      </c>
      <c r="W9" s="10" t="s">
        <v>51</v>
      </c>
      <c r="X9" s="10" t="s">
        <v>984</v>
      </c>
    </row>
    <row r="10">
      <c r="A10" s="9">
        <f t="shared" si="1"/>
        <v>9</v>
      </c>
      <c r="B10" s="11">
        <v>46226.667395833334</v>
      </c>
      <c r="C10" s="10" t="s">
        <v>600</v>
      </c>
      <c r="D10" s="10" t="s">
        <v>36</v>
      </c>
      <c r="E10" s="10" t="s">
        <v>37</v>
      </c>
      <c r="F10" s="13">
        <v>2.0</v>
      </c>
      <c r="G10" s="14">
        <v>229.24</v>
      </c>
      <c r="H10" s="10" t="s">
        <v>4235</v>
      </c>
      <c r="I10" s="10">
        <v>91.4</v>
      </c>
      <c r="O10" s="15">
        <f>IFERROR(__xludf.DUMMYFUNCTION("IF(ISBLANK($C10), """", GOOGLEFINANCE($C10, ""price""))"),265.51)</f>
        <v>265.51</v>
      </c>
      <c r="P10" s="16">
        <f t="shared" si="2"/>
        <v>0.158218461</v>
      </c>
      <c r="Q10" s="16">
        <f>IFERROR(__xludf.DUMMYFUNCTION("IF(OR(ISBLANK($G10), IFERROR(INDEX(GOOGLEFINANCE($C10, ""price"", WORKDAY(INT($B10), 1)), 2, 2), """")=""""), """", IF($D10=""LONG"", (IFERROR(INDEX(GOOGLEFINANCE($C10, ""price"", WORKDAY(INT($B10), 1)), 2, 2), """")-$G10)/$G10, ($G10-IFERROR(INDEX(GOOGLE"&amp;"FINANCE($C10, ""price"", WORKDAY(INT($B10), 1)), 2, 2), """"))/$G10))"),-0.011603559588204486)</f>
        <v>-0.01160355959</v>
      </c>
      <c r="R10" s="16">
        <f>IFERROR(__xludf.DUMMYFUNCTION("IF(OR(ISBLANK($G10), IFERROR(INDEX(GOOGLEFINANCE($C10, ""price"", WORKDAY(INT($B10), 5)), 2, 2), """")=""""), """", IF($D10=""LONG"", (IFERROR(INDEX(GOOGLEFINANCE($C10, ""price"", WORKDAY(INT($B10), 5)), 2, 2), """")-$G10)/$G10, ($G10-IFERROR(INDEX(GOOGLE"&amp;"FINANCE($C10, ""price"", WORKDAY(INT($B10), 5)), 2, 2), """"))/$G10))"),0.023468853603210587)</f>
        <v>0.0234688536</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4238</v>
      </c>
      <c r="U10" s="10" t="s">
        <v>507</v>
      </c>
      <c r="V10" s="10" t="s">
        <v>4239</v>
      </c>
      <c r="W10" s="10" t="s">
        <v>51</v>
      </c>
      <c r="X10" s="10" t="s">
        <v>2228</v>
      </c>
    </row>
    <row r="11">
      <c r="A11" s="9">
        <f t="shared" si="1"/>
        <v>10</v>
      </c>
      <c r="B11" s="11">
        <v>46226.66746527778</v>
      </c>
      <c r="C11" s="10" t="s">
        <v>323</v>
      </c>
      <c r="D11" s="10" t="s">
        <v>36</v>
      </c>
      <c r="E11" s="10" t="s">
        <v>37</v>
      </c>
      <c r="F11" s="13">
        <v>2.0</v>
      </c>
      <c r="G11" s="14">
        <v>208.95</v>
      </c>
      <c r="H11" s="10" t="s">
        <v>4240</v>
      </c>
      <c r="I11" s="10">
        <v>83.9</v>
      </c>
      <c r="O11" s="15">
        <f>IFERROR(__xludf.DUMMYFUNCTION("IF(ISBLANK($C11), """", GOOGLEFINANCE($C11, ""price""))"),209.7)</f>
        <v>209.7</v>
      </c>
      <c r="P11" s="16">
        <f t="shared" si="2"/>
        <v>0.003589375449</v>
      </c>
      <c r="Q11" s="16">
        <f>IFERROR(__xludf.DUMMYFUNCTION("IF(OR(ISBLANK($G11), IFERROR(INDEX(GOOGLEFINANCE($C11, ""price"", WORKDAY(INT($B11), 1)), 2, 2), """")=""""), """", IF($D11=""LONG"", (IFERROR(INDEX(GOOGLEFINANCE($C11, ""price"", WORKDAY(INT($B11), 1)), 2, 2), """")-$G11)/$G11, ($G11-IFERROR(INDEX(GOOGLE"&amp;"FINANCE($C11, ""price"", WORKDAY(INT($B11), 1)), 2, 2), """"))/$G11))"),5.264417324719485E-4)</f>
        <v>0.0005264417325</v>
      </c>
      <c r="R11" s="16">
        <f>IFERROR(__xludf.DUMMYFUNCTION("IF(OR(ISBLANK($G11), IFERROR(INDEX(GOOGLEFINANCE($C11, ""price"", WORKDAY(INT($B11), 5)), 2, 2), """")=""""), """", IF($D11=""LONG"", (IFERROR(INDEX(GOOGLEFINANCE($C11, ""price"", WORKDAY(INT($B11), 5)), 2, 2), """")-$G11)/$G11, ($G11-IFERROR(INDEX(GOOGLE"&amp;"FINANCE($C11, ""price"", WORKDAY(INT($B11), 5)), 2, 2), """"))/$G11))"),0.0030629337162001186)</f>
        <v>0.003062933716</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4242</v>
      </c>
      <c r="U11" s="10" t="s">
        <v>507</v>
      </c>
      <c r="V11" s="10" t="s">
        <v>4243</v>
      </c>
      <c r="W11" s="10" t="s">
        <v>51</v>
      </c>
      <c r="X11" s="10" t="s">
        <v>2228</v>
      </c>
    </row>
    <row r="12">
      <c r="A12" s="9">
        <f t="shared" si="1"/>
        <v>11</v>
      </c>
      <c r="B12" s="11">
        <v>46226.66746527778</v>
      </c>
      <c r="C12" s="10" t="s">
        <v>3480</v>
      </c>
      <c r="D12" s="10" t="s">
        <v>36</v>
      </c>
      <c r="E12" s="10" t="s">
        <v>37</v>
      </c>
      <c r="F12" s="13">
        <v>2.0</v>
      </c>
      <c r="G12" s="14">
        <v>25.75</v>
      </c>
      <c r="H12" s="10" t="s">
        <v>4245</v>
      </c>
      <c r="I12" s="10">
        <v>90.1</v>
      </c>
      <c r="O12" s="15">
        <f>IFERROR(__xludf.DUMMYFUNCTION("IF(ISBLANK($C12), """", GOOGLEFINANCE($C12, ""price""))"),24.43)</f>
        <v>24.43</v>
      </c>
      <c r="P12" s="16">
        <f t="shared" si="2"/>
        <v>-0.05126213592</v>
      </c>
      <c r="Q12" s="16">
        <f>IFERROR(__xludf.DUMMYFUNCTION("IF(OR(ISBLANK($G12), IFERROR(INDEX(GOOGLEFINANCE($C12, ""price"", WORKDAY(INT($B12), 1)), 2, 2), """")=""""), """", IF($D12=""LONG"", (IFERROR(INDEX(GOOGLEFINANCE($C12, ""price"", WORKDAY(INT($B12), 1)), 2, 2), """")-$G12)/$G12, ($G12-IFERROR(INDEX(GOOGLE"&amp;"FINANCE($C12, ""price"", WORKDAY(INT($B12), 1)), 2, 2), """"))/$G12))"),0.013592233009708793)</f>
        <v>0.01359223301</v>
      </c>
      <c r="R12" s="16">
        <f>IFERROR(__xludf.DUMMYFUNCTION("IF(OR(ISBLANK($G12), IFERROR(INDEX(GOOGLEFINANCE($C12, ""price"", WORKDAY(INT($B12), 5)), 2, 2), """")=""""), """", IF($D12=""LONG"", (IFERROR(INDEX(GOOGLEFINANCE($C12, ""price"", WORKDAY(INT($B12), 5)), 2, 2), """")-$G12)/$G12, ($G12-IFERROR(INDEX(GOOGLE"&amp;"FINANCE($C12, ""price"", WORKDAY(INT($B12), 5)), 2, 2), """"))/$G12))"),-0.009320388349514503)</f>
        <v>-0.00932038835</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4246</v>
      </c>
      <c r="U12" s="10" t="s">
        <v>704</v>
      </c>
      <c r="V12" s="10" t="s">
        <v>4247</v>
      </c>
      <c r="W12" s="10" t="s">
        <v>51</v>
      </c>
      <c r="X12" s="10" t="s">
        <v>1885</v>
      </c>
    </row>
    <row r="13">
      <c r="A13" s="9">
        <f t="shared" si="1"/>
        <v>12</v>
      </c>
      <c r="B13" s="11">
        <v>46226.6674537037</v>
      </c>
      <c r="C13" s="10" t="s">
        <v>1603</v>
      </c>
      <c r="D13" s="10" t="s">
        <v>36</v>
      </c>
      <c r="E13" s="10" t="s">
        <v>37</v>
      </c>
      <c r="F13" s="13">
        <v>2.0</v>
      </c>
      <c r="G13" s="14">
        <v>142.26</v>
      </c>
      <c r="H13" s="10" t="s">
        <v>2413</v>
      </c>
      <c r="I13" s="10">
        <v>93.7</v>
      </c>
      <c r="O13" s="15">
        <f>IFERROR(__xludf.DUMMYFUNCTION("IF(ISBLANK($C13), """", GOOGLEFINANCE($C13, ""price""))"),144.51)</f>
        <v>144.51</v>
      </c>
      <c r="P13" s="16">
        <f t="shared" si="2"/>
        <v>0.01581611135</v>
      </c>
      <c r="Q13" s="16">
        <f>IFERROR(__xludf.DUMMYFUNCTION("IF(OR(ISBLANK($G13), IFERROR(INDEX(GOOGLEFINANCE($C13, ""price"", WORKDAY(INT($B13), 1)), 2, 2), """")=""""), """", IF($D13=""LONG"", (IFERROR(INDEX(GOOGLEFINANCE($C13, ""price"", WORKDAY(INT($B13), 1)), 2, 2), """")-$G13)/$G13, ($G13-IFERROR(INDEX(GOOGLE"&amp;"FINANCE($C13, ""price"", WORKDAY(INT($B13), 1)), 2, 2), """"))/$G13))"),-0.012160832278925839)</f>
        <v>-0.01216083228</v>
      </c>
      <c r="R13" s="16">
        <f>IFERROR(__xludf.DUMMYFUNCTION("IF(OR(ISBLANK($G13), IFERROR(INDEX(GOOGLEFINANCE($C13, ""price"", WORKDAY(INT($B13), 5)), 2, 2), """")=""""), """", IF($D13=""LONG"", (IFERROR(INDEX(GOOGLEFINANCE($C13, ""price"", WORKDAY(INT($B13), 5)), 2, 2), """")-$G13)/$G13, ($G13-IFERROR(INDEX(GOOGLE"&amp;"FINANCE($C13, ""price"", WORKDAY(INT($B13), 5)), 2, 2), """"))/$G13))"),0.005553212427948971)</f>
        <v>0.005553212428</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4250</v>
      </c>
      <c r="U13" s="10" t="s">
        <v>984</v>
      </c>
      <c r="V13" s="10" t="s">
        <v>933</v>
      </c>
      <c r="W13" s="10" t="s">
        <v>51</v>
      </c>
      <c r="X13" s="10" t="s">
        <v>984</v>
      </c>
    </row>
    <row r="14">
      <c r="A14" s="9">
        <f t="shared" si="1"/>
        <v>13</v>
      </c>
      <c r="B14" s="11">
        <v>46226.66737268519</v>
      </c>
      <c r="C14" s="10" t="s">
        <v>76</v>
      </c>
      <c r="D14" s="10" t="s">
        <v>36</v>
      </c>
      <c r="E14" s="10" t="s">
        <v>37</v>
      </c>
      <c r="F14" s="13">
        <v>2.0</v>
      </c>
      <c r="G14" s="14">
        <v>276.92</v>
      </c>
      <c r="H14" s="10" t="s">
        <v>4251</v>
      </c>
      <c r="I14" s="10">
        <v>94.2</v>
      </c>
      <c r="O14" s="15">
        <f>IFERROR(__xludf.DUMMYFUNCTION("IF(ISBLANK($C14), """", GOOGLEFINANCE($C14, ""price""))"),294.7)</f>
        <v>294.7</v>
      </c>
      <c r="P14" s="16">
        <f t="shared" si="2"/>
        <v>0.06420626896</v>
      </c>
      <c r="Q14" s="16">
        <f>IFERROR(__xludf.DUMMYFUNCTION("IF(OR(ISBLANK($G14), IFERROR(INDEX(GOOGLEFINANCE($C14, ""price"", WORKDAY(INT($B14), 1)), 2, 2), """")=""""), """", IF($D14=""LONG"", (IFERROR(INDEX(GOOGLEFINANCE($C14, ""price"", WORKDAY(INT($B14), 1)), 2, 2), """")-$G14)/$G14, ($G14-IFERROR(INDEX(GOOGLE"&amp;"FINANCE($C14, ""price"", WORKDAY(INT($B14), 1)), 2, 2), """"))/$G14))"),0.02202802253358358)</f>
        <v>0.02202802253</v>
      </c>
      <c r="R14" s="16">
        <f>IFERROR(__xludf.DUMMYFUNCTION("IF(OR(ISBLANK($G14), IFERROR(INDEX(GOOGLEFINANCE($C14, ""price"", WORKDAY(INT($B14), 5)), 2, 2), """")=""""), """", IF($D14=""LONG"", (IFERROR(INDEX(GOOGLEFINANCE($C14, ""price"", WORKDAY(INT($B14), 5)), 2, 2), """")-$G14)/$G14, ($G14-IFERROR(INDEX(GOOGLE"&amp;"FINANCE($C14, ""price"", WORKDAY(INT($B14), 5)), 2, 2), """"))/$G14))"),0.024483605373392937)</f>
        <v>0.02448360537</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4253</v>
      </c>
      <c r="U14" s="10" t="s">
        <v>984</v>
      </c>
      <c r="V14" s="10" t="s">
        <v>2785</v>
      </c>
      <c r="W14" s="10" t="s">
        <v>51</v>
      </c>
      <c r="X14" s="10" t="s">
        <v>984</v>
      </c>
    </row>
    <row r="15">
      <c r="A15" s="9">
        <f t="shared" si="1"/>
        <v>14</v>
      </c>
      <c r="B15" s="11">
        <v>46226.66743055556</v>
      </c>
      <c r="C15" s="10" t="s">
        <v>2084</v>
      </c>
      <c r="D15" s="10" t="s">
        <v>36</v>
      </c>
      <c r="E15" s="10" t="s">
        <v>37</v>
      </c>
      <c r="F15" s="13">
        <v>2.0</v>
      </c>
      <c r="G15" s="14">
        <v>288.33</v>
      </c>
      <c r="H15" s="10" t="s">
        <v>4255</v>
      </c>
      <c r="I15" s="10">
        <v>96.5</v>
      </c>
      <c r="O15" s="15">
        <f>IFERROR(__xludf.DUMMYFUNCTION("IF(ISBLANK($C15), """", GOOGLEFINANCE($C15, ""price""))"),340.01)</f>
        <v>340.01</v>
      </c>
      <c r="P15" s="16">
        <f t="shared" si="2"/>
        <v>0.1792390663</v>
      </c>
      <c r="Q15" s="16">
        <f>IFERROR(__xludf.DUMMYFUNCTION("IF(OR(ISBLANK($G15), IFERROR(INDEX(GOOGLEFINANCE($C15, ""price"", WORKDAY(INT($B15), 1)), 2, 2), """")=""""), """", IF($D15=""LONG"", (IFERROR(INDEX(GOOGLEFINANCE($C15, ""price"", WORKDAY(INT($B15), 1)), 2, 2), """")-$G15)/$G15, ($G15-IFERROR(INDEX(GOOGLE"&amp;"FINANCE($C15, ""price"", WORKDAY(INT($B15), 1)), 2, 2), """"))/$G15))"),0.023514722713557486)</f>
        <v>0.02351472271</v>
      </c>
      <c r="R15" s="16">
        <f>IFERROR(__xludf.DUMMYFUNCTION("IF(OR(ISBLANK($G15), IFERROR(INDEX(GOOGLEFINANCE($C15, ""price"", WORKDAY(INT($B15), 5)), 2, 2), """")=""""), """", IF($D15=""LONG"", (IFERROR(INDEX(GOOGLEFINANCE($C15, ""price"", WORKDAY(INT($B15), 5)), 2, 2), """")-$G15)/$G15, ($G15-IFERROR(INDEX(GOOGLE"&amp;"FINANCE($C15, ""price"", WORKDAY(INT($B15), 5)), 2, 2), """"))/$G15))"),0.16550480352374025)</f>
        <v>0.1655048035</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4256</v>
      </c>
      <c r="U15" s="10" t="s">
        <v>984</v>
      </c>
      <c r="V15" s="10" t="s">
        <v>985</v>
      </c>
      <c r="W15" s="10" t="s">
        <v>51</v>
      </c>
      <c r="X15" s="10" t="s">
        <v>984</v>
      </c>
    </row>
    <row r="16">
      <c r="A16" s="9">
        <f t="shared" si="1"/>
        <v>15</v>
      </c>
      <c r="B16" s="11">
        <v>46226.66747685185</v>
      </c>
      <c r="C16" s="10" t="s">
        <v>408</v>
      </c>
      <c r="D16" s="10" t="s">
        <v>36</v>
      </c>
      <c r="E16" s="10" t="s">
        <v>37</v>
      </c>
      <c r="F16" s="13">
        <v>2.0</v>
      </c>
      <c r="G16" s="14">
        <v>245.96</v>
      </c>
      <c r="H16" s="10" t="s">
        <v>4258</v>
      </c>
      <c r="I16" s="10">
        <v>94.3</v>
      </c>
      <c r="L16" s="10" t="s">
        <v>4259</v>
      </c>
      <c r="M16" s="10" t="s">
        <v>2174</v>
      </c>
      <c r="N16" s="10" t="s">
        <v>925</v>
      </c>
      <c r="O16" s="15">
        <f>IFERROR(__xludf.DUMMYFUNCTION("IF(ISBLANK($C16), """", GOOGLEFINANCE($C16, ""price""))"),250.14)</f>
        <v>250.14</v>
      </c>
      <c r="P16" s="16">
        <f t="shared" si="2"/>
        <v>0.01699463327</v>
      </c>
      <c r="Q16" s="16">
        <f>IFERROR(__xludf.DUMMYFUNCTION("IF(OR(ISBLANK($G16), IFERROR(INDEX(GOOGLEFINANCE($C16, ""price"", WORKDAY(INT($B16), 1)), 2, 2), """")=""""), """", IF($D16=""LONG"", (IFERROR(INDEX(GOOGLEFINANCE($C16, ""price"", WORKDAY(INT($B16), 1)), 2, 2), """")-$G16)/$G16, ($G16-IFERROR(INDEX(GOOGLE"&amp;"FINANCE($C16, ""price"", WORKDAY(INT($B16), 1)), 2, 2), """"))/$G16))"),0.014799154334037999)</f>
        <v>0.01479915433</v>
      </c>
      <c r="R16" s="16">
        <f>IFERROR(__xludf.DUMMYFUNCTION("IF(OR(ISBLANK($G16), IFERROR(INDEX(GOOGLEFINANCE($C16, ""price"", WORKDAY(INT($B16), 5)), 2, 2), """")=""""), """", IF($D16=""LONG"", (IFERROR(INDEX(GOOGLEFINANCE($C16, ""price"", WORKDAY(INT($B16), 5)), 2, 2), """")-$G16)/$G16, ($G16-IFERROR(INDEX(GOOGLE"&amp;"FINANCE($C16, ""price"", WORKDAY(INT($B16), 5)), 2, 2), """"))/$G16))"),0.004228329809725126)</f>
        <v>0.00422832981</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4261</v>
      </c>
      <c r="U16" s="10" t="s">
        <v>240</v>
      </c>
      <c r="V16" s="10" t="s">
        <v>4262</v>
      </c>
      <c r="W16" s="10" t="s">
        <v>51</v>
      </c>
      <c r="X16" s="10" t="s">
        <v>1905</v>
      </c>
    </row>
    <row r="17">
      <c r="A17" s="9">
        <f t="shared" si="1"/>
        <v>16</v>
      </c>
      <c r="B17" s="11">
        <v>46226.66744212963</v>
      </c>
      <c r="C17" s="10" t="s">
        <v>310</v>
      </c>
      <c r="D17" s="10" t="s">
        <v>36</v>
      </c>
      <c r="E17" s="10" t="s">
        <v>37</v>
      </c>
      <c r="F17" s="13">
        <v>2.0</v>
      </c>
      <c r="G17" s="14">
        <v>207.38</v>
      </c>
      <c r="H17" s="10" t="s">
        <v>4264</v>
      </c>
      <c r="I17" s="10">
        <v>89.4</v>
      </c>
      <c r="O17" s="15">
        <f>IFERROR(__xludf.DUMMYFUNCTION("IF(ISBLANK($C17), """", GOOGLEFINANCE($C17, ""price""))"),232.43)</f>
        <v>232.43</v>
      </c>
      <c r="P17" s="16">
        <f t="shared" si="2"/>
        <v>0.1207927476</v>
      </c>
      <c r="Q17" s="16">
        <f>IFERROR(__xludf.DUMMYFUNCTION("IF(OR(ISBLANK($G17), IFERROR(INDEX(GOOGLEFINANCE($C17, ""price"", WORKDAY(INT($B17), 1)), 2, 2), """")=""""), """", IF($D17=""LONG"", (IFERROR(INDEX(GOOGLEFINANCE($C17, ""price"", WORKDAY(INT($B17), 1)), 2, 2), """")-$G17)/$G17, ($G17-IFERROR(INDEX(GOOGLE"&amp;"FINANCE($C17, ""price"", WORKDAY(INT($B17), 1)), 2, 2), """"))/$G17))"),0.0032307840678947627)</f>
        <v>0.003230784068</v>
      </c>
      <c r="R17" s="16">
        <f>IFERROR(__xludf.DUMMYFUNCTION("IF(OR(ISBLANK($G17), IFERROR(INDEX(GOOGLEFINANCE($C17, ""price"", WORKDAY(INT($B17), 5)), 2, 2), """")=""""), """", IF($D17=""LONG"", (IFERROR(INDEX(GOOGLEFINANCE($C17, ""price"", WORKDAY(INT($B17), 5)), 2, 2), """")-$G17)/$G17, ($G17-IFERROR(INDEX(GOOGLE"&amp;"FINANCE($C17, ""price"", WORKDAY(INT($B17), 5)), 2, 2), """"))/$G17))"),0.14663902015623492)</f>
        <v>0.1466390202</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4266</v>
      </c>
      <c r="U17" s="10" t="s">
        <v>984</v>
      </c>
      <c r="V17" s="10" t="s">
        <v>2714</v>
      </c>
      <c r="W17" s="10" t="s">
        <v>51</v>
      </c>
      <c r="X17" s="10" t="s">
        <v>984</v>
      </c>
    </row>
    <row r="18">
      <c r="A18" s="9">
        <f t="shared" si="1"/>
        <v>17</v>
      </c>
      <c r="B18" s="11">
        <v>46226.66747685185</v>
      </c>
      <c r="C18" s="10" t="s">
        <v>248</v>
      </c>
      <c r="D18" s="10" t="s">
        <v>36</v>
      </c>
      <c r="E18" s="10" t="s">
        <v>37</v>
      </c>
      <c r="F18" s="13">
        <v>2.0</v>
      </c>
      <c r="G18" s="14">
        <v>71.79</v>
      </c>
      <c r="H18" s="10" t="s">
        <v>4267</v>
      </c>
      <c r="I18" s="10">
        <v>89.3</v>
      </c>
      <c r="O18" s="15">
        <f>IFERROR(__xludf.DUMMYFUNCTION("IF(ISBLANK($C18), """", GOOGLEFINANCE($C18, ""price""))"),72.43)</f>
        <v>72.43</v>
      </c>
      <c r="P18" s="16">
        <f t="shared" si="2"/>
        <v>0.008914890653</v>
      </c>
      <c r="Q18" s="16">
        <f>IFERROR(__xludf.DUMMYFUNCTION("IF(OR(ISBLANK($G18), IFERROR(INDEX(GOOGLEFINANCE($C18, ""price"", WORKDAY(INT($B18), 1)), 2, 2), """")=""""), """", IF($D18=""LONG"", (IFERROR(INDEX(GOOGLEFINANCE($C18, ""price"", WORKDAY(INT($B18), 1)), 2, 2), """")-$G18)/$G18, ($G18-IFERROR(INDEX(GOOGLE"&amp;"FINANCE($C18, ""price"", WORKDAY(INT($B18), 1)), 2, 2), """"))/$G18))"),0.0012536564981193647)</f>
        <v>0.001253656498</v>
      </c>
      <c r="R18" s="16">
        <f>IFERROR(__xludf.DUMMYFUNCTION("IF(OR(ISBLANK($G18), IFERROR(INDEX(GOOGLEFINANCE($C18, ""price"", WORKDAY(INT($B18), 5)), 2, 2), """")=""""), """", IF($D18=""LONG"", (IFERROR(INDEX(GOOGLEFINANCE($C18, ""price"", WORKDAY(INT($B18), 5)), 2, 2), """")-$G18)/$G18, ($G18-IFERROR(INDEX(GOOGLE"&amp;"FINANCE($C18, ""price"", WORKDAY(INT($B18), 5)), 2, 2), """"))/$G18))"),-8.357709987463751E-4)</f>
        <v>-0.0008357709987</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4270</v>
      </c>
      <c r="U18" s="10" t="s">
        <v>984</v>
      </c>
      <c r="V18" s="10" t="s">
        <v>933</v>
      </c>
      <c r="W18" s="10" t="s">
        <v>51</v>
      </c>
      <c r="X18" s="10" t="s">
        <v>984</v>
      </c>
    </row>
    <row r="19">
      <c r="A19" s="9">
        <f t="shared" si="1"/>
        <v>18</v>
      </c>
      <c r="B19" s="11">
        <v>46226.6674537037</v>
      </c>
      <c r="C19" s="10" t="s">
        <v>1762</v>
      </c>
      <c r="D19" s="10" t="s">
        <v>36</v>
      </c>
      <c r="E19" s="10" t="s">
        <v>37</v>
      </c>
      <c r="F19" s="13">
        <v>2.0</v>
      </c>
      <c r="G19" s="14">
        <v>205.53</v>
      </c>
      <c r="H19" s="10" t="s">
        <v>4271</v>
      </c>
      <c r="I19" s="10">
        <v>91.1</v>
      </c>
      <c r="O19" s="15">
        <f>IFERROR(__xludf.DUMMYFUNCTION("IF(ISBLANK($C19), """", GOOGLEFINANCE($C19, ""price""))"),146.66)</f>
        <v>146.66</v>
      </c>
      <c r="P19" s="16">
        <f t="shared" si="2"/>
        <v>-0.2864302048</v>
      </c>
      <c r="Q19" s="16">
        <f>IFERROR(__xludf.DUMMYFUNCTION("IF(OR(ISBLANK($G19), IFERROR(INDEX(GOOGLEFINANCE($C19, ""price"", WORKDAY(INT($B19), 1)), 2, 2), """")=""""), """", IF($D19=""LONG"", (IFERROR(INDEX(GOOGLEFINANCE($C19, ""price"", WORKDAY(INT($B19), 1)), 2, 2), """")-$G19)/$G19, ($G19-IFERROR(INDEX(GOOGLE"&amp;"FINANCE($C19, ""price"", WORKDAY(INT($B19), 1)), 2, 2), """"))/$G19))"),-0.09254123485622542)</f>
        <v>-0.09254123486</v>
      </c>
      <c r="R19" s="16">
        <f>IFERROR(__xludf.DUMMYFUNCTION("IF(OR(ISBLANK($G19), IFERROR(INDEX(GOOGLEFINANCE($C19, ""price"", WORKDAY(INT($B19), 5)), 2, 2), """")=""""), """", IF($D19=""LONG"", (IFERROR(INDEX(GOOGLEFINANCE($C19, ""price"", WORKDAY(INT($B19), 5)), 2, 2), """")-$G19)/$G19, ($G19-IFERROR(INDEX(GOOGLE"&amp;"FINANCE($C19, ""price"", WORKDAY(INT($B19), 5)), 2, 2), """"))/$G19))"),-0.2851651826983896)</f>
        <v>-0.2851651827</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4275</v>
      </c>
      <c r="U19" s="10" t="s">
        <v>984</v>
      </c>
      <c r="V19" s="10" t="s">
        <v>1059</v>
      </c>
      <c r="W19" s="10" t="s">
        <v>51</v>
      </c>
      <c r="X19" s="10" t="s">
        <v>984</v>
      </c>
    </row>
    <row r="20">
      <c r="A20" s="9">
        <f t="shared" si="1"/>
        <v>19</v>
      </c>
      <c r="B20" s="11">
        <v>46226.66748842593</v>
      </c>
      <c r="C20" s="10" t="s">
        <v>332</v>
      </c>
      <c r="D20" s="10" t="s">
        <v>36</v>
      </c>
      <c r="E20" s="10" t="s">
        <v>37</v>
      </c>
      <c r="F20" s="13">
        <v>2.0</v>
      </c>
      <c r="G20" s="14">
        <v>84.57</v>
      </c>
      <c r="H20" s="10" t="s">
        <v>2985</v>
      </c>
      <c r="I20" s="10">
        <v>94.5</v>
      </c>
      <c r="O20" s="15">
        <f>IFERROR(__xludf.DUMMYFUNCTION("IF(ISBLANK($C20), """", GOOGLEFINANCE($C20, ""price""))"),88.23)</f>
        <v>88.23</v>
      </c>
      <c r="P20" s="16">
        <f t="shared" si="2"/>
        <v>0.04327775807</v>
      </c>
      <c r="Q20" s="16">
        <f>IFERROR(__xludf.DUMMYFUNCTION("IF(OR(ISBLANK($G20), IFERROR(INDEX(GOOGLEFINANCE($C20, ""price"", WORKDAY(INT($B20), 1)), 2, 2), """")=""""), """", IF($D20=""LONG"", (IFERROR(INDEX(GOOGLEFINANCE($C20, ""price"", WORKDAY(INT($B20), 1)), 2, 2), """")-$G20)/$G20, ($G20-IFERROR(INDEX(GOOGLE"&amp;"FINANCE($C20, ""price"", WORKDAY(INT($B20), 1)), 2, 2), """"))/$G20))"),0.01064207165661589)</f>
        <v>0.01064207166</v>
      </c>
      <c r="R20" s="16">
        <f>IFERROR(__xludf.DUMMYFUNCTION("IF(OR(ISBLANK($G20), IFERROR(INDEX(GOOGLEFINANCE($C20, ""price"", WORKDAY(INT($B20), 5)), 2, 2), """")=""""), """", IF($D20=""LONG"", (IFERROR(INDEX(GOOGLEFINANCE($C20, ""price"", WORKDAY(INT($B20), 5)), 2, 2), """")-$G20)/$G20, ($G20-IFERROR(INDEX(GOOGLE"&amp;"FINANCE($C20, ""price"", WORKDAY(INT($B20), 5)), 2, 2), """"))/$G20))"),0.007094714437743982)</f>
        <v>0.007094714438</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4277</v>
      </c>
      <c r="U20" s="10" t="s">
        <v>984</v>
      </c>
      <c r="V20" s="10" t="s">
        <v>998</v>
      </c>
      <c r="W20" s="10" t="s">
        <v>51</v>
      </c>
      <c r="X20" s="10" t="s">
        <v>984</v>
      </c>
    </row>
    <row r="21">
      <c r="A21" s="9">
        <f t="shared" si="1"/>
        <v>20</v>
      </c>
      <c r="B21" s="11">
        <v>46226.66752314815</v>
      </c>
      <c r="C21" s="10" t="s">
        <v>1507</v>
      </c>
      <c r="D21" s="10" t="s">
        <v>36</v>
      </c>
      <c r="E21" s="10" t="s">
        <v>37</v>
      </c>
      <c r="F21" s="13">
        <v>2.0</v>
      </c>
      <c r="G21" s="14">
        <v>77.86</v>
      </c>
      <c r="H21" s="10" t="s">
        <v>4279</v>
      </c>
      <c r="I21" s="10">
        <v>97.8</v>
      </c>
      <c r="O21" s="15">
        <f>IFERROR(__xludf.DUMMYFUNCTION("IF(ISBLANK($C21), """", GOOGLEFINANCE($C21, ""price""))"),87.69)</f>
        <v>87.69</v>
      </c>
      <c r="P21" s="16">
        <f t="shared" si="2"/>
        <v>0.1262522476</v>
      </c>
      <c r="Q21" s="16">
        <f>IFERROR(__xludf.DUMMYFUNCTION("IF(OR(ISBLANK($G21), IFERROR(INDEX(GOOGLEFINANCE($C21, ""price"", WORKDAY(INT($B21), 1)), 2, 2), """")=""""), """", IF($D21=""LONG"", (IFERROR(INDEX(GOOGLEFINANCE($C21, ""price"", WORKDAY(INT($B21), 1)), 2, 2), """")-$G21)/$G21, ($G21-IFERROR(INDEX(GOOGLE"&amp;"FINANCE($C21, ""price"", WORKDAY(INT($B21), 1)), 2, 2), """"))/$G21))"),0.03930131004366815)</f>
        <v>0.03930131004</v>
      </c>
      <c r="R21" s="16">
        <f>IFERROR(__xludf.DUMMYFUNCTION("IF(OR(ISBLANK($G21), IFERROR(INDEX(GOOGLEFINANCE($C21, ""price"", WORKDAY(INT($B21), 5)), 2, 2), """")=""""), """", IF($D21=""LONG"", (IFERROR(INDEX(GOOGLEFINANCE($C21, ""price"", WORKDAY(INT($B21), 5)), 2, 2), """")-$G21)/$G21, ($G21-IFERROR(INDEX(GOOGLE"&amp;"FINANCE($C21, ""price"", WORKDAY(INT($B21), 5)), 2, 2), """"))/$G21))"),0.11533521705625487)</f>
        <v>0.1153352171</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4281</v>
      </c>
      <c r="U21" s="10" t="s">
        <v>984</v>
      </c>
      <c r="V21" s="10" t="s">
        <v>985</v>
      </c>
      <c r="W21" s="10" t="s">
        <v>51</v>
      </c>
      <c r="X21" s="10" t="s">
        <v>984</v>
      </c>
    </row>
    <row r="22">
      <c r="A22" s="9">
        <f t="shared" si="1"/>
        <v>21</v>
      </c>
      <c r="B22" s="11">
        <v>46226.6678125</v>
      </c>
      <c r="C22" s="10" t="s">
        <v>1154</v>
      </c>
      <c r="D22" s="10" t="s">
        <v>36</v>
      </c>
      <c r="E22" s="10" t="s">
        <v>37</v>
      </c>
      <c r="F22" s="13">
        <v>2.0</v>
      </c>
      <c r="G22" s="14">
        <v>1330.9</v>
      </c>
      <c r="H22" s="10" t="s">
        <v>4283</v>
      </c>
      <c r="I22" s="10">
        <v>95.6</v>
      </c>
      <c r="O22" s="15">
        <f>IFERROR(__xludf.DUMMYFUNCTION("IF(ISBLANK($C22), """", GOOGLEFINANCE($C22, ""price""))"),1421.24)</f>
        <v>1421.24</v>
      </c>
      <c r="P22" s="16">
        <f t="shared" si="2"/>
        <v>0.06787887895</v>
      </c>
      <c r="Q22" s="16">
        <f>IFERROR(__xludf.DUMMYFUNCTION("IF(OR(ISBLANK($G22), IFERROR(INDEX(GOOGLEFINANCE($C22, ""price"", WORKDAY(INT($B22), 1)), 2, 2), """")=""""), """", IF($D22=""LONG"", (IFERROR(INDEX(GOOGLEFINANCE($C22, ""price"", WORKDAY(INT($B22), 1)), 2, 2), """")-$G22)/$G22, ($G22-IFERROR(INDEX(GOOGLE"&amp;"FINANCE($C22, ""price"", WORKDAY(INT($B22), 1)), 2, 2), """"))/$G22))"),-0.0027951010594334863)</f>
        <v>-0.002795101059</v>
      </c>
      <c r="R22" s="16">
        <f>IFERROR(__xludf.DUMMYFUNCTION("IF(OR(ISBLANK($G22), IFERROR(INDEX(GOOGLEFINANCE($C22, ""price"", WORKDAY(INT($B22), 5)), 2, 2), """")=""""), """", IF($D22=""LONG"", (IFERROR(INDEX(GOOGLEFINANCE($C22, ""price"", WORKDAY(INT($B22), 5)), 2, 2), """")-$G22)/$G22, ($G22-IFERROR(INDEX(GOOGLE"&amp;"FINANCE($C22, ""price"", WORKDAY(INT($B22), 5)), 2, 2), """"))/$G22))"),0.03735066496355835)</f>
        <v>0.03735066496</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4285</v>
      </c>
      <c r="U22" s="10" t="s">
        <v>984</v>
      </c>
      <c r="V22" s="10" t="s">
        <v>985</v>
      </c>
      <c r="W22" s="10" t="s">
        <v>51</v>
      </c>
      <c r="X22" s="10" t="s">
        <v>984</v>
      </c>
    </row>
    <row r="23">
      <c r="A23" s="9">
        <f t="shared" si="1"/>
        <v>22</v>
      </c>
      <c r="B23" s="11">
        <v>46226.6675</v>
      </c>
      <c r="C23" s="10" t="s">
        <v>234</v>
      </c>
      <c r="D23" s="10" t="s">
        <v>36</v>
      </c>
      <c r="E23" s="10" t="s">
        <v>37</v>
      </c>
      <c r="F23" s="13">
        <v>2.0</v>
      </c>
      <c r="G23" s="14">
        <v>63.32</v>
      </c>
      <c r="H23" s="10" t="s">
        <v>4286</v>
      </c>
      <c r="I23" s="10">
        <v>91.9</v>
      </c>
      <c r="O23" s="15">
        <f>IFERROR(__xludf.DUMMYFUNCTION("IF(ISBLANK($C23), """", GOOGLEFINANCE($C23, ""price""))"),63.81)</f>
        <v>63.81</v>
      </c>
      <c r="P23" s="16">
        <f t="shared" si="2"/>
        <v>0.007738471257</v>
      </c>
      <c r="Q23" s="16">
        <f>IFERROR(__xludf.DUMMYFUNCTION("IF(OR(ISBLANK($G23), IFERROR(INDEX(GOOGLEFINANCE($C23, ""price"", WORKDAY(INT($B23), 1)), 2, 2), """")=""""), """", IF($D23=""LONG"", (IFERROR(INDEX(GOOGLEFINANCE($C23, ""price"", WORKDAY(INT($B23), 1)), 2, 2), """")-$G23)/$G23, ($G23-IFERROR(INDEX(GOOGLE"&amp;"FINANCE($C23, ""price"", WORKDAY(INT($B23), 1)), 2, 2), """"))/$G23))"),0.010265319014529352)</f>
        <v>0.01026531901</v>
      </c>
      <c r="R23" s="16">
        <f>IFERROR(__xludf.DUMMYFUNCTION("IF(OR(ISBLANK($G23), IFERROR(INDEX(GOOGLEFINANCE($C23, ""price"", WORKDAY(INT($B23), 5)), 2, 2), """")=""""), """", IF($D23=""LONG"", (IFERROR(INDEX(GOOGLEFINANCE($C23, ""price"", WORKDAY(INT($B23), 5)), 2, 2), """")-$G23)/$G23, ($G23-IFERROR(INDEX(GOOGLE"&amp;"FINANCE($C23, ""price"", WORKDAY(INT($B23), 5)), 2, 2), """"))/$G23))"),-0.006632975363234392)</f>
        <v>-0.006632975363</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4289</v>
      </c>
      <c r="U23" s="10" t="s">
        <v>240</v>
      </c>
      <c r="V23" s="10" t="s">
        <v>4291</v>
      </c>
      <c r="W23" s="10" t="s">
        <v>51</v>
      </c>
      <c r="X23" s="10" t="s">
        <v>1905</v>
      </c>
    </row>
    <row r="24">
      <c r="A24" s="9">
        <f t="shared" si="1"/>
        <v>23</v>
      </c>
      <c r="B24" s="11">
        <v>46226.66746527778</v>
      </c>
      <c r="C24" s="10" t="s">
        <v>207</v>
      </c>
      <c r="D24" s="10" t="s">
        <v>36</v>
      </c>
      <c r="E24" s="10" t="s">
        <v>4224</v>
      </c>
      <c r="F24" s="13">
        <v>4.0</v>
      </c>
      <c r="G24" s="14">
        <v>310.51</v>
      </c>
      <c r="H24" s="10" t="s">
        <v>4293</v>
      </c>
      <c r="I24" s="10">
        <v>84.0</v>
      </c>
      <c r="O24" s="15">
        <f>IFERROR(__xludf.DUMMYFUNCTION("IF(ISBLANK($C24), """", GOOGLEFINANCE($C24, ""price""))"),363.42)</f>
        <v>363.42</v>
      </c>
      <c r="P24" s="16">
        <f t="shared" si="2"/>
        <v>0.1703970887</v>
      </c>
      <c r="Q24" s="16">
        <f>IFERROR(__xludf.DUMMYFUNCTION("IF(OR(ISBLANK($G24), IFERROR(INDEX(GOOGLEFINANCE($C24, ""price"", WORKDAY(INT($B24), 1)), 2, 2), """")=""""), """", IF($D24=""LONG"", (IFERROR(INDEX(GOOGLEFINANCE($C24, ""price"", WORKDAY(INT($B24), 1)), 2, 2), """")-$G24)/$G24, ($G24-IFERROR(INDEX(GOOGLE"&amp;"FINANCE($C24, ""price"", WORKDAY(INT($B24), 1)), 2, 2), """"))/$G24))"),0.022543557373353517)</f>
        <v>0.02254355737</v>
      </c>
      <c r="R24" s="16">
        <f>IFERROR(__xludf.DUMMYFUNCTION("IF(OR(ISBLANK($G24), IFERROR(INDEX(GOOGLEFINANCE($C24, ""price"", WORKDAY(INT($B24), 5)), 2, 2), """")=""""), """", IF($D24=""LONG"", (IFERROR(INDEX(GOOGLEFINANCE($C24, ""price"", WORKDAY(INT($B24), 5)), 2, 2), """")-$G24)/$G24, ($G24-IFERROR(INDEX(GOOGLE"&amp;"FINANCE($C24, ""price"", WORKDAY(INT($B24), 5)), 2, 2), """"))/$G24))"),0.11056004637531798)</f>
        <v>0.1105600464</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4295</v>
      </c>
      <c r="U24" s="10" t="s">
        <v>984</v>
      </c>
      <c r="V24" s="10" t="s">
        <v>1059</v>
      </c>
      <c r="W24" s="10" t="s">
        <v>51</v>
      </c>
      <c r="X24" s="10" t="s">
        <v>984</v>
      </c>
    </row>
    <row r="25">
      <c r="A25" s="9">
        <f t="shared" si="1"/>
        <v>24</v>
      </c>
      <c r="B25" s="11">
        <v>46226.66753472222</v>
      </c>
      <c r="C25" s="10" t="s">
        <v>444</v>
      </c>
      <c r="D25" s="10" t="s">
        <v>36</v>
      </c>
      <c r="E25" s="10" t="s">
        <v>37</v>
      </c>
      <c r="F25" s="13">
        <v>2.0</v>
      </c>
      <c r="G25" s="14">
        <v>340.65</v>
      </c>
      <c r="H25" s="10" t="s">
        <v>4297</v>
      </c>
      <c r="I25" s="10">
        <v>93.8</v>
      </c>
      <c r="O25" s="15">
        <f>IFERROR(__xludf.DUMMYFUNCTION("IF(ISBLANK($C25), """", GOOGLEFINANCE($C25, ""price""))"),342.6)</f>
        <v>342.6</v>
      </c>
      <c r="P25" s="16">
        <f t="shared" si="2"/>
        <v>0.005724350506</v>
      </c>
      <c r="Q25" s="16">
        <f>IFERROR(__xludf.DUMMYFUNCTION("IF(OR(ISBLANK($G25), IFERROR(INDEX(GOOGLEFINANCE($C25, ""price"", WORKDAY(INT($B25), 1)), 2, 2), """")=""""), """", IF($D25=""LONG"", (IFERROR(INDEX(GOOGLEFINANCE($C25, ""price"", WORKDAY(INT($B25), 1)), 2, 2), """")-$G25)/$G25, ($G25-IFERROR(INDEX(GOOGLE"&amp;"FINANCE($C25, ""price"", WORKDAY(INT($B25), 1)), 2, 2), """"))/$G25))"),-0.04250697196536023)</f>
        <v>-0.04250697197</v>
      </c>
      <c r="R25" s="16">
        <f>IFERROR(__xludf.DUMMYFUNCTION("IF(OR(ISBLANK($G25), IFERROR(INDEX(GOOGLEFINANCE($C25, ""price"", WORKDAY(INT($B25), 5)), 2, 2), """")=""""), """", IF($D25=""LONG"", (IFERROR(INDEX(GOOGLEFINANCE($C25, ""price"", WORKDAY(INT($B25), 5)), 2, 2), """")-$G25)/$G25, ($G25-IFERROR(INDEX(GOOGLE"&amp;"FINANCE($C25, ""price"", WORKDAY(INT($B25), 5)), 2, 2), """"))/$G25))"),-0.009188316453838238)</f>
        <v>-0.009188316454</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4298</v>
      </c>
      <c r="U25" s="10" t="s">
        <v>984</v>
      </c>
      <c r="V25" s="10" t="s">
        <v>998</v>
      </c>
      <c r="W25" s="10" t="s">
        <v>51</v>
      </c>
      <c r="X25" s="10" t="s">
        <v>984</v>
      </c>
    </row>
    <row r="26">
      <c r="A26" s="9">
        <f t="shared" si="1"/>
        <v>25</v>
      </c>
      <c r="B26" s="11">
        <v>46226.66748842593</v>
      </c>
      <c r="C26" s="10" t="s">
        <v>360</v>
      </c>
      <c r="D26" s="10" t="s">
        <v>36</v>
      </c>
      <c r="E26" s="10" t="s">
        <v>87</v>
      </c>
      <c r="F26" s="13">
        <v>2.0</v>
      </c>
      <c r="G26" s="14">
        <v>154.6</v>
      </c>
      <c r="H26" s="10" t="s">
        <v>4300</v>
      </c>
      <c r="I26" s="10">
        <v>34.0</v>
      </c>
      <c r="O26" s="15">
        <f>IFERROR(__xludf.DUMMYFUNCTION("IF(ISBLANK($C26), """", GOOGLEFINANCE($C26, ""price""))"),168.7)</f>
        <v>168.7</v>
      </c>
      <c r="P26" s="16">
        <f t="shared" si="2"/>
        <v>0.09120310479</v>
      </c>
      <c r="Q26" s="16">
        <f>IFERROR(__xludf.DUMMYFUNCTION("IF(OR(ISBLANK($G26), IFERROR(INDEX(GOOGLEFINANCE($C26, ""price"", WORKDAY(INT($B26), 1)), 2, 2), """")=""""), """", IF($D26=""LONG"", (IFERROR(INDEX(GOOGLEFINANCE($C26, ""price"", WORKDAY(INT($B26), 1)), 2, 2), """")-$G26)/$G26, ($G26-IFERROR(INDEX(GOOGLE"&amp;"FINANCE($C26, ""price"", WORKDAY(INT($B26), 1)), 2, 2), """"))/$G26))"),-0.008020698576972709)</f>
        <v>-0.008020698577</v>
      </c>
      <c r="R26" s="16">
        <f>IFERROR(__xludf.DUMMYFUNCTION("IF(OR(ISBLANK($G26), IFERROR(INDEX(GOOGLEFINANCE($C26, ""price"", WORKDAY(INT($B26), 5)), 2, 2), """")=""""), """", IF($D26=""LONG"", (IFERROR(INDEX(GOOGLEFINANCE($C26, ""price"", WORKDAY(INT($B26), 5)), 2, 2), """")-$G26)/$G26, ($G26-IFERROR(INDEX(GOOGLE"&amp;"FINANCE($C26, ""price"", WORKDAY(INT($B26), 5)), 2, 2), """"))/$G26))"),0.01591203104786551)</f>
        <v>0.01591203105</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4303</v>
      </c>
      <c r="U26" s="10" t="s">
        <v>984</v>
      </c>
      <c r="V26" s="10" t="s">
        <v>933</v>
      </c>
      <c r="W26" s="10" t="s">
        <v>51</v>
      </c>
      <c r="X26" s="10" t="s">
        <v>984</v>
      </c>
    </row>
    <row r="27">
      <c r="A27" s="9">
        <f t="shared" si="1"/>
        <v>26</v>
      </c>
      <c r="B27" s="11">
        <v>46226.66752314815</v>
      </c>
      <c r="C27" s="10" t="s">
        <v>52</v>
      </c>
      <c r="D27" s="10" t="s">
        <v>36</v>
      </c>
      <c r="E27" s="10" t="s">
        <v>37</v>
      </c>
      <c r="F27" s="13">
        <v>2.0</v>
      </c>
      <c r="G27" s="14">
        <v>116.73</v>
      </c>
      <c r="H27" s="10" t="s">
        <v>4305</v>
      </c>
      <c r="I27" s="10">
        <v>94.5</v>
      </c>
      <c r="O27" s="15">
        <f>IFERROR(__xludf.DUMMYFUNCTION("IF(ISBLANK($C27), """", GOOGLEFINANCE($C27, ""price""))"),118.38)</f>
        <v>118.38</v>
      </c>
      <c r="P27" s="16">
        <f t="shared" si="2"/>
        <v>0.01413518376</v>
      </c>
      <c r="Q27" s="16">
        <f>IFERROR(__xludf.DUMMYFUNCTION("IF(OR(ISBLANK($G27), IFERROR(INDEX(GOOGLEFINANCE($C27, ""price"", WORKDAY(INT($B27), 1)), 2, 2), """")=""""), """", IF($D27=""LONG"", (IFERROR(INDEX(GOOGLEFINANCE($C27, ""price"", WORKDAY(INT($B27), 1)), 2, 2), """")-$G27)/$G27, ($G27-IFERROR(INDEX(GOOGLE"&amp;"FINANCE($C27, ""price"", WORKDAY(INT($B27), 1)), 2, 2), """"))/$G27))"),0.008052771352694232)</f>
        <v>0.008052771353</v>
      </c>
      <c r="R27" s="16">
        <f>IFERROR(__xludf.DUMMYFUNCTION("IF(OR(ISBLANK($G27), IFERROR(INDEX(GOOGLEFINANCE($C27, ""price"", WORKDAY(INT($B27), 5)), 2, 2), """")=""""), """", IF($D27=""LONG"", (IFERROR(INDEX(GOOGLEFINANCE($C27, ""price"", WORKDAY(INT($B27), 5)), 2, 2), """")-$G27)/$G27, ($G27-IFERROR(INDEX(GOOGLE"&amp;"FINANCE($C27, ""price"", WORKDAY(INT($B27), 5)), 2, 2), """"))/$G27))"),0.053628030497729726)</f>
        <v>0.0536280305</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4308</v>
      </c>
      <c r="U27" s="10" t="s">
        <v>984</v>
      </c>
      <c r="V27" s="10" t="s">
        <v>933</v>
      </c>
      <c r="W27" s="10" t="s">
        <v>51</v>
      </c>
      <c r="X27" s="10" t="s">
        <v>984</v>
      </c>
    </row>
    <row r="28">
      <c r="A28" s="9">
        <f t="shared" si="1"/>
        <v>27</v>
      </c>
      <c r="B28" s="11">
        <v>46226.66793981481</v>
      </c>
      <c r="C28" s="10" t="s">
        <v>1672</v>
      </c>
      <c r="D28" s="10" t="s">
        <v>36</v>
      </c>
      <c r="E28" s="10" t="s">
        <v>37</v>
      </c>
      <c r="F28" s="13">
        <v>2.0</v>
      </c>
      <c r="G28" s="14">
        <v>100.14</v>
      </c>
      <c r="H28" s="10" t="s">
        <v>4310</v>
      </c>
      <c r="I28" s="10">
        <v>93.4</v>
      </c>
      <c r="O28" s="15">
        <f>IFERROR(__xludf.DUMMYFUNCTION("IF(ISBLANK($C28), """", GOOGLEFINANCE($C28, ""price""))"),99.29)</f>
        <v>99.29</v>
      </c>
      <c r="P28" s="16">
        <f t="shared" si="2"/>
        <v>-0.008488116637</v>
      </c>
      <c r="Q28" s="16">
        <f>IFERROR(__xludf.DUMMYFUNCTION("IF(OR(ISBLANK($G28), IFERROR(INDEX(GOOGLEFINANCE($C28, ""price"", WORKDAY(INT($B28), 1)), 2, 2), """")=""""), """", IF($D28=""LONG"", (IFERROR(INDEX(GOOGLEFINANCE($C28, ""price"", WORKDAY(INT($B28), 1)), 2, 2), """")-$G28)/$G28, ($G28-IFERROR(INDEX(GOOGLE"&amp;"FINANCE($C28, ""price"", WORKDAY(INT($B28), 1)), 2, 2), """"))/$G28))"),0.032154983023766716)</f>
        <v>0.03215498302</v>
      </c>
      <c r="R28" s="16">
        <f>IFERROR(__xludf.DUMMYFUNCTION("IF(OR(ISBLANK($G28), IFERROR(INDEX(GOOGLEFINANCE($C28, ""price"", WORKDAY(INT($B28), 5)), 2, 2), """")=""""), """", IF($D28=""LONG"", (IFERROR(INDEX(GOOGLEFINANCE($C28, ""price"", WORKDAY(INT($B28), 5)), 2, 2), """")-$G28)/$G28, ($G28-IFERROR(INDEX(GOOGLE"&amp;"FINANCE($C28, ""price"", WORKDAY(INT($B28), 5)), 2, 2), """"))/$G28))"),0.009986019572598362)</f>
        <v>0.009986019573</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4312</v>
      </c>
      <c r="U28" s="10" t="s">
        <v>984</v>
      </c>
      <c r="V28" s="10" t="s">
        <v>933</v>
      </c>
      <c r="W28" s="10" t="s">
        <v>51</v>
      </c>
      <c r="X28" s="10" t="s">
        <v>984</v>
      </c>
    </row>
    <row r="29">
      <c r="A29" s="9">
        <f t="shared" si="1"/>
        <v>28</v>
      </c>
      <c r="B29" s="11">
        <v>46226.66751157407</v>
      </c>
      <c r="C29" s="10" t="s">
        <v>269</v>
      </c>
      <c r="D29" s="10" t="s">
        <v>36</v>
      </c>
      <c r="E29" s="10" t="s">
        <v>37</v>
      </c>
      <c r="F29" s="13">
        <v>2.0</v>
      </c>
      <c r="G29" s="14">
        <v>184.16</v>
      </c>
      <c r="H29" s="10" t="s">
        <v>4313</v>
      </c>
      <c r="I29" s="10">
        <v>92.5</v>
      </c>
      <c r="O29" s="15">
        <f>IFERROR(__xludf.DUMMYFUNCTION("IF(ISBLANK($C29), """", GOOGLEFINANCE($C29, ""price""))"),184.92)</f>
        <v>184.92</v>
      </c>
      <c r="P29" s="16">
        <f t="shared" si="2"/>
        <v>0.004126846221</v>
      </c>
      <c r="Q29" s="16">
        <f>IFERROR(__xludf.DUMMYFUNCTION("IF(OR(ISBLANK($G29), IFERROR(INDEX(GOOGLEFINANCE($C29, ""price"", WORKDAY(INT($B29), 1)), 2, 2), """")=""""), """", IF($D29=""LONG"", (IFERROR(INDEX(GOOGLEFINANCE($C29, ""price"", WORKDAY(INT($B29), 1)), 2, 2), """")-$G29)/$G29, ($G29-IFERROR(INDEX(GOOGLE"&amp;"FINANCE($C29, ""price"", WORKDAY(INT($B29), 1)), 2, 2), """"))/$G29))"),0.0067332754126846715)</f>
        <v>0.006733275413</v>
      </c>
      <c r="R29" s="16">
        <f>IFERROR(__xludf.DUMMYFUNCTION("IF(OR(ISBLANK($G29), IFERROR(INDEX(GOOGLEFINANCE($C29, ""price"", WORKDAY(INT($B29), 5)), 2, 2), """")=""""), """", IF($D29=""LONG"", (IFERROR(INDEX(GOOGLEFINANCE($C29, ""price"", WORKDAY(INT($B29), 5)), 2, 2), """")-$G29)/$G29, ($G29-IFERROR(INDEX(GOOGLE"&amp;"FINANCE($C29, ""price"", WORKDAY(INT($B29), 5)), 2, 2), """"))/$G29))"),-0.007276281494352756)</f>
        <v>-0.007276281494</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4314</v>
      </c>
      <c r="U29" s="10" t="s">
        <v>984</v>
      </c>
      <c r="V29" s="10" t="s">
        <v>933</v>
      </c>
      <c r="W29" s="10" t="s">
        <v>51</v>
      </c>
      <c r="X29" s="10" t="s">
        <v>984</v>
      </c>
    </row>
    <row r="30">
      <c r="A30" s="9">
        <f t="shared" si="1"/>
        <v>29</v>
      </c>
      <c r="B30" s="11">
        <v>46226.667546296296</v>
      </c>
      <c r="C30" s="10" t="s">
        <v>2692</v>
      </c>
      <c r="D30" s="10" t="s">
        <v>36</v>
      </c>
      <c r="E30" s="10" t="s">
        <v>37</v>
      </c>
      <c r="F30" s="13">
        <v>2.0</v>
      </c>
      <c r="G30" s="14">
        <v>64.71</v>
      </c>
      <c r="H30" s="10" t="s">
        <v>4315</v>
      </c>
      <c r="I30" s="10">
        <v>93.0</v>
      </c>
      <c r="O30" s="15">
        <f>IFERROR(__xludf.DUMMYFUNCTION("IF(ISBLANK($C30), """", GOOGLEFINANCE($C30, ""price""))"),62.36)</f>
        <v>62.36</v>
      </c>
      <c r="P30" s="16">
        <f t="shared" si="2"/>
        <v>-0.03631587081</v>
      </c>
      <c r="Q30" s="16">
        <f>IFERROR(__xludf.DUMMYFUNCTION("IF(OR(ISBLANK($G30), IFERROR(INDEX(GOOGLEFINANCE($C30, ""price"", WORKDAY(INT($B30), 1)), 2, 2), """")=""""), """", IF($D30=""LONG"", (IFERROR(INDEX(GOOGLEFINANCE($C30, ""price"", WORKDAY(INT($B30), 1)), 2, 2), """")-$G30)/$G30, ($G30-IFERROR(INDEX(GOOGLE"&amp;"FINANCE($C30, ""price"", WORKDAY(INT($B30), 1)), 2, 2), """"))/$G30))"),0.013753670220985947)</f>
        <v>0.01375367022</v>
      </c>
      <c r="R30" s="16">
        <f>IFERROR(__xludf.DUMMYFUNCTION("IF(OR(ISBLANK($G30), IFERROR(INDEX(GOOGLEFINANCE($C30, ""price"", WORKDAY(INT($B30), 5)), 2, 2), """")=""""), """", IF($D30=""LONG"", (IFERROR(INDEX(GOOGLEFINANCE($C30, ""price"", WORKDAY(INT($B30), 5)), 2, 2), """")-$G30)/$G30, ($G30-IFERROR(INDEX(GOOGLE"&amp;"FINANCE($C30, ""price"", WORKDAY(INT($B30), 5)), 2, 2), """"))/$G30))"),-0.00432699737289425)</f>
        <v>-0.004326997373</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4316</v>
      </c>
      <c r="U30" s="10" t="s">
        <v>507</v>
      </c>
      <c r="V30" s="10" t="s">
        <v>4317</v>
      </c>
      <c r="W30" s="10" t="s">
        <v>51</v>
      </c>
      <c r="X30" s="10" t="s">
        <v>2228</v>
      </c>
    </row>
    <row r="31">
      <c r="A31" s="9">
        <f t="shared" si="1"/>
        <v>30</v>
      </c>
      <c r="B31" s="11">
        <v>46226.66758101852</v>
      </c>
      <c r="C31" s="10" t="s">
        <v>3081</v>
      </c>
      <c r="D31" s="10" t="s">
        <v>36</v>
      </c>
      <c r="E31" s="10" t="s">
        <v>37</v>
      </c>
      <c r="F31" s="13">
        <v>2.0</v>
      </c>
      <c r="G31" s="14">
        <v>17.55</v>
      </c>
      <c r="H31" s="10" t="s">
        <v>4318</v>
      </c>
      <c r="I31" s="10">
        <v>90.7</v>
      </c>
      <c r="O31" s="15">
        <f>IFERROR(__xludf.DUMMYFUNCTION("IF(ISBLANK($C31), """", GOOGLEFINANCE($C31, ""price""))"),17.0)</f>
        <v>17</v>
      </c>
      <c r="P31" s="16">
        <f t="shared" si="2"/>
        <v>-0.03133903134</v>
      </c>
      <c r="Q31" s="16">
        <f>IFERROR(__xludf.DUMMYFUNCTION("IF(OR(ISBLANK($G31), IFERROR(INDEX(GOOGLEFINANCE($C31, ""price"", WORKDAY(INT($B31), 1)), 2, 2), """")=""""), """", IF($D31=""LONG"", (IFERROR(INDEX(GOOGLEFINANCE($C31, ""price"", WORKDAY(INT($B31), 1)), 2, 2), """")-$G31)/$G31, ($G31-IFERROR(INDEX(GOOGLE"&amp;"FINANCE($C31, ""price"", WORKDAY(INT($B31), 1)), 2, 2), """"))/$G31))"),0.017094017094017134)</f>
        <v>0.01709401709</v>
      </c>
      <c r="R31" s="16">
        <f>IFERROR(__xludf.DUMMYFUNCTION("IF(OR(ISBLANK($G31), IFERROR(INDEX(GOOGLEFINANCE($C31, ""price"", WORKDAY(INT($B31), 5)), 2, 2), """")=""""), """", IF($D31=""LONG"", (IFERROR(INDEX(GOOGLEFINANCE($C31, ""price"", WORKDAY(INT($B31), 5)), 2, 2), """")-$G31)/$G31, ($G31-IFERROR(INDEX(GOOGLE"&amp;"FINANCE($C31, ""price"", WORKDAY(INT($B31), 5)), 2, 2), """"))/$G31))"),0.01310541310541313)</f>
        <v>0.01310541311</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4319</v>
      </c>
      <c r="U31" s="10" t="s">
        <v>984</v>
      </c>
      <c r="V31" s="10" t="s">
        <v>933</v>
      </c>
      <c r="W31" s="10" t="s">
        <v>51</v>
      </c>
      <c r="X31" s="10" t="s">
        <v>984</v>
      </c>
    </row>
    <row r="32">
      <c r="A32" s="9">
        <f t="shared" si="1"/>
        <v>31</v>
      </c>
      <c r="B32" s="11">
        <v>46226.66752314815</v>
      </c>
      <c r="C32" s="10" t="s">
        <v>228</v>
      </c>
      <c r="D32" s="10" t="s">
        <v>36</v>
      </c>
      <c r="E32" s="10" t="s">
        <v>37</v>
      </c>
      <c r="F32" s="13">
        <v>2.0</v>
      </c>
      <c r="G32" s="14">
        <v>73.44</v>
      </c>
      <c r="H32" s="10" t="s">
        <v>4320</v>
      </c>
      <c r="I32" s="10">
        <v>95.5</v>
      </c>
      <c r="O32" s="15">
        <f>IFERROR(__xludf.DUMMYFUNCTION("IF(ISBLANK($C32), """", GOOGLEFINANCE($C32, ""price""))"),72.13)</f>
        <v>72.13</v>
      </c>
      <c r="P32" s="16">
        <f t="shared" si="2"/>
        <v>-0.01783769063</v>
      </c>
      <c r="Q32" s="16">
        <f>IFERROR(__xludf.DUMMYFUNCTION("IF(OR(ISBLANK($G32), IFERROR(INDEX(GOOGLEFINANCE($C32, ""price"", WORKDAY(INT($B32), 1)), 2, 2), """")=""""), """", IF($D32=""LONG"", (IFERROR(INDEX(GOOGLEFINANCE($C32, ""price"", WORKDAY(INT($B32), 1)), 2, 2), """")-$G32)/$G32, ($G32-IFERROR(INDEX(GOOGLE"&amp;"FINANCE($C32, ""price"", WORKDAY(INT($B32), 1)), 2, 2), """"))/$G32))"),0.027505446623093628)</f>
        <v>0.02750544662</v>
      </c>
      <c r="R32" s="16">
        <f>IFERROR(__xludf.DUMMYFUNCTION("IF(OR(ISBLANK($G32), IFERROR(INDEX(GOOGLEFINANCE($C32, ""price"", WORKDAY(INT($B32), 5)), 2, 2), """")=""""), """", IF($D32=""LONG"", (IFERROR(INDEX(GOOGLEFINANCE($C32, ""price"", WORKDAY(INT($B32), 5)), 2, 2), """")-$G32)/$G32, ($G32-IFERROR(INDEX(GOOGLE"&amp;"FINANCE($C32, ""price"", WORKDAY(INT($B32), 5)), 2, 2), """"))/$G32))"),-8.169934640523186E-4)</f>
        <v>-0.0008169934641</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4321</v>
      </c>
      <c r="U32" s="10" t="s">
        <v>507</v>
      </c>
      <c r="V32" s="10" t="s">
        <v>4322</v>
      </c>
      <c r="W32" s="10" t="s">
        <v>51</v>
      </c>
      <c r="X32" s="10" t="s">
        <v>2228</v>
      </c>
    </row>
    <row r="33">
      <c r="A33" s="9">
        <f t="shared" si="1"/>
        <v>32</v>
      </c>
      <c r="B33" s="11">
        <v>46226.66761574074</v>
      </c>
      <c r="C33" s="10" t="s">
        <v>2066</v>
      </c>
      <c r="D33" s="10" t="s">
        <v>36</v>
      </c>
      <c r="E33" s="10" t="s">
        <v>37</v>
      </c>
      <c r="F33" s="13">
        <v>2.0</v>
      </c>
      <c r="G33" s="14">
        <v>91.51</v>
      </c>
      <c r="H33" s="10" t="s">
        <v>4323</v>
      </c>
      <c r="I33" s="10">
        <v>98.4</v>
      </c>
      <c r="O33" s="15">
        <f>IFERROR(__xludf.DUMMYFUNCTION("IF(ISBLANK($C33), """", GOOGLEFINANCE($C33, ""price""))"),98.02)</f>
        <v>98.02</v>
      </c>
      <c r="P33" s="16">
        <f t="shared" si="2"/>
        <v>0.07113976615</v>
      </c>
      <c r="Q33" s="16">
        <f>IFERROR(__xludf.DUMMYFUNCTION("IF(OR(ISBLANK($G33), IFERROR(INDEX(GOOGLEFINANCE($C33, ""price"", WORKDAY(INT($B33), 1)), 2, 2), """")=""""), """", IF($D33=""LONG"", (IFERROR(INDEX(GOOGLEFINANCE($C33, ""price"", WORKDAY(INT($B33), 1)), 2, 2), """")-$G33)/$G33, ($G33-IFERROR(INDEX(GOOGLE"&amp;"FINANCE($C33, ""price"", WORKDAY(INT($B33), 1)), 2, 2), """"))/$G33))"),0.005573161403125242)</f>
        <v>0.005573161403</v>
      </c>
      <c r="R33" s="16">
        <f>IFERROR(__xludf.DUMMYFUNCTION("IF(OR(ISBLANK($G33), IFERROR(INDEX(GOOGLEFINANCE($C33, ""price"", WORKDAY(INT($B33), 5)), 2, 2), """")=""""), """", IF($D33=""LONG"", (IFERROR(INDEX(GOOGLEFINANCE($C33, ""price"", WORKDAY(INT($B33), 5)), 2, 2), """")-$G33)/$G33, ($G33-IFERROR(INDEX(GOOGLE"&amp;"FINANCE($C33, ""price"", WORKDAY(INT($B33), 5)), 2, 2), """"))/$G33))"),0.03496885586274712)</f>
        <v>0.03496885586</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4324</v>
      </c>
      <c r="U33" s="10" t="s">
        <v>984</v>
      </c>
      <c r="V33" s="10" t="s">
        <v>985</v>
      </c>
      <c r="W33" s="10" t="s">
        <v>51</v>
      </c>
      <c r="X33" s="10" t="s">
        <v>984</v>
      </c>
    </row>
    <row r="34">
      <c r="A34" s="9">
        <f t="shared" si="1"/>
        <v>33</v>
      </c>
      <c r="B34" s="11">
        <v>46226.667592592596</v>
      </c>
      <c r="C34" s="10" t="s">
        <v>158</v>
      </c>
      <c r="D34" s="10" t="s">
        <v>36</v>
      </c>
      <c r="E34" s="10" t="s">
        <v>37</v>
      </c>
      <c r="F34" s="13">
        <v>2.0</v>
      </c>
      <c r="G34" s="14">
        <v>74.62</v>
      </c>
      <c r="H34" s="10" t="s">
        <v>4325</v>
      </c>
      <c r="I34" s="10">
        <v>92.4</v>
      </c>
      <c r="O34" s="15">
        <f>IFERROR(__xludf.DUMMYFUNCTION("IF(ISBLANK($C34), """", GOOGLEFINANCE($C34, ""price""))"),72.06)</f>
        <v>72.06</v>
      </c>
      <c r="P34" s="16">
        <f t="shared" si="2"/>
        <v>-0.03430715626</v>
      </c>
      <c r="Q34" s="16">
        <f>IFERROR(__xludf.DUMMYFUNCTION("IF(OR(ISBLANK($G34), IFERROR(INDEX(GOOGLEFINANCE($C34, ""price"", WORKDAY(INT($B34), 1)), 2, 2), """")=""""), """", IF($D34=""LONG"", (IFERROR(INDEX(GOOGLEFINANCE($C34, ""price"", WORKDAY(INT($B34), 1)), 2, 2), """")-$G34)/$G34, ($G34-IFERROR(INDEX(GOOGLE"&amp;"FINANCE($C34, ""price"", WORKDAY(INT($B34), 1)), 2, 2), """"))/$G34))"),0.0038863575448940236)</f>
        <v>0.003886357545</v>
      </c>
      <c r="R34" s="16">
        <f>IFERROR(__xludf.DUMMYFUNCTION("IF(OR(ISBLANK($G34), IFERROR(INDEX(GOOGLEFINANCE($C34, ""price"", WORKDAY(INT($B34), 5)), 2, 2), """")=""""), """", IF($D34=""LONG"", (IFERROR(INDEX(GOOGLEFINANCE($C34, ""price"", WORKDAY(INT($B34), 5)), 2, 2), """")-$G34)/$G34, ($G34-IFERROR(INDEX(GOOGLE"&amp;"FINANCE($C34, ""price"", WORKDAY(INT($B34), 5)), 2, 2), """"))/$G34))"),-0.010452961672473882)</f>
        <v>-0.01045296167</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4326</v>
      </c>
      <c r="U34" s="10" t="s">
        <v>984</v>
      </c>
      <c r="V34" s="10" t="s">
        <v>933</v>
      </c>
      <c r="W34" s="10" t="s">
        <v>51</v>
      </c>
      <c r="X34" s="10" t="s">
        <v>984</v>
      </c>
    </row>
    <row r="35">
      <c r="A35" s="9">
        <f t="shared" si="1"/>
        <v>34</v>
      </c>
      <c r="B35" s="11">
        <v>46226.66753472222</v>
      </c>
      <c r="C35" s="10" t="s">
        <v>397</v>
      </c>
      <c r="D35" s="10" t="s">
        <v>36</v>
      </c>
      <c r="E35" s="10" t="s">
        <v>37</v>
      </c>
      <c r="F35" s="13">
        <v>2.0</v>
      </c>
      <c r="G35" s="14">
        <v>257.68</v>
      </c>
      <c r="H35" s="10" t="s">
        <v>4327</v>
      </c>
      <c r="I35" s="10">
        <v>89.0</v>
      </c>
      <c r="O35" s="15">
        <f>IFERROR(__xludf.DUMMYFUNCTION("IF(ISBLANK($C35), """", GOOGLEFINANCE($C35, ""price""))"),306.57)</f>
        <v>306.57</v>
      </c>
      <c r="P35" s="16">
        <f t="shared" si="2"/>
        <v>0.1897314499</v>
      </c>
      <c r="Q35" s="16">
        <f>IFERROR(__xludf.DUMMYFUNCTION("IF(OR(ISBLANK($G35), IFERROR(INDEX(GOOGLEFINANCE($C35, ""price"", WORKDAY(INT($B35), 1)), 2, 2), """")=""""), """", IF($D35=""LONG"", (IFERROR(INDEX(GOOGLEFINANCE($C35, ""price"", WORKDAY(INT($B35), 1)), 2, 2), """")-$G35)/$G35, ($G35-IFERROR(INDEX(GOOGLE"&amp;"FINANCE($C35, ""price"", WORKDAY(INT($B35), 1)), 2, 2), """"))/$G35))"),0.008770568146538307)</f>
        <v>0.008770568147</v>
      </c>
      <c r="R35" s="16">
        <f>IFERROR(__xludf.DUMMYFUNCTION("IF(OR(ISBLANK($G35), IFERROR(INDEX(GOOGLEFINANCE($C35, ""price"", WORKDAY(INT($B35), 5)), 2, 2), """")=""""), """", IF($D35=""LONG"", (IFERROR(INDEX(GOOGLEFINANCE($C35, ""price"", WORKDAY(INT($B35), 5)), 2, 2), """")-$G35)/$G35, ($G35-IFERROR(INDEX(GOOGLE"&amp;"FINANCE($C35, ""price"", WORKDAY(INT($B35), 5)), 2, 2), """"))/$G35))"),0.1367975783918038)</f>
        <v>0.1367975784</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4328</v>
      </c>
      <c r="U35" s="10" t="s">
        <v>492</v>
      </c>
      <c r="V35" s="10" t="s">
        <v>493</v>
      </c>
      <c r="W35" s="10" t="s">
        <v>51</v>
      </c>
      <c r="X35" s="10" t="s">
        <v>492</v>
      </c>
    </row>
    <row r="36">
      <c r="A36" s="9">
        <f t="shared" si="1"/>
        <v>35</v>
      </c>
      <c r="B36" s="11">
        <v>46226.66756944444</v>
      </c>
      <c r="C36" s="10" t="s">
        <v>174</v>
      </c>
      <c r="D36" s="10" t="s">
        <v>36</v>
      </c>
      <c r="E36" s="10" t="s">
        <v>37</v>
      </c>
      <c r="F36" s="13">
        <v>2.0</v>
      </c>
      <c r="G36" s="14">
        <v>25.02</v>
      </c>
      <c r="H36" s="10" t="s">
        <v>4329</v>
      </c>
      <c r="I36" s="10">
        <v>88.4</v>
      </c>
      <c r="L36" s="10" t="s">
        <v>4330</v>
      </c>
      <c r="M36" s="34" t="s">
        <v>2106</v>
      </c>
      <c r="N36" s="10" t="s">
        <v>925</v>
      </c>
      <c r="O36" s="15">
        <f>IFERROR(__xludf.DUMMYFUNCTION("IF(ISBLANK($C36), """", GOOGLEFINANCE($C36, ""price""))"),25.09)</f>
        <v>25.09</v>
      </c>
      <c r="P36" s="16">
        <f t="shared" si="2"/>
        <v>0.002797761791</v>
      </c>
      <c r="Q36" s="16">
        <f>IFERROR(__xludf.DUMMYFUNCTION("IF(OR(ISBLANK($G36), IFERROR(INDEX(GOOGLEFINANCE($C36, ""price"", WORKDAY(INT($B36), 1)), 2, 2), """")=""""), """", IF($D36=""LONG"", (IFERROR(INDEX(GOOGLEFINANCE($C36, ""price"", WORKDAY(INT($B36), 1)), 2, 2), """")-$G36)/$G36, ($G36-IFERROR(INDEX(GOOGLE"&amp;"FINANCE($C36, ""price"", WORKDAY(INT($B36), 1)), 2, 2), """"))/$G36))"),0.011590727418065513)</f>
        <v>0.01159072742</v>
      </c>
      <c r="R36" s="16">
        <f>IFERROR(__xludf.DUMMYFUNCTION("IF(OR(ISBLANK($G36), IFERROR(INDEX(GOOGLEFINANCE($C36, ""price"", WORKDAY(INT($B36), 5)), 2, 2), """")=""""), """", IF($D36=""LONG"", (IFERROR(INDEX(GOOGLEFINANCE($C36, ""price"", WORKDAY(INT($B36), 5)), 2, 2), """")-$G36)/$G36, ($G36-IFERROR(INDEX(GOOGLE"&amp;"FINANCE($C36, ""price"", WORKDAY(INT($B36), 5)), 2, 2), """"))/$G36))"),0.013988808952837786)</f>
        <v>0.01398880895</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4331</v>
      </c>
      <c r="U36" s="10" t="s">
        <v>240</v>
      </c>
      <c r="V36" s="10" t="s">
        <v>4332</v>
      </c>
      <c r="W36" s="10" t="s">
        <v>51</v>
      </c>
      <c r="X36" s="10" t="s">
        <v>1905</v>
      </c>
    </row>
    <row r="37">
      <c r="A37" s="9">
        <f t="shared" si="1"/>
        <v>36</v>
      </c>
      <c r="B37" s="11">
        <v>46226.66763888889</v>
      </c>
      <c r="C37" s="10" t="s">
        <v>392</v>
      </c>
      <c r="D37" s="10" t="s">
        <v>36</v>
      </c>
      <c r="E37" s="10" t="s">
        <v>37</v>
      </c>
      <c r="F37" s="13">
        <v>2.0</v>
      </c>
      <c r="G37" s="14">
        <v>234.16</v>
      </c>
      <c r="H37" s="10" t="s">
        <v>4333</v>
      </c>
      <c r="I37" s="10">
        <v>94.5</v>
      </c>
      <c r="O37" s="15">
        <f>IFERROR(__xludf.DUMMYFUNCTION("IF(ISBLANK($C37), """", GOOGLEFINANCE($C37, ""price""))"),180.67)</f>
        <v>180.67</v>
      </c>
      <c r="P37" s="16">
        <f t="shared" si="2"/>
        <v>-0.2284335497</v>
      </c>
      <c r="Q37" s="16">
        <f>IFERROR(__xludf.DUMMYFUNCTION("IF(OR(ISBLANK($G37), IFERROR(INDEX(GOOGLEFINANCE($C37, ""price"", WORKDAY(INT($B37), 1)), 2, 2), """")=""""), """", IF($D37=""LONG"", (IFERROR(INDEX(GOOGLEFINANCE($C37, ""price"", WORKDAY(INT($B37), 1)), 2, 2), """")-$G37)/$G37, ($G37-IFERROR(INDEX(GOOGLE"&amp;"FINANCE($C37, ""price"", WORKDAY(INT($B37), 1)), 2, 2), """"))/$G37))"),0.00546634779637855)</f>
        <v>0.005466347796</v>
      </c>
      <c r="R37" s="16">
        <f>IFERROR(__xludf.DUMMYFUNCTION("IF(OR(ISBLANK($G37), IFERROR(INDEX(GOOGLEFINANCE($C37, ""price"", WORKDAY(INT($B37), 5)), 2, 2), """")=""""), """", IF($D37=""LONG"", (IFERROR(INDEX(GOOGLEFINANCE($C37, ""price"", WORKDAY(INT($B37), 5)), 2, 2), """")-$G37)/$G37, ($G37-IFERROR(INDEX(GOOGLE"&amp;"FINANCE($C37, ""price"", WORKDAY(INT($B37), 5)), 2, 2), """"))/$G37))"),0.02007174581482754)</f>
        <v>0.02007174581</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4334</v>
      </c>
      <c r="U37" s="10" t="s">
        <v>615</v>
      </c>
      <c r="V37" s="10" t="s">
        <v>4335</v>
      </c>
      <c r="W37" s="10" t="s">
        <v>51</v>
      </c>
      <c r="X37" s="10" t="s">
        <v>2637</v>
      </c>
    </row>
    <row r="38">
      <c r="A38" s="9">
        <f t="shared" si="1"/>
        <v>37</v>
      </c>
      <c r="B38" s="11">
        <v>46226.66752314815</v>
      </c>
      <c r="C38" s="10" t="s">
        <v>98</v>
      </c>
      <c r="D38" s="10" t="s">
        <v>36</v>
      </c>
      <c r="E38" s="10" t="s">
        <v>37</v>
      </c>
      <c r="F38" s="13">
        <v>2.0</v>
      </c>
      <c r="G38" s="14">
        <v>30.65</v>
      </c>
      <c r="H38" s="10" t="s">
        <v>4310</v>
      </c>
      <c r="I38" s="10">
        <v>90.7</v>
      </c>
      <c r="O38" s="15">
        <f>IFERROR(__xludf.DUMMYFUNCTION("IF(ISBLANK($C38), """", GOOGLEFINANCE($C38, ""price""))"),31.39)</f>
        <v>31.39</v>
      </c>
      <c r="P38" s="16">
        <f t="shared" si="2"/>
        <v>0.02414355628</v>
      </c>
      <c r="Q38" s="16">
        <f>IFERROR(__xludf.DUMMYFUNCTION("IF(OR(ISBLANK($G38), IFERROR(INDEX(GOOGLEFINANCE($C38, ""price"", WORKDAY(INT($B38), 1)), 2, 2), """")=""""), """", IF($D38=""LONG"", (IFERROR(INDEX(GOOGLEFINANCE($C38, ""price"", WORKDAY(INT($B38), 1)), 2, 2), """")-$G38)/$G38, ($G38-IFERROR(INDEX(GOOGLE"&amp;"FINANCE($C38, ""price"", WORKDAY(INT($B38), 1)), 2, 2), """"))/$G38))"),0.006851549755301823)</f>
        <v>0.006851549755</v>
      </c>
      <c r="R38" s="16">
        <f>IFERROR(__xludf.DUMMYFUNCTION("IF(OR(ISBLANK($G38), IFERROR(INDEX(GOOGLEFINANCE($C38, ""price"", WORKDAY(INT($B38), 5)), 2, 2), """")=""""), """", IF($D38=""LONG"", (IFERROR(INDEX(GOOGLEFINANCE($C38, ""price"", WORKDAY(INT($B38), 5)), 2, 2), """")-$G38)/$G38, ($G38-IFERROR(INDEX(GOOGLE"&amp;"FINANCE($C38, ""price"", WORKDAY(INT($B38), 5)), 2, 2), """"))/$G38))"),0.006525285481239897)</f>
        <v>0.006525285481</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4336</v>
      </c>
      <c r="U38" s="10" t="s">
        <v>984</v>
      </c>
      <c r="V38" s="10" t="s">
        <v>933</v>
      </c>
      <c r="W38" s="10" t="s">
        <v>51</v>
      </c>
      <c r="X38" s="10" t="s">
        <v>984</v>
      </c>
    </row>
    <row r="39">
      <c r="A39" s="9">
        <f t="shared" si="1"/>
        <v>38</v>
      </c>
      <c r="B39" s="11">
        <v>46226.66753472222</v>
      </c>
      <c r="C39" s="10" t="s">
        <v>3721</v>
      </c>
      <c r="D39" s="10" t="s">
        <v>36</v>
      </c>
      <c r="E39" s="10" t="s">
        <v>37</v>
      </c>
      <c r="F39" s="13">
        <v>2.0</v>
      </c>
      <c r="G39" s="14">
        <v>101.6</v>
      </c>
      <c r="H39" s="10" t="s">
        <v>4337</v>
      </c>
      <c r="I39" s="10">
        <v>97.3</v>
      </c>
      <c r="O39" s="15">
        <f>IFERROR(__xludf.DUMMYFUNCTION("IF(ISBLANK($C39), """", GOOGLEFINANCE($C39, ""price""))"),107.66)</f>
        <v>107.66</v>
      </c>
      <c r="P39" s="16">
        <f t="shared" si="2"/>
        <v>0.05964566929</v>
      </c>
      <c r="Q39" s="16">
        <f>IFERROR(__xludf.DUMMYFUNCTION("IF(OR(ISBLANK($G39), IFERROR(INDEX(GOOGLEFINANCE($C39, ""price"", WORKDAY(INT($B39), 1)), 2, 2), """")=""""), """", IF($D39=""LONG"", (IFERROR(INDEX(GOOGLEFINANCE($C39, ""price"", WORKDAY(INT($B39), 1)), 2, 2), """")-$G39)/$G39, ($G39-IFERROR(INDEX(GOOGLE"&amp;"FINANCE($C39, ""price"", WORKDAY(INT($B39), 1)), 2, 2), """"))/$G39))"),0.003641732283464612)</f>
        <v>0.003641732283</v>
      </c>
      <c r="R39" s="16">
        <f>IFERROR(__xludf.DUMMYFUNCTION("IF(OR(ISBLANK($G39), IFERROR(INDEX(GOOGLEFINANCE($C39, ""price"", WORKDAY(INT($B39), 5)), 2, 2), """")=""""), """", IF($D39=""LONG"", (IFERROR(INDEX(GOOGLEFINANCE($C39, ""price"", WORKDAY(INT($B39), 5)), 2, 2), """")-$G39)/$G39, ($G39-IFERROR(INDEX(GOOGLE"&amp;"FINANCE($C39, ""price"", WORKDAY(INT($B39), 5)), 2, 2), """"))/$G39))"),0.02687007874015752)</f>
        <v>0.02687007874</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4338</v>
      </c>
      <c r="U39" s="10" t="s">
        <v>984</v>
      </c>
      <c r="V39" s="10" t="s">
        <v>933</v>
      </c>
      <c r="W39" s="10" t="s">
        <v>51</v>
      </c>
      <c r="X39" s="10" t="s">
        <v>984</v>
      </c>
    </row>
    <row r="40">
      <c r="A40" s="9">
        <f t="shared" si="1"/>
        <v>39</v>
      </c>
      <c r="B40" s="11">
        <v>46226.66755787037</v>
      </c>
      <c r="C40" s="10" t="s">
        <v>80</v>
      </c>
      <c r="D40" s="10" t="s">
        <v>36</v>
      </c>
      <c r="E40" s="10" t="s">
        <v>37</v>
      </c>
      <c r="F40" s="13">
        <v>2.0</v>
      </c>
      <c r="G40" s="14">
        <v>256.86</v>
      </c>
      <c r="H40" s="10" t="s">
        <v>4339</v>
      </c>
      <c r="I40" s="10">
        <v>85.0</v>
      </c>
      <c r="O40" s="15">
        <f>IFERROR(__xludf.DUMMYFUNCTION("IF(ISBLANK($C40), """", GOOGLEFINANCE($C40, ""price""))"),243.87)</f>
        <v>243.87</v>
      </c>
      <c r="P40" s="16">
        <f t="shared" si="2"/>
        <v>-0.05057229619</v>
      </c>
      <c r="Q40" s="16">
        <f>IFERROR(__xludf.DUMMYFUNCTION("IF(OR(ISBLANK($G40), IFERROR(INDEX(GOOGLEFINANCE($C40, ""price"", WORKDAY(INT($B40), 1)), 2, 2), """")=""""), """", IF($D40=""LONG"", (IFERROR(INDEX(GOOGLEFINANCE($C40, ""price"", WORKDAY(INT($B40), 1)), 2, 2), """")-$G40)/$G40, ($G40-IFERROR(INDEX(GOOGLE"&amp;"FINANCE($C40, ""price"", WORKDAY(INT($B40), 1)), 2, 2), """"))/$G40))"),0.009732928443510083)</f>
        <v>0.009732928444</v>
      </c>
      <c r="R40" s="16">
        <f>IFERROR(__xludf.DUMMYFUNCTION("IF(OR(ISBLANK($G40), IFERROR(INDEX(GOOGLEFINANCE($C40, ""price"", WORKDAY(INT($B40), 5)), 2, 2), """")=""""), """", IF($D40=""LONG"", (IFERROR(INDEX(GOOGLEFINANCE($C40, ""price"", WORKDAY(INT($B40), 5)), 2, 2), """")-$G40)/$G40, ($G40-IFERROR(INDEX(GOOGLE"&amp;"FINANCE($C40, ""price"", WORKDAY(INT($B40), 5)), 2, 2), """"))/$G40))"),0.0021412442575722626)</f>
        <v>0.002141244258</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4340</v>
      </c>
      <c r="U40" s="10" t="s">
        <v>984</v>
      </c>
      <c r="V40" s="10" t="s">
        <v>2785</v>
      </c>
      <c r="W40" s="10" t="s">
        <v>51</v>
      </c>
      <c r="X40" s="10" t="s">
        <v>984</v>
      </c>
    </row>
    <row r="41">
      <c r="A41" s="9">
        <f t="shared" si="1"/>
        <v>40</v>
      </c>
      <c r="B41" s="11">
        <v>46226.6675</v>
      </c>
      <c r="C41" s="10" t="s">
        <v>2793</v>
      </c>
      <c r="D41" s="10" t="s">
        <v>36</v>
      </c>
      <c r="E41" s="10" t="s">
        <v>37</v>
      </c>
      <c r="F41" s="13">
        <v>2.0</v>
      </c>
      <c r="G41" s="14">
        <v>49.49</v>
      </c>
      <c r="H41" s="10" t="s">
        <v>4341</v>
      </c>
      <c r="I41" s="10">
        <v>90.0</v>
      </c>
      <c r="O41" s="15">
        <f>IFERROR(__xludf.DUMMYFUNCTION("IF(ISBLANK($C41), """", GOOGLEFINANCE($C41, ""price""))"),47.37)</f>
        <v>47.37</v>
      </c>
      <c r="P41" s="16">
        <f t="shared" si="2"/>
        <v>-0.04283693675</v>
      </c>
      <c r="Q41" s="16">
        <f>IFERROR(__xludf.DUMMYFUNCTION("IF(OR(ISBLANK($G41), IFERROR(INDEX(GOOGLEFINANCE($C41, ""price"", WORKDAY(INT($B41), 1)), 2, 2), """")=""""), """", IF($D41=""LONG"", (IFERROR(INDEX(GOOGLEFINANCE($C41, ""price"", WORKDAY(INT($B41), 1)), 2, 2), """")-$G41)/$G41, ($G41-IFERROR(INDEX(GOOGLE"&amp;"FINANCE($C41, ""price"", WORKDAY(INT($B41), 1)), 2, 2), """"))/$G41))"),0.008688623964437254)</f>
        <v>0.008688623964</v>
      </c>
      <c r="R41" s="16">
        <f>IFERROR(__xludf.DUMMYFUNCTION("IF(OR(ISBLANK($G41), IFERROR(INDEX(GOOGLEFINANCE($C41, ""price"", WORKDAY(INT($B41), 5)), 2, 2), """")=""""), """", IF($D41=""LONG"", (IFERROR(INDEX(GOOGLEFINANCE($C41, ""price"", WORKDAY(INT($B41), 5)), 2, 2), """")-$G41)/$G41, ($G41-IFERROR(INDEX(GOOGLE"&amp;"FINANCE($C41, ""price"", WORKDAY(INT($B41), 5)), 2, 2), """"))/$G41))"),-0.015760759749444353)</f>
        <v>-0.01576075975</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4342</v>
      </c>
      <c r="U41" s="10" t="s">
        <v>984</v>
      </c>
      <c r="V41" s="10" t="s">
        <v>2785</v>
      </c>
      <c r="W41" s="10" t="s">
        <v>51</v>
      </c>
      <c r="X41" s="10" t="s">
        <v>984</v>
      </c>
    </row>
    <row r="42">
      <c r="A42" s="9">
        <f t="shared" si="1"/>
        <v>41</v>
      </c>
      <c r="B42" s="11">
        <v>46226.667604166665</v>
      </c>
      <c r="C42" s="10" t="s">
        <v>226</v>
      </c>
      <c r="D42" s="10" t="s">
        <v>36</v>
      </c>
      <c r="E42" s="10" t="s">
        <v>37</v>
      </c>
      <c r="F42" s="13">
        <v>2.0</v>
      </c>
      <c r="G42" s="14">
        <v>22.06</v>
      </c>
      <c r="H42" s="10" t="s">
        <v>4343</v>
      </c>
      <c r="I42" s="10">
        <v>92.9</v>
      </c>
      <c r="O42" s="15">
        <f>IFERROR(__xludf.DUMMYFUNCTION("IF(ISBLANK($C42), """", GOOGLEFINANCE($C42, ""price""))"),21.1)</f>
        <v>21.1</v>
      </c>
      <c r="P42" s="16">
        <f t="shared" si="2"/>
        <v>-0.04351767906</v>
      </c>
      <c r="Q42" s="16">
        <f>IFERROR(__xludf.DUMMYFUNCTION("IF(OR(ISBLANK($G42), IFERROR(INDEX(GOOGLEFINANCE($C42, ""price"", WORKDAY(INT($B42), 1)), 2, 2), """")=""""), """", IF($D42=""LONG"", (IFERROR(INDEX(GOOGLEFINANCE($C42, ""price"", WORKDAY(INT($B42), 1)), 2, 2), """")-$G42)/$G42, ($G42-IFERROR(INDEX(GOOGLE"&amp;"FINANCE($C42, ""price"", WORKDAY(INT($B42), 1)), 2, 2), """"))/$G42))"),0.009519492293744374)</f>
        <v>0.009519492294</v>
      </c>
      <c r="R42" s="16">
        <f>IFERROR(__xludf.DUMMYFUNCTION("IF(OR(ISBLANK($G42), IFERROR(INDEX(GOOGLEFINANCE($C42, ""price"", WORKDAY(INT($B42), 5)), 2, 2), """")=""""), """", IF($D42=""LONG"", (IFERROR(INDEX(GOOGLEFINANCE($C42, ""price"", WORKDAY(INT($B42), 5)), 2, 2), """")-$G42)/$G42, ($G42-IFERROR(INDEX(GOOGLE"&amp;"FINANCE($C42, ""price"", WORKDAY(INT($B42), 5)), 2, 2), """"))/$G42))"),0.0)</f>
        <v>0</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4344</v>
      </c>
      <c r="U42" s="10" t="s">
        <v>984</v>
      </c>
      <c r="V42" s="10" t="s">
        <v>933</v>
      </c>
      <c r="W42" s="10" t="s">
        <v>51</v>
      </c>
      <c r="X42" s="10" t="s">
        <v>984</v>
      </c>
    </row>
    <row r="43">
      <c r="A43" s="9">
        <f t="shared" si="1"/>
        <v>42</v>
      </c>
      <c r="B43" s="11">
        <v>46226.667592592596</v>
      </c>
      <c r="C43" s="10" t="s">
        <v>3699</v>
      </c>
      <c r="D43" s="10" t="s">
        <v>36</v>
      </c>
      <c r="E43" s="10" t="s">
        <v>37</v>
      </c>
      <c r="F43" s="13">
        <v>2.0</v>
      </c>
      <c r="G43" s="14">
        <v>824.37</v>
      </c>
      <c r="H43" s="10" t="s">
        <v>4345</v>
      </c>
      <c r="I43" s="10">
        <v>94.0</v>
      </c>
      <c r="O43" s="15">
        <f>IFERROR(__xludf.DUMMYFUNCTION("IF(ISBLANK($C43), """", GOOGLEFINANCE($C43, ""price""))"),871.38)</f>
        <v>871.38</v>
      </c>
      <c r="P43" s="16">
        <f t="shared" si="2"/>
        <v>0.05702536482</v>
      </c>
      <c r="Q43" s="16">
        <f>IFERROR(__xludf.DUMMYFUNCTION("IF(OR(ISBLANK($G43), IFERROR(INDEX(GOOGLEFINANCE($C43, ""price"", WORKDAY(INT($B43), 1)), 2, 2), """")=""""), """", IF($D43=""LONG"", (IFERROR(INDEX(GOOGLEFINANCE($C43, ""price"", WORKDAY(INT($B43), 1)), 2, 2), """")-$G43)/$G43, ($G43-IFERROR(INDEX(GOOGLE"&amp;"FINANCE($C43, ""price"", WORKDAY(INT($B43), 1)), 2, 2), """"))/$G43))"),0.020051675825175554)</f>
        <v>0.02005167583</v>
      </c>
      <c r="R43" s="16">
        <f>IFERROR(__xludf.DUMMYFUNCTION("IF(OR(ISBLANK($G43), IFERROR(INDEX(GOOGLEFINANCE($C43, ""price"", WORKDAY(INT($B43), 5)), 2, 2), """")=""""), """", IF($D43=""LONG"", (IFERROR(INDEX(GOOGLEFINANCE($C43, ""price"", WORKDAY(INT($B43), 5)), 2, 2), """")-$G43)/$G43, ($G43-IFERROR(INDEX(GOOGLE"&amp;"FINANCE($C43, ""price"", WORKDAY(INT($B43), 5)), 2, 2), """"))/$G43))"),0.04990477576816234)</f>
        <v>0.04990477577</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4346</v>
      </c>
      <c r="U43" s="10" t="s">
        <v>984</v>
      </c>
      <c r="V43" s="10" t="s">
        <v>985</v>
      </c>
      <c r="W43" s="10" t="s">
        <v>51</v>
      </c>
      <c r="X43" s="10" t="s">
        <v>984</v>
      </c>
    </row>
    <row r="44">
      <c r="A44" s="9">
        <f t="shared" si="1"/>
        <v>43</v>
      </c>
      <c r="B44" s="11">
        <v>46226.66762731481</v>
      </c>
      <c r="C44" s="10" t="s">
        <v>4347</v>
      </c>
      <c r="D44" s="10" t="s">
        <v>36</v>
      </c>
      <c r="E44" s="10" t="s">
        <v>37</v>
      </c>
      <c r="F44" s="13">
        <v>2.0</v>
      </c>
      <c r="G44" s="14">
        <v>520.17</v>
      </c>
      <c r="H44" s="10" t="s">
        <v>4348</v>
      </c>
      <c r="I44" s="10">
        <v>97.8</v>
      </c>
      <c r="O44" s="15">
        <f>IFERROR(__xludf.DUMMYFUNCTION("IF(ISBLANK($C44), """", GOOGLEFINANCE($C44, ""price""))"),559.82)</f>
        <v>559.82</v>
      </c>
      <c r="P44" s="16">
        <f t="shared" si="2"/>
        <v>0.07622508026</v>
      </c>
      <c r="Q44" s="16">
        <f>IFERROR(__xludf.DUMMYFUNCTION("IF(OR(ISBLANK($G44), IFERROR(INDEX(GOOGLEFINANCE($C44, ""price"", WORKDAY(INT($B44), 1)), 2, 2), """")=""""), """", IF($D44=""LONG"", (IFERROR(INDEX(GOOGLEFINANCE($C44, ""price"", WORKDAY(INT($B44), 1)), 2, 2), """")-$G44)/$G44, ($G44-IFERROR(INDEX(GOOGLE"&amp;"FINANCE($C44, ""price"", WORKDAY(INT($B44), 1)), 2, 2), """"))/$G44))"),0.016782974796701114)</f>
        <v>0.0167829748</v>
      </c>
      <c r="R44" s="16">
        <f>IFERROR(__xludf.DUMMYFUNCTION("IF(OR(ISBLANK($G44), IFERROR(INDEX(GOOGLEFINANCE($C44, ""price"", WORKDAY(INT($B44), 5)), 2, 2), """")=""""), """", IF($D44=""LONG"", (IFERROR(INDEX(GOOGLEFINANCE($C44, ""price"", WORKDAY(INT($B44), 5)), 2, 2), """")-$G44)/$G44, ($G44-IFERROR(INDEX(GOOGLE"&amp;"FINANCE($C44, ""price"", WORKDAY(INT($B44), 5)), 2, 2), """"))/$G44))"),0.04669627237249376)</f>
        <v>0.04669627237</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4349</v>
      </c>
      <c r="U44" s="10" t="s">
        <v>492</v>
      </c>
      <c r="V44" s="10" t="s">
        <v>2701</v>
      </c>
      <c r="W44" s="10" t="s">
        <v>51</v>
      </c>
      <c r="X44" s="10" t="s">
        <v>492</v>
      </c>
    </row>
    <row r="45">
      <c r="A45" s="9">
        <f t="shared" si="1"/>
        <v>44</v>
      </c>
      <c r="B45" s="11">
        <v>46226.66756944444</v>
      </c>
      <c r="C45" s="10" t="s">
        <v>342</v>
      </c>
      <c r="D45" s="10" t="s">
        <v>36</v>
      </c>
      <c r="E45" s="10" t="s">
        <v>37</v>
      </c>
      <c r="F45" s="13">
        <v>2.0</v>
      </c>
      <c r="G45" s="14">
        <v>61.29</v>
      </c>
      <c r="H45" s="10" t="s">
        <v>4350</v>
      </c>
      <c r="I45" s="10">
        <v>90.1</v>
      </c>
      <c r="O45" s="15">
        <f>IFERROR(__xludf.DUMMYFUNCTION("IF(ISBLANK($C45), """", GOOGLEFINANCE($C45, ""price""))"),63.0)</f>
        <v>63</v>
      </c>
      <c r="P45" s="16">
        <f t="shared" si="2"/>
        <v>0.02790014684</v>
      </c>
      <c r="Q45" s="16">
        <f>IFERROR(__xludf.DUMMYFUNCTION("IF(OR(ISBLANK($G45), IFERROR(INDEX(GOOGLEFINANCE($C45, ""price"", WORKDAY(INT($B45), 1)), 2, 2), """")=""""), """", IF($D45=""LONG"", (IFERROR(INDEX(GOOGLEFINANCE($C45, ""price"", WORKDAY(INT($B45), 1)), 2, 2), """")-$G45)/$G45, ($G45-IFERROR(INDEX(GOOGLE"&amp;"FINANCE($C45, ""price"", WORKDAY(INT($B45), 1)), 2, 2), """"))/$G45))"),0.012400065263501354)</f>
        <v>0.01240006526</v>
      </c>
      <c r="R45" s="16">
        <f>IFERROR(__xludf.DUMMYFUNCTION("IF(OR(ISBLANK($G45), IFERROR(INDEX(GOOGLEFINANCE($C45, ""price"", WORKDAY(INT($B45), 5)), 2, 2), """")=""""), """", IF($D45=""LONG"", (IFERROR(INDEX(GOOGLEFINANCE($C45, ""price"", WORKDAY(INT($B45), 5)), 2, 2), """")-$G45)/$G45, ($G45-IFERROR(INDEX(GOOGLE"&amp;"FINANCE($C45, ""price"", WORKDAY(INT($B45), 5)), 2, 2), """"))/$G45))"),0.007178985152553398)</f>
        <v>0.007178985153</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4351</v>
      </c>
      <c r="U45" s="10" t="s">
        <v>240</v>
      </c>
      <c r="V45" s="10" t="s">
        <v>4352</v>
      </c>
      <c r="W45" s="10" t="s">
        <v>51</v>
      </c>
      <c r="X45" s="10" t="s">
        <v>1905</v>
      </c>
    </row>
    <row r="46">
      <c r="A46" s="9">
        <f t="shared" si="1"/>
        <v>45</v>
      </c>
      <c r="B46" s="11">
        <v>46226.667592592596</v>
      </c>
      <c r="C46" s="10" t="s">
        <v>170</v>
      </c>
      <c r="D46" s="10" t="s">
        <v>36</v>
      </c>
      <c r="E46" s="10" t="s">
        <v>37</v>
      </c>
      <c r="F46" s="13">
        <v>2.0</v>
      </c>
      <c r="G46" s="14">
        <v>71.43</v>
      </c>
      <c r="H46" s="10" t="s">
        <v>4353</v>
      </c>
      <c r="I46" s="10">
        <v>92.2</v>
      </c>
      <c r="O46" s="15">
        <f>IFERROR(__xludf.DUMMYFUNCTION("IF(ISBLANK($C46), """", GOOGLEFINANCE($C46, ""price""))"),66.8)</f>
        <v>66.8</v>
      </c>
      <c r="P46" s="16">
        <f t="shared" si="2"/>
        <v>-0.06481870363</v>
      </c>
      <c r="Q46" s="16">
        <f>IFERROR(__xludf.DUMMYFUNCTION("IF(OR(ISBLANK($G46), IFERROR(INDEX(GOOGLEFINANCE($C46, ""price"", WORKDAY(INT($B46), 1)), 2, 2), """")=""""), """", IF($D46=""LONG"", (IFERROR(INDEX(GOOGLEFINANCE($C46, ""price"", WORKDAY(INT($B46), 1)), 2, 2), """")-$G46)/$G46, ($G46-IFERROR(INDEX(GOOGLE"&amp;"FINANCE($C46, ""price"", WORKDAY(INT($B46), 1)), 2, 2), """"))/$G46))"),-0.004619907601848138)</f>
        <v>-0.004619907602</v>
      </c>
      <c r="R46" s="16">
        <f>IFERROR(__xludf.DUMMYFUNCTION("IF(OR(ISBLANK($G46), IFERROR(INDEX(GOOGLEFINANCE($C46, ""price"", WORKDAY(INT($B46), 5)), 2, 2), """")=""""), """", IF($D46=""LONG"", (IFERROR(INDEX(GOOGLEFINANCE($C46, ""price"", WORKDAY(INT($B46), 5)), 2, 2), """")-$G46)/$G46, ($G46-IFERROR(INDEX(GOOGLE"&amp;"FINANCE($C46, ""price"", WORKDAY(INT($B46), 5)), 2, 2), """"))/$G46))"),-0.023799524009519846)</f>
        <v>-0.02379952401</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4354</v>
      </c>
      <c r="U46" s="10" t="s">
        <v>984</v>
      </c>
      <c r="V46" s="10" t="s">
        <v>2785</v>
      </c>
      <c r="W46" s="10" t="s">
        <v>51</v>
      </c>
      <c r="X46" s="10" t="s">
        <v>984</v>
      </c>
    </row>
    <row r="47">
      <c r="A47" s="9">
        <f t="shared" si="1"/>
        <v>46</v>
      </c>
      <c r="B47" s="11">
        <v>46226.66762731481</v>
      </c>
      <c r="C47" s="10" t="s">
        <v>108</v>
      </c>
      <c r="D47" s="10" t="s">
        <v>36</v>
      </c>
      <c r="E47" s="10" t="s">
        <v>37</v>
      </c>
      <c r="F47" s="13">
        <v>2.0</v>
      </c>
      <c r="G47" s="14">
        <v>117.73</v>
      </c>
      <c r="H47" s="10" t="s">
        <v>4355</v>
      </c>
      <c r="I47" s="10">
        <v>96.6</v>
      </c>
      <c r="L47" s="10" t="s">
        <v>4356</v>
      </c>
      <c r="M47" s="34" t="s">
        <v>2106</v>
      </c>
      <c r="N47" s="10" t="s">
        <v>925</v>
      </c>
      <c r="O47" s="15">
        <f>IFERROR(__xludf.DUMMYFUNCTION("IF(ISBLANK($C47), """", GOOGLEFINANCE($C47, ""price""))"),129.68)</f>
        <v>129.68</v>
      </c>
      <c r="P47" s="16">
        <f t="shared" si="2"/>
        <v>0.1015034401</v>
      </c>
      <c r="Q47" s="16">
        <f>IFERROR(__xludf.DUMMYFUNCTION("IF(OR(ISBLANK($G47), IFERROR(INDEX(GOOGLEFINANCE($C47, ""price"", WORKDAY(INT($B47), 1)), 2, 2), """")=""""), """", IF($D47=""LONG"", (IFERROR(INDEX(GOOGLEFINANCE($C47, ""price"", WORKDAY(INT($B47), 1)), 2, 2), """")-$G47)/$G47, ($G47-IFERROR(INDEX(GOOGLE"&amp;"FINANCE($C47, ""price"", WORKDAY(INT($B47), 1)), 2, 2), """"))/$G47))"),0.023103711883122387)</f>
        <v>0.02310371188</v>
      </c>
      <c r="R47" s="16">
        <f>IFERROR(__xludf.DUMMYFUNCTION("IF(OR(ISBLANK($G47), IFERROR(INDEX(GOOGLEFINANCE($C47, ""price"", WORKDAY(INT($B47), 5)), 2, 2), """")=""""), """", IF($D47=""LONG"", (IFERROR(INDEX(GOOGLEFINANCE($C47, ""price"", WORKDAY(INT($B47), 5)), 2, 2), """")-$G47)/$G47, ($G47-IFERROR(INDEX(GOOGLE"&amp;"FINANCE($C47, ""price"", WORKDAY(INT($B47), 5)), 2, 2), """"))/$G47))"),0.09207508706362005)</f>
        <v>0.09207508706</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4357</v>
      </c>
      <c r="U47" s="10" t="s">
        <v>507</v>
      </c>
      <c r="V47" s="10" t="s">
        <v>4358</v>
      </c>
      <c r="W47" s="10" t="s">
        <v>51</v>
      </c>
      <c r="X47" s="10" t="s">
        <v>2228</v>
      </c>
    </row>
    <row r="48">
      <c r="A48" s="9">
        <f t="shared" si="1"/>
        <v>47</v>
      </c>
      <c r="B48" s="11">
        <v>46226.66758101852</v>
      </c>
      <c r="C48" s="10" t="s">
        <v>149</v>
      </c>
      <c r="D48" s="10" t="s">
        <v>36</v>
      </c>
      <c r="E48" s="10" t="s">
        <v>37</v>
      </c>
      <c r="F48" s="13">
        <v>2.0</v>
      </c>
      <c r="G48" s="14">
        <v>120.06</v>
      </c>
      <c r="H48" s="10" t="s">
        <v>4359</v>
      </c>
      <c r="I48" s="10">
        <v>93.5</v>
      </c>
      <c r="O48" s="15">
        <f>IFERROR(__xludf.DUMMYFUNCTION("IF(ISBLANK($C48), """", GOOGLEFINANCE($C48, ""price""))"),132.79)</f>
        <v>132.79</v>
      </c>
      <c r="P48" s="16">
        <f t="shared" si="2"/>
        <v>0.1060303182</v>
      </c>
      <c r="Q48" s="16">
        <f>IFERROR(__xludf.DUMMYFUNCTION("IF(OR(ISBLANK($G48), IFERROR(INDEX(GOOGLEFINANCE($C48, ""price"", WORKDAY(INT($B48), 1)), 2, 2), """")=""""), """", IF($D48=""LONG"", (IFERROR(INDEX(GOOGLEFINANCE($C48, ""price"", WORKDAY(INT($B48), 1)), 2, 2), """")-$G48)/$G48, ($G48-IFERROR(INDEX(GOOGLE"&amp;"FINANCE($C48, ""price"", WORKDAY(INT($B48), 1)), 2, 2), """"))/$G48))"),0.03456605030817917)</f>
        <v>0.03456605031</v>
      </c>
      <c r="R48" s="16">
        <f>IFERROR(__xludf.DUMMYFUNCTION("IF(OR(ISBLANK($G48), IFERROR(INDEX(GOOGLEFINANCE($C48, ""price"", WORKDAY(INT($B48), 5)), 2, 2), """")=""""), """", IF($D48=""LONG"", (IFERROR(INDEX(GOOGLEFINANCE($C48, ""price"", WORKDAY(INT($B48), 5)), 2, 2), """")-$G48)/$G48, ($G48-IFERROR(INDEX(GOOGLE"&amp;"FINANCE($C48, ""price"", WORKDAY(INT($B48), 5)), 2, 2), """"))/$G48))"),0.039730134932533696)</f>
        <v>0.03973013493</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4360</v>
      </c>
      <c r="U48" s="10" t="s">
        <v>984</v>
      </c>
      <c r="V48" s="10" t="s">
        <v>985</v>
      </c>
      <c r="W48" s="10" t="s">
        <v>51</v>
      </c>
      <c r="X48" s="10" t="s">
        <v>984</v>
      </c>
    </row>
    <row r="49">
      <c r="A49" s="9">
        <f t="shared" si="1"/>
        <v>48</v>
      </c>
      <c r="B49" s="11">
        <v>46226.66756944444</v>
      </c>
      <c r="C49" s="10" t="s">
        <v>374</v>
      </c>
      <c r="D49" s="10" t="s">
        <v>36</v>
      </c>
      <c r="E49" s="10" t="s">
        <v>37</v>
      </c>
      <c r="F49" s="13">
        <v>2.0</v>
      </c>
      <c r="G49" s="14">
        <v>70.25</v>
      </c>
      <c r="H49" s="10" t="s">
        <v>4361</v>
      </c>
      <c r="I49" s="10">
        <v>92.6</v>
      </c>
      <c r="O49" s="15">
        <f>IFERROR(__xludf.DUMMYFUNCTION("IF(ISBLANK($C49), """", GOOGLEFINANCE($C49, ""price""))"),73.32)</f>
        <v>73.32</v>
      </c>
      <c r="P49" s="16">
        <f t="shared" si="2"/>
        <v>0.04370106762</v>
      </c>
      <c r="Q49" s="16">
        <f>IFERROR(__xludf.DUMMYFUNCTION("IF(OR(ISBLANK($G49), IFERROR(INDEX(GOOGLEFINANCE($C49, ""price"", WORKDAY(INT($B49), 1)), 2, 2), """")=""""), """", IF($D49=""LONG"", (IFERROR(INDEX(GOOGLEFINANCE($C49, ""price"", WORKDAY(INT($B49), 1)), 2, 2), """")-$G49)/$G49, ($G49-IFERROR(INDEX(GOOGLE"&amp;"FINANCE($C49, ""price"", WORKDAY(INT($B49), 1)), 2, 2), """"))/$G49))"),8.540925266904238E-4)</f>
        <v>0.0008540925267</v>
      </c>
      <c r="R49" s="16">
        <f>IFERROR(__xludf.DUMMYFUNCTION("IF(OR(ISBLANK($G49), IFERROR(INDEX(GOOGLEFINANCE($C49, ""price"", WORKDAY(INT($B49), 5)), 2, 2), """")=""""), """", IF($D49=""LONG"", (IFERROR(INDEX(GOOGLEFINANCE($C49, ""price"", WORKDAY(INT($B49), 5)), 2, 2), """")-$G49)/$G49, ($G49-IFERROR(INDEX(GOOGLE"&amp;"FINANCE($C49, ""price"", WORKDAY(INT($B49), 5)), 2, 2), """"))/$G49))"),0.03416370106761574)</f>
        <v>0.03416370107</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4362</v>
      </c>
      <c r="U49" s="10" t="s">
        <v>984</v>
      </c>
      <c r="V49" s="10" t="s">
        <v>985</v>
      </c>
      <c r="W49" s="10" t="s">
        <v>51</v>
      </c>
      <c r="X49" s="10" t="s">
        <v>984</v>
      </c>
    </row>
    <row r="50">
      <c r="A50" s="9">
        <f t="shared" si="1"/>
        <v>49</v>
      </c>
      <c r="B50" s="11">
        <v>46226.66768518519</v>
      </c>
      <c r="C50" s="10" t="s">
        <v>197</v>
      </c>
      <c r="D50" s="10" t="s">
        <v>36</v>
      </c>
      <c r="E50" s="10" t="s">
        <v>87</v>
      </c>
      <c r="F50" s="13">
        <v>2.0</v>
      </c>
      <c r="G50" s="14">
        <v>227.73</v>
      </c>
      <c r="H50" s="10" t="s">
        <v>4363</v>
      </c>
      <c r="I50" s="10">
        <v>24.6</v>
      </c>
      <c r="O50" s="15">
        <f>IFERROR(__xludf.DUMMYFUNCTION("IF(ISBLANK($C50), """", GOOGLEFINANCE($C50, ""price""))"),238.5)</f>
        <v>238.5</v>
      </c>
      <c r="P50" s="16">
        <f t="shared" si="2"/>
        <v>0.04729284679</v>
      </c>
      <c r="Q50" s="16">
        <f>IFERROR(__xludf.DUMMYFUNCTION("IF(OR(ISBLANK($G50), IFERROR(INDEX(GOOGLEFINANCE($C50, ""price"", WORKDAY(INT($B50), 1)), 2, 2), """")=""""), """", IF($D50=""LONG"", (IFERROR(INDEX(GOOGLEFINANCE($C50, ""price"", WORKDAY(INT($B50), 1)), 2, 2), """")-$G50)/$G50, ($G50-IFERROR(INDEX(GOOGLE"&amp;"FINANCE($C50, ""price"", WORKDAY(INT($B50), 1)), 2, 2), """"))/$G50))"),5.708514468889645E-4)</f>
        <v>0.0005708514469</v>
      </c>
      <c r="R50" s="16">
        <f>IFERROR(__xludf.DUMMYFUNCTION("IF(OR(ISBLANK($G50), IFERROR(INDEX(GOOGLEFINANCE($C50, ""price"", WORKDAY(INT($B50), 5)), 2, 2), """")=""""), """", IF($D50=""LONG"", (IFERROR(INDEX(GOOGLEFINANCE($C50, ""price"", WORKDAY(INT($B50), 5)), 2, 2), """")-$G50)/$G50, ($G50-IFERROR(INDEX(GOOGLE"&amp;"FINANCE($C50, ""price"", WORKDAY(INT($B50), 5)), 2, 2), """"))/$G50))"),0.028849953892767847)</f>
        <v>0.02884995389</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4364</v>
      </c>
      <c r="U50" s="10" t="s">
        <v>984</v>
      </c>
      <c r="V50" s="10" t="s">
        <v>933</v>
      </c>
      <c r="W50" s="10" t="s">
        <v>51</v>
      </c>
      <c r="X50" s="10" t="s">
        <v>984</v>
      </c>
    </row>
    <row r="51">
      <c r="A51" s="9">
        <f t="shared" si="1"/>
        <v>50</v>
      </c>
      <c r="B51" s="11">
        <v>46226.66762731481</v>
      </c>
      <c r="C51" s="10" t="s">
        <v>123</v>
      </c>
      <c r="D51" s="10" t="s">
        <v>36</v>
      </c>
      <c r="E51" s="10" t="s">
        <v>37</v>
      </c>
      <c r="F51" s="13">
        <v>2.0</v>
      </c>
      <c r="G51" s="14">
        <v>17.38</v>
      </c>
      <c r="H51" s="10" t="s">
        <v>4365</v>
      </c>
      <c r="I51" s="10">
        <v>89.4</v>
      </c>
      <c r="O51" s="15">
        <f>IFERROR(__xludf.DUMMYFUNCTION("IF(ISBLANK($C51), """", GOOGLEFINANCE($C51, ""price""))"),17.36)</f>
        <v>17.36</v>
      </c>
      <c r="P51" s="16">
        <f t="shared" si="2"/>
        <v>-0.001150747986</v>
      </c>
      <c r="Q51" s="16">
        <f>IFERROR(__xludf.DUMMYFUNCTION("IF(OR(ISBLANK($G51), IFERROR(INDEX(GOOGLEFINANCE($C51, ""price"", WORKDAY(INT($B51), 1)), 2, 2), """")=""""), """", IF($D51=""LONG"", (IFERROR(INDEX(GOOGLEFINANCE($C51, ""price"", WORKDAY(INT($B51), 1)), 2, 2), """")-$G51)/$G51, ($G51-IFERROR(INDEX(GOOGLE"&amp;"FINANCE($C51, ""price"", WORKDAY(INT($B51), 1)), 2, 2), """"))/$G51))"),-0.0011507479861909997)</f>
        <v>-0.001150747986</v>
      </c>
      <c r="R51" s="16">
        <f>IFERROR(__xludf.DUMMYFUNCTION("IF(OR(ISBLANK($G51), IFERROR(INDEX(GOOGLEFINANCE($C51, ""price"", WORKDAY(INT($B51), 5)), 2, 2), """")=""""), """", IF($D51=""LONG"", (IFERROR(INDEX(GOOGLEFINANCE($C51, ""price"", WORKDAY(INT($B51), 5)), 2, 2), """")-$G51)/$G51, ($G51-IFERROR(INDEX(GOOGLE"&amp;"FINANCE($C51, ""price"", WORKDAY(INT($B51), 5)), 2, 2), """"))/$G51))"),-0.017261219792865403)</f>
        <v>-0.01726121979</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4366</v>
      </c>
      <c r="U51" s="10" t="s">
        <v>984</v>
      </c>
      <c r="V51" s="10" t="s">
        <v>933</v>
      </c>
      <c r="W51" s="10" t="s">
        <v>51</v>
      </c>
      <c r="X51" s="10" t="s">
        <v>984</v>
      </c>
    </row>
    <row r="52">
      <c r="A52" s="9">
        <f t="shared" si="1"/>
        <v>51</v>
      </c>
      <c r="B52" s="11">
        <v>46226.66763888889</v>
      </c>
      <c r="C52" s="10" t="s">
        <v>3662</v>
      </c>
      <c r="D52" s="10" t="s">
        <v>36</v>
      </c>
      <c r="E52" s="10" t="s">
        <v>37</v>
      </c>
      <c r="F52" s="13">
        <v>2.0</v>
      </c>
      <c r="G52" s="14">
        <v>110.65</v>
      </c>
      <c r="H52" s="10" t="s">
        <v>4367</v>
      </c>
      <c r="I52" s="10">
        <v>98.5</v>
      </c>
      <c r="O52" s="15">
        <f>IFERROR(__xludf.DUMMYFUNCTION("IF(ISBLANK($C52), """", GOOGLEFINANCE($C52, ""price""))"),120.13)</f>
        <v>120.13</v>
      </c>
      <c r="P52" s="16">
        <f t="shared" si="2"/>
        <v>0.08567555355</v>
      </c>
      <c r="Q52" s="16">
        <f>IFERROR(__xludf.DUMMYFUNCTION("IF(OR(ISBLANK($G52), IFERROR(INDEX(GOOGLEFINANCE($C52, ""price"", WORKDAY(INT($B52), 1)), 2, 2), """")=""""), """", IF($D52=""LONG"", (IFERROR(INDEX(GOOGLEFINANCE($C52, ""price"", WORKDAY(INT($B52), 1)), 2, 2), """")-$G52)/$G52, ($G52-IFERROR(INDEX(GOOGLE"&amp;"FINANCE($C52, ""price"", WORKDAY(INT($B52), 1)), 2, 2), """"))/$G52))"),0.02620876638047891)</f>
        <v>0.02620876638</v>
      </c>
      <c r="R52" s="16">
        <f>IFERROR(__xludf.DUMMYFUNCTION("IF(OR(ISBLANK($G52), IFERROR(INDEX(GOOGLEFINANCE($C52, ""price"", WORKDAY(INT($B52), 5)), 2, 2), """")=""""), """", IF($D52=""LONG"", (IFERROR(INDEX(GOOGLEFINANCE($C52, ""price"", WORKDAY(INT($B52), 5)), 2, 2), """")-$G52)/$G52, ($G52-IFERROR(INDEX(GOOGLE"&amp;"FINANCE($C52, ""price"", WORKDAY(INT($B52), 5)), 2, 2), """"))/$G52))"),0.051333032083144985)</f>
        <v>0.05133303208</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4368</v>
      </c>
      <c r="U52" s="10" t="s">
        <v>984</v>
      </c>
      <c r="V52" s="10" t="s">
        <v>985</v>
      </c>
      <c r="W52" s="10" t="s">
        <v>51</v>
      </c>
      <c r="X52" s="10" t="s">
        <v>984</v>
      </c>
    </row>
    <row r="53">
      <c r="A53" s="9">
        <f t="shared" si="1"/>
        <v>52</v>
      </c>
      <c r="B53" s="11">
        <v>46226.66756944444</v>
      </c>
      <c r="C53" s="10" t="s">
        <v>1960</v>
      </c>
      <c r="D53" s="10" t="s">
        <v>36</v>
      </c>
      <c r="E53" s="10" t="s">
        <v>37</v>
      </c>
      <c r="F53" s="13">
        <v>2.0</v>
      </c>
      <c r="G53" s="14">
        <v>176.48</v>
      </c>
      <c r="H53" s="10" t="s">
        <v>4369</v>
      </c>
      <c r="I53" s="10">
        <v>99.4</v>
      </c>
      <c r="O53" s="15">
        <f>IFERROR(__xludf.DUMMYFUNCTION("IF(ISBLANK($C53), """", GOOGLEFINANCE($C53, ""price""))"),193.29)</f>
        <v>193.29</v>
      </c>
      <c r="P53" s="16">
        <f t="shared" si="2"/>
        <v>0.09525158658</v>
      </c>
      <c r="Q53" s="16">
        <f>IFERROR(__xludf.DUMMYFUNCTION("IF(OR(ISBLANK($G53), IFERROR(INDEX(GOOGLEFINANCE($C53, ""price"", WORKDAY(INT($B53), 1)), 2, 2), """")=""""), """", IF($D53=""LONG"", (IFERROR(INDEX(GOOGLEFINANCE($C53, ""price"", WORKDAY(INT($B53), 1)), 2, 2), """")-$G53)/$G53, ($G53-IFERROR(INDEX(GOOGLE"&amp;"FINANCE($C53, ""price"", WORKDAY(INT($B53), 1)), 2, 2), """"))/$G53))"),0.024138712601994673)</f>
        <v>0.0241387126</v>
      </c>
      <c r="R53" s="16">
        <f>IFERROR(__xludf.DUMMYFUNCTION("IF(OR(ISBLANK($G53), IFERROR(INDEX(GOOGLEFINANCE($C53, ""price"", WORKDAY(INT($B53), 5)), 2, 2), """")=""""), """", IF($D53=""LONG"", (IFERROR(INDEX(GOOGLEFINANCE($C53, ""price"", WORKDAY(INT($B53), 5)), 2, 2), """")-$G53)/$G53, ($G53-IFERROR(INDEX(GOOGLE"&amp;"FINANCE($C53, ""price"", WORKDAY(INT($B53), 5)), 2, 2), """"))/$G53))"),0.08516545784224842)</f>
        <v>0.08516545784</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4370</v>
      </c>
      <c r="U53" s="10" t="s">
        <v>984</v>
      </c>
      <c r="V53" s="10" t="s">
        <v>985</v>
      </c>
      <c r="W53" s="10" t="s">
        <v>51</v>
      </c>
      <c r="X53" s="10" t="s">
        <v>984</v>
      </c>
    </row>
    <row r="54">
      <c r="A54" s="9">
        <f t="shared" si="1"/>
        <v>53</v>
      </c>
      <c r="B54" s="11">
        <v>46226.667604166665</v>
      </c>
      <c r="C54" s="10" t="s">
        <v>185</v>
      </c>
      <c r="D54" s="10" t="s">
        <v>36</v>
      </c>
      <c r="E54" s="10" t="s">
        <v>37</v>
      </c>
      <c r="F54" s="13">
        <v>2.0</v>
      </c>
      <c r="G54" s="14">
        <v>77.34</v>
      </c>
      <c r="H54" s="10" t="s">
        <v>4371</v>
      </c>
      <c r="I54" s="10">
        <v>90.0</v>
      </c>
      <c r="O54" s="15">
        <f>IFERROR(__xludf.DUMMYFUNCTION("IF(ISBLANK($C54), """", GOOGLEFINANCE($C54, ""price""))"),75.47)</f>
        <v>75.47</v>
      </c>
      <c r="P54" s="16">
        <f t="shared" si="2"/>
        <v>-0.02417895009</v>
      </c>
      <c r="Q54" s="16">
        <f>IFERROR(__xludf.DUMMYFUNCTION("IF(OR(ISBLANK($G54), IFERROR(INDEX(GOOGLEFINANCE($C54, ""price"", WORKDAY(INT($B54), 1)), 2, 2), """")=""""), """", IF($D54=""LONG"", (IFERROR(INDEX(GOOGLEFINANCE($C54, ""price"", WORKDAY(INT($B54), 1)), 2, 2), """")-$G54)/$G54, ($G54-IFERROR(INDEX(GOOGLE"&amp;"FINANCE($C54, ""price"", WORKDAY(INT($B54), 1)), 2, 2), """"))/$G54))"),0.024954745280579164)</f>
        <v>0.02495474528</v>
      </c>
      <c r="R54" s="16">
        <f>IFERROR(__xludf.DUMMYFUNCTION("IF(OR(ISBLANK($G54), IFERROR(INDEX(GOOGLEFINANCE($C54, ""price"", WORKDAY(INT($B54), 5)), 2, 2), """")=""""), """", IF($D54=""LONG"", (IFERROR(INDEX(GOOGLEFINANCE($C54, ""price"", WORKDAY(INT($B54), 5)), 2, 2), """")-$G54)/$G54, ($G54-IFERROR(INDEX(GOOGLE"&amp;"FINANCE($C54, ""price"", WORKDAY(INT($B54), 5)), 2, 2), """"))/$G54))"),-0.0676234807344195)</f>
        <v>-0.06762348073</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4373</v>
      </c>
      <c r="U54" s="10" t="s">
        <v>984</v>
      </c>
      <c r="V54" s="10" t="s">
        <v>998</v>
      </c>
      <c r="W54" s="10" t="s">
        <v>51</v>
      </c>
      <c r="X54" s="10" t="s">
        <v>984</v>
      </c>
    </row>
    <row r="55">
      <c r="A55" s="9">
        <f t="shared" si="1"/>
        <v>54</v>
      </c>
      <c r="B55" s="11">
        <v>46226.667592592596</v>
      </c>
      <c r="C55" s="10" t="s">
        <v>3359</v>
      </c>
      <c r="D55" s="10" t="s">
        <v>36</v>
      </c>
      <c r="E55" s="10" t="s">
        <v>37</v>
      </c>
      <c r="F55" s="13">
        <v>2.0</v>
      </c>
      <c r="G55" s="14">
        <v>419.85</v>
      </c>
      <c r="H55" s="10" t="s">
        <v>4374</v>
      </c>
      <c r="I55" s="10">
        <v>95.2</v>
      </c>
      <c r="O55" s="15">
        <f>IFERROR(__xludf.DUMMYFUNCTION("IF(ISBLANK($C55), """", GOOGLEFINANCE($C55, ""price""))"),405.24)</f>
        <v>405.24</v>
      </c>
      <c r="P55" s="16">
        <f t="shared" si="2"/>
        <v>-0.03479814219</v>
      </c>
      <c r="Q55" s="16">
        <f>IFERROR(__xludf.DUMMYFUNCTION("IF(OR(ISBLANK($G55), IFERROR(INDEX(GOOGLEFINANCE($C55, ""price"", WORKDAY(INT($B55), 1)), 2, 2), """")=""""), """", IF($D55=""LONG"", (IFERROR(INDEX(GOOGLEFINANCE($C55, ""price"", WORKDAY(INT($B55), 1)), 2, 2), """")-$G55)/$G55, ($G55-IFERROR(INDEX(GOOGLE"&amp;"FINANCE($C55, ""price"", WORKDAY(INT($B55), 1)), 2, 2), """"))/$G55))"),0.015600809813028353)</f>
        <v>0.01560080981</v>
      </c>
      <c r="R55" s="16">
        <f>IFERROR(__xludf.DUMMYFUNCTION("IF(OR(ISBLANK($G55), IFERROR(INDEX(GOOGLEFINANCE($C55, ""price"", WORKDAY(INT($B55), 5)), 2, 2), """")=""""), """", IF($D55=""LONG"", (IFERROR(INDEX(GOOGLEFINANCE($C55, ""price"", WORKDAY(INT($B55), 5)), 2, 2), """")-$G55)/$G55, ($G55-IFERROR(INDEX(GOOGLE"&amp;"FINANCE($C55, ""price"", WORKDAY(INT($B55), 5)), 2, 2), """"))/$G55))"),-0.011551744670715786)</f>
        <v>-0.01155174467</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4375</v>
      </c>
      <c r="U55" s="10" t="s">
        <v>984</v>
      </c>
      <c r="V55" s="10" t="s">
        <v>985</v>
      </c>
      <c r="W55" s="10" t="s">
        <v>51</v>
      </c>
      <c r="X55" s="10" t="s">
        <v>984</v>
      </c>
    </row>
    <row r="56">
      <c r="A56" s="9">
        <f t="shared" si="1"/>
        <v>55</v>
      </c>
      <c r="B56" s="11">
        <v>46226.66761574074</v>
      </c>
      <c r="C56" s="10" t="s">
        <v>455</v>
      </c>
      <c r="D56" s="10" t="s">
        <v>36</v>
      </c>
      <c r="E56" s="10" t="s">
        <v>37</v>
      </c>
      <c r="F56" s="13">
        <v>2.0</v>
      </c>
      <c r="G56" s="14">
        <v>107.29</v>
      </c>
      <c r="H56" s="10" t="s">
        <v>4376</v>
      </c>
      <c r="I56" s="10">
        <v>95.5</v>
      </c>
      <c r="O56" s="15">
        <f>IFERROR(__xludf.DUMMYFUNCTION("IF(ISBLANK($C56), """", GOOGLEFINANCE($C56, ""price""))"),108.66)</f>
        <v>108.66</v>
      </c>
      <c r="P56" s="16">
        <f t="shared" si="2"/>
        <v>0.01276913039</v>
      </c>
      <c r="Q56" s="16">
        <f>IFERROR(__xludf.DUMMYFUNCTION("IF(OR(ISBLANK($G56), IFERROR(INDEX(GOOGLEFINANCE($C56, ""price"", WORKDAY(INT($B56), 1)), 2, 2), """")=""""), """", IF($D56=""LONG"", (IFERROR(INDEX(GOOGLEFINANCE($C56, ""price"", WORKDAY(INT($B56), 1)), 2, 2), """")-$G56)/$G56, ($G56-IFERROR(INDEX(GOOGLE"&amp;"FINANCE($C56, ""price"", WORKDAY(INT($B56), 1)), 2, 2), """"))/$G56))"),0.022462484854133623)</f>
        <v>0.02246248485</v>
      </c>
      <c r="R56" s="16">
        <f>IFERROR(__xludf.DUMMYFUNCTION("IF(OR(ISBLANK($G56), IFERROR(INDEX(GOOGLEFINANCE($C56, ""price"", WORKDAY(INT($B56), 5)), 2, 2), """")=""""), """", IF($D56=""LONG"", (IFERROR(INDEX(GOOGLEFINANCE($C56, ""price"", WORKDAY(INT($B56), 5)), 2, 2), """")-$G56)/$G56, ($G56-IFERROR(INDEX(GOOGLE"&amp;"FINANCE($C56, ""price"", WORKDAY(INT($B56), 5)), 2, 2), """"))/$G56))"),0.027029546090036268)</f>
        <v>0.02702954609</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4379</v>
      </c>
      <c r="U56" s="10" t="s">
        <v>984</v>
      </c>
      <c r="V56" s="10" t="s">
        <v>2714</v>
      </c>
      <c r="W56" s="10" t="s">
        <v>51</v>
      </c>
      <c r="X56" s="10" t="s">
        <v>984</v>
      </c>
    </row>
    <row r="57">
      <c r="A57" s="9">
        <f t="shared" si="1"/>
        <v>56</v>
      </c>
      <c r="B57" s="11">
        <v>46226.667604166665</v>
      </c>
      <c r="C57" s="10" t="s">
        <v>2025</v>
      </c>
      <c r="D57" s="10" t="s">
        <v>36</v>
      </c>
      <c r="E57" s="10" t="s">
        <v>37</v>
      </c>
      <c r="F57" s="13">
        <v>2.0</v>
      </c>
      <c r="G57" s="14">
        <v>65.75</v>
      </c>
      <c r="H57" s="10" t="s">
        <v>4380</v>
      </c>
      <c r="I57" s="10">
        <v>99.6</v>
      </c>
      <c r="O57" s="15">
        <f>IFERROR(__xludf.DUMMYFUNCTION("IF(ISBLANK($C57), """", GOOGLEFINANCE($C57, ""price""))"),71.18)</f>
        <v>71.18</v>
      </c>
      <c r="P57" s="16">
        <f t="shared" si="2"/>
        <v>0.08258555133</v>
      </c>
      <c r="Q57" s="16">
        <f>IFERROR(__xludf.DUMMYFUNCTION("IF(OR(ISBLANK($G57), IFERROR(INDEX(GOOGLEFINANCE($C57, ""price"", WORKDAY(INT($B57), 1)), 2, 2), """")=""""), """", IF($D57=""LONG"", (IFERROR(INDEX(GOOGLEFINANCE($C57, ""price"", WORKDAY(INT($B57), 1)), 2, 2), """")-$G57)/$G57, ($G57-IFERROR(INDEX(GOOGLE"&amp;"FINANCE($C57, ""price"", WORKDAY(INT($B57), 1)), 2, 2), """"))/$G57))"),0.029049429657794626)</f>
        <v>0.02904942966</v>
      </c>
      <c r="R57" s="16">
        <f>IFERROR(__xludf.DUMMYFUNCTION("IF(OR(ISBLANK($G57), IFERROR(INDEX(GOOGLEFINANCE($C57, ""price"", WORKDAY(INT($B57), 5)), 2, 2), """")=""""), """", IF($D57=""LONG"", (IFERROR(INDEX(GOOGLEFINANCE($C57, ""price"", WORKDAY(INT($B57), 5)), 2, 2), """")-$G57)/$G57, ($G57-IFERROR(INDEX(GOOGLE"&amp;"FINANCE($C57, ""price"", WORKDAY(INT($B57), 5)), 2, 2), """"))/$G57))"),0.07787072243346015)</f>
        <v>0.07787072243</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4383</v>
      </c>
      <c r="U57" s="10" t="s">
        <v>984</v>
      </c>
      <c r="V57" s="10" t="s">
        <v>985</v>
      </c>
      <c r="W57" s="10" t="s">
        <v>51</v>
      </c>
      <c r="X57" s="10" t="s">
        <v>984</v>
      </c>
    </row>
    <row r="58">
      <c r="A58" s="9">
        <f t="shared" si="1"/>
        <v>57</v>
      </c>
      <c r="B58" s="11">
        <v>46226.66762731481</v>
      </c>
      <c r="C58" s="10" t="s">
        <v>3702</v>
      </c>
      <c r="D58" s="10" t="s">
        <v>36</v>
      </c>
      <c r="E58" s="10" t="s">
        <v>37</v>
      </c>
      <c r="F58" s="13">
        <v>2.0</v>
      </c>
      <c r="G58" s="14">
        <v>530.1</v>
      </c>
      <c r="H58" s="10" t="s">
        <v>3501</v>
      </c>
      <c r="I58" s="10">
        <v>98.1</v>
      </c>
      <c r="O58" s="15">
        <f>IFERROR(__xludf.DUMMYFUNCTION("IF(ISBLANK($C58), """", GOOGLEFINANCE($C58, ""price""))"),575.95)</f>
        <v>575.95</v>
      </c>
      <c r="P58" s="16">
        <f t="shared" si="2"/>
        <v>0.08649311451</v>
      </c>
      <c r="Q58" s="16">
        <f>IFERROR(__xludf.DUMMYFUNCTION("IF(OR(ISBLANK($G58), IFERROR(INDEX(GOOGLEFINANCE($C58, ""price"", WORKDAY(INT($B58), 1)), 2, 2), """")=""""), """", IF($D58=""LONG"", (IFERROR(INDEX(GOOGLEFINANCE($C58, ""price"", WORKDAY(INT($B58), 1)), 2, 2), """")-$G58)/$G58, ($G58-IFERROR(INDEX(GOOGLE"&amp;"FINANCE($C58, ""price"", WORKDAY(INT($B58), 1)), 2, 2), """"))/$G58))"),0.018034333144689576)</f>
        <v>0.01803433314</v>
      </c>
      <c r="R58" s="16">
        <f>IFERROR(__xludf.DUMMYFUNCTION("IF(OR(ISBLANK($G58), IFERROR(INDEX(GOOGLEFINANCE($C58, ""price"", WORKDAY(INT($B58), 5)), 2, 2), """")=""""), """", IF($D58=""LONG"", (IFERROR(INDEX(GOOGLEFINANCE($C58, ""price"", WORKDAY(INT($B58), 5)), 2, 2), """")-$G58)/$G58, ($G58-IFERROR(INDEX(GOOGLE"&amp;"FINANCE($C58, ""price"", WORKDAY(INT($B58), 5)), 2, 2), """"))/$G58))"),0.08913412563667232)</f>
        <v>0.08913412564</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4387</v>
      </c>
      <c r="U58" s="10" t="s">
        <v>984</v>
      </c>
      <c r="V58" s="10" t="s">
        <v>1059</v>
      </c>
      <c r="W58" s="10" t="s">
        <v>51</v>
      </c>
      <c r="X58" s="10" t="s">
        <v>984</v>
      </c>
    </row>
    <row r="59">
      <c r="A59" s="9">
        <f t="shared" si="1"/>
        <v>58</v>
      </c>
      <c r="B59" s="11">
        <v>46226.66763888889</v>
      </c>
      <c r="C59" s="10" t="s">
        <v>2048</v>
      </c>
      <c r="D59" s="10" t="s">
        <v>36</v>
      </c>
      <c r="E59" s="10" t="s">
        <v>1892</v>
      </c>
      <c r="F59" s="13">
        <v>2.0</v>
      </c>
      <c r="G59" s="14">
        <v>304.11</v>
      </c>
      <c r="H59" s="10" t="s">
        <v>4388</v>
      </c>
      <c r="I59" s="10">
        <v>63.2</v>
      </c>
      <c r="O59" s="15">
        <f>IFERROR(__xludf.DUMMYFUNCTION("IF(ISBLANK($C59), """", GOOGLEFINANCE($C59, ""price""))"),295.38)</f>
        <v>295.38</v>
      </c>
      <c r="P59" s="16">
        <f t="shared" si="2"/>
        <v>-0.02870671796</v>
      </c>
      <c r="Q59" s="16">
        <f>IFERROR(__xludf.DUMMYFUNCTION("IF(OR(ISBLANK($G59), IFERROR(INDEX(GOOGLEFINANCE($C59, ""price"", WORKDAY(INT($B59), 1)), 2, 2), """")=""""), """", IF($D59=""LONG"", (IFERROR(INDEX(GOOGLEFINANCE($C59, ""price"", WORKDAY(INT($B59), 1)), 2, 2), """")-$G59)/$G59, ($G59-IFERROR(INDEX(GOOGLE"&amp;"FINANCE($C59, ""price"", WORKDAY(INT($B59), 1)), 2, 2), """"))/$G59))"),0.010555391141363255)</f>
        <v>0.01055539114</v>
      </c>
      <c r="R59" s="16">
        <f>IFERROR(__xludf.DUMMYFUNCTION("IF(OR(ISBLANK($G59), IFERROR(INDEX(GOOGLEFINANCE($C59, ""price"", WORKDAY(INT($B59), 5)), 2, 2), """")=""""), """", IF($D59=""LONG"", (IFERROR(INDEX(GOOGLEFINANCE($C59, ""price"", WORKDAY(INT($B59), 5)), 2, 2), """")-$G59)/$G59, ($G59-IFERROR(INDEX(GOOGLE"&amp;"FINANCE($C59, ""price"", WORKDAY(INT($B59), 5)), 2, 2), """"))/$G59))"),-0.04817335832429066)</f>
        <v>-0.04817335832</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4390</v>
      </c>
      <c r="U59" s="10" t="s">
        <v>492</v>
      </c>
      <c r="V59" s="10" t="s">
        <v>2701</v>
      </c>
      <c r="W59" s="10" t="s">
        <v>51</v>
      </c>
      <c r="X59" s="10" t="s">
        <v>492</v>
      </c>
    </row>
    <row r="60">
      <c r="A60" s="9">
        <f t="shared" si="1"/>
        <v>59</v>
      </c>
      <c r="B60" s="11">
        <v>46226.66761574074</v>
      </c>
      <c r="C60" s="10" t="s">
        <v>331</v>
      </c>
      <c r="D60" s="10" t="s">
        <v>36</v>
      </c>
      <c r="E60" s="10" t="s">
        <v>37</v>
      </c>
      <c r="F60" s="13">
        <v>2.0</v>
      </c>
      <c r="G60" s="14">
        <v>249.24</v>
      </c>
      <c r="H60" s="10" t="s">
        <v>4392</v>
      </c>
      <c r="I60" s="10">
        <v>93.8</v>
      </c>
      <c r="O60" s="15">
        <f>IFERROR(__xludf.DUMMYFUNCTION("IF(ISBLANK($C60), """", GOOGLEFINANCE($C60, ""price""))"),252.76)</f>
        <v>252.76</v>
      </c>
      <c r="P60" s="16">
        <f t="shared" si="2"/>
        <v>0.01412293372</v>
      </c>
      <c r="Q60" s="16">
        <f>IFERROR(__xludf.DUMMYFUNCTION("IF(OR(ISBLANK($G60), IFERROR(INDEX(GOOGLEFINANCE($C60, ""price"", WORKDAY(INT($B60), 1)), 2, 2), """")=""""), """", IF($D60=""LONG"", (IFERROR(INDEX(GOOGLEFINANCE($C60, ""price"", WORKDAY(INT($B60), 1)), 2, 2), """")-$G60)/$G60, ($G60-IFERROR(INDEX(GOOGLE"&amp;"FINANCE($C60, ""price"", WORKDAY(INT($B60), 1)), 2, 2), """"))/$G60))"),0.007021344888460921)</f>
        <v>0.007021344888</v>
      </c>
      <c r="R60" s="16">
        <f>IFERROR(__xludf.DUMMYFUNCTION("IF(OR(ISBLANK($G60), IFERROR(INDEX(GOOGLEFINANCE($C60, ""price"", WORKDAY(INT($B60), 5)), 2, 2), """")=""""), """", IF($D60=""LONG"", (IFERROR(INDEX(GOOGLEFINANCE($C60, ""price"", WORKDAY(INT($B60), 5)), 2, 2), """")-$G60)/$G60, ($G60-IFERROR(INDEX(GOOGLE"&amp;"FINANCE($C60, ""price"", WORKDAY(INT($B60), 5)), 2, 2), """"))/$G60))"),-0.0021264644519338833)</f>
        <v>-0.002126464452</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4393</v>
      </c>
      <c r="U60" s="10" t="s">
        <v>492</v>
      </c>
      <c r="V60" s="10" t="s">
        <v>493</v>
      </c>
      <c r="W60" s="10" t="s">
        <v>51</v>
      </c>
      <c r="X60" s="10" t="s">
        <v>492</v>
      </c>
    </row>
    <row r="61">
      <c r="A61" s="9">
        <f t="shared" si="1"/>
        <v>60</v>
      </c>
      <c r="B61" s="11">
        <v>46226.667592592596</v>
      </c>
      <c r="C61" s="10" t="s">
        <v>4394</v>
      </c>
      <c r="D61" s="10" t="s">
        <v>36</v>
      </c>
      <c r="E61" s="10" t="s">
        <v>37</v>
      </c>
      <c r="F61" s="13">
        <v>2.0</v>
      </c>
      <c r="G61" s="14">
        <v>305.41</v>
      </c>
      <c r="H61" s="10" t="s">
        <v>4396</v>
      </c>
      <c r="I61" s="10">
        <v>92.7</v>
      </c>
      <c r="O61" s="15">
        <f>IFERROR(__xludf.DUMMYFUNCTION("IF(ISBLANK($C61), """", GOOGLEFINANCE($C61, ""price""))"),302.99)</f>
        <v>302.99</v>
      </c>
      <c r="P61" s="16">
        <f t="shared" si="2"/>
        <v>-0.007923774598</v>
      </c>
      <c r="Q61" s="16">
        <f>IFERROR(__xludf.DUMMYFUNCTION("IF(OR(ISBLANK($G61), IFERROR(INDEX(GOOGLEFINANCE($C61, ""price"", WORKDAY(INT($B61), 1)), 2, 2), """")=""""), """", IF($D61=""LONG"", (IFERROR(INDEX(GOOGLEFINANCE($C61, ""price"", WORKDAY(INT($B61), 1)), 2, 2), """")-$G61)/$G61, ($G61-IFERROR(INDEX(GOOGLE"&amp;"FINANCE($C61, ""price"", WORKDAY(INT($B61), 1)), 2, 2), """"))/$G61))"),-0.009528175239841606)</f>
        <v>-0.00952817524</v>
      </c>
      <c r="R61" s="16">
        <f>IFERROR(__xludf.DUMMYFUNCTION("IF(OR(ISBLANK($G61), IFERROR(INDEX(GOOGLEFINANCE($C61, ""price"", WORKDAY(INT($B61), 5)), 2, 2), """")=""""), """", IF($D61=""LONG"", (IFERROR(INDEX(GOOGLEFINANCE($C61, ""price"", WORKDAY(INT($B61), 5)), 2, 2), """")-$G61)/$G61, ($G61-IFERROR(INDEX(GOOGLE"&amp;"FINANCE($C61, ""price"", WORKDAY(INT($B61), 5)), 2, 2), """"))/$G61))"),0.02062800825120315)</f>
        <v>0.02062800825</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4398</v>
      </c>
      <c r="U61" s="10" t="s">
        <v>704</v>
      </c>
      <c r="V61" s="10" t="s">
        <v>4399</v>
      </c>
      <c r="W61" s="10" t="s">
        <v>51</v>
      </c>
      <c r="X61" s="10" t="s">
        <v>1885</v>
      </c>
    </row>
    <row r="62">
      <c r="A62" s="9">
        <f t="shared" si="1"/>
        <v>61</v>
      </c>
      <c r="B62" s="11">
        <v>46226.66768518519</v>
      </c>
      <c r="C62" s="10" t="s">
        <v>2229</v>
      </c>
      <c r="D62" s="10" t="s">
        <v>36</v>
      </c>
      <c r="E62" s="10" t="s">
        <v>37</v>
      </c>
      <c r="F62" s="13">
        <v>2.0</v>
      </c>
      <c r="G62" s="14">
        <v>116.87</v>
      </c>
      <c r="H62" s="10" t="s">
        <v>4401</v>
      </c>
      <c r="I62" s="10">
        <v>97.1</v>
      </c>
      <c r="O62" s="15">
        <f>IFERROR(__xludf.DUMMYFUNCTION("IF(ISBLANK($C62), """", GOOGLEFINANCE($C62, ""price""))"),120.76)</f>
        <v>120.76</v>
      </c>
      <c r="P62" s="16">
        <f t="shared" si="2"/>
        <v>0.03328484641</v>
      </c>
      <c r="Q62" s="16">
        <f>IFERROR(__xludf.DUMMYFUNCTION("IF(OR(ISBLANK($G62), IFERROR(INDEX(GOOGLEFINANCE($C62, ""price"", WORKDAY(INT($B62), 1)), 2, 2), """")=""""), """", IF($D62=""LONG"", (IFERROR(INDEX(GOOGLEFINANCE($C62, ""price"", WORKDAY(INT($B62), 1)), 2, 2), """")-$G62)/$G62, ($G62-IFERROR(INDEX(GOOGLE"&amp;"FINANCE($C62, ""price"", WORKDAY(INT($B62), 1)), 2, 2), """"))/$G62))"),0.024642765465902244)</f>
        <v>0.02464276547</v>
      </c>
      <c r="R62" s="16">
        <f>IFERROR(__xludf.DUMMYFUNCTION("IF(OR(ISBLANK($G62), IFERROR(INDEX(GOOGLEFINANCE($C62, ""price"", WORKDAY(INT($B62), 5)), 2, 2), """")=""""), """", IF($D62=""LONG"", (IFERROR(INDEX(GOOGLEFINANCE($C62, ""price"", WORKDAY(INT($B62), 5)), 2, 2), """")-$G62)/$G62, ($G62-IFERROR(INDEX(GOOGLE"&amp;"FINANCE($C62, ""price"", WORKDAY(INT($B62), 5)), 2, 2), """"))/$G62))"),-4.2782578933867857E-4)</f>
        <v>-0.0004278257893</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4403</v>
      </c>
      <c r="U62" s="10" t="s">
        <v>492</v>
      </c>
      <c r="V62" s="10" t="s">
        <v>493</v>
      </c>
      <c r="W62" s="10" t="s">
        <v>51</v>
      </c>
      <c r="X62" s="10" t="s">
        <v>492</v>
      </c>
    </row>
    <row r="63">
      <c r="A63" s="9">
        <f t="shared" si="1"/>
        <v>62</v>
      </c>
      <c r="B63" s="11">
        <v>46226.66777777778</v>
      </c>
      <c r="C63" s="10" t="s">
        <v>442</v>
      </c>
      <c r="D63" s="10" t="s">
        <v>36</v>
      </c>
      <c r="E63" s="10" t="s">
        <v>37</v>
      </c>
      <c r="F63" s="13">
        <v>2.0</v>
      </c>
      <c r="G63" s="14">
        <v>492.09</v>
      </c>
      <c r="H63" s="10" t="s">
        <v>4405</v>
      </c>
      <c r="I63" s="10">
        <v>96.3</v>
      </c>
      <c r="O63" s="15">
        <f>IFERROR(__xludf.DUMMYFUNCTION("IF(ISBLANK($C63), """", GOOGLEFINANCE($C63, ""price""))"),522.46)</f>
        <v>522.46</v>
      </c>
      <c r="P63" s="16">
        <f t="shared" si="2"/>
        <v>0.0617163527</v>
      </c>
      <c r="Q63" s="16">
        <f>IFERROR(__xludf.DUMMYFUNCTION("IF(OR(ISBLANK($G63), IFERROR(INDEX(GOOGLEFINANCE($C63, ""price"", WORKDAY(INT($B63), 1)), 2, 2), """")=""""), """", IF($D63=""LONG"", (IFERROR(INDEX(GOOGLEFINANCE($C63, ""price"", WORKDAY(INT($B63), 1)), 2, 2), """")-$G63)/$G63, ($G63-IFERROR(INDEX(GOOGLE"&amp;"FINANCE($C63, ""price"", WORKDAY(INT($B63), 1)), 2, 2), """"))/$G63))"),0.02082952305472576)</f>
        <v>0.02082952305</v>
      </c>
      <c r="R63" s="16">
        <f>IFERROR(__xludf.DUMMYFUNCTION("IF(OR(ISBLANK($G63), IFERROR(INDEX(GOOGLEFINANCE($C63, ""price"", WORKDAY(INT($B63), 5)), 2, 2), """")=""""), """", IF($D63=""LONG"", (IFERROR(INDEX(GOOGLEFINANCE($C63, ""price"", WORKDAY(INT($B63), 5)), 2, 2), """")-$G63)/$G63, ($G63-IFERROR(INDEX(GOOGLE"&amp;"FINANCE($C63, ""price"", WORKDAY(INT($B63), 5)), 2, 2), """"))/$G63))"),0.06748765469731142)</f>
        <v>0.0674876547</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4407</v>
      </c>
      <c r="U63" s="10" t="s">
        <v>984</v>
      </c>
      <c r="V63" s="10" t="s">
        <v>985</v>
      </c>
      <c r="W63" s="10" t="s">
        <v>51</v>
      </c>
      <c r="X63" s="10" t="s">
        <v>984</v>
      </c>
    </row>
    <row r="64">
      <c r="A64" s="9">
        <f t="shared" si="1"/>
        <v>63</v>
      </c>
      <c r="B64" s="11">
        <v>46226.66773148148</v>
      </c>
      <c r="C64" s="10" t="s">
        <v>114</v>
      </c>
      <c r="D64" s="10" t="s">
        <v>36</v>
      </c>
      <c r="E64" s="10" t="s">
        <v>37</v>
      </c>
      <c r="F64" s="13">
        <v>2.0</v>
      </c>
      <c r="G64" s="14">
        <v>226.0</v>
      </c>
      <c r="H64" s="10" t="s">
        <v>4408</v>
      </c>
      <c r="I64" s="10">
        <v>93.2</v>
      </c>
      <c r="O64" s="15">
        <f>IFERROR(__xludf.DUMMYFUNCTION("IF(ISBLANK($C64), """", GOOGLEFINANCE($C64, ""price""))"),237.66)</f>
        <v>237.66</v>
      </c>
      <c r="P64" s="16">
        <f t="shared" si="2"/>
        <v>0.05159292035</v>
      </c>
      <c r="Q64" s="16">
        <f>IFERROR(__xludf.DUMMYFUNCTION("IF(OR(ISBLANK($G64), IFERROR(INDEX(GOOGLEFINANCE($C64, ""price"", WORKDAY(INT($B64), 1)), 2, 2), """")=""""), """", IF($D64=""LONG"", (IFERROR(INDEX(GOOGLEFINANCE($C64, ""price"", WORKDAY(INT($B64), 1)), 2, 2), """")-$G64)/$G64, ($G64-IFERROR(INDEX(GOOGLE"&amp;"FINANCE($C64, ""price"", WORKDAY(INT($B64), 1)), 2, 2), """"))/$G64))"),0.008982300884955757)</f>
        <v>0.008982300885</v>
      </c>
      <c r="R64" s="16">
        <f>IFERROR(__xludf.DUMMYFUNCTION("IF(OR(ISBLANK($G64), IFERROR(INDEX(GOOGLEFINANCE($C64, ""price"", WORKDAY(INT($B64), 5)), 2, 2), """")=""""), """", IF($D64=""LONG"", (IFERROR(INDEX(GOOGLEFINANCE($C64, ""price"", WORKDAY(INT($B64), 5)), 2, 2), """")-$G64)/$G64, ($G64-IFERROR(INDEX(GOOGLE"&amp;"FINANCE($C64, ""price"", WORKDAY(INT($B64), 5)), 2, 2), """"))/$G64))"),0.004734513274336253)</f>
        <v>0.004734513274</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4411</v>
      </c>
      <c r="U64" s="10" t="s">
        <v>492</v>
      </c>
      <c r="V64" s="10" t="s">
        <v>493</v>
      </c>
      <c r="W64" s="10" t="s">
        <v>51</v>
      </c>
      <c r="X64" s="10" t="s">
        <v>492</v>
      </c>
    </row>
    <row r="65">
      <c r="A65" s="9">
        <f t="shared" si="1"/>
        <v>64</v>
      </c>
      <c r="B65" s="11">
        <v>46226.667662037034</v>
      </c>
      <c r="C65" s="10" t="s">
        <v>351</v>
      </c>
      <c r="D65" s="10" t="s">
        <v>36</v>
      </c>
      <c r="E65" s="10" t="s">
        <v>37</v>
      </c>
      <c r="F65" s="13">
        <v>2.0</v>
      </c>
      <c r="G65" s="14">
        <v>225.34</v>
      </c>
      <c r="H65" s="10" t="s">
        <v>4412</v>
      </c>
      <c r="I65" s="10">
        <v>72.5</v>
      </c>
      <c r="O65" s="15">
        <f>IFERROR(__xludf.DUMMYFUNCTION("IF(ISBLANK($C65), """", GOOGLEFINANCE($C65, ""price""))"),221.83)</f>
        <v>221.83</v>
      </c>
      <c r="P65" s="16">
        <f t="shared" si="2"/>
        <v>-0.01557646223</v>
      </c>
      <c r="Q65" s="16">
        <f>IFERROR(__xludf.DUMMYFUNCTION("IF(OR(ISBLANK($G65), IFERROR(INDEX(GOOGLEFINANCE($C65, ""price"", WORKDAY(INT($B65), 1)), 2, 2), """")=""""), """", IF($D65=""LONG"", (IFERROR(INDEX(GOOGLEFINANCE($C65, ""price"", WORKDAY(INT($B65), 1)), 2, 2), """")-$G65)/$G65, ($G65-IFERROR(INDEX(GOOGLE"&amp;"FINANCE($C65, ""price"", WORKDAY(INT($B65), 1)), 2, 2), """"))/$G65))"),0.019703559066299805)</f>
        <v>0.01970355907</v>
      </c>
      <c r="R65" s="16">
        <f>IFERROR(__xludf.DUMMYFUNCTION("IF(OR(ISBLANK($G65), IFERROR(INDEX(GOOGLEFINANCE($C65, ""price"", WORKDAY(INT($B65), 5)), 2, 2), """")=""""), """", IF($D65=""LONG"", (IFERROR(INDEX(GOOGLEFINANCE($C65, ""price"", WORKDAY(INT($B65), 5)), 2, 2), """")-$G65)/$G65, ($G65-IFERROR(INDEX(GOOGLE"&amp;"FINANCE($C65, ""price"", WORKDAY(INT($B65), 5)), 2, 2), """"))/$G65))"),0.022632466495074086)</f>
        <v>0.0226324665</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4416</v>
      </c>
      <c r="U65" s="10" t="s">
        <v>704</v>
      </c>
      <c r="V65" s="10" t="s">
        <v>4417</v>
      </c>
      <c r="W65" s="10" t="s">
        <v>51</v>
      </c>
      <c r="X65" s="10" t="s">
        <v>1885</v>
      </c>
    </row>
    <row r="66">
      <c r="A66" s="9">
        <f t="shared" si="1"/>
        <v>65</v>
      </c>
      <c r="B66" s="11">
        <v>46226.66767361111</v>
      </c>
      <c r="C66" s="10" t="s">
        <v>707</v>
      </c>
      <c r="D66" s="10" t="s">
        <v>36</v>
      </c>
      <c r="E66" s="10" t="s">
        <v>37</v>
      </c>
      <c r="F66" s="13">
        <v>2.0</v>
      </c>
      <c r="G66" s="14">
        <v>112.74</v>
      </c>
      <c r="H66" s="10" t="s">
        <v>4418</v>
      </c>
      <c r="I66" s="10">
        <v>92.9</v>
      </c>
      <c r="O66" s="15">
        <f>IFERROR(__xludf.DUMMYFUNCTION("IF(ISBLANK($C66), """", GOOGLEFINANCE($C66, ""price""))"),108.95)</f>
        <v>108.95</v>
      </c>
      <c r="P66" s="16">
        <f t="shared" si="2"/>
        <v>-0.03361717225</v>
      </c>
      <c r="Q66" s="16">
        <f>IFERROR(__xludf.DUMMYFUNCTION("IF(OR(ISBLANK($G66), IFERROR(INDEX(GOOGLEFINANCE($C66, ""price"", WORKDAY(INT($B66), 1)), 2, 2), """")=""""), """", IF($D66=""LONG"", (IFERROR(INDEX(GOOGLEFINANCE($C66, ""price"", WORKDAY(INT($B66), 1)), 2, 2), """")-$G66)/$G66, ($G66-IFERROR(INDEX(GOOGLE"&amp;"FINANCE($C66, ""price"", WORKDAY(INT($B66), 1)), 2, 2), """"))/$G66))"),0.002394890899414673)</f>
        <v>0.002394890899</v>
      </c>
      <c r="R66" s="16">
        <f>IFERROR(__xludf.DUMMYFUNCTION("IF(OR(ISBLANK($G66), IFERROR(INDEX(GOOGLEFINANCE($C66, ""price"", WORKDAY(INT($B66), 5)), 2, 2), """")=""""), """", IF($D66=""LONG"", (IFERROR(INDEX(GOOGLEFINANCE($C66, ""price"", WORKDAY(INT($B66), 5)), 2, 2), """")-$G66)/$G66, ($G66-IFERROR(INDEX(GOOGLE"&amp;"FINANCE($C66, ""price"", WORKDAY(INT($B66), 5)), 2, 2), """"))/$G66))"),-0.02731949618591448)</f>
        <v>-0.02731949619</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4422</v>
      </c>
      <c r="U66" s="10" t="s">
        <v>984</v>
      </c>
      <c r="V66" s="10" t="s">
        <v>2785</v>
      </c>
      <c r="W66" s="10" t="s">
        <v>51</v>
      </c>
      <c r="X66" s="10" t="s">
        <v>984</v>
      </c>
    </row>
    <row r="67">
      <c r="A67" s="9">
        <f t="shared" si="1"/>
        <v>66</v>
      </c>
      <c r="B67" s="11">
        <v>46226.667766203704</v>
      </c>
      <c r="C67" s="10" t="s">
        <v>222</v>
      </c>
      <c r="D67" s="10" t="s">
        <v>36</v>
      </c>
      <c r="E67" s="10" t="s">
        <v>37</v>
      </c>
      <c r="F67" s="13">
        <v>2.0</v>
      </c>
      <c r="G67" s="14">
        <v>473.17</v>
      </c>
      <c r="H67" s="10" t="s">
        <v>4423</v>
      </c>
      <c r="I67" s="10">
        <v>82.7</v>
      </c>
      <c r="O67" s="15">
        <f>IFERROR(__xludf.DUMMYFUNCTION("IF(ISBLANK($C67), """", GOOGLEFINANCE($C67, ""price""))"),484.03)</f>
        <v>484.03</v>
      </c>
      <c r="P67" s="16">
        <f t="shared" si="2"/>
        <v>0.02295158188</v>
      </c>
      <c r="Q67" s="16">
        <f>IFERROR(__xludf.DUMMYFUNCTION("IF(OR(ISBLANK($G67), IFERROR(INDEX(GOOGLEFINANCE($C67, ""price"", WORKDAY(INT($B67), 1)), 2, 2), """")=""""), """", IF($D67=""LONG"", (IFERROR(INDEX(GOOGLEFINANCE($C67, ""price"", WORKDAY(INT($B67), 1)), 2, 2), """")-$G67)/$G67, ($G67-IFERROR(INDEX(GOOGLE"&amp;"FINANCE($C67, ""price"", WORKDAY(INT($B67), 1)), 2, 2), """"))/$G67))"),0.00885516833273453)</f>
        <v>0.008855168333</v>
      </c>
      <c r="R67" s="16">
        <f>IFERROR(__xludf.DUMMYFUNCTION("IF(OR(ISBLANK($G67), IFERROR(INDEX(GOOGLEFINANCE($C67, ""price"", WORKDAY(INT($B67), 5)), 2, 2), """")=""""), """", IF($D67=""LONG"", (IFERROR(INDEX(GOOGLEFINANCE($C67, ""price"", WORKDAY(INT($B67), 5)), 2, 2), """")-$G67)/$G67, ($G67-IFERROR(INDEX(GOOGLE"&amp;"FINANCE($C67, ""price"", WORKDAY(INT($B67), 5)), 2, 2), """"))/$G67))"),0.01802734746497025)</f>
        <v>0.01802734746</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4426</v>
      </c>
      <c r="U67" s="10" t="s">
        <v>492</v>
      </c>
      <c r="V67" s="10" t="s">
        <v>493</v>
      </c>
      <c r="W67" s="10" t="s">
        <v>51</v>
      </c>
      <c r="X67" s="10" t="s">
        <v>492</v>
      </c>
    </row>
    <row r="68">
      <c r="A68" s="9">
        <f t="shared" si="1"/>
        <v>67</v>
      </c>
      <c r="B68" s="11">
        <v>46226.66768518519</v>
      </c>
      <c r="C68" s="10" t="s">
        <v>3242</v>
      </c>
      <c r="D68" s="10" t="s">
        <v>36</v>
      </c>
      <c r="E68" s="10" t="s">
        <v>37</v>
      </c>
      <c r="F68" s="13">
        <v>2.0</v>
      </c>
      <c r="G68" s="14">
        <v>321.68</v>
      </c>
      <c r="H68" s="10" t="s">
        <v>4427</v>
      </c>
      <c r="I68" s="10">
        <v>92.0</v>
      </c>
      <c r="L68" s="10" t="s">
        <v>4428</v>
      </c>
      <c r="M68" s="10" t="s">
        <v>2174</v>
      </c>
      <c r="N68" s="10" t="s">
        <v>925</v>
      </c>
      <c r="O68" s="15">
        <f>IFERROR(__xludf.DUMMYFUNCTION("IF(ISBLANK($C68), """", GOOGLEFINANCE($C68, ""price""))"),312.41)</f>
        <v>312.41</v>
      </c>
      <c r="P68" s="16">
        <f t="shared" si="2"/>
        <v>-0.02881745834</v>
      </c>
      <c r="Q68" s="16">
        <f>IFERROR(__xludf.DUMMYFUNCTION("IF(OR(ISBLANK($G68), IFERROR(INDEX(GOOGLEFINANCE($C68, ""price"", WORKDAY(INT($B68), 1)), 2, 2), """")=""""), """", IF($D68=""LONG"", (IFERROR(INDEX(GOOGLEFINANCE($C68, ""price"", WORKDAY(INT($B68), 1)), 2, 2), """")-$G68)/$G68, ($G68-IFERROR(INDEX(GOOGLE"&amp;"FINANCE($C68, ""price"", WORKDAY(INT($B68), 1)), 2, 2), """"))/$G68))"),0.035252424769957644)</f>
        <v>0.03525242477</v>
      </c>
      <c r="R68" s="16">
        <f>IFERROR(__xludf.DUMMYFUNCTION("IF(OR(ISBLANK($G68), IFERROR(INDEX(GOOGLEFINANCE($C68, ""price"", WORKDAY(INT($B68), 5)), 2, 2), """")=""""), """", IF($D68=""LONG"", (IFERROR(INDEX(GOOGLEFINANCE($C68, ""price"", WORKDAY(INT($B68), 5)), 2, 2), """")-$G68)/$G68, ($G68-IFERROR(INDEX(GOOGLE"&amp;"FINANCE($C68, ""price"", WORKDAY(INT($B68), 5)), 2, 2), """"))/$G68))"),0.03652698333747824)</f>
        <v>0.03652698334</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4430</v>
      </c>
      <c r="U68" s="10" t="s">
        <v>240</v>
      </c>
      <c r="V68" s="10" t="s">
        <v>4432</v>
      </c>
      <c r="W68" s="10" t="s">
        <v>51</v>
      </c>
      <c r="X68" s="10" t="s">
        <v>1905</v>
      </c>
    </row>
    <row r="69">
      <c r="A69" s="9">
        <f t="shared" si="1"/>
        <v>68</v>
      </c>
      <c r="B69" s="11">
        <v>46226.667719907404</v>
      </c>
      <c r="C69" s="10" t="s">
        <v>67</v>
      </c>
      <c r="D69" s="10" t="s">
        <v>36</v>
      </c>
      <c r="E69" s="10" t="s">
        <v>37</v>
      </c>
      <c r="F69" s="13">
        <v>2.0</v>
      </c>
      <c r="G69" s="14">
        <v>84.39</v>
      </c>
      <c r="H69" s="10" t="s">
        <v>4433</v>
      </c>
      <c r="I69" s="10">
        <v>89.5</v>
      </c>
      <c r="O69" s="15">
        <f>IFERROR(__xludf.DUMMYFUNCTION("IF(ISBLANK($C69), """", GOOGLEFINANCE($C69, ""price""))"),80.02)</f>
        <v>80.02</v>
      </c>
      <c r="P69" s="16">
        <f t="shared" si="2"/>
        <v>-0.05178338666</v>
      </c>
      <c r="Q69" s="16">
        <f>IFERROR(__xludf.DUMMYFUNCTION("IF(OR(ISBLANK($G69), IFERROR(INDEX(GOOGLEFINANCE($C69, ""price"", WORKDAY(INT($B69), 1)), 2, 2), """")=""""), """", IF($D69=""LONG"", (IFERROR(INDEX(GOOGLEFINANCE($C69, ""price"", WORKDAY(INT($B69), 1)), 2, 2), """")-$G69)/$G69, ($G69-IFERROR(INDEX(GOOGLE"&amp;"FINANCE($C69, ""price"", WORKDAY(INT($B69), 1)), 2, 2), """"))/$G69))"),0.01232373503969672)</f>
        <v>0.01232373504</v>
      </c>
      <c r="R69" s="16">
        <f>IFERROR(__xludf.DUMMYFUNCTION("IF(OR(ISBLANK($G69), IFERROR(INDEX(GOOGLEFINANCE($C69, ""price"", WORKDAY(INT($B69), 5)), 2, 2), """")=""""), """", IF($D69=""LONG"", (IFERROR(INDEX(GOOGLEFINANCE($C69, ""price"", WORKDAY(INT($B69), 5)), 2, 2), """")-$G69)/$G69, ($G69-IFERROR(INDEX(GOOGLE"&amp;"FINANCE($C69, ""price"", WORKDAY(INT($B69), 5)), 2, 2), """"))/$G69))"),0.04064462614053789)</f>
        <v>0.04064462614</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4437</v>
      </c>
      <c r="U69" s="10" t="s">
        <v>492</v>
      </c>
      <c r="V69" s="10" t="s">
        <v>493</v>
      </c>
      <c r="W69" s="10" t="s">
        <v>51</v>
      </c>
      <c r="X69" s="10" t="s">
        <v>492</v>
      </c>
    </row>
    <row r="70">
      <c r="A70" s="9">
        <f t="shared" si="1"/>
        <v>69</v>
      </c>
      <c r="B70" s="11">
        <v>46226.66778935185</v>
      </c>
      <c r="C70" s="10" t="s">
        <v>60</v>
      </c>
      <c r="D70" s="10" t="s">
        <v>36</v>
      </c>
      <c r="E70" s="10" t="s">
        <v>37</v>
      </c>
      <c r="F70" s="13">
        <v>2.0</v>
      </c>
      <c r="G70" s="14">
        <v>42.64</v>
      </c>
      <c r="H70" s="10" t="s">
        <v>4440</v>
      </c>
      <c r="I70" s="10">
        <v>90.5</v>
      </c>
      <c r="O70" s="15">
        <f>IFERROR(__xludf.DUMMYFUNCTION("IF(ISBLANK($C70), """", GOOGLEFINANCE($C70, ""price""))"),47.06)</f>
        <v>47.06</v>
      </c>
      <c r="P70" s="16">
        <f t="shared" si="2"/>
        <v>0.1036585366</v>
      </c>
      <c r="Q70" s="16">
        <f>IFERROR(__xludf.DUMMYFUNCTION("IF(OR(ISBLANK($G70), IFERROR(INDEX(GOOGLEFINANCE($C70, ""price"", WORKDAY(INT($B70), 1)), 2, 2), """")=""""), """", IF($D70=""LONG"", (IFERROR(INDEX(GOOGLEFINANCE($C70, ""price"", WORKDAY(INT($B70), 1)), 2, 2), """")-$G70)/$G70, ($G70-IFERROR(INDEX(GOOGLE"&amp;"FINANCE($C70, ""price"", WORKDAY(INT($B70), 1)), 2, 2), """"))/$G70))"),0.044559099437148184)</f>
        <v>0.04455909944</v>
      </c>
      <c r="R70" s="16">
        <f>IFERROR(__xludf.DUMMYFUNCTION("IF(OR(ISBLANK($G70), IFERROR(INDEX(GOOGLEFINANCE($C70, ""price"", WORKDAY(INT($B70), 5)), 2, 2), """")=""""), """", IF($D70=""LONG"", (IFERROR(INDEX(GOOGLEFINANCE($C70, ""price"", WORKDAY(INT($B70), 5)), 2, 2), """")-$G70)/$G70, ($G70-IFERROR(INDEX(GOOGLE"&amp;"FINANCE($C70, ""price"", WORKDAY(INT($B70), 5)), 2, 2), """"))/$G70))"),0.0588649155722326)</f>
        <v>0.05886491557</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4443</v>
      </c>
      <c r="U70" s="10" t="s">
        <v>984</v>
      </c>
      <c r="V70" s="10" t="s">
        <v>2714</v>
      </c>
      <c r="W70" s="10" t="s">
        <v>51</v>
      </c>
      <c r="X70" s="10" t="s">
        <v>984</v>
      </c>
    </row>
    <row r="71">
      <c r="A71" s="9">
        <f t="shared" si="1"/>
        <v>70</v>
      </c>
      <c r="B71" s="11">
        <v>46226.66768518519</v>
      </c>
      <c r="C71" s="10" t="s">
        <v>3533</v>
      </c>
      <c r="D71" s="10" t="s">
        <v>36</v>
      </c>
      <c r="E71" s="10" t="s">
        <v>37</v>
      </c>
      <c r="F71" s="13">
        <v>2.0</v>
      </c>
      <c r="G71" s="14">
        <v>81.17</v>
      </c>
      <c r="H71" s="10" t="s">
        <v>4444</v>
      </c>
      <c r="I71" s="10">
        <v>91.9</v>
      </c>
      <c r="O71" s="15">
        <f>IFERROR(__xludf.DUMMYFUNCTION("IF(ISBLANK($C71), """", GOOGLEFINANCE($C71, ""price""))"),76.96)</f>
        <v>76.96</v>
      </c>
      <c r="P71" s="16">
        <f t="shared" si="2"/>
        <v>-0.05186645312</v>
      </c>
      <c r="Q71" s="16">
        <f>IFERROR(__xludf.DUMMYFUNCTION("IF(OR(ISBLANK($G71), IFERROR(INDEX(GOOGLEFINANCE($C71, ""price"", WORKDAY(INT($B71), 1)), 2, 2), """")=""""), """", IF($D71=""LONG"", (IFERROR(INDEX(GOOGLEFINANCE($C71, ""price"", WORKDAY(INT($B71), 1)), 2, 2), """")-$G71)/$G71, ($G71-IFERROR(INDEX(GOOGLE"&amp;"FINANCE($C71, ""price"", WORKDAY(INT($B71), 1)), 2, 2), """"))/$G71))"),0.012073426142663594)</f>
        <v>0.01207342614</v>
      </c>
      <c r="R71" s="16">
        <f>IFERROR(__xludf.DUMMYFUNCTION("IF(OR(ISBLANK($G71), IFERROR(INDEX(GOOGLEFINANCE($C71, ""price"", WORKDAY(INT($B71), 5)), 2, 2), """")=""""), """", IF($D71=""LONG"", (IFERROR(INDEX(GOOGLEFINANCE($C71, ""price"", WORKDAY(INT($B71), 5)), 2, 2), """")-$G71)/$G71, ($G71-IFERROR(INDEX(GOOGLE"&amp;"FINANCE($C71, ""price"", WORKDAY(INT($B71), 5)), 2, 2), """"))/$G71))"),-0.009979056301589285)</f>
        <v>-0.009979056302</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4446</v>
      </c>
      <c r="U71" s="10" t="s">
        <v>704</v>
      </c>
      <c r="V71" s="10" t="s">
        <v>4447</v>
      </c>
      <c r="W71" s="10" t="s">
        <v>51</v>
      </c>
      <c r="X71" s="10" t="s">
        <v>1885</v>
      </c>
    </row>
    <row r="72">
      <c r="A72" s="9">
        <f t="shared" si="1"/>
        <v>71</v>
      </c>
      <c r="B72" s="11">
        <v>46226.66777777778</v>
      </c>
      <c r="C72" s="10" t="s">
        <v>257</v>
      </c>
      <c r="D72" s="10" t="s">
        <v>36</v>
      </c>
      <c r="E72" s="10" t="s">
        <v>37</v>
      </c>
      <c r="F72" s="13">
        <v>2.0</v>
      </c>
      <c r="G72" s="14">
        <v>67.85</v>
      </c>
      <c r="H72" s="10" t="s">
        <v>4448</v>
      </c>
      <c r="I72" s="10">
        <v>93.5</v>
      </c>
      <c r="L72" s="10" t="s">
        <v>4450</v>
      </c>
      <c r="M72" s="34" t="s">
        <v>921</v>
      </c>
      <c r="N72" s="10" t="s">
        <v>925</v>
      </c>
      <c r="O72" s="15">
        <f>IFERROR(__xludf.DUMMYFUNCTION("IF(ISBLANK($C72), """", GOOGLEFINANCE($C72, ""price""))"),68.81)</f>
        <v>68.81</v>
      </c>
      <c r="P72" s="16">
        <f t="shared" si="2"/>
        <v>0.01414885777</v>
      </c>
      <c r="Q72" s="16">
        <f>IFERROR(__xludf.DUMMYFUNCTION("IF(OR(ISBLANK($G72), IFERROR(INDEX(GOOGLEFINANCE($C72, ""price"", WORKDAY(INT($B72), 1)), 2, 2), """")=""""), """", IF($D72=""LONG"", (IFERROR(INDEX(GOOGLEFINANCE($C72, ""price"", WORKDAY(INT($B72), 1)), 2, 2), """")-$G72)/$G72, ($G72-IFERROR(INDEX(GOOGLE"&amp;"FINANCE($C72, ""price"", WORKDAY(INT($B72), 1)), 2, 2), """"))/$G72))"),0.018570375829034712)</f>
        <v>0.01857037583</v>
      </c>
      <c r="R72" s="16">
        <f>IFERROR(__xludf.DUMMYFUNCTION("IF(OR(ISBLANK($G72), IFERROR(INDEX(GOOGLEFINANCE($C72, ""price"", WORKDAY(INT($B72), 5)), 2, 2), """")=""""), """", IF($D72=""LONG"", (IFERROR(INDEX(GOOGLEFINANCE($C72, ""price"", WORKDAY(INT($B72), 5)), 2, 2), """")-$G72)/$G72, ($G72-IFERROR(INDEX(GOOGLE"&amp;"FINANCE($C72, ""price"", WORKDAY(INT($B72), 5)), 2, 2), """"))/$G72))"),0.05630066322770829)</f>
        <v>0.05630066323</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4454</v>
      </c>
      <c r="U72" s="10" t="s">
        <v>704</v>
      </c>
      <c r="V72" s="10" t="s">
        <v>4455</v>
      </c>
      <c r="W72" s="10" t="s">
        <v>51</v>
      </c>
      <c r="X72" s="10" t="s">
        <v>1885</v>
      </c>
    </row>
    <row r="73">
      <c r="A73" s="9">
        <f t="shared" si="1"/>
        <v>72</v>
      </c>
      <c r="B73" s="11">
        <v>46226.66777777778</v>
      </c>
      <c r="C73" s="10" t="s">
        <v>691</v>
      </c>
      <c r="D73" s="10" t="s">
        <v>36</v>
      </c>
      <c r="E73" s="10" t="s">
        <v>37</v>
      </c>
      <c r="F73" s="13">
        <v>2.0</v>
      </c>
      <c r="G73" s="14">
        <v>29.81</v>
      </c>
      <c r="H73" s="10" t="s">
        <v>4456</v>
      </c>
      <c r="I73" s="10">
        <v>89.3</v>
      </c>
      <c r="O73" s="15">
        <f>IFERROR(__xludf.DUMMYFUNCTION("IF(ISBLANK($C73), """", GOOGLEFINANCE($C73, ""price""))"),31.69)</f>
        <v>31.69</v>
      </c>
      <c r="P73" s="16">
        <f t="shared" si="2"/>
        <v>0.06306608521</v>
      </c>
      <c r="Q73" s="16">
        <f>IFERROR(__xludf.DUMMYFUNCTION("IF(OR(ISBLANK($G73), IFERROR(INDEX(GOOGLEFINANCE($C73, ""price"", WORKDAY(INT($B73), 1)), 2, 2), """")=""""), """", IF($D73=""LONG"", (IFERROR(INDEX(GOOGLEFINANCE($C73, ""price"", WORKDAY(INT($B73), 1)), 2, 2), """")-$G73)/$G73, ($G73-IFERROR(INDEX(GOOGLE"&amp;"FINANCE($C73, ""price"", WORKDAY(INT($B73), 1)), 2, 2), """"))/$G73))"),0.004025494800402583)</f>
        <v>0.0040254948</v>
      </c>
      <c r="R73" s="16">
        <f>IFERROR(__xludf.DUMMYFUNCTION("IF(OR(ISBLANK($G73), IFERROR(INDEX(GOOGLEFINANCE($C73, ""price"", WORKDAY(INT($B73), 5)), 2, 2), """")=""""), """", IF($D73=""LONG"", (IFERROR(INDEX(GOOGLEFINANCE($C73, ""price"", WORKDAY(INT($B73), 5)), 2, 2), """")-$G73)/$G73, ($G73-IFERROR(INDEX(GOOGLE"&amp;"FINANCE($C73, ""price"", WORKDAY(INT($B73), 5)), 2, 2), """"))/$G73))"),-0.013082858101308187)</f>
        <v>-0.0130828581</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4461</v>
      </c>
      <c r="U73" s="10" t="s">
        <v>704</v>
      </c>
      <c r="V73" s="10" t="s">
        <v>4462</v>
      </c>
      <c r="W73" s="10" t="s">
        <v>51</v>
      </c>
      <c r="X73" s="10" t="s">
        <v>1885</v>
      </c>
    </row>
    <row r="74">
      <c r="A74" s="9">
        <f t="shared" si="1"/>
        <v>73</v>
      </c>
      <c r="B74" s="11">
        <v>46226.66774305556</v>
      </c>
      <c r="C74" s="10" t="s">
        <v>4463</v>
      </c>
      <c r="D74" s="10" t="s">
        <v>36</v>
      </c>
      <c r="E74" s="10" t="s">
        <v>37</v>
      </c>
      <c r="F74" s="13">
        <v>2.0</v>
      </c>
      <c r="G74" s="14">
        <v>25.37</v>
      </c>
      <c r="H74" s="10" t="s">
        <v>4464</v>
      </c>
      <c r="I74" s="10">
        <v>94.2</v>
      </c>
      <c r="L74" s="10" t="s">
        <v>4465</v>
      </c>
      <c r="M74" s="10" t="s">
        <v>2174</v>
      </c>
      <c r="N74" s="10" t="s">
        <v>925</v>
      </c>
      <c r="O74" s="15">
        <f>IFERROR(__xludf.DUMMYFUNCTION("IF(ISBLANK($C74), """", GOOGLEFINANCE($C74, ""price""))"),24.96)</f>
        <v>24.96</v>
      </c>
      <c r="P74" s="16">
        <f t="shared" si="2"/>
        <v>-0.01616081987</v>
      </c>
      <c r="Q74" s="16">
        <f>IFERROR(__xludf.DUMMYFUNCTION("IF(OR(ISBLANK($G74), IFERROR(INDEX(GOOGLEFINANCE($C74, ""price"", WORKDAY(INT($B74), 1)), 2, 2), """")=""""), """", IF($D74=""LONG"", (IFERROR(INDEX(GOOGLEFINANCE($C74, ""price"", WORKDAY(INT($B74), 1)), 2, 2), """")-$G74)/$G74, ($G74-IFERROR(INDEX(GOOGLE"&amp;"FINANCE($C74, ""price"", WORKDAY(INT($B74), 1)), 2, 2), """"))/$G74))"),0.011824990145841572)</f>
        <v>0.01182499015</v>
      </c>
      <c r="R74" s="16">
        <f>IFERROR(__xludf.DUMMYFUNCTION("IF(OR(ISBLANK($G74), IFERROR(INDEX(GOOGLEFINANCE($C74, ""price"", WORKDAY(INT($B74), 5)), 2, 2), """")=""""), """", IF($D74=""LONG"", (IFERROR(INDEX(GOOGLEFINANCE($C74, ""price"", WORKDAY(INT($B74), 5)), 2, 2), """")-$G74)/$G74, ($G74-IFERROR(INDEX(GOOGLE"&amp;"FINANCE($C74, ""price"", WORKDAY(INT($B74), 5)), 2, 2), """"))/$G74))"),0.03981080015766646)</f>
        <v>0.03981080016</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4471</v>
      </c>
      <c r="U74" s="10" t="s">
        <v>240</v>
      </c>
      <c r="V74" s="10" t="s">
        <v>4472</v>
      </c>
      <c r="W74" s="10" t="s">
        <v>51</v>
      </c>
      <c r="X74" s="10" t="s">
        <v>1905</v>
      </c>
    </row>
    <row r="75">
      <c r="A75" s="9">
        <f t="shared" si="1"/>
        <v>74</v>
      </c>
      <c r="B75" s="11">
        <v>46226.667766203704</v>
      </c>
      <c r="C75" s="10" t="s">
        <v>1778</v>
      </c>
      <c r="D75" s="10" t="s">
        <v>36</v>
      </c>
      <c r="E75" s="10" t="s">
        <v>37</v>
      </c>
      <c r="F75" s="13">
        <v>2.0</v>
      </c>
      <c r="G75" s="14">
        <v>88.79</v>
      </c>
      <c r="H75" s="10" t="s">
        <v>3772</v>
      </c>
      <c r="I75" s="10">
        <v>93.4</v>
      </c>
      <c r="O75" s="15">
        <f>IFERROR(__xludf.DUMMYFUNCTION("IF(ISBLANK($C75), """", GOOGLEFINANCE($C75, ""price""))"),76.86)</f>
        <v>76.86</v>
      </c>
      <c r="P75" s="16">
        <f t="shared" si="2"/>
        <v>-0.1343619777</v>
      </c>
      <c r="Q75" s="16">
        <f>IFERROR(__xludf.DUMMYFUNCTION("IF(OR(ISBLANK($G75), IFERROR(INDEX(GOOGLEFINANCE($C75, ""price"", WORKDAY(INT($B75), 1)), 2, 2), """")=""""), """", IF($D75=""LONG"", (IFERROR(INDEX(GOOGLEFINANCE($C75, ""price"", WORKDAY(INT($B75), 1)), 2, 2), """")-$G75)/$G75, ($G75-IFERROR(INDEX(GOOGLE"&amp;"FINANCE($C75, ""price"", WORKDAY(INT($B75), 1)), 2, 2), """"))/$G75))"),0.005180763599504378)</f>
        <v>0.0051807636</v>
      </c>
      <c r="R75" s="16">
        <f>IFERROR(__xludf.DUMMYFUNCTION("IF(OR(ISBLANK($G75), IFERROR(INDEX(GOOGLEFINANCE($C75, ""price"", WORKDAY(INT($B75), 5)), 2, 2), """")=""""), """", IF($D75=""LONG"", (IFERROR(INDEX(GOOGLEFINANCE($C75, ""price"", WORKDAY(INT($B75), 5)), 2, 2), """")-$G75)/$G75, ($G75-IFERROR(INDEX(GOOGLE"&amp;"FINANCE($C75, ""price"", WORKDAY(INT($B75), 5)), 2, 2), """"))/$G75))"),0.006194391260277026)</f>
        <v>0.00619439126</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4476</v>
      </c>
      <c r="U75" s="10" t="s">
        <v>704</v>
      </c>
      <c r="V75" s="10" t="s">
        <v>4477</v>
      </c>
      <c r="W75" s="10" t="s">
        <v>51</v>
      </c>
      <c r="X75" s="10" t="s">
        <v>1885</v>
      </c>
    </row>
    <row r="76">
      <c r="A76" s="9">
        <f t="shared" si="1"/>
        <v>75</v>
      </c>
      <c r="B76" s="11">
        <v>46226.66777777778</v>
      </c>
      <c r="C76" s="10" t="s">
        <v>2250</v>
      </c>
      <c r="D76" s="10" t="s">
        <v>36</v>
      </c>
      <c r="E76" s="10" t="s">
        <v>37</v>
      </c>
      <c r="F76" s="13">
        <v>2.0</v>
      </c>
      <c r="G76" s="14">
        <v>242.26</v>
      </c>
      <c r="H76" s="10" t="s">
        <v>4478</v>
      </c>
      <c r="I76" s="10">
        <v>98.7</v>
      </c>
      <c r="O76" s="15">
        <f>IFERROR(__xludf.DUMMYFUNCTION("IF(ISBLANK($C76), """", GOOGLEFINANCE($C76, ""price""))"),251.74)</f>
        <v>251.74</v>
      </c>
      <c r="P76" s="16">
        <f t="shared" si="2"/>
        <v>0.0391315116</v>
      </c>
      <c r="Q76" s="16">
        <f>IFERROR(__xludf.DUMMYFUNCTION("IF(OR(ISBLANK($G76), IFERROR(INDEX(GOOGLEFINANCE($C76, ""price"", WORKDAY(INT($B76), 1)), 2, 2), """")=""""), """", IF($D76=""LONG"", (IFERROR(INDEX(GOOGLEFINANCE($C76, ""price"", WORKDAY(INT($B76), 1)), 2, 2), """")-$G76)/$G76, ($G76-IFERROR(INDEX(GOOGLE"&amp;"FINANCE($C76, ""price"", WORKDAY(INT($B76), 1)), 2, 2), """"))/$G76))"),0.02274415916783629)</f>
        <v>0.02274415917</v>
      </c>
      <c r="R76" s="16">
        <f>IFERROR(__xludf.DUMMYFUNCTION("IF(OR(ISBLANK($G76), IFERROR(INDEX(GOOGLEFINANCE($C76, ""price"", WORKDAY(INT($B76), 5)), 2, 2), """")=""""), """", IF($D76=""LONG"", (IFERROR(INDEX(GOOGLEFINANCE($C76, ""price"", WORKDAY(INT($B76), 5)), 2, 2), """")-$G76)/$G76, ($G76-IFERROR(INDEX(GOOGLE"&amp;"FINANCE($C76, ""price"", WORKDAY(INT($B76), 5)), 2, 2), """"))/$G76))"),0.05861471146701886)</f>
        <v>0.05861471147</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4480</v>
      </c>
      <c r="U76" s="10" t="s">
        <v>984</v>
      </c>
      <c r="V76" s="10" t="s">
        <v>985</v>
      </c>
      <c r="W76" s="10" t="s">
        <v>51</v>
      </c>
      <c r="X76" s="10" t="s">
        <v>984</v>
      </c>
    </row>
    <row r="77">
      <c r="A77" s="9">
        <f t="shared" si="1"/>
        <v>76</v>
      </c>
      <c r="B77" s="11">
        <v>46226.667766203704</v>
      </c>
      <c r="C77" s="10" t="s">
        <v>3828</v>
      </c>
      <c r="D77" s="10" t="s">
        <v>36</v>
      </c>
      <c r="E77" s="10" t="s">
        <v>37</v>
      </c>
      <c r="F77" s="13">
        <v>2.0</v>
      </c>
      <c r="G77" s="14">
        <v>148.2</v>
      </c>
      <c r="H77" s="10" t="s">
        <v>4481</v>
      </c>
      <c r="I77" s="10">
        <v>98.7</v>
      </c>
      <c r="O77" s="15">
        <f>IFERROR(__xludf.DUMMYFUNCTION("IF(ISBLANK($C77), """", GOOGLEFINANCE($C77, ""price""))"),156.94)</f>
        <v>156.94</v>
      </c>
      <c r="P77" s="16">
        <f t="shared" si="2"/>
        <v>0.05897435897</v>
      </c>
      <c r="Q77" s="16">
        <f>IFERROR(__xludf.DUMMYFUNCTION("IF(OR(ISBLANK($G77), IFERROR(INDEX(GOOGLEFINANCE($C77, ""price"", WORKDAY(INT($B77), 1)), 2, 2), """")=""""), """", IF($D77=""LONG"", (IFERROR(INDEX(GOOGLEFINANCE($C77, ""price"", WORKDAY(INT($B77), 1)), 2, 2), """")-$G77)/$G77, ($G77-IFERROR(INDEX(GOOGLE"&amp;"FINANCE($C77, ""price"", WORKDAY(INT($B77), 1)), 2, 2), """"))/$G77))"),0.016059379217274117)</f>
        <v>0.01605937922</v>
      </c>
      <c r="R77" s="16">
        <f>IFERROR(__xludf.DUMMYFUNCTION("IF(OR(ISBLANK($G77), IFERROR(INDEX(GOOGLEFINANCE($C77, ""price"", WORKDAY(INT($B77), 5)), 2, 2), """")=""""), """", IF($D77=""LONG"", (IFERROR(INDEX(GOOGLEFINANCE($C77, ""price"", WORKDAY(INT($B77), 5)), 2, 2), """")-$G77)/$G77, ($G77-IFERROR(INDEX(GOOGLE"&amp;"FINANCE($C77, ""price"", WORKDAY(INT($B77), 5)), 2, 2), """"))/$G77))"),0.04075573549257774)</f>
        <v>0.04075573549</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4482</v>
      </c>
      <c r="U77" s="10" t="s">
        <v>984</v>
      </c>
      <c r="V77" s="10" t="s">
        <v>985</v>
      </c>
      <c r="W77" s="10" t="s">
        <v>51</v>
      </c>
      <c r="X77" s="10" t="s">
        <v>984</v>
      </c>
    </row>
    <row r="78">
      <c r="A78" s="9">
        <f t="shared" si="1"/>
        <v>77</v>
      </c>
      <c r="B78" s="11">
        <v>46226.66780092593</v>
      </c>
      <c r="C78" s="10" t="s">
        <v>765</v>
      </c>
      <c r="D78" s="10" t="s">
        <v>36</v>
      </c>
      <c r="E78" s="10" t="s">
        <v>37</v>
      </c>
      <c r="F78" s="13">
        <v>2.0</v>
      </c>
      <c r="G78" s="14">
        <v>124.39</v>
      </c>
      <c r="H78" s="10" t="s">
        <v>4484</v>
      </c>
      <c r="I78" s="10">
        <v>84.1</v>
      </c>
      <c r="O78" s="15">
        <f>IFERROR(__xludf.DUMMYFUNCTION("IF(ISBLANK($C78), """", GOOGLEFINANCE($C78, ""price""))"),126.66)</f>
        <v>126.66</v>
      </c>
      <c r="P78" s="16">
        <f t="shared" si="2"/>
        <v>0.01824905539</v>
      </c>
      <c r="Q78" s="16">
        <f>IFERROR(__xludf.DUMMYFUNCTION("IF(OR(ISBLANK($G78), IFERROR(INDEX(GOOGLEFINANCE($C78, ""price"", WORKDAY(INT($B78), 1)), 2, 2), """")=""""), """", IF($D78=""LONG"", (IFERROR(INDEX(GOOGLEFINANCE($C78, ""price"", WORKDAY(INT($B78), 1)), 2, 2), """")-$G78)/$G78, ($G78-IFERROR(INDEX(GOOGLE"&amp;"FINANCE($C78, ""price"", WORKDAY(INT($B78), 1)), 2, 2), """"))/$G78))"),0.0097274700538628)</f>
        <v>0.009727470054</v>
      </c>
      <c r="R78" s="16">
        <f>IFERROR(__xludf.DUMMYFUNCTION("IF(OR(ISBLANK($G78), IFERROR(INDEX(GOOGLEFINANCE($C78, ""price"", WORKDAY(INT($B78), 5)), 2, 2), """")=""""), """", IF($D78=""LONG"", (IFERROR(INDEX(GOOGLEFINANCE($C78, ""price"", WORKDAY(INT($B78), 5)), 2, 2), """")-$G78)/$G78, ($G78-IFERROR(INDEX(GOOGLE"&amp;"FINANCE($C78, ""price"", WORKDAY(INT($B78), 5)), 2, 2), """"))/$G78))"),0.023876517404936078)</f>
        <v>0.0238765174</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4486</v>
      </c>
      <c r="U78" s="10" t="s">
        <v>984</v>
      </c>
      <c r="V78" s="10" t="s">
        <v>2785</v>
      </c>
      <c r="W78" s="10" t="s">
        <v>51</v>
      </c>
      <c r="X78" s="10" t="s">
        <v>984</v>
      </c>
    </row>
    <row r="79">
      <c r="A79" s="9">
        <f t="shared" si="1"/>
        <v>78</v>
      </c>
      <c r="B79" s="11">
        <v>46226.66778935185</v>
      </c>
      <c r="C79" s="10" t="s">
        <v>191</v>
      </c>
      <c r="D79" s="10" t="s">
        <v>36</v>
      </c>
      <c r="E79" s="10" t="s">
        <v>37</v>
      </c>
      <c r="F79" s="13">
        <v>2.0</v>
      </c>
      <c r="G79" s="14">
        <v>21.69</v>
      </c>
      <c r="H79" s="10" t="s">
        <v>4487</v>
      </c>
      <c r="I79" s="10">
        <v>92.3</v>
      </c>
      <c r="O79" s="15">
        <f>IFERROR(__xludf.DUMMYFUNCTION("IF(ISBLANK($C79), """", GOOGLEFINANCE($C79, ""price""))"),27.01)</f>
        <v>27.01</v>
      </c>
      <c r="P79" s="16">
        <f t="shared" si="2"/>
        <v>0.24527432</v>
      </c>
      <c r="Q79" s="16">
        <f>IFERROR(__xludf.DUMMYFUNCTION("IF(OR(ISBLANK($G79), IFERROR(INDEX(GOOGLEFINANCE($C79, ""price"", WORKDAY(INT($B79), 1)), 2, 2), """")=""""), """", IF($D79=""LONG"", (IFERROR(INDEX(GOOGLEFINANCE($C79, ""price"", WORKDAY(INT($B79), 1)), 2, 2), """")-$G79)/$G79, ($G79-IFERROR(INDEX(GOOGLE"&amp;"FINANCE($C79, ""price"", WORKDAY(INT($B79), 1)), 2, 2), """"))/$G79))"),0.032733978792069955)</f>
        <v>0.03273397879</v>
      </c>
      <c r="R79" s="16">
        <f>IFERROR(__xludf.DUMMYFUNCTION("IF(OR(ISBLANK($G79), IFERROR(INDEX(GOOGLEFINANCE($C79, ""price"", WORKDAY(INT($B79), 5)), 2, 2), """")=""""), """", IF($D79=""LONG"", (IFERROR(INDEX(GOOGLEFINANCE($C79, ""price"", WORKDAY(INT($B79), 5)), 2, 2), """")-$G79)/$G79, ($G79-IFERROR(INDEX(GOOGLE"&amp;"FINANCE($C79, ""price"", WORKDAY(INT($B79), 5)), 2, 2), """"))/$G79))"),0.23328722913785147)</f>
        <v>0.2332872291</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4490</v>
      </c>
      <c r="U79" s="10" t="s">
        <v>984</v>
      </c>
      <c r="V79" s="10" t="s">
        <v>985</v>
      </c>
      <c r="W79" s="10" t="s">
        <v>51</v>
      </c>
      <c r="X79" s="10" t="s">
        <v>984</v>
      </c>
    </row>
    <row r="80">
      <c r="A80" s="9">
        <f t="shared" si="1"/>
        <v>79</v>
      </c>
      <c r="B80" s="11">
        <v>46226.66755787037</v>
      </c>
      <c r="C80" s="10" t="s">
        <v>1171</v>
      </c>
      <c r="D80" s="10" t="s">
        <v>36</v>
      </c>
      <c r="E80" s="10" t="s">
        <v>37</v>
      </c>
      <c r="F80" s="13">
        <v>2.0</v>
      </c>
      <c r="G80" s="14">
        <v>247.09</v>
      </c>
      <c r="H80" s="10" t="s">
        <v>4491</v>
      </c>
      <c r="I80" s="10">
        <v>77.9</v>
      </c>
      <c r="O80" s="15">
        <f>IFERROR(__xludf.DUMMYFUNCTION("IF(ISBLANK($C80), """", GOOGLEFINANCE($C80, ""price""))"),236.0)</f>
        <v>236</v>
      </c>
      <c r="P80" s="16">
        <f t="shared" si="2"/>
        <v>-0.0448824315</v>
      </c>
      <c r="Q80" s="16">
        <f>IFERROR(__xludf.DUMMYFUNCTION("IF(OR(ISBLANK($G80), IFERROR(INDEX(GOOGLEFINANCE($C80, ""price"", WORKDAY(INT($B80), 1)), 2, 2), """")=""""), """", IF($D80=""LONG"", (IFERROR(INDEX(GOOGLEFINANCE($C80, ""price"", WORKDAY(INT($B80), 1)), 2, 2), """")-$G80)/$G80, ($G80-IFERROR(INDEX(GOOGLE"&amp;"FINANCE($C80, ""price"", WORKDAY(INT($B80), 1)), 2, 2), """"))/$G80))"),0.02015459953862961)</f>
        <v>0.02015459954</v>
      </c>
      <c r="R80" s="16">
        <f>IFERROR(__xludf.DUMMYFUNCTION("IF(OR(ISBLANK($G80), IFERROR(INDEX(GOOGLEFINANCE($C80, ""price"", WORKDAY(INT($B80), 5)), 2, 2), """")=""""), """", IF($D80=""LONG"", (IFERROR(INDEX(GOOGLEFINANCE($C80, ""price"", WORKDAY(INT($B80), 5)), 2, 2), """")-$G80)/$G80, ($G80-IFERROR(INDEX(GOOGLE"&amp;"FINANCE($C80, ""price"", WORKDAY(INT($B80), 5)), 2, 2), """"))/$G80))"),-0.04637986158889477)</f>
        <v>-0.04637986159</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4493</v>
      </c>
      <c r="U80" s="10" t="s">
        <v>704</v>
      </c>
      <c r="V80" s="10" t="s">
        <v>4494</v>
      </c>
      <c r="W80" s="10" t="s">
        <v>51</v>
      </c>
      <c r="X80" s="10" t="s">
        <v>1885</v>
      </c>
    </row>
    <row r="81">
      <c r="A81" s="9">
        <f t="shared" si="1"/>
        <v>80</v>
      </c>
      <c r="B81" s="11">
        <v>46226.667604166665</v>
      </c>
      <c r="C81" s="10" t="s">
        <v>104</v>
      </c>
      <c r="D81" s="10" t="s">
        <v>36</v>
      </c>
      <c r="E81" s="10" t="s">
        <v>37</v>
      </c>
      <c r="F81" s="13">
        <v>2.0</v>
      </c>
      <c r="G81" s="14">
        <v>115.17</v>
      </c>
      <c r="H81" s="10" t="s">
        <v>4496</v>
      </c>
      <c r="I81" s="10">
        <v>96.4</v>
      </c>
      <c r="O81" s="15">
        <f>IFERROR(__xludf.DUMMYFUNCTION("IF(ISBLANK($C81), """", GOOGLEFINANCE($C81, ""price""))"),127.45)</f>
        <v>127.45</v>
      </c>
      <c r="P81" s="16">
        <f t="shared" si="2"/>
        <v>0.1066249891</v>
      </c>
      <c r="Q81" s="16">
        <f>IFERROR(__xludf.DUMMYFUNCTION("IF(OR(ISBLANK($G81), IFERROR(INDEX(GOOGLEFINANCE($C81, ""price"", WORKDAY(INT($B81), 1)), 2, 2), """")=""""), """", IF($D81=""LONG"", (IFERROR(INDEX(GOOGLEFINANCE($C81, ""price"", WORKDAY(INT($B81), 1)), 2, 2), """")-$G81)/$G81, ($G81-IFERROR(INDEX(GOOGLE"&amp;"FINANCE($C81, ""price"", WORKDAY(INT($B81), 1)), 2, 2), """"))/$G81))"),0.017886602413823064)</f>
        <v>0.01788660241</v>
      </c>
      <c r="R81" s="16">
        <f>IFERROR(__xludf.DUMMYFUNCTION("IF(OR(ISBLANK($G81), IFERROR(INDEX(GOOGLEFINANCE($C81, ""price"", WORKDAY(INT($B81), 5)), 2, 2), """")=""""), """", IF($D81=""LONG"", (IFERROR(INDEX(GOOGLEFINANCE($C81, ""price"", WORKDAY(INT($B81), 5)), 2, 2), """")-$G81)/$G81, ($G81-IFERROR(INDEX(GOOGLE"&amp;"FINANCE($C81, ""price"", WORKDAY(INT($B81), 5)), 2, 2), """"))/$G81))"),0.10705912998176607)</f>
        <v>0.10705913</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4497</v>
      </c>
      <c r="U81" s="10" t="s">
        <v>984</v>
      </c>
      <c r="V81" s="10" t="s">
        <v>985</v>
      </c>
      <c r="W81" s="10" t="s">
        <v>51</v>
      </c>
      <c r="X81" s="10" t="s">
        <v>984</v>
      </c>
    </row>
    <row r="82">
      <c r="A82" s="9">
        <f t="shared" si="1"/>
        <v>81</v>
      </c>
      <c r="B82" s="11">
        <v>46226.66755787037</v>
      </c>
      <c r="C82" s="10" t="s">
        <v>440</v>
      </c>
      <c r="D82" s="10" t="s">
        <v>36</v>
      </c>
      <c r="E82" s="10" t="s">
        <v>37</v>
      </c>
      <c r="F82" s="13">
        <v>2.0</v>
      </c>
      <c r="G82" s="14">
        <v>92.56</v>
      </c>
      <c r="H82" s="10" t="s">
        <v>4498</v>
      </c>
      <c r="I82" s="10">
        <v>92.7</v>
      </c>
      <c r="L82" s="10" t="s">
        <v>4499</v>
      </c>
      <c r="M82" s="34" t="s">
        <v>1789</v>
      </c>
      <c r="N82" s="10" t="s">
        <v>925</v>
      </c>
      <c r="O82" s="15">
        <f>IFERROR(__xludf.DUMMYFUNCTION("IF(ISBLANK($C82), """", GOOGLEFINANCE($C82, ""price""))"),99.95)</f>
        <v>99.95</v>
      </c>
      <c r="P82" s="16">
        <f t="shared" si="2"/>
        <v>0.07984010372</v>
      </c>
      <c r="Q82" s="16">
        <f>IFERROR(__xludf.DUMMYFUNCTION("IF(OR(ISBLANK($G82), IFERROR(INDEX(GOOGLEFINANCE($C82, ""price"", WORKDAY(INT($B82), 1)), 2, 2), """")=""""), """", IF($D82=""LONG"", (IFERROR(INDEX(GOOGLEFINANCE($C82, ""price"", WORKDAY(INT($B82), 1)), 2, 2), """")-$G82)/$G82, ($G82-IFERROR(INDEX(GOOGLE"&amp;"FINANCE($C82, ""price"", WORKDAY(INT($B82), 1)), 2, 2), """"))/$G82))"),0.02452463267070004)</f>
        <v>0.02452463267</v>
      </c>
      <c r="R82" s="16">
        <f>IFERROR(__xludf.DUMMYFUNCTION("IF(OR(ISBLANK($G82), IFERROR(INDEX(GOOGLEFINANCE($C82, ""price"", WORKDAY(INT($B82), 5)), 2, 2), """")=""""), """", IF($D82=""LONG"", (IFERROR(INDEX(GOOGLEFINANCE($C82, ""price"", WORKDAY(INT($B82), 5)), 2, 2), """")-$G82)/$G82, ($G82-IFERROR(INDEX(GOOGLE"&amp;"FINANCE($C82, ""price"", WORKDAY(INT($B82), 5)), 2, 2), """"))/$G82))"),0.04872515125324104)</f>
        <v>0.04872515125</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4503</v>
      </c>
      <c r="U82" s="10" t="s">
        <v>240</v>
      </c>
      <c r="V82" s="10" t="s">
        <v>4504</v>
      </c>
      <c r="W82" s="10" t="s">
        <v>51</v>
      </c>
      <c r="X82" s="10" t="s">
        <v>1905</v>
      </c>
    </row>
    <row r="83">
      <c r="A83" s="9">
        <f t="shared" si="1"/>
        <v>82</v>
      </c>
      <c r="B83" s="11">
        <v>46226.66741898148</v>
      </c>
      <c r="C83" s="10" t="s">
        <v>128</v>
      </c>
      <c r="D83" s="10" t="s">
        <v>36</v>
      </c>
      <c r="E83" s="10" t="s">
        <v>37</v>
      </c>
      <c r="F83" s="13">
        <v>2.0</v>
      </c>
      <c r="G83" s="14">
        <v>395.28</v>
      </c>
      <c r="H83" s="10" t="s">
        <v>4506</v>
      </c>
      <c r="I83" s="10">
        <v>83.4</v>
      </c>
      <c r="O83" s="15">
        <f>IFERROR(__xludf.DUMMYFUNCTION("IF(ISBLANK($C83), """", GOOGLEFINANCE($C83, ""price""))"),414.68)</f>
        <v>414.68</v>
      </c>
      <c r="P83" s="16">
        <f t="shared" si="2"/>
        <v>0.04907913378</v>
      </c>
      <c r="Q83" s="16">
        <f>IFERROR(__xludf.DUMMYFUNCTION("IF(OR(ISBLANK($G83), IFERROR(INDEX(GOOGLEFINANCE($C83, ""price"", WORKDAY(INT($B83), 1)), 2, 2), """")=""""), """", IF($D83=""LONG"", (IFERROR(INDEX(GOOGLEFINANCE($C83, ""price"", WORKDAY(INT($B83), 1)), 2, 2), """")-$G83)/$G83, ($G83-IFERROR(INDEX(GOOGLE"&amp;"FINANCE($C83, ""price"", WORKDAY(INT($B83), 1)), 2, 2), """"))/$G83))"),0.022363893948593484)</f>
        <v>0.02236389395</v>
      </c>
      <c r="R83" s="16">
        <f>IFERROR(__xludf.DUMMYFUNCTION("IF(OR(ISBLANK($G83), IFERROR(INDEX(GOOGLEFINANCE($C83, ""price"", WORKDAY(INT($B83), 5)), 2, 2), """")=""""), """", IF($D83=""LONG"", (IFERROR(INDEX(GOOGLEFINANCE($C83, ""price"", WORKDAY(INT($B83), 5)), 2, 2), """")-$G83)/$G83, ($G83-IFERROR(INDEX(GOOGLE"&amp;"FINANCE($C83, ""price"", WORKDAY(INT($B83), 5)), 2, 2), """"))/$G83))"),0.03483606557377059)</f>
        <v>0.03483606557</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4509</v>
      </c>
      <c r="U83" s="10" t="s">
        <v>984</v>
      </c>
      <c r="V83" s="10" t="s">
        <v>1059</v>
      </c>
      <c r="W83" s="10" t="s">
        <v>51</v>
      </c>
      <c r="X83" s="10" t="s">
        <v>984</v>
      </c>
    </row>
    <row r="84">
      <c r="A84" s="9">
        <f t="shared" si="1"/>
        <v>83</v>
      </c>
      <c r="B84" s="11">
        <v>46226.667650462965</v>
      </c>
      <c r="C84" s="10" t="s">
        <v>800</v>
      </c>
      <c r="D84" s="10" t="s">
        <v>36</v>
      </c>
      <c r="E84" s="10" t="s">
        <v>37</v>
      </c>
      <c r="F84" s="13">
        <v>2.0</v>
      </c>
      <c r="G84" s="14">
        <v>304.98</v>
      </c>
      <c r="H84" s="10" t="s">
        <v>4511</v>
      </c>
      <c r="I84" s="10">
        <v>95.7</v>
      </c>
      <c r="O84" s="15">
        <f>IFERROR(__xludf.DUMMYFUNCTION("IF(ISBLANK($C84), """", GOOGLEFINANCE($C84, ""price""))"),325.01)</f>
        <v>325.01</v>
      </c>
      <c r="P84" s="16">
        <f t="shared" si="2"/>
        <v>0.0656764378</v>
      </c>
      <c r="Q84" s="16">
        <f>IFERROR(__xludf.DUMMYFUNCTION("IF(OR(ISBLANK($G84), IFERROR(INDEX(GOOGLEFINANCE($C84, ""price"", WORKDAY(INT($B84), 1)), 2, 2), """")=""""), """", IF($D84=""LONG"", (IFERROR(INDEX(GOOGLEFINANCE($C84, ""price"", WORKDAY(INT($B84), 1)), 2, 2), """")-$G84)/$G84, ($G84-IFERROR(INDEX(GOOGLE"&amp;"FINANCE($C84, ""price"", WORKDAY(INT($B84), 1)), 2, 2), """"))/$G84))"),0.016099416355170725)</f>
        <v>0.01609941636</v>
      </c>
      <c r="R84" s="16">
        <f>IFERROR(__xludf.DUMMYFUNCTION("IF(OR(ISBLANK($G84), IFERROR(INDEX(GOOGLEFINANCE($C84, ""price"", WORKDAY(INT($B84), 5)), 2, 2), """")=""""), """", IF($D84=""LONG"", (IFERROR(INDEX(GOOGLEFINANCE($C84, ""price"", WORKDAY(INT($B84), 5)), 2, 2), """")-$G84)/$G84, ($G84-IFERROR(INDEX(GOOGLE"&amp;"FINANCE($C84, ""price"", WORKDAY(INT($B84), 5)), 2, 2), """"))/$G84))"),0.023772050626270573)</f>
        <v>0.02377205063</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4513</v>
      </c>
      <c r="U84" s="10" t="s">
        <v>984</v>
      </c>
      <c r="V84" s="10" t="s">
        <v>985</v>
      </c>
      <c r="W84" s="10" t="s">
        <v>51</v>
      </c>
      <c r="X84" s="10" t="s">
        <v>984</v>
      </c>
    </row>
    <row r="85">
      <c r="A85" s="9">
        <f t="shared" si="1"/>
        <v>84</v>
      </c>
      <c r="B85" s="11">
        <v>46226.66767361111</v>
      </c>
      <c r="C85" s="10" t="s">
        <v>424</v>
      </c>
      <c r="D85" s="10" t="s">
        <v>36</v>
      </c>
      <c r="E85" s="10" t="s">
        <v>37</v>
      </c>
      <c r="F85" s="13">
        <v>2.0</v>
      </c>
      <c r="G85" s="14">
        <v>81.74</v>
      </c>
      <c r="H85" s="10" t="s">
        <v>4514</v>
      </c>
      <c r="I85" s="10">
        <v>91.4</v>
      </c>
      <c r="O85" s="15">
        <f>IFERROR(__xludf.DUMMYFUNCTION("IF(ISBLANK($C85), """", GOOGLEFINANCE($C85, ""price""))"),84.35)</f>
        <v>84.35</v>
      </c>
      <c r="P85" s="16">
        <f t="shared" si="2"/>
        <v>0.03193051138</v>
      </c>
      <c r="Q85" s="16">
        <f>IFERROR(__xludf.DUMMYFUNCTION("IF(OR(ISBLANK($G85), IFERROR(INDEX(GOOGLEFINANCE($C85, ""price"", WORKDAY(INT($B85), 1)), 2, 2), """")=""""), """", IF($D85=""LONG"", (IFERROR(INDEX(GOOGLEFINANCE($C85, ""price"", WORKDAY(INT($B85), 1)), 2, 2), """")-$G85)/$G85, ($G85-IFERROR(INDEX(GOOGLE"&amp;"FINANCE($C85, ""price"", WORKDAY(INT($B85), 1)), 2, 2), """"))/$G85))"),0.016760459995106492)</f>
        <v>0.01676046</v>
      </c>
      <c r="R85" s="16">
        <f>IFERROR(__xludf.DUMMYFUNCTION("IF(OR(ISBLANK($G85), IFERROR(INDEX(GOOGLEFINANCE($C85, ""price"", WORKDAY(INT($B85), 5)), 2, 2), """")=""""), """", IF($D85=""LONG"", (IFERROR(INDEX(GOOGLEFINANCE($C85, ""price"", WORKDAY(INT($B85), 5)), 2, 2), """")-$G85)/$G85, ($G85-IFERROR(INDEX(GOOGLE"&amp;"FINANCE($C85, ""price"", WORKDAY(INT($B85), 5)), 2, 2), """"))/$G85))"),0.03633471984340591)</f>
        <v>0.03633471984</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4517</v>
      </c>
      <c r="U85" s="10" t="s">
        <v>984</v>
      </c>
      <c r="V85" s="10" t="s">
        <v>933</v>
      </c>
      <c r="W85" s="10" t="s">
        <v>51</v>
      </c>
      <c r="X85" s="10" t="s">
        <v>984</v>
      </c>
    </row>
    <row r="86">
      <c r="A86" s="9">
        <f t="shared" si="1"/>
        <v>85</v>
      </c>
      <c r="B86" s="11">
        <v>46226.667708333334</v>
      </c>
      <c r="C86" s="10" t="s">
        <v>3566</v>
      </c>
      <c r="D86" s="10" t="s">
        <v>36</v>
      </c>
      <c r="E86" s="10" t="s">
        <v>37</v>
      </c>
      <c r="F86" s="13">
        <v>2.0</v>
      </c>
      <c r="G86" s="14">
        <v>355.63</v>
      </c>
      <c r="H86" s="10" t="s">
        <v>4518</v>
      </c>
      <c r="I86" s="10">
        <v>96.9</v>
      </c>
      <c r="O86" s="15">
        <f>IFERROR(__xludf.DUMMYFUNCTION("IF(ISBLANK($C86), """", GOOGLEFINANCE($C86, ""price""))"),360.75)</f>
        <v>360.75</v>
      </c>
      <c r="P86" s="16">
        <f t="shared" si="2"/>
        <v>0.01439698563</v>
      </c>
      <c r="Q86" s="16">
        <f>IFERROR(__xludf.DUMMYFUNCTION("IF(OR(ISBLANK($G86), IFERROR(INDEX(GOOGLEFINANCE($C86, ""price"", WORKDAY(INT($B86), 1)), 2, 2), """")=""""), """", IF($D86=""LONG"", (IFERROR(INDEX(GOOGLEFINANCE($C86, ""price"", WORKDAY(INT($B86), 1)), 2, 2), """")-$G86)/$G86, ($G86-IFERROR(INDEX(GOOGLE"&amp;"FINANCE($C86, ""price"", WORKDAY(INT($B86), 1)), 2, 2), """"))/$G86))"),0.017068301324410184)</f>
        <v>0.01706830132</v>
      </c>
      <c r="R86" s="16">
        <f>IFERROR(__xludf.DUMMYFUNCTION("IF(OR(ISBLANK($G86), IFERROR(INDEX(GOOGLEFINANCE($C86, ""price"", WORKDAY(INT($B86), 5)), 2, 2), """")=""""), """", IF($D86=""LONG"", (IFERROR(INDEX(GOOGLEFINANCE($C86, ""price"", WORKDAY(INT($B86), 5)), 2, 2), """")-$G86)/$G86, ($G86-IFERROR(INDEX(GOOGLE"&amp;"FINANCE($C86, ""price"", WORKDAY(INT($B86), 5)), 2, 2), """"))/$G86))"),0.03076230914152349)</f>
        <v>0.03076230914</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4519</v>
      </c>
      <c r="U86" s="10" t="s">
        <v>984</v>
      </c>
      <c r="V86" s="10" t="s">
        <v>933</v>
      </c>
      <c r="W86" s="10" t="s">
        <v>51</v>
      </c>
      <c r="X86" s="10" t="s">
        <v>984</v>
      </c>
    </row>
    <row r="87">
      <c r="A87" s="9">
        <f t="shared" si="1"/>
        <v>86</v>
      </c>
      <c r="B87" s="11">
        <v>46226.667650462965</v>
      </c>
      <c r="C87" s="10" t="s">
        <v>1739</v>
      </c>
      <c r="D87" s="10" t="s">
        <v>36</v>
      </c>
      <c r="E87" s="10" t="s">
        <v>37</v>
      </c>
      <c r="F87" s="13">
        <v>2.0</v>
      </c>
      <c r="G87" s="14">
        <v>254.6</v>
      </c>
      <c r="H87" s="10" t="s">
        <v>3625</v>
      </c>
      <c r="I87" s="10">
        <v>91.3</v>
      </c>
      <c r="O87" s="15">
        <f>IFERROR(__xludf.DUMMYFUNCTION("IF(ISBLANK($C87), """", GOOGLEFINANCE($C87, ""price""))"),275.11)</f>
        <v>275.11</v>
      </c>
      <c r="P87" s="16">
        <f t="shared" si="2"/>
        <v>0.08055773763</v>
      </c>
      <c r="Q87" s="16">
        <f>IFERROR(__xludf.DUMMYFUNCTION("IF(OR(ISBLANK($G87), IFERROR(INDEX(GOOGLEFINANCE($C87, ""price"", WORKDAY(INT($B87), 1)), 2, 2), """")=""""), """", IF($D87=""LONG"", (IFERROR(INDEX(GOOGLEFINANCE($C87, ""price"", WORKDAY(INT($B87), 1)), 2, 2), """")-$G87)/$G87, ($G87-IFERROR(INDEX(GOOGLE"&amp;"FINANCE($C87, ""price"", WORKDAY(INT($B87), 1)), 2, 2), """"))/$G87))"),0.021091908876669414)</f>
        <v>0.02109190888</v>
      </c>
      <c r="R87" s="16">
        <f>IFERROR(__xludf.DUMMYFUNCTION("IF(OR(ISBLANK($G87), IFERROR(INDEX(GOOGLEFINANCE($C87, ""price"", WORKDAY(INT($B87), 5)), 2, 2), """")=""""), """", IF($D87=""LONG"", (IFERROR(INDEX(GOOGLEFINANCE($C87, ""price"", WORKDAY(INT($B87), 5)), 2, 2), """")-$G87)/$G87, ($G87-IFERROR(INDEX(GOOGLE"&amp;"FINANCE($C87, ""price"", WORKDAY(INT($B87), 5)), 2, 2), """"))/$G87))"),0.04234092694422624)</f>
        <v>0.04234092694</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4522</v>
      </c>
      <c r="U87" s="10" t="s">
        <v>984</v>
      </c>
      <c r="V87" s="10" t="s">
        <v>2785</v>
      </c>
      <c r="W87" s="10" t="s">
        <v>51</v>
      </c>
      <c r="X87" s="10" t="s">
        <v>984</v>
      </c>
    </row>
    <row r="88">
      <c r="A88" s="9">
        <f t="shared" si="1"/>
        <v>87</v>
      </c>
      <c r="B88" s="11">
        <v>46226.66758101852</v>
      </c>
      <c r="C88" s="10" t="s">
        <v>34</v>
      </c>
      <c r="D88" s="10" t="s">
        <v>36</v>
      </c>
      <c r="E88" s="10" t="s">
        <v>37</v>
      </c>
      <c r="F88" s="13">
        <v>2.0</v>
      </c>
      <c r="G88" s="14">
        <v>193.18</v>
      </c>
      <c r="H88" s="10" t="s">
        <v>4523</v>
      </c>
      <c r="I88" s="10">
        <v>97.1</v>
      </c>
      <c r="O88" s="15">
        <f>IFERROR(__xludf.DUMMYFUNCTION("IF(ISBLANK($C88), """", GOOGLEFINANCE($C88, ""price""))"),189.75)</f>
        <v>189.75</v>
      </c>
      <c r="P88" s="16">
        <f t="shared" si="2"/>
        <v>-0.01775546123</v>
      </c>
      <c r="Q88" s="16">
        <f>IFERROR(__xludf.DUMMYFUNCTION("IF(OR(ISBLANK($G88), IFERROR(INDEX(GOOGLEFINANCE($C88, ""price"", WORKDAY(INT($B88), 1)), 2, 2), """")=""""), """", IF($D88=""LONG"", (IFERROR(INDEX(GOOGLEFINANCE($C88, ""price"", WORKDAY(INT($B88), 1)), 2, 2), """")-$G88)/$G88, ($G88-IFERROR(INDEX(GOOGLE"&amp;"FINANCE($C88, ""price"", WORKDAY(INT($B88), 1)), 2, 2), """"))/$G88))"),0.042240397556682865)</f>
        <v>0.04224039756</v>
      </c>
      <c r="R88" s="16">
        <f>IFERROR(__xludf.DUMMYFUNCTION("IF(OR(ISBLANK($G88), IFERROR(INDEX(GOOGLEFINANCE($C88, ""price"", WORKDAY(INT($B88), 5)), 2, 2), """")=""""), """", IF($D88=""LONG"", (IFERROR(INDEX(GOOGLEFINANCE($C88, ""price"", WORKDAY(INT($B88), 5)), 2, 2), """")-$G88)/$G88, ($G88-IFERROR(INDEX(GOOGLE"&amp;"FINANCE($C88, ""price"", WORKDAY(INT($B88), 5)), 2, 2), """"))/$G88))"),0.03711564344134997)</f>
        <v>0.03711564344</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4526</v>
      </c>
      <c r="U88" s="10" t="s">
        <v>984</v>
      </c>
      <c r="V88" s="10" t="s">
        <v>985</v>
      </c>
      <c r="W88" s="10" t="s">
        <v>51</v>
      </c>
      <c r="X88" s="10" t="s">
        <v>984</v>
      </c>
    </row>
    <row r="89">
      <c r="A89" s="9">
        <f t="shared" si="1"/>
        <v>88</v>
      </c>
      <c r="B89" s="11">
        <v>46226.667592592596</v>
      </c>
      <c r="C89" s="10" t="s">
        <v>1255</v>
      </c>
      <c r="D89" s="10" t="s">
        <v>36</v>
      </c>
      <c r="E89" s="10" t="s">
        <v>37</v>
      </c>
      <c r="F89" s="13">
        <v>2.0</v>
      </c>
      <c r="G89" s="14">
        <v>79.62</v>
      </c>
      <c r="H89" s="10" t="s">
        <v>4527</v>
      </c>
      <c r="I89" s="10">
        <v>84.7</v>
      </c>
      <c r="O89" s="15">
        <f>IFERROR(__xludf.DUMMYFUNCTION("IF(ISBLANK($C89), """", GOOGLEFINANCE($C89, ""price""))"),67.23)</f>
        <v>67.23</v>
      </c>
      <c r="P89" s="16">
        <f t="shared" si="2"/>
        <v>-0.1556141673</v>
      </c>
      <c r="Q89" s="16">
        <f>IFERROR(__xludf.DUMMYFUNCTION("IF(OR(ISBLANK($G89), IFERROR(INDEX(GOOGLEFINANCE($C89, ""price"", WORKDAY(INT($B89), 1)), 2, 2), """")=""""), """", IF($D89=""LONG"", (IFERROR(INDEX(GOOGLEFINANCE($C89, ""price"", WORKDAY(INT($B89), 1)), 2, 2), """")-$G89)/$G89, ($G89-IFERROR(INDEX(GOOGLE"&amp;"FINANCE($C89, ""price"", WORKDAY(INT($B89), 1)), 2, 2), """"))/$G89))"),0.0016327555890479207)</f>
        <v>0.001632755589</v>
      </c>
      <c r="R89" s="16">
        <f>IFERROR(__xludf.DUMMYFUNCTION("IF(OR(ISBLANK($G89), IFERROR(INDEX(GOOGLEFINANCE($C89, ""price"", WORKDAY(INT($B89), 5)), 2, 2), """")=""""), """", IF($D89=""LONG"", (IFERROR(INDEX(GOOGLEFINANCE($C89, ""price"", WORKDAY(INT($B89), 5)), 2, 2), """")-$G89)/$G89, ($G89-IFERROR(INDEX(GOOGLE"&amp;"FINANCE($C89, ""price"", WORKDAY(INT($B89), 5)), 2, 2), """"))/$G89))"),-0.011178095955790009)</f>
        <v>-0.01117809596</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4530</v>
      </c>
      <c r="U89" s="10" t="s">
        <v>984</v>
      </c>
      <c r="V89" s="10" t="s">
        <v>2714</v>
      </c>
      <c r="W89" s="10" t="s">
        <v>51</v>
      </c>
      <c r="X89" s="10" t="s">
        <v>984</v>
      </c>
    </row>
    <row r="90">
      <c r="A90" s="9">
        <f t="shared" si="1"/>
        <v>89</v>
      </c>
      <c r="B90" s="11">
        <v>46226.66767361111</v>
      </c>
      <c r="C90" s="10" t="s">
        <v>86</v>
      </c>
      <c r="D90" s="10" t="s">
        <v>36</v>
      </c>
      <c r="E90" s="10" t="s">
        <v>37</v>
      </c>
      <c r="F90" s="13">
        <v>2.0</v>
      </c>
      <c r="G90" s="14">
        <v>84.32</v>
      </c>
      <c r="H90" s="10" t="s">
        <v>4531</v>
      </c>
      <c r="I90" s="10">
        <v>94.4</v>
      </c>
      <c r="O90" s="15">
        <f>IFERROR(__xludf.DUMMYFUNCTION("IF(ISBLANK($C90), """", GOOGLEFINANCE($C90, ""price""))"),88.24)</f>
        <v>88.24</v>
      </c>
      <c r="P90" s="16">
        <f t="shared" si="2"/>
        <v>0.04648956357</v>
      </c>
      <c r="Q90" s="16">
        <f>IFERROR(__xludf.DUMMYFUNCTION("IF(OR(ISBLANK($G90), IFERROR(INDEX(GOOGLEFINANCE($C90, ""price"", WORKDAY(INT($B90), 1)), 2, 2), """")=""""), """", IF($D90=""LONG"", (IFERROR(INDEX(GOOGLEFINANCE($C90, ""price"", WORKDAY(INT($B90), 1)), 2, 2), """")-$G90)/$G90, ($G90-IFERROR(INDEX(GOOGLE"&amp;"FINANCE($C90, ""price"", WORKDAY(INT($B90), 1)), 2, 2), """"))/$G90))"),9.487666034157081E-4)</f>
        <v>0.0009487666034</v>
      </c>
      <c r="R90" s="16">
        <f>IFERROR(__xludf.DUMMYFUNCTION("IF(OR(ISBLANK($G90), IFERROR(INDEX(GOOGLEFINANCE($C90, ""price"", WORKDAY(INT($B90), 5)), 2, 2), """")=""""), """", IF($D90=""LONG"", (IFERROR(INDEX(GOOGLEFINANCE($C90, ""price"", WORKDAY(INT($B90), 5)), 2, 2), """")-$G90)/$G90, ($G90-IFERROR(INDEX(GOOGLE"&amp;"FINANCE($C90, ""price"", WORKDAY(INT($B90), 5)), 2, 2), """"))/$G90))"),0.0)</f>
        <v>0</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4532</v>
      </c>
      <c r="U90" s="10" t="s">
        <v>722</v>
      </c>
      <c r="V90" s="10" t="s">
        <v>4534</v>
      </c>
      <c r="W90" s="10" t="s">
        <v>51</v>
      </c>
      <c r="X90" s="10" t="s">
        <v>3433</v>
      </c>
    </row>
    <row r="91">
      <c r="A91" s="9">
        <f t="shared" si="1"/>
        <v>90</v>
      </c>
      <c r="B91" s="11">
        <v>46226.66777777778</v>
      </c>
      <c r="C91" s="10" t="s">
        <v>696</v>
      </c>
      <c r="D91" s="10" t="s">
        <v>36</v>
      </c>
      <c r="E91" s="10" t="s">
        <v>37</v>
      </c>
      <c r="F91" s="13">
        <v>2.0</v>
      </c>
      <c r="G91" s="14">
        <v>176.03</v>
      </c>
      <c r="H91" s="10" t="s">
        <v>4535</v>
      </c>
      <c r="I91" s="10">
        <v>90.5</v>
      </c>
      <c r="L91" s="10" t="s">
        <v>4536</v>
      </c>
      <c r="M91" s="34" t="s">
        <v>951</v>
      </c>
      <c r="N91" s="10" t="s">
        <v>925</v>
      </c>
      <c r="O91" s="15">
        <f>IFERROR(__xludf.DUMMYFUNCTION("IF(ISBLANK($C91), """", GOOGLEFINANCE($C91, ""price""))"),178.56)</f>
        <v>178.56</v>
      </c>
      <c r="P91" s="16">
        <f t="shared" si="2"/>
        <v>0.01437255013</v>
      </c>
      <c r="Q91" s="16">
        <f>IFERROR(__xludf.DUMMYFUNCTION("IF(OR(ISBLANK($G91), IFERROR(INDEX(GOOGLEFINANCE($C91, ""price"", WORKDAY(INT($B91), 1)), 2, 2), """")=""""), """", IF($D91=""LONG"", (IFERROR(INDEX(GOOGLEFINANCE($C91, ""price"", WORKDAY(INT($B91), 1)), 2, 2), """")-$G91)/$G91, ($G91-IFERROR(INDEX(GOOGLE"&amp;"FINANCE($C91, ""price"", WORKDAY(INT($B91), 1)), 2, 2), """"))/$G91))"),-0.004147020394250921)</f>
        <v>-0.004147020394</v>
      </c>
      <c r="R91" s="16">
        <f>IFERROR(__xludf.DUMMYFUNCTION("IF(OR(ISBLANK($G91), IFERROR(INDEX(GOOGLEFINANCE($C91, ""price"", WORKDAY(INT($B91), 5)), 2, 2), """")=""""), """", IF($D91=""LONG"", (IFERROR(INDEX(GOOGLEFINANCE($C91, ""price"", WORKDAY(INT($B91), 5)), 2, 2), """")-$G91)/$G91, ($G91-IFERROR(INDEX(GOOGLE"&amp;"FINANCE($C91, ""price"", WORKDAY(INT($B91), 5)), 2, 2), """"))/$G91))"),-0.05124126569334778)</f>
        <v>-0.05124126569</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4538</v>
      </c>
      <c r="U91" s="10" t="s">
        <v>240</v>
      </c>
      <c r="V91" s="10" t="s">
        <v>4539</v>
      </c>
      <c r="W91" s="10" t="s">
        <v>51</v>
      </c>
      <c r="X91" s="10" t="s">
        <v>1905</v>
      </c>
    </row>
    <row r="92">
      <c r="A92" s="9">
        <f t="shared" si="1"/>
        <v>91</v>
      </c>
      <c r="B92" s="11">
        <v>46226.66761574074</v>
      </c>
      <c r="C92" s="10" t="s">
        <v>398</v>
      </c>
      <c r="D92" s="10" t="s">
        <v>36</v>
      </c>
      <c r="E92" s="10" t="s">
        <v>37</v>
      </c>
      <c r="F92" s="13">
        <v>2.0</v>
      </c>
      <c r="G92" s="14">
        <v>71.75</v>
      </c>
      <c r="H92" s="10" t="s">
        <v>4541</v>
      </c>
      <c r="I92" s="10">
        <v>95.9</v>
      </c>
      <c r="O92" s="15">
        <f>IFERROR(__xludf.DUMMYFUNCTION("IF(ISBLANK($C92), """", GOOGLEFINANCE($C92, ""price""))"),71.9)</f>
        <v>71.9</v>
      </c>
      <c r="P92" s="16">
        <f t="shared" si="2"/>
        <v>0.002090592334</v>
      </c>
      <c r="Q92" s="16">
        <f>IFERROR(__xludf.DUMMYFUNCTION("IF(OR(ISBLANK($G92), IFERROR(INDEX(GOOGLEFINANCE($C92, ""price"", WORKDAY(INT($B92), 1)), 2, 2), """")=""""), """", IF($D92=""LONG"", (IFERROR(INDEX(GOOGLEFINANCE($C92, ""price"", WORKDAY(INT($B92), 1)), 2, 2), """")-$G92)/$G92, ($G92-IFERROR(INDEX(GOOGLE"&amp;"FINANCE($C92, ""price"", WORKDAY(INT($B92), 1)), 2, 2), """"))/$G92))"),-0.002090592334494853)</f>
        <v>-0.002090592334</v>
      </c>
      <c r="R92" s="16">
        <f>IFERROR(__xludf.DUMMYFUNCTION("IF(OR(ISBLANK($G92), IFERROR(INDEX(GOOGLEFINANCE($C92, ""price"", WORKDAY(INT($B92), 5)), 2, 2), """")=""""), """", IF($D92=""LONG"", (IFERROR(INDEX(GOOGLEFINANCE($C92, ""price"", WORKDAY(INT($B92), 5)), 2, 2), """")-$G92)/$G92, ($G92-IFERROR(INDEX(GOOGLE"&amp;"FINANCE($C92, ""price"", WORKDAY(INT($B92), 5)), 2, 2), """"))/$G92))"),0.00390243902439026)</f>
        <v>0.003902439024</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4543</v>
      </c>
      <c r="U92" s="10" t="s">
        <v>240</v>
      </c>
      <c r="V92" s="10" t="s">
        <v>4544</v>
      </c>
      <c r="W92" s="10" t="s">
        <v>51</v>
      </c>
      <c r="X92" s="10" t="s">
        <v>1905</v>
      </c>
    </row>
    <row r="93">
      <c r="A93" s="9">
        <f t="shared" si="1"/>
        <v>92</v>
      </c>
      <c r="B93" s="11">
        <v>46226.66775462963</v>
      </c>
      <c r="C93" s="10" t="s">
        <v>3904</v>
      </c>
      <c r="D93" s="10" t="s">
        <v>36</v>
      </c>
      <c r="E93" s="10" t="s">
        <v>37</v>
      </c>
      <c r="F93" s="13">
        <v>2.0</v>
      </c>
      <c r="G93" s="14">
        <v>472.02</v>
      </c>
      <c r="H93" s="10" t="s">
        <v>4545</v>
      </c>
      <c r="I93" s="10">
        <v>94.0</v>
      </c>
      <c r="L93" s="10" t="s">
        <v>4547</v>
      </c>
      <c r="M93" s="34" t="s">
        <v>1789</v>
      </c>
      <c r="N93" s="10" t="s">
        <v>925</v>
      </c>
      <c r="O93" s="15">
        <f>IFERROR(__xludf.DUMMYFUNCTION("IF(ISBLANK($C93), """", GOOGLEFINANCE($C93, ""price""))"),473.13)</f>
        <v>473.13</v>
      </c>
      <c r="P93" s="16">
        <f t="shared" si="2"/>
        <v>0.002351595271</v>
      </c>
      <c r="Q93" s="16">
        <f>IFERROR(__xludf.DUMMYFUNCTION("IF(OR(ISBLANK($G93), IFERROR(INDEX(GOOGLEFINANCE($C93, ""price"", WORKDAY(INT($B93), 1)), 2, 2), """")=""""), """", IF($D93=""LONG"", (IFERROR(INDEX(GOOGLEFINANCE($C93, ""price"", WORKDAY(INT($B93), 1)), 2, 2), """")-$G93)/$G93, ($G93-IFERROR(INDEX(GOOGLE"&amp;"FINANCE($C93, ""price"", WORKDAY(INT($B93), 1)), 2, 2), """"))/$G93))"),-0.0011016482352442308)</f>
        <v>-0.001101648235</v>
      </c>
      <c r="R93" s="16">
        <f>IFERROR(__xludf.DUMMYFUNCTION("IF(OR(ISBLANK($G93), IFERROR(INDEX(GOOGLEFINANCE($C93, ""price"", WORKDAY(INT($B93), 5)), 2, 2), """")=""""), """", IF($D93=""LONG"", (IFERROR(INDEX(GOOGLEFINANCE($C93, ""price"", WORKDAY(INT($B93), 5)), 2, 2), """")-$G93)/$G93, ($G93-IFERROR(INDEX(GOOGLE"&amp;"FINANCE($C93, ""price"", WORKDAY(INT($B93), 5)), 2, 2), """"))/$G93))"),0.02169399601711794)</f>
        <v>0.02169399602</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4549</v>
      </c>
      <c r="U93" s="10" t="s">
        <v>240</v>
      </c>
      <c r="V93" s="10" t="s">
        <v>4550</v>
      </c>
      <c r="W93" s="10" t="s">
        <v>51</v>
      </c>
      <c r="X93" s="10" t="s">
        <v>1905</v>
      </c>
    </row>
    <row r="94">
      <c r="A94" s="9">
        <f t="shared" si="1"/>
        <v>93</v>
      </c>
      <c r="B94" s="11">
        <v>46226.667662037034</v>
      </c>
      <c r="C94" s="10" t="s">
        <v>1555</v>
      </c>
      <c r="D94" s="10" t="s">
        <v>36</v>
      </c>
      <c r="E94" s="10" t="s">
        <v>37</v>
      </c>
      <c r="F94" s="13">
        <v>2.0</v>
      </c>
      <c r="G94" s="14">
        <v>375.56</v>
      </c>
      <c r="H94" s="10" t="s">
        <v>4552</v>
      </c>
      <c r="I94" s="10">
        <v>91.2</v>
      </c>
      <c r="O94" s="15">
        <f>IFERROR(__xludf.DUMMYFUNCTION("IF(ISBLANK($C94), """", GOOGLEFINANCE($C94, ""price""))"),370.35)</f>
        <v>370.35</v>
      </c>
      <c r="P94" s="16">
        <f t="shared" si="2"/>
        <v>-0.01387261689</v>
      </c>
      <c r="Q94" s="16">
        <f>IFERROR(__xludf.DUMMYFUNCTION("IF(OR(ISBLANK($G94), IFERROR(INDEX(GOOGLEFINANCE($C94, ""price"", WORKDAY(INT($B94), 1)), 2, 2), """")=""""), """", IF($D94=""LONG"", (IFERROR(INDEX(GOOGLEFINANCE($C94, ""price"", WORKDAY(INT($B94), 1)), 2, 2), """")-$G94)/$G94, ($G94-IFERROR(INDEX(GOOGLE"&amp;"FINANCE($C94, ""price"", WORKDAY(INT($B94), 1)), 2, 2), """"))/$G94))"),0.025455320055383965)</f>
        <v>0.02545532006</v>
      </c>
      <c r="R94" s="16">
        <f>IFERROR(__xludf.DUMMYFUNCTION("IF(OR(ISBLANK($G94), IFERROR(INDEX(GOOGLEFINANCE($C94, ""price"", WORKDAY(INT($B94), 5)), 2, 2), """")=""""), """", IF($D94=""LONG"", (IFERROR(INDEX(GOOGLEFINANCE($C94, ""price"", WORKDAY(INT($B94), 5)), 2, 2), """")-$G94)/$G94, ($G94-IFERROR(INDEX(GOOGLE"&amp;"FINANCE($C94, ""price"", WORKDAY(INT($B94), 5)), 2, 2), """"))/$G94))"),-5.325380764724375E-4)</f>
        <v>-0.0005325380765</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4553</v>
      </c>
      <c r="U94" s="10" t="s">
        <v>984</v>
      </c>
      <c r="V94" s="10" t="s">
        <v>998</v>
      </c>
      <c r="W94" s="10" t="s">
        <v>51</v>
      </c>
      <c r="X94" s="10" t="s">
        <v>984</v>
      </c>
    </row>
    <row r="95">
      <c r="A95" s="9">
        <f t="shared" si="1"/>
        <v>94</v>
      </c>
      <c r="B95" s="11">
        <v>46226.667650462965</v>
      </c>
      <c r="C95" s="10" t="s">
        <v>789</v>
      </c>
      <c r="D95" s="10" t="s">
        <v>36</v>
      </c>
      <c r="E95" s="10" t="s">
        <v>4224</v>
      </c>
      <c r="F95" s="13">
        <v>4.0</v>
      </c>
      <c r="G95" s="14">
        <v>83.77</v>
      </c>
      <c r="H95" s="10" t="s">
        <v>4555</v>
      </c>
      <c r="I95" s="10">
        <v>37.8</v>
      </c>
      <c r="O95" s="15">
        <f>IFERROR(__xludf.DUMMYFUNCTION("IF(ISBLANK($C95), """", GOOGLEFINANCE($C95, ""price""))"),89.32)</f>
        <v>89.32</v>
      </c>
      <c r="P95" s="16">
        <f t="shared" si="2"/>
        <v>0.06625283514</v>
      </c>
      <c r="Q95" s="16">
        <f>IFERROR(__xludf.DUMMYFUNCTION("IF(OR(ISBLANK($G95), IFERROR(INDEX(GOOGLEFINANCE($C95, ""price"", WORKDAY(INT($B95), 1)), 2, 2), """")=""""), """", IF($D95=""LONG"", (IFERROR(INDEX(GOOGLEFINANCE($C95, ""price"", WORKDAY(INT($B95), 1)), 2, 2), """")-$G95)/$G95, ($G95-IFERROR(INDEX(GOOGLE"&amp;"FINANCE($C95, ""price"", WORKDAY(INT($B95), 1)), 2, 2), """"))/$G95))"),-0.013608690461979236)</f>
        <v>-0.01360869046</v>
      </c>
      <c r="R95" s="16">
        <f>IFERROR(__xludf.DUMMYFUNCTION("IF(OR(ISBLANK($G95), IFERROR(INDEX(GOOGLEFINANCE($C95, ""price"", WORKDAY(INT($B95), 5)), 2, 2), """")=""""), """", IF($D95=""LONG"", (IFERROR(INDEX(GOOGLEFINANCE($C95, ""price"", WORKDAY(INT($B95), 5)), 2, 2), """")-$G95)/$G95, ($G95-IFERROR(INDEX(GOOGLE"&amp;"FINANCE($C95, ""price"", WORKDAY(INT($B95), 5)), 2, 2), """"))/$G95))"),0.03760296048704794)</f>
        <v>0.03760296049</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4557</v>
      </c>
      <c r="U95" s="10" t="s">
        <v>984</v>
      </c>
      <c r="V95" s="10" t="s">
        <v>933</v>
      </c>
      <c r="W95" s="10" t="s">
        <v>51</v>
      </c>
      <c r="X95" s="10" t="s">
        <v>984</v>
      </c>
    </row>
    <row r="96">
      <c r="A96" s="9">
        <f t="shared" si="1"/>
        <v>95</v>
      </c>
      <c r="B96" s="11">
        <v>46226.66756944444</v>
      </c>
      <c r="C96" s="10" t="s">
        <v>173</v>
      </c>
      <c r="D96" s="10" t="s">
        <v>36</v>
      </c>
      <c r="E96" s="10" t="s">
        <v>37</v>
      </c>
      <c r="F96" s="13">
        <v>2.0</v>
      </c>
      <c r="G96" s="14">
        <v>86.21</v>
      </c>
      <c r="H96" s="10" t="s">
        <v>4559</v>
      </c>
      <c r="I96" s="10">
        <v>93.0</v>
      </c>
      <c r="O96" s="15">
        <f>IFERROR(__xludf.DUMMYFUNCTION("IF(ISBLANK($C96), """", GOOGLEFINANCE($C96, ""price""))"),87.59)</f>
        <v>87.59</v>
      </c>
      <c r="P96" s="16">
        <f t="shared" si="2"/>
        <v>0.01600742373</v>
      </c>
      <c r="Q96" s="16">
        <f>IFERROR(__xludf.DUMMYFUNCTION("IF(OR(ISBLANK($G96), IFERROR(INDEX(GOOGLEFINANCE($C96, ""price"", WORKDAY(INT($B96), 1)), 2, 2), """")=""""), """", IF($D96=""LONG"", (IFERROR(INDEX(GOOGLEFINANCE($C96, ""price"", WORKDAY(INT($B96), 1)), 2, 2), """")-$G96)/$G96, ($G96-IFERROR(INDEX(GOOGLE"&amp;"FINANCE($C96, ""price"", WORKDAY(INT($B96), 1)), 2, 2), """"))/$G96))"),0.001159958241503405)</f>
        <v>0.001159958242</v>
      </c>
      <c r="R96" s="16">
        <f>IFERROR(__xludf.DUMMYFUNCTION("IF(OR(ISBLANK($G96), IFERROR(INDEX(GOOGLEFINANCE($C96, ""price"", WORKDAY(INT($B96), 5)), 2, 2), """")=""""), """", IF($D96=""LONG"", (IFERROR(INDEX(GOOGLEFINANCE($C96, ""price"", WORKDAY(INT($B96), 5)), 2, 2), """")-$G96)/$G96, ($G96-IFERROR(INDEX(GOOGLE"&amp;"FINANCE($C96, ""price"", WORKDAY(INT($B96), 5)), 2, 2), """"))/$G96))"),-0.009047674283725635)</f>
        <v>-0.009047674284</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4562</v>
      </c>
      <c r="U96" s="10" t="s">
        <v>984</v>
      </c>
      <c r="V96" s="10" t="s">
        <v>933</v>
      </c>
      <c r="W96" s="10" t="s">
        <v>51</v>
      </c>
      <c r="X96" s="10" t="s">
        <v>984</v>
      </c>
    </row>
    <row r="97">
      <c r="A97" s="9">
        <f t="shared" si="1"/>
        <v>96</v>
      </c>
      <c r="B97" s="11">
        <v>46226.667719907404</v>
      </c>
      <c r="C97" s="10" t="s">
        <v>201</v>
      </c>
      <c r="D97" s="10" t="s">
        <v>36</v>
      </c>
      <c r="E97" s="10" t="s">
        <v>37</v>
      </c>
      <c r="F97" s="13">
        <v>2.0</v>
      </c>
      <c r="G97" s="14">
        <v>134.42</v>
      </c>
      <c r="H97" s="10" t="s">
        <v>4563</v>
      </c>
      <c r="I97" s="10">
        <v>97.3</v>
      </c>
      <c r="O97" s="15">
        <f>IFERROR(__xludf.DUMMYFUNCTION("IF(ISBLANK($C97), """", GOOGLEFINANCE($C97, ""price""))"),134.82)</f>
        <v>134.82</v>
      </c>
      <c r="P97" s="16">
        <f t="shared" si="2"/>
        <v>0.002975747657</v>
      </c>
      <c r="Q97" s="16">
        <f>IFERROR(__xludf.DUMMYFUNCTION("IF(OR(ISBLANK($G97), IFERROR(INDEX(GOOGLEFINANCE($C97, ""price"", WORKDAY(INT($B97), 1)), 2, 2), """")=""""), """", IF($D97=""LONG"", (IFERROR(INDEX(GOOGLEFINANCE($C97, ""price"", WORKDAY(INT($B97), 1)), 2, 2), """")-$G97)/$G97, ($G97-IFERROR(INDEX(GOOGLE"&amp;"FINANCE($C97, ""price"", WORKDAY(INT($B97), 1)), 2, 2), """"))/$G97))"),0.0017854485939593002)</f>
        <v>0.001785448594</v>
      </c>
      <c r="R97" s="16">
        <f>IFERROR(__xludf.DUMMYFUNCTION("IF(OR(ISBLANK($G97), IFERROR(INDEX(GOOGLEFINANCE($C97, ""price"", WORKDAY(INT($B97), 5)), 2, 2), """")=""""), """", IF($D97=""LONG"", (IFERROR(INDEX(GOOGLEFINANCE($C97, ""price"", WORKDAY(INT($B97), 5)), 2, 2), """")-$G97)/$G97, ($G97-IFERROR(INDEX(GOOGLE"&amp;"FINANCE($C97, ""price"", WORKDAY(INT($B97), 5)), 2, 2), """"))/$G97))"),0.017780092248177466)</f>
        <v>0.01778009225</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4564</v>
      </c>
      <c r="U97" s="10" t="s">
        <v>984</v>
      </c>
      <c r="V97" s="10" t="s">
        <v>985</v>
      </c>
      <c r="W97" s="10" t="s">
        <v>51</v>
      </c>
      <c r="X97" s="10" t="s">
        <v>984</v>
      </c>
    </row>
    <row r="98">
      <c r="A98" s="9">
        <f t="shared" si="1"/>
        <v>97</v>
      </c>
      <c r="B98" s="11">
        <v>46226.66758101852</v>
      </c>
      <c r="C98" s="10" t="s">
        <v>66</v>
      </c>
      <c r="D98" s="10" t="s">
        <v>36</v>
      </c>
      <c r="E98" s="10" t="s">
        <v>37</v>
      </c>
      <c r="F98" s="13">
        <v>2.0</v>
      </c>
      <c r="G98" s="14">
        <v>273.73</v>
      </c>
      <c r="H98" s="10" t="s">
        <v>4565</v>
      </c>
      <c r="I98" s="10">
        <v>87.0</v>
      </c>
      <c r="O98" s="15">
        <f>IFERROR(__xludf.DUMMYFUNCTION("IF(ISBLANK($C98), """", GOOGLEFINANCE($C98, ""price""))"),296.4)</f>
        <v>296.4</v>
      </c>
      <c r="P98" s="16">
        <f t="shared" si="2"/>
        <v>0.08281883608</v>
      </c>
      <c r="Q98" s="16">
        <f>IFERROR(__xludf.DUMMYFUNCTION("IF(OR(ISBLANK($G98), IFERROR(INDEX(GOOGLEFINANCE($C98, ""price"", WORKDAY(INT($B98), 1)), 2, 2), """")=""""), """", IF($D98=""LONG"", (IFERROR(INDEX(GOOGLEFINANCE($C98, ""price"", WORKDAY(INT($B98), 1)), 2, 2), """")-$G98)/$G98, ($G98-IFERROR(INDEX(GOOGLE"&amp;"FINANCE($C98, ""price"", WORKDAY(INT($B98), 1)), 2, 2), """"))/$G98))"),0.011726884155919992)</f>
        <v>0.01172688416</v>
      </c>
      <c r="R98" s="16">
        <f>IFERROR(__xludf.DUMMYFUNCTION("IF(OR(ISBLANK($G98), IFERROR(INDEX(GOOGLEFINANCE($C98, ""price"", WORKDAY(INT($B98), 5)), 2, 2), """")=""""), """", IF($D98=""LONG"", (IFERROR(INDEX(GOOGLEFINANCE($C98, ""price"", WORKDAY(INT($B98), 5)), 2, 2), """")-$G98)/$G98, ($G98-IFERROR(INDEX(GOOGLE"&amp;"FINANCE($C98, ""price"", WORKDAY(INT($B98), 5)), 2, 2), """"))/$G98))"),0.03189274102217499)</f>
        <v>0.03189274102</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4569</v>
      </c>
      <c r="U98" s="10" t="s">
        <v>984</v>
      </c>
      <c r="V98" s="10" t="s">
        <v>998</v>
      </c>
      <c r="W98" s="10" t="s">
        <v>51</v>
      </c>
      <c r="X98" s="10" t="s">
        <v>984</v>
      </c>
    </row>
    <row r="99">
      <c r="A99" s="9">
        <f t="shared" si="1"/>
        <v>98</v>
      </c>
      <c r="B99" s="11">
        <v>46226.66755787037</v>
      </c>
      <c r="C99" s="10" t="s">
        <v>434</v>
      </c>
      <c r="D99" s="10" t="s">
        <v>36</v>
      </c>
      <c r="E99" s="10" t="s">
        <v>37</v>
      </c>
      <c r="F99" s="13">
        <v>2.0</v>
      </c>
      <c r="G99" s="14">
        <v>113.15</v>
      </c>
      <c r="H99" s="10" t="s">
        <v>4572</v>
      </c>
      <c r="I99" s="10">
        <v>92.0</v>
      </c>
      <c r="O99" s="15">
        <f>IFERROR(__xludf.DUMMYFUNCTION("IF(ISBLANK($C99), """", GOOGLEFINANCE($C99, ""price""))"),114.24)</f>
        <v>114.24</v>
      </c>
      <c r="P99" s="16">
        <f t="shared" si="2"/>
        <v>0.009633230225</v>
      </c>
      <c r="Q99" s="16">
        <f>IFERROR(__xludf.DUMMYFUNCTION("IF(OR(ISBLANK($G99), IFERROR(INDEX(GOOGLEFINANCE($C99, ""price"", WORKDAY(INT($B99), 1)), 2, 2), """")=""""), """", IF($D99=""LONG"", (IFERROR(INDEX(GOOGLEFINANCE($C99, ""price"", WORKDAY(INT($B99), 1)), 2, 2), """")-$G99)/$G99, ($G99-IFERROR(INDEX(GOOGLE"&amp;"FINANCE($C99, ""price"", WORKDAY(INT($B99), 1)), 2, 2), """"))/$G99))"),-0.023685373398144114)</f>
        <v>-0.0236853734</v>
      </c>
      <c r="R99" s="16">
        <f>IFERROR(__xludf.DUMMYFUNCTION("IF(OR(ISBLANK($G99), IFERROR(INDEX(GOOGLEFINANCE($C99, ""price"", WORKDAY(INT($B99), 5)), 2, 2), """")=""""), """", IF($D99=""LONG"", (IFERROR(INDEX(GOOGLEFINANCE($C99, ""price"", WORKDAY(INT($B99), 5)), 2, 2), """")-$G99)/$G99, ($G99-IFERROR(INDEX(GOOGLE"&amp;"FINANCE($C99, ""price"", WORKDAY(INT($B99), 5)), 2, 2), """"))/$G99))"),0.003446752098983655)</f>
        <v>0.003446752099</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4574</v>
      </c>
      <c r="U99" s="10" t="s">
        <v>984</v>
      </c>
      <c r="V99" s="10" t="s">
        <v>933</v>
      </c>
      <c r="W99" s="10" t="s">
        <v>51</v>
      </c>
      <c r="X99" s="10" t="s">
        <v>984</v>
      </c>
    </row>
    <row r="100">
      <c r="A100" s="9">
        <f t="shared" si="1"/>
        <v>99</v>
      </c>
      <c r="B100" s="11">
        <v>46226.66755787037</v>
      </c>
      <c r="C100" s="10" t="s">
        <v>296</v>
      </c>
      <c r="D100" s="10" t="s">
        <v>36</v>
      </c>
      <c r="E100" s="10" t="s">
        <v>37</v>
      </c>
      <c r="F100" s="13">
        <v>2.0</v>
      </c>
      <c r="G100" s="14">
        <v>117.81</v>
      </c>
      <c r="H100" s="10" t="s">
        <v>4576</v>
      </c>
      <c r="I100" s="10">
        <v>93.5</v>
      </c>
      <c r="O100" s="15">
        <f>IFERROR(__xludf.DUMMYFUNCTION("IF(ISBLANK($C100), """", GOOGLEFINANCE($C100, ""price""))"),121.5)</f>
        <v>121.5</v>
      </c>
      <c r="P100" s="16">
        <f t="shared" si="2"/>
        <v>0.03132161956</v>
      </c>
      <c r="Q100" s="16">
        <f>IFERROR(__xludf.DUMMYFUNCTION("IF(OR(ISBLANK($G100), IFERROR(INDEX(GOOGLEFINANCE($C100, ""price"", WORKDAY(INT($B100), 1)), 2, 2), """")=""""), """", IF($D100=""LONG"", (IFERROR(INDEX(GOOGLEFINANCE($C100, ""price"", WORKDAY(INT($B100), 1)), 2, 2), """")-$G100)/$G100, ($G100-IFERROR(IND"&amp;"EX(GOOGLEFINANCE($C100, ""price"", WORKDAY(INT($B100), 1)), 2, 2), """"))/$G100))"),0.018249724132077)</f>
        <v>0.01824972413</v>
      </c>
      <c r="R100" s="16">
        <f>IFERROR(__xludf.DUMMYFUNCTION("IF(OR(ISBLANK($G100), IFERROR(INDEX(GOOGLEFINANCE($C100, ""price"", WORKDAY(INT($B100), 5)), 2, 2), """")=""""), """", IF($D100=""LONG"", (IFERROR(INDEX(GOOGLEFINANCE($C100, ""price"", WORKDAY(INT($B100), 5)), 2, 2), """")-$G100)/$G100, ($G100-IFERROR(IND"&amp;"EX(GOOGLEFINANCE($C100, ""price"", WORKDAY(INT($B100), 5)), 2, 2), """"))/$G100))"),0.042101689160512636)</f>
        <v>0.04210168916</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4577</v>
      </c>
      <c r="U100" s="10" t="s">
        <v>704</v>
      </c>
      <c r="V100" s="10" t="s">
        <v>4578</v>
      </c>
      <c r="W100" s="10" t="s">
        <v>51</v>
      </c>
      <c r="X100" s="10" t="s">
        <v>1885</v>
      </c>
    </row>
    <row r="101">
      <c r="A101" s="9">
        <f t="shared" si="1"/>
        <v>100</v>
      </c>
      <c r="B101" s="11">
        <v>46226.66778935185</v>
      </c>
      <c r="C101" s="10" t="s">
        <v>94</v>
      </c>
      <c r="D101" s="10" t="s">
        <v>36</v>
      </c>
      <c r="E101" s="10" t="s">
        <v>37</v>
      </c>
      <c r="F101" s="13">
        <v>2.0</v>
      </c>
      <c r="G101" s="14">
        <v>57.15</v>
      </c>
      <c r="H101" s="10" t="s">
        <v>4580</v>
      </c>
      <c r="I101" s="10">
        <v>91.7</v>
      </c>
      <c r="O101" s="15">
        <f>IFERROR(__xludf.DUMMYFUNCTION("IF(ISBLANK($C101), """", GOOGLEFINANCE($C101, ""price""))"),56.96)</f>
        <v>56.96</v>
      </c>
      <c r="P101" s="16">
        <f t="shared" si="2"/>
        <v>-0.003324584427</v>
      </c>
      <c r="Q101" s="16">
        <f>IFERROR(__xludf.DUMMYFUNCTION("IF(OR(ISBLANK($G101), IFERROR(INDEX(GOOGLEFINANCE($C101, ""price"", WORKDAY(INT($B101), 1)), 2, 2), """")=""""), """", IF($D101=""LONG"", (IFERROR(INDEX(GOOGLEFINANCE($C101, ""price"", WORKDAY(INT($B101), 1)), 2, 2), """")-$G101)/$G101, ($G101-IFERROR(IND"&amp;"EX(GOOGLEFINANCE($C101, ""price"", WORKDAY(INT($B101), 1)), 2, 2), """"))/$G101))"),0.004549431321084829)</f>
        <v>0.004549431321</v>
      </c>
      <c r="R101" s="16">
        <f>IFERROR(__xludf.DUMMYFUNCTION("IF(OR(ISBLANK($G101), IFERROR(INDEX(GOOGLEFINANCE($C101, ""price"", WORKDAY(INT($B101), 5)), 2, 2), """")=""""), """", IF($D101=""LONG"", (IFERROR(INDEX(GOOGLEFINANCE($C101, ""price"", WORKDAY(INT($B101), 5)), 2, 2), """")-$G101)/$G101, ($G101-IFERROR(IND"&amp;"EX(GOOGLEFINANCE($C101, ""price"", WORKDAY(INT($B101), 5)), 2, 2), """"))/$G101))"),-0.009798775153105777)</f>
        <v>-0.009798775153</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4582</v>
      </c>
      <c r="U101" s="10" t="s">
        <v>984</v>
      </c>
      <c r="V101" s="10" t="s">
        <v>933</v>
      </c>
      <c r="W101" s="10" t="s">
        <v>51</v>
      </c>
      <c r="X101" s="10" t="s">
        <v>984</v>
      </c>
    </row>
    <row r="102">
      <c r="A102" s="9">
        <f t="shared" si="1"/>
        <v>101</v>
      </c>
      <c r="B102" s="11">
        <v>46226.66761574074</v>
      </c>
      <c r="C102" s="10" t="s">
        <v>258</v>
      </c>
      <c r="D102" s="10" t="s">
        <v>36</v>
      </c>
      <c r="E102" s="10" t="s">
        <v>37</v>
      </c>
      <c r="F102" s="13">
        <v>2.0</v>
      </c>
      <c r="G102" s="14">
        <v>114.97</v>
      </c>
      <c r="H102" s="10" t="s">
        <v>4585</v>
      </c>
      <c r="I102" s="10">
        <v>93.6</v>
      </c>
      <c r="O102" s="15">
        <f>IFERROR(__xludf.DUMMYFUNCTION("IF(ISBLANK($C102), """", GOOGLEFINANCE($C102, ""price""))"),113.62)</f>
        <v>113.62</v>
      </c>
      <c r="P102" s="16">
        <f t="shared" si="2"/>
        <v>-0.01174219362</v>
      </c>
      <c r="Q102" s="16">
        <f>IFERROR(__xludf.DUMMYFUNCTION("IF(OR(ISBLANK($G102), IFERROR(INDEX(GOOGLEFINANCE($C102, ""price"", WORKDAY(INT($B102), 1)), 2, 2), """")=""""), """", IF($D102=""LONG"", (IFERROR(INDEX(GOOGLEFINANCE($C102, ""price"", WORKDAY(INT($B102), 1)), 2, 2), """")-$G102)/$G102, ($G102-IFERROR(IND"&amp;"EX(GOOGLEFINANCE($C102, ""price"", WORKDAY(INT($B102), 1)), 2, 2), """"))/$G102))"),0.013307819431155964)</f>
        <v>0.01330781943</v>
      </c>
      <c r="R102" s="16">
        <f>IFERROR(__xludf.DUMMYFUNCTION("IF(OR(ISBLANK($G102), IFERROR(INDEX(GOOGLEFINANCE($C102, ""price"", WORKDAY(INT($B102), 5)), 2, 2), """")=""""), """", IF($D102=""LONG"", (IFERROR(INDEX(GOOGLEFINANCE($C102, ""price"", WORKDAY(INT($B102), 5)), 2, 2), """")-$G102)/$G102, ($G102-IFERROR(IND"&amp;"EX(GOOGLEFINANCE($C102, ""price"", WORKDAY(INT($B102), 5)), 2, 2), """"))/$G102))"),0.037488040358354374)</f>
        <v>0.03748804036</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4589</v>
      </c>
      <c r="U102" s="10" t="s">
        <v>704</v>
      </c>
      <c r="V102" s="10" t="s">
        <v>4590</v>
      </c>
      <c r="W102" s="10" t="s">
        <v>51</v>
      </c>
      <c r="X102" s="10" t="s">
        <v>1885</v>
      </c>
    </row>
    <row r="103">
      <c r="A103" s="9">
        <f t="shared" si="1"/>
        <v>102</v>
      </c>
      <c r="B103" s="11">
        <v>46226.66761574074</v>
      </c>
      <c r="C103" s="10" t="s">
        <v>641</v>
      </c>
      <c r="D103" s="10" t="s">
        <v>36</v>
      </c>
      <c r="E103" s="10" t="s">
        <v>37</v>
      </c>
      <c r="F103" s="13">
        <v>2.0</v>
      </c>
      <c r="G103" s="14">
        <v>62.23</v>
      </c>
      <c r="H103" s="10" t="s">
        <v>4591</v>
      </c>
      <c r="I103" s="10">
        <v>94.1</v>
      </c>
      <c r="O103" s="15">
        <f>IFERROR(__xludf.DUMMYFUNCTION("IF(ISBLANK($C103), """", GOOGLEFINANCE($C103, ""price""))"),63.13)</f>
        <v>63.13</v>
      </c>
      <c r="P103" s="16">
        <f t="shared" si="2"/>
        <v>0.0144624779</v>
      </c>
      <c r="Q103" s="16">
        <f>IFERROR(__xludf.DUMMYFUNCTION("IF(OR(ISBLANK($G103), IFERROR(INDEX(GOOGLEFINANCE($C103, ""price"", WORKDAY(INT($B103), 1)), 2, 2), """")=""""), """", IF($D103=""LONG"", (IFERROR(INDEX(GOOGLEFINANCE($C103, ""price"", WORKDAY(INT($B103), 1)), 2, 2), """")-$G103)/$G103, ($G103-IFERROR(IND"&amp;"EX(GOOGLEFINANCE($C103, ""price"", WORKDAY(INT($B103), 1)), 2, 2), """"))/$G103))"),0.02587176602924645)</f>
        <v>0.02587176603</v>
      </c>
      <c r="R103" s="16">
        <f>IFERROR(__xludf.DUMMYFUNCTION("IF(OR(ISBLANK($G103), IFERROR(INDEX(GOOGLEFINANCE($C103, ""price"", WORKDAY(INT($B103), 5)), 2, 2), """")=""""), """", IF($D103=""LONG"", (IFERROR(INDEX(GOOGLEFINANCE($C103, ""price"", WORKDAY(INT($B103), 5)), 2, 2), """")-$G103)/$G103, ($G103-IFERROR(IND"&amp;"EX(GOOGLEFINANCE($C103, ""price"", WORKDAY(INT($B103), 5)), 2, 2), """"))/$G103))"),0.049493813273340924)</f>
        <v>0.04949381327</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4595</v>
      </c>
      <c r="U103" s="10" t="s">
        <v>984</v>
      </c>
      <c r="V103" s="10" t="s">
        <v>933</v>
      </c>
      <c r="W103" s="10" t="s">
        <v>51</v>
      </c>
      <c r="X103" s="10" t="s">
        <v>984</v>
      </c>
    </row>
    <row r="104">
      <c r="A104" s="9">
        <f t="shared" si="1"/>
        <v>103</v>
      </c>
      <c r="B104" s="11">
        <v>46226.667662037034</v>
      </c>
      <c r="C104" s="10" t="s">
        <v>55</v>
      </c>
      <c r="D104" s="10" t="s">
        <v>36</v>
      </c>
      <c r="E104" s="10" t="s">
        <v>37</v>
      </c>
      <c r="F104" s="13">
        <v>2.0</v>
      </c>
      <c r="G104" s="14">
        <v>1185.77</v>
      </c>
      <c r="H104" s="10" t="s">
        <v>4596</v>
      </c>
      <c r="I104" s="10">
        <v>86.9</v>
      </c>
      <c r="O104" s="15">
        <f>IFERROR(__xludf.DUMMYFUNCTION("IF(ISBLANK($C104), """", GOOGLEFINANCE($C104, ""price""))"),1191.94)</f>
        <v>1191.94</v>
      </c>
      <c r="P104" s="16">
        <f t="shared" si="2"/>
        <v>0.005203369962</v>
      </c>
      <c r="Q104" s="16">
        <f>IFERROR(__xludf.DUMMYFUNCTION("IF(OR(ISBLANK($G104), IFERROR(INDEX(GOOGLEFINANCE($C104, ""price"", WORKDAY(INT($B104), 1)), 2, 2), """")=""""), """", IF($D104=""LONG"", (IFERROR(INDEX(GOOGLEFINANCE($C104, ""price"", WORKDAY(INT($B104), 1)), 2, 2), """")-$G104)/$G104, ($G104-IFERROR(IND"&amp;"EX(GOOGLEFINANCE($C104, ""price"", WORKDAY(INT($B104), 1)), 2, 2), """"))/$G104))"),0.008652605479983463)</f>
        <v>0.00865260548</v>
      </c>
      <c r="R104" s="16">
        <f>IFERROR(__xludf.DUMMYFUNCTION("IF(OR(ISBLANK($G104), IFERROR(INDEX(GOOGLEFINANCE($C104, ""price"", WORKDAY(INT($B104), 5)), 2, 2), """")=""""), """", IF($D104=""LONG"", (IFERROR(INDEX(GOOGLEFINANCE($C104, ""price"", WORKDAY(INT($B104), 5)), 2, 2), """")-$G104)/$G104, ($G104-IFERROR(IND"&amp;"EX(GOOGLEFINANCE($C104, ""price"", WORKDAY(INT($B104), 5)), 2, 2), """"))/$G104))"),-0.02597468311729927)</f>
        <v>-0.02597468312</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4600</v>
      </c>
      <c r="U104" s="10" t="s">
        <v>984</v>
      </c>
      <c r="V104" s="10" t="s">
        <v>933</v>
      </c>
      <c r="W104" s="10" t="s">
        <v>51</v>
      </c>
      <c r="X104" s="10" t="s">
        <v>984</v>
      </c>
    </row>
    <row r="105">
      <c r="A105" s="9">
        <f t="shared" si="1"/>
        <v>104</v>
      </c>
      <c r="B105" s="11">
        <v>46226.66780092593</v>
      </c>
      <c r="C105" s="10" t="s">
        <v>1198</v>
      </c>
      <c r="D105" s="10" t="s">
        <v>36</v>
      </c>
      <c r="E105" s="10" t="s">
        <v>37</v>
      </c>
      <c r="F105" s="13">
        <v>2.0</v>
      </c>
      <c r="G105" s="14">
        <v>353.2</v>
      </c>
      <c r="H105" s="10" t="s">
        <v>4601</v>
      </c>
      <c r="I105" s="10">
        <v>92.7</v>
      </c>
      <c r="O105" s="15">
        <f>IFERROR(__xludf.DUMMYFUNCTION("IF(ISBLANK($C105), """", GOOGLEFINANCE($C105, ""price""))"),354.03)</f>
        <v>354.03</v>
      </c>
      <c r="P105" s="16">
        <f t="shared" si="2"/>
        <v>0.002349943375</v>
      </c>
      <c r="Q105" s="16">
        <f>IFERROR(__xludf.DUMMYFUNCTION("IF(OR(ISBLANK($G105), IFERROR(INDEX(GOOGLEFINANCE($C105, ""price"", WORKDAY(INT($B105), 1)), 2, 2), """")=""""), """", IF($D105=""LONG"", (IFERROR(INDEX(GOOGLEFINANCE($C105, ""price"", WORKDAY(INT($B105), 1)), 2, 2), """")-$G105)/$G105, ($G105-IFERROR(IND"&amp;"EX(GOOGLEFINANCE($C105, ""price"", WORKDAY(INT($B105), 1)), 2, 2), """"))/$G105))"),0.018544733861834688)</f>
        <v>0.01854473386</v>
      </c>
      <c r="R105" s="16">
        <f>IFERROR(__xludf.DUMMYFUNCTION("IF(OR(ISBLANK($G105), IFERROR(INDEX(GOOGLEFINANCE($C105, ""price"", WORKDAY(INT($B105), 5)), 2, 2), """")=""""), """", IF($D105=""LONG"", (IFERROR(INDEX(GOOGLEFINANCE($C105, ""price"", WORKDAY(INT($B105), 5)), 2, 2), """")-$G105)/$G105, ($G105-IFERROR(IND"&amp;"EX(GOOGLEFINANCE($C105, ""price"", WORKDAY(INT($B105), 5)), 2, 2), """"))/$G105))"),-0.008635334088335254)</f>
        <v>-0.008635334088</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4604</v>
      </c>
      <c r="U105" s="10" t="s">
        <v>984</v>
      </c>
      <c r="V105" s="10" t="s">
        <v>933</v>
      </c>
      <c r="W105" s="10" t="s">
        <v>51</v>
      </c>
      <c r="X105" s="10" t="s">
        <v>984</v>
      </c>
    </row>
    <row r="106">
      <c r="A106" s="9">
        <f t="shared" si="1"/>
        <v>105</v>
      </c>
      <c r="B106" s="11">
        <v>46226.66761574074</v>
      </c>
      <c r="C106" s="10" t="s">
        <v>3104</v>
      </c>
      <c r="D106" s="10" t="s">
        <v>36</v>
      </c>
      <c r="E106" s="10" t="s">
        <v>37</v>
      </c>
      <c r="F106" s="13">
        <v>2.0</v>
      </c>
      <c r="G106" s="14">
        <v>166.14</v>
      </c>
      <c r="H106" s="10" t="s">
        <v>4606</v>
      </c>
      <c r="I106" s="10">
        <v>93.9</v>
      </c>
      <c r="O106" s="15">
        <f>IFERROR(__xludf.DUMMYFUNCTION("IF(ISBLANK($C106), """", GOOGLEFINANCE($C106, ""price""))"),179.33)</f>
        <v>179.33</v>
      </c>
      <c r="P106" s="16">
        <f t="shared" si="2"/>
        <v>0.07939087517</v>
      </c>
      <c r="Q106" s="16">
        <f>IFERROR(__xludf.DUMMYFUNCTION("IF(OR(ISBLANK($G106), IFERROR(INDEX(GOOGLEFINANCE($C106, ""price"", WORKDAY(INT($B106), 1)), 2, 2), """")=""""), """", IF($D106=""LONG"", (IFERROR(INDEX(GOOGLEFINANCE($C106, ""price"", WORKDAY(INT($B106), 1)), 2, 2), """")-$G106)/$G106, ($G106-IFERROR(IND"&amp;"EX(GOOGLEFINANCE($C106, ""price"", WORKDAY(INT($B106), 1)), 2, 2), """"))/$G106))"),0.01902010352714593)</f>
        <v>0.01902010353</v>
      </c>
      <c r="R106" s="16">
        <f>IFERROR(__xludf.DUMMYFUNCTION("IF(OR(ISBLANK($G106), IFERROR(INDEX(GOOGLEFINANCE($C106, ""price"", WORKDAY(INT($B106), 5)), 2, 2), """")=""""), """", IF($D106=""LONG"", (IFERROR(INDEX(GOOGLEFINANCE($C106, ""price"", WORKDAY(INT($B106), 5)), 2, 2), """")-$G106)/$G106, ($G106-IFERROR(IND"&amp;"EX(GOOGLEFINANCE($C106, ""price"", WORKDAY(INT($B106), 5)), 2, 2), """"))/$G106))"),0.053147947514144776)</f>
        <v>0.05314794751</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4609</v>
      </c>
      <c r="U106" s="10" t="s">
        <v>984</v>
      </c>
      <c r="V106" s="10" t="s">
        <v>998</v>
      </c>
      <c r="W106" s="10" t="s">
        <v>51</v>
      </c>
      <c r="X106" s="10" t="s">
        <v>984</v>
      </c>
    </row>
    <row r="107">
      <c r="A107" s="9">
        <f t="shared" si="1"/>
        <v>106</v>
      </c>
      <c r="B107" s="11">
        <v>46226.66778935185</v>
      </c>
      <c r="C107" s="10" t="s">
        <v>406</v>
      </c>
      <c r="D107" s="10" t="s">
        <v>36</v>
      </c>
      <c r="E107" s="10" t="s">
        <v>37</v>
      </c>
      <c r="F107" s="13">
        <v>2.0</v>
      </c>
      <c r="G107" s="14">
        <v>179.44</v>
      </c>
      <c r="H107" s="10" t="s">
        <v>4611</v>
      </c>
      <c r="I107" s="10">
        <v>84.7</v>
      </c>
      <c r="L107" s="10" t="s">
        <v>4612</v>
      </c>
      <c r="M107" s="34" t="s">
        <v>3374</v>
      </c>
      <c r="N107" s="10" t="s">
        <v>4613</v>
      </c>
      <c r="O107" s="15">
        <f>IFERROR(__xludf.DUMMYFUNCTION("IF(ISBLANK($C107), """", GOOGLEFINANCE($C107, ""price""))"),179.04)</f>
        <v>179.04</v>
      </c>
      <c r="P107" s="16">
        <f t="shared" si="2"/>
        <v>-0.002229157379</v>
      </c>
      <c r="Q107" s="16">
        <f>IFERROR(__xludf.DUMMYFUNCTION("IF(OR(ISBLANK($G107), IFERROR(INDEX(GOOGLEFINANCE($C107, ""price"", WORKDAY(INT($B107), 1)), 2, 2), """")=""""), """", IF($D107=""LONG"", (IFERROR(INDEX(GOOGLEFINANCE($C107, ""price"", WORKDAY(INT($B107), 1)), 2, 2), """")-$G107)/$G107, ($G107-IFERROR(IND"&amp;"EX(GOOGLEFINANCE($C107, ""price"", WORKDAY(INT($B107), 1)), 2, 2), """"))/$G107))"),0.01878065091395455)</f>
        <v>0.01878065091</v>
      </c>
      <c r="R107" s="16">
        <f>IFERROR(__xludf.DUMMYFUNCTION("IF(OR(ISBLANK($G107), IFERROR(INDEX(GOOGLEFINANCE($C107, ""price"", WORKDAY(INT($B107), 5)), 2, 2), """")=""""), """", IF($D107=""LONG"", (IFERROR(INDEX(GOOGLEFINANCE($C107, ""price"", WORKDAY(INT($B107), 5)), 2, 2), """")-$G107)/$G107, ($G107-IFERROR(IND"&amp;"EX(GOOGLEFINANCE($C107, ""price"", WORKDAY(INT($B107), 5)), 2, 2), """"))/$G107))"),-0.02624832813196616)</f>
        <v>-0.02624832813</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4617</v>
      </c>
      <c r="U107" s="10" t="s">
        <v>507</v>
      </c>
      <c r="V107" s="10" t="s">
        <v>4618</v>
      </c>
      <c r="W107" s="10" t="s">
        <v>51</v>
      </c>
      <c r="X107" s="10" t="s">
        <v>2228</v>
      </c>
    </row>
    <row r="108">
      <c r="A108" s="9">
        <f t="shared" si="1"/>
        <v>107</v>
      </c>
      <c r="B108" s="11">
        <v>46226.66775462963</v>
      </c>
      <c r="C108" s="10" t="s">
        <v>3445</v>
      </c>
      <c r="D108" s="10" t="s">
        <v>36</v>
      </c>
      <c r="E108" s="10" t="s">
        <v>37</v>
      </c>
      <c r="F108" s="13">
        <v>2.0</v>
      </c>
      <c r="G108" s="14">
        <v>242.93</v>
      </c>
      <c r="H108" s="10" t="s">
        <v>4619</v>
      </c>
      <c r="I108" s="10">
        <v>98.9</v>
      </c>
      <c r="O108" s="15">
        <f>IFERROR(__xludf.DUMMYFUNCTION("IF(ISBLANK($C108), """", GOOGLEFINANCE($C108, ""price""))"),273.51)</f>
        <v>273.51</v>
      </c>
      <c r="P108" s="16">
        <f t="shared" si="2"/>
        <v>0.1258798831</v>
      </c>
      <c r="Q108" s="16">
        <f>IFERROR(__xludf.DUMMYFUNCTION("IF(OR(ISBLANK($G108), IFERROR(INDEX(GOOGLEFINANCE($C108, ""price"", WORKDAY(INT($B108), 1)), 2, 2), """")=""""), """", IF($D108=""LONG"", (IFERROR(INDEX(GOOGLEFINANCE($C108, ""price"", WORKDAY(INT($B108), 1)), 2, 2), """")-$G108)/$G108, ($G108-IFERROR(IND"&amp;"EX(GOOGLEFINANCE($C108, ""price"", WORKDAY(INT($B108), 1)), 2, 2), """"))/$G108))"),0.029473510887910084)</f>
        <v>0.02947351089</v>
      </c>
      <c r="R108" s="16">
        <f>IFERROR(__xludf.DUMMYFUNCTION("IF(OR(ISBLANK($G108), IFERROR(INDEX(GOOGLEFINANCE($C108, ""price"", WORKDAY(INT($B108), 5)), 2, 2), """")=""""), """", IF($D108=""LONG"", (IFERROR(INDEX(GOOGLEFINANCE($C108, ""price"", WORKDAY(INT($B108), 5)), 2, 2), """")-$G108)/$G108, ($G108-IFERROR(IND"&amp;"EX(GOOGLEFINANCE($C108, ""price"", WORKDAY(INT($B108), 5)), 2, 2), """"))/$G108))"),0.08619767011073147)</f>
        <v>0.08619767011</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4623</v>
      </c>
      <c r="U108" s="10" t="s">
        <v>984</v>
      </c>
      <c r="V108" s="10" t="s">
        <v>985</v>
      </c>
      <c r="W108" s="10" t="s">
        <v>51</v>
      </c>
      <c r="X108" s="10" t="s">
        <v>984</v>
      </c>
    </row>
    <row r="109">
      <c r="A109" s="9">
        <f t="shared" si="1"/>
        <v>108</v>
      </c>
      <c r="B109" s="11">
        <v>46226.66780092593</v>
      </c>
      <c r="C109" s="10" t="s">
        <v>312</v>
      </c>
      <c r="D109" s="10" t="s">
        <v>36</v>
      </c>
      <c r="E109" s="10" t="s">
        <v>37</v>
      </c>
      <c r="F109" s="13">
        <v>2.0</v>
      </c>
      <c r="G109" s="14">
        <v>14.83</v>
      </c>
      <c r="H109" s="10" t="s">
        <v>4624</v>
      </c>
      <c r="I109" s="10">
        <v>89.7</v>
      </c>
      <c r="O109" s="15">
        <f>IFERROR(__xludf.DUMMYFUNCTION("IF(ISBLANK($C109), """", GOOGLEFINANCE($C109, ""price""))"),14.7)</f>
        <v>14.7</v>
      </c>
      <c r="P109" s="16">
        <f t="shared" si="2"/>
        <v>-0.008766014835</v>
      </c>
      <c r="Q109" s="16">
        <f>IFERROR(__xludf.DUMMYFUNCTION("IF(OR(ISBLANK($G109), IFERROR(INDEX(GOOGLEFINANCE($C109, ""price"", WORKDAY(INT($B109), 1)), 2, 2), """")=""""), """", IF($D109=""LONG"", (IFERROR(INDEX(GOOGLEFINANCE($C109, ""price"", WORKDAY(INT($B109), 1)), 2, 2), """")-$G109)/$G109, ($G109-IFERROR(IND"&amp;"EX(GOOGLEFINANCE($C109, ""price"", WORKDAY(INT($B109), 1)), 2, 2), """"))/$G109))"),6.743088334457037E-4)</f>
        <v>0.0006743088334</v>
      </c>
      <c r="R109" s="16">
        <f>IFERROR(__xludf.DUMMYFUNCTION("IF(OR(ISBLANK($G109), IFERROR(INDEX(GOOGLEFINANCE($C109, ""price"", WORKDAY(INT($B109), 5)), 2, 2), """")=""""), """", IF($D109=""LONG"", (IFERROR(INDEX(GOOGLEFINANCE($C109, ""price"", WORKDAY(INT($B109), 5)), 2, 2), """")-$G109)/$G109, ($G109-IFERROR(IND"&amp;"EX(GOOGLEFINANCE($C109, ""price"", WORKDAY(INT($B109), 5)), 2, 2), """"))/$G109))"),0.0013486176668914074)</f>
        <v>0.001348617667</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4627</v>
      </c>
      <c r="U109" s="10" t="s">
        <v>984</v>
      </c>
      <c r="V109" s="10" t="s">
        <v>2714</v>
      </c>
      <c r="W109" s="10" t="s">
        <v>51</v>
      </c>
      <c r="X109" s="10" t="s">
        <v>984</v>
      </c>
    </row>
    <row r="110">
      <c r="A110" s="9">
        <f t="shared" si="1"/>
        <v>109</v>
      </c>
      <c r="B110" s="11">
        <v>46226.667708333334</v>
      </c>
      <c r="C110" s="10" t="s">
        <v>260</v>
      </c>
      <c r="D110" s="10" t="s">
        <v>36</v>
      </c>
      <c r="E110" s="10" t="s">
        <v>37</v>
      </c>
      <c r="F110" s="13">
        <v>2.0</v>
      </c>
      <c r="G110" s="14">
        <v>101.58</v>
      </c>
      <c r="H110" s="10" t="s">
        <v>4628</v>
      </c>
      <c r="I110" s="10">
        <v>86.6</v>
      </c>
      <c r="O110" s="15">
        <f>IFERROR(__xludf.DUMMYFUNCTION("IF(ISBLANK($C110), """", GOOGLEFINANCE($C110, ""price""))"),90.71)</f>
        <v>90.71</v>
      </c>
      <c r="P110" s="16">
        <f t="shared" si="2"/>
        <v>-0.1070092538</v>
      </c>
      <c r="Q110" s="16">
        <f>IFERROR(__xludf.DUMMYFUNCTION("IF(OR(ISBLANK($G110), IFERROR(INDEX(GOOGLEFINANCE($C110, ""price"", WORKDAY(INT($B110), 1)), 2, 2), """")=""""), """", IF($D110=""LONG"", (IFERROR(INDEX(GOOGLEFINANCE($C110, ""price"", WORKDAY(INT($B110), 1)), 2, 2), """")-$G110)/$G110, ($G110-IFERROR(IND"&amp;"EX(GOOGLEFINANCE($C110, ""price"", WORKDAY(INT($B110), 1)), 2, 2), """"))/$G110))"),-0.06566253199448713)</f>
        <v>-0.06566253199</v>
      </c>
      <c r="R110" s="16">
        <f>IFERROR(__xludf.DUMMYFUNCTION("IF(OR(ISBLANK($G110), IFERROR(INDEX(GOOGLEFINANCE($C110, ""price"", WORKDAY(INT($B110), 5)), 2, 2), """")=""""), """", IF($D110=""LONG"", (IFERROR(INDEX(GOOGLEFINANCE($C110, ""price"", WORKDAY(INT($B110), 5)), 2, 2), """")-$G110)/$G110, ($G110-IFERROR(IND"&amp;"EX(GOOGLEFINANCE($C110, ""price"", WORKDAY(INT($B110), 5)), 2, 2), """"))/$G110))"),-0.14746997440441037)</f>
        <v>-0.1474699744</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4633</v>
      </c>
      <c r="U110" s="10" t="s">
        <v>704</v>
      </c>
      <c r="V110" s="10" t="s">
        <v>4634</v>
      </c>
      <c r="W110" s="10" t="s">
        <v>51</v>
      </c>
      <c r="X110" s="10" t="s">
        <v>1885</v>
      </c>
    </row>
    <row r="111">
      <c r="A111" s="9">
        <f t="shared" si="1"/>
        <v>110</v>
      </c>
      <c r="B111" s="11">
        <v>46226.66778935185</v>
      </c>
      <c r="C111" s="10" t="s">
        <v>69</v>
      </c>
      <c r="D111" s="10" t="s">
        <v>36</v>
      </c>
      <c r="E111" s="10" t="s">
        <v>37</v>
      </c>
      <c r="F111" s="13">
        <v>2.0</v>
      </c>
      <c r="G111" s="14">
        <v>259.29</v>
      </c>
      <c r="H111" s="10" t="s">
        <v>4635</v>
      </c>
      <c r="I111" s="10">
        <v>92.9</v>
      </c>
      <c r="O111" s="15">
        <f>IFERROR(__xludf.DUMMYFUNCTION("IF(ISBLANK($C111), """", GOOGLEFINANCE($C111, ""price""))"),256.98)</f>
        <v>256.98</v>
      </c>
      <c r="P111" s="16">
        <f t="shared" si="2"/>
        <v>-0.008908943654</v>
      </c>
      <c r="Q111" s="16">
        <f>IFERROR(__xludf.DUMMYFUNCTION("IF(OR(ISBLANK($G111), IFERROR(INDEX(GOOGLEFINANCE($C111, ""price"", WORKDAY(INT($B111), 1)), 2, 2), """")=""""), """", IF($D111=""LONG"", (IFERROR(INDEX(GOOGLEFINANCE($C111, ""price"", WORKDAY(INT($B111), 1)), 2, 2), """")-$G111)/$G111, ($G111-IFERROR(IND"&amp;"EX(GOOGLEFINANCE($C111, ""price"", WORKDAY(INT($B111), 1)), 2, 2), """"))/$G111))"),0.015850977669790413)</f>
        <v>0.01585097767</v>
      </c>
      <c r="R111" s="16">
        <f>IFERROR(__xludf.DUMMYFUNCTION("IF(OR(ISBLANK($G111), IFERROR(INDEX(GOOGLEFINANCE($C111, ""price"", WORKDAY(INT($B111), 5)), 2, 2), """")=""""), """", IF($D111=""LONG"", (IFERROR(INDEX(GOOGLEFINANCE($C111, ""price"", WORKDAY(INT($B111), 5)), 2, 2), """")-$G111)/$G111, ($G111-IFERROR(IND"&amp;"EX(GOOGLEFINANCE($C111, ""price"", WORKDAY(INT($B111), 5)), 2, 2), """"))/$G111))"),-0.01338269890855809)</f>
        <v>-0.01338269891</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4639</v>
      </c>
      <c r="U111" s="10" t="s">
        <v>984</v>
      </c>
      <c r="V111" s="10" t="s">
        <v>933</v>
      </c>
      <c r="W111" s="10" t="s">
        <v>51</v>
      </c>
      <c r="X111" s="10" t="s">
        <v>984</v>
      </c>
    </row>
    <row r="112">
      <c r="B112" s="43"/>
      <c r="G112" s="15"/>
      <c r="O112" s="15"/>
      <c r="P112" s="16"/>
      <c r="Q112" s="16"/>
      <c r="R112" s="16"/>
      <c r="S112" s="16"/>
    </row>
    <row r="113">
      <c r="B113" s="43"/>
      <c r="G113" s="15"/>
      <c r="O113" s="15"/>
      <c r="P113" s="16"/>
      <c r="Q113" s="16"/>
      <c r="R113" s="16"/>
      <c r="S113" s="16"/>
    </row>
    <row r="114">
      <c r="B114" s="43"/>
      <c r="G114" s="15"/>
      <c r="O114" s="15"/>
      <c r="P114" s="16"/>
      <c r="Q114" s="16"/>
      <c r="R114" s="16"/>
      <c r="S114" s="16"/>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2" max="22" width="25.88"/>
  </cols>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101" si="1">ROW()-1</f>
        <v>1</v>
      </c>
      <c r="B2" s="11">
        <v>46227.66737268519</v>
      </c>
      <c r="C2" s="10" t="s">
        <v>3702</v>
      </c>
      <c r="D2" s="10" t="s">
        <v>36</v>
      </c>
      <c r="E2" s="10" t="s">
        <v>37</v>
      </c>
      <c r="F2" s="13">
        <v>2.0</v>
      </c>
      <c r="G2" s="14">
        <v>539.66</v>
      </c>
      <c r="H2" s="10" t="s">
        <v>4372</v>
      </c>
      <c r="I2" s="10">
        <v>97.5</v>
      </c>
      <c r="O2" s="15">
        <f>IFERROR(__xludf.DUMMYFUNCTION("IF(ISBLANK($C2), """", GOOGLEFINANCE($C2, ""price""))"),575.95)</f>
        <v>575.95</v>
      </c>
      <c r="P2" s="16">
        <f t="shared" ref="P2:P96" si="2">IF(OR(ISBLANK($G2), ISBLANK($O2)), "", IF($D2="LONG", ($O2-$G2)/$G2, ($G2-$O2)/$G2))</f>
        <v>0.06724604381</v>
      </c>
      <c r="Q2" s="16">
        <f>IFERROR(__xludf.DUMMYFUNCTION("IF(OR(ISBLANK($G2), IFERROR(INDEX(GOOGLEFINANCE($C2, ""price"", WORKDAY(INT($B2), 1)), 2, 2), """")=""""), """", IF($D2=""LONG"", (IFERROR(INDEX(GOOGLEFINANCE($C2, ""price"", WORKDAY(INT($B2), 1)), 2, 2), """")-$G2)/$G2, ($G2-IFERROR(INDEX(GOOGLEFINANCE($"&amp;"C2, ""price"", WORKDAY(INT($B2), 1)), 2, 2), """"))/$G2))"),0.022328873735314954)</f>
        <v>0.02232887374</v>
      </c>
      <c r="R2" s="16">
        <f>IFERROR(__xludf.DUMMYFUNCTION("IF(OR(ISBLANK($G2), IFERROR(INDEX(GOOGLEFINANCE($C2, ""price"", WORKDAY(INT($B2), 5)), 2, 2), """")=""""), """", IF($D2=""LONG"", (IFERROR(INDEX(GOOGLEFINANCE($C2, ""price"", WORKDAY(INT($B2), 5)), 2, 2), """")-$G2)/$G2, ($G2-IFERROR(INDEX(GOOGLEFINANCE($"&amp;"C2, ""price"", WORKDAY(INT($B2), 5)), 2, 2), """"))/$G2))"),0.06196494088870781)</f>
        <v>0.06196494089</v>
      </c>
      <c r="S2" s="16" t="str">
        <f>IFERROR(__xludf.DUMMYFUNCTION("IF(OR(ISBLANK($G2), IFERROR(INDEX(GOOGLEFINANCE($C2, ""price"", WORKDAY(INT($B2), 20)), 2, 2), """")=""""), """", IF($D2=""LONG"", (IFERROR(INDEX(GOOGLEFINANCE($C2, ""price"", WORKDAY(INT($B2), 20)), 2, 2), """")-$G2)/$G2, ($G2-IFERROR(INDEX(GOOGLEFINANCE"&amp;"($C2, ""price"", WORKDAY(INT($B2), 20)), 2, 2), """"))/$G2))"),"")</f>
        <v/>
      </c>
      <c r="T2" s="10" t="s">
        <v>4377</v>
      </c>
      <c r="U2" s="10" t="s">
        <v>984</v>
      </c>
      <c r="V2" s="10" t="s">
        <v>985</v>
      </c>
      <c r="W2" s="10" t="s">
        <v>51</v>
      </c>
      <c r="X2" s="10" t="s">
        <v>984</v>
      </c>
    </row>
    <row r="3">
      <c r="A3" s="9">
        <f t="shared" si="1"/>
        <v>2</v>
      </c>
      <c r="B3" s="11">
        <v>46227.66737268519</v>
      </c>
      <c r="C3" s="10" t="s">
        <v>2250</v>
      </c>
      <c r="D3" s="10" t="s">
        <v>36</v>
      </c>
      <c r="E3" s="10" t="s">
        <v>37</v>
      </c>
      <c r="F3" s="13">
        <v>2.0</v>
      </c>
      <c r="G3" s="14">
        <v>247.64</v>
      </c>
      <c r="H3" s="10" t="s">
        <v>4378</v>
      </c>
      <c r="I3" s="10">
        <v>98.3</v>
      </c>
      <c r="O3" s="15">
        <f>IFERROR(__xludf.DUMMYFUNCTION("IF(ISBLANK($C3), """", GOOGLEFINANCE($C3, ""price""))"),251.74)</f>
        <v>251.74</v>
      </c>
      <c r="P3" s="16">
        <f t="shared" si="2"/>
        <v>0.01655629139</v>
      </c>
      <c r="Q3" s="16">
        <f>IFERROR(__xludf.DUMMYFUNCTION("IF(OR(ISBLANK($G3), IFERROR(INDEX(GOOGLEFINANCE($C3, ""price"", WORKDAY(INT($B3), 1)), 2, 2), """")=""""), """", IF($D3=""LONG"", (IFERROR(INDEX(GOOGLEFINANCE($C3, ""price"", WORKDAY(INT($B3), 1)), 2, 2), """")-$G3)/$G3, ($G3-IFERROR(INDEX(GOOGLEFINANCE($"&amp;"C3, ""price"", WORKDAY(INT($B3), 1)), 2, 2), """"))/$G3))"),0.023098045549992036)</f>
        <v>0.02309804555</v>
      </c>
      <c r="R3" s="16">
        <f>IFERROR(__xludf.DUMMYFUNCTION("IF(OR(ISBLANK($G3), IFERROR(INDEX(GOOGLEFINANCE($C3, ""price"", WORKDAY(INT($B3), 5)), 2, 2), """")=""""), """", IF($D3=""LONG"", (IFERROR(INDEX(GOOGLEFINANCE($C3, ""price"", WORKDAY(INT($B3), 5)), 2, 2), """")-$G3)/$G3, ($G3-IFERROR(INDEX(GOOGLEFINANCE($"&amp;"C3, ""price"", WORKDAY(INT($B3), 5)), 2, 2), """"))/$G3))"),0.007187853335487002)</f>
        <v>0.007187853335</v>
      </c>
      <c r="S3" s="16" t="str">
        <f>IFERROR(__xludf.DUMMYFUNCTION("IF(OR(ISBLANK($G3), IFERROR(INDEX(GOOGLEFINANCE($C3, ""price"", WORKDAY(INT($B3), 20)), 2, 2), """")=""""), """", IF($D3=""LONG"", (IFERROR(INDEX(GOOGLEFINANCE($C3, ""price"", WORKDAY(INT($B3), 20)), 2, 2), """")-$G3)/$G3, ($G3-IFERROR(INDEX(GOOGLEFINANCE"&amp;"($C3, ""price"", WORKDAY(INT($B3), 20)), 2, 2), """"))/$G3))"),"")</f>
        <v/>
      </c>
      <c r="T3" s="10" t="s">
        <v>4381</v>
      </c>
      <c r="U3" s="10" t="s">
        <v>984</v>
      </c>
      <c r="V3" s="10" t="s">
        <v>985</v>
      </c>
      <c r="W3" s="10" t="s">
        <v>51</v>
      </c>
      <c r="X3" s="10" t="s">
        <v>984</v>
      </c>
    </row>
    <row r="4">
      <c r="A4" s="9">
        <f t="shared" si="1"/>
        <v>3</v>
      </c>
      <c r="B4" s="11">
        <v>46227.66738425926</v>
      </c>
      <c r="C4" s="10" t="s">
        <v>392</v>
      </c>
      <c r="D4" s="10" t="s">
        <v>36</v>
      </c>
      <c r="E4" s="10" t="s">
        <v>37</v>
      </c>
      <c r="F4" s="13">
        <v>2.0</v>
      </c>
      <c r="G4" s="14">
        <v>235.43</v>
      </c>
      <c r="H4" s="10" t="s">
        <v>4382</v>
      </c>
      <c r="I4" s="10">
        <v>94.5</v>
      </c>
      <c r="O4" s="15">
        <f>IFERROR(__xludf.DUMMYFUNCTION("IF(ISBLANK($C4), """", GOOGLEFINANCE($C4, ""price""))"),180.67)</f>
        <v>180.67</v>
      </c>
      <c r="P4" s="16">
        <f t="shared" si="2"/>
        <v>-0.232595676</v>
      </c>
      <c r="Q4" s="16">
        <f>IFERROR(__xludf.DUMMYFUNCTION("IF(OR(ISBLANK($G4), IFERROR(INDEX(GOOGLEFINANCE($C4, ""price"", WORKDAY(INT($B4), 1)), 2, 2), """")=""""), """", IF($D4=""LONG"", (IFERROR(INDEX(GOOGLEFINANCE($C4, ""price"", WORKDAY(INT($B4), 1)), 2, 2), """")-$G4)/$G4, ($G4-IFERROR(INDEX(GOOGLEFINANCE($"&amp;"C4, ""price"", WORKDAY(INT($B4), 1)), 2, 2), """"))/$G4))"),0.0037378413965934477)</f>
        <v>0.003737841397</v>
      </c>
      <c r="R4" s="16">
        <f>IFERROR(__xludf.DUMMYFUNCTION("IF(OR(ISBLANK($G4), IFERROR(INDEX(GOOGLEFINANCE($C4, ""price"", WORKDAY(INT($B4), 5)), 2, 2), """")=""""), """", IF($D4=""LONG"", (IFERROR(INDEX(GOOGLEFINANCE($C4, ""price"", WORKDAY(INT($B4), 5)), 2, 2), """")-$G4)/$G4, ($G4-IFERROR(INDEX(GOOGLEFINANCE($"&amp;"C4, ""price"", WORKDAY(INT($B4), 5)), 2, 2), """"))/$G4))"),0.019793569213779026)</f>
        <v>0.01979356921</v>
      </c>
      <c r="S4" s="16" t="str">
        <f>IFERROR(__xludf.DUMMYFUNCTION("IF(OR(ISBLANK($G4), IFERROR(INDEX(GOOGLEFINANCE($C4, ""price"", WORKDAY(INT($B4), 20)), 2, 2), """")=""""), """", IF($D4=""LONG"", (IFERROR(INDEX(GOOGLEFINANCE($C4, ""price"", WORKDAY(INT($B4), 20)), 2, 2), """")-$G4)/$G4, ($G4-IFERROR(INDEX(GOOGLEFINANCE"&amp;"($C4, ""price"", WORKDAY(INT($B4), 20)), 2, 2), """"))/$G4))"),"")</f>
        <v/>
      </c>
      <c r="T4" s="10" t="s">
        <v>4384</v>
      </c>
      <c r="U4" s="10" t="s">
        <v>615</v>
      </c>
      <c r="V4" s="10" t="s">
        <v>4385</v>
      </c>
      <c r="W4" s="10" t="s">
        <v>51</v>
      </c>
      <c r="X4" s="10" t="s">
        <v>2637</v>
      </c>
    </row>
    <row r="5">
      <c r="A5" s="9">
        <f t="shared" si="1"/>
        <v>4</v>
      </c>
      <c r="B5" s="11">
        <v>46227.66738425926</v>
      </c>
      <c r="C5" s="10" t="s">
        <v>331</v>
      </c>
      <c r="D5" s="10" t="s">
        <v>36</v>
      </c>
      <c r="E5" s="10" t="s">
        <v>37</v>
      </c>
      <c r="F5" s="13">
        <v>2.0</v>
      </c>
      <c r="G5" s="14">
        <v>250.94</v>
      </c>
      <c r="H5" s="10" t="s">
        <v>4386</v>
      </c>
      <c r="I5" s="10">
        <v>93.6</v>
      </c>
      <c r="O5" s="15">
        <f>IFERROR(__xludf.DUMMYFUNCTION("IF(ISBLANK($C5), """", GOOGLEFINANCE($C5, ""price""))"),252.76)</f>
        <v>252.76</v>
      </c>
      <c r="P5" s="16">
        <f t="shared" si="2"/>
        <v>0.007252729736</v>
      </c>
      <c r="Q5" s="16">
        <f>IFERROR(__xludf.DUMMYFUNCTION("IF(OR(ISBLANK($G5), IFERROR(INDEX(GOOGLEFINANCE($C5, ""price"", WORKDAY(INT($B5), 1)), 2, 2), """")=""""), """", IF($D5=""LONG"", (IFERROR(INDEX(GOOGLEFINANCE($C5, ""price"", WORKDAY(INT($B5), 1)), 2, 2), """")-$G5)/$G5, ($G5-IFERROR(INDEX(GOOGLEFINANCE($"&amp;"C5, ""price"", WORKDAY(INT($B5), 1)), 2, 2), """"))/$G5))"),-0.00518052124013713)</f>
        <v>-0.00518052124</v>
      </c>
      <c r="R5" s="16">
        <f>IFERROR(__xludf.DUMMYFUNCTION("IF(OR(ISBLANK($G5), IFERROR(INDEX(GOOGLEFINANCE($C5, ""price"", WORKDAY(INT($B5), 5)), 2, 2), """")=""""), """", IF($D5=""LONG"", (IFERROR(INDEX(GOOGLEFINANCE($C5, ""price"", WORKDAY(INT($B5), 5)), 2, 2), """")-$G5)/$G5, ($G5-IFERROR(INDEX(GOOGLEFINANCE($"&amp;"C5, ""price"", WORKDAY(INT($B5), 5)), 2, 2), """"))/$G5))"),-0.00426396748226665)</f>
        <v>-0.004263967482</v>
      </c>
      <c r="S5" s="16" t="str">
        <f>IFERROR(__xludf.DUMMYFUNCTION("IF(OR(ISBLANK($G5), IFERROR(INDEX(GOOGLEFINANCE($C5, ""price"", WORKDAY(INT($B5), 20)), 2, 2), """")=""""), """", IF($D5=""LONG"", (IFERROR(INDEX(GOOGLEFINANCE($C5, ""price"", WORKDAY(INT($B5), 20)), 2, 2), """")-$G5)/$G5, ($G5-IFERROR(INDEX(GOOGLEFINANCE"&amp;"($C5, ""price"", WORKDAY(INT($B5), 20)), 2, 2), """"))/$G5))"),"")</f>
        <v/>
      </c>
      <c r="T5" s="10" t="s">
        <v>4389</v>
      </c>
      <c r="U5" s="10" t="s">
        <v>984</v>
      </c>
      <c r="V5" s="10" t="s">
        <v>933</v>
      </c>
      <c r="W5" s="10" t="s">
        <v>51</v>
      </c>
      <c r="X5" s="10" t="s">
        <v>984</v>
      </c>
    </row>
    <row r="6">
      <c r="A6" s="9">
        <f t="shared" si="1"/>
        <v>5</v>
      </c>
      <c r="B6" s="11">
        <v>46227.667395833334</v>
      </c>
      <c r="C6" s="10" t="s">
        <v>2229</v>
      </c>
      <c r="D6" s="10" t="s">
        <v>36</v>
      </c>
      <c r="E6" s="10" t="s">
        <v>37</v>
      </c>
      <c r="F6" s="13">
        <v>2.0</v>
      </c>
      <c r="G6" s="14">
        <v>119.77</v>
      </c>
      <c r="H6" s="10" t="s">
        <v>4391</v>
      </c>
      <c r="I6" s="10">
        <v>96.6</v>
      </c>
      <c r="O6" s="15">
        <f>IFERROR(__xludf.DUMMYFUNCTION("IF(ISBLANK($C6), """", GOOGLEFINANCE($C6, ""price""))"),120.76)</f>
        <v>120.76</v>
      </c>
      <c r="P6" s="16">
        <f t="shared" si="2"/>
        <v>0.008265842865</v>
      </c>
      <c r="Q6" s="16">
        <f>IFERROR(__xludf.DUMMYFUNCTION("IF(OR(ISBLANK($G6), IFERROR(INDEX(GOOGLEFINANCE($C6, ""price"", WORKDAY(INT($B6), 1)), 2, 2), """")=""""), """", IF($D6=""LONG"", (IFERROR(INDEX(GOOGLEFINANCE($C6, ""price"", WORKDAY(INT($B6), 1)), 2, 2), """")-$G6)/$G6, ($G6-IFERROR(INDEX(GOOGLEFINANCE($"&amp;"C6, ""price"", WORKDAY(INT($B6), 1)), 2, 2), """"))/$G6))"),0.003256241128830263)</f>
        <v>0.003256241129</v>
      </c>
      <c r="R6" s="16">
        <f>IFERROR(__xludf.DUMMYFUNCTION("IF(OR(ISBLANK($G6), IFERROR(INDEX(GOOGLEFINANCE($C6, ""price"", WORKDAY(INT($B6), 5)), 2, 2), """")=""""), """", IF($D6=""LONG"", (IFERROR(INDEX(GOOGLEFINANCE($C6, ""price"", WORKDAY(INT($B6), 5)), 2, 2), """")-$G6)/$G6, ($G6-IFERROR(INDEX(GOOGLEFINANCE($"&amp;"C6, ""price"", WORKDAY(INT($B6), 5)), 2, 2), """"))/$G6))"),-0.023378141437755677)</f>
        <v>-0.02337814144</v>
      </c>
      <c r="S6" s="16" t="str">
        <f>IFERROR(__xludf.DUMMYFUNCTION("IF(OR(ISBLANK($G6), IFERROR(INDEX(GOOGLEFINANCE($C6, ""price"", WORKDAY(INT($B6), 20)), 2, 2), """")=""""), """", IF($D6=""LONG"", (IFERROR(INDEX(GOOGLEFINANCE($C6, ""price"", WORKDAY(INT($B6), 20)), 2, 2), """")-$G6)/$G6, ($G6-IFERROR(INDEX(GOOGLEFINANCE"&amp;"($C6, ""price"", WORKDAY(INT($B6), 20)), 2, 2), """"))/$G6))"),"")</f>
        <v/>
      </c>
      <c r="T6" s="10" t="s">
        <v>4395</v>
      </c>
      <c r="U6" s="10" t="s">
        <v>984</v>
      </c>
      <c r="V6" s="10" t="s">
        <v>985</v>
      </c>
      <c r="W6" s="10" t="s">
        <v>51</v>
      </c>
      <c r="X6" s="10" t="s">
        <v>984</v>
      </c>
    </row>
    <row r="7">
      <c r="A7" s="9">
        <f t="shared" si="1"/>
        <v>6</v>
      </c>
      <c r="B7" s="11">
        <v>46227.66740740741</v>
      </c>
      <c r="C7" s="10" t="s">
        <v>312</v>
      </c>
      <c r="D7" s="10" t="s">
        <v>36</v>
      </c>
      <c r="E7" s="10" t="s">
        <v>37</v>
      </c>
      <c r="F7" s="13">
        <v>2.0</v>
      </c>
      <c r="G7" s="14">
        <v>14.84</v>
      </c>
      <c r="H7" s="10" t="s">
        <v>4397</v>
      </c>
      <c r="I7" s="10">
        <v>90.0</v>
      </c>
      <c r="O7" s="15">
        <f>IFERROR(__xludf.DUMMYFUNCTION("IF(ISBLANK($C7), """", GOOGLEFINANCE($C7, ""price""))"),14.7)</f>
        <v>14.7</v>
      </c>
      <c r="P7" s="16">
        <f t="shared" si="2"/>
        <v>-0.009433962264</v>
      </c>
      <c r="Q7" s="16">
        <f>IFERROR(__xludf.DUMMYFUNCTION("IF(OR(ISBLANK($G7), IFERROR(INDEX(GOOGLEFINANCE($C7, ""price"", WORKDAY(INT($B7), 1)), 2, 2), """")=""""), """", IF($D7=""LONG"", (IFERROR(INDEX(GOOGLEFINANCE($C7, ""price"", WORKDAY(INT($B7), 1)), 2, 2), """")-$G7)/$G7, ($G7-IFERROR(INDEX(GOOGLEFINANCE($"&amp;"C7, ""price"", WORKDAY(INT($B7), 1)), 2, 2), """"))/$G7))"),-6.738544474393387E-4)</f>
        <v>-0.0006738544474</v>
      </c>
      <c r="R7" s="16">
        <f>IFERROR(__xludf.DUMMYFUNCTION("IF(OR(ISBLANK($G7), IFERROR(INDEX(GOOGLEFINANCE($C7, ""price"", WORKDAY(INT($B7), 5)), 2, 2), """")=""""), """", IF($D7=""LONG"", (IFERROR(INDEX(GOOGLEFINANCE($C7, ""price"", WORKDAY(INT($B7), 5)), 2, 2), """")-$G7)/$G7, ($G7-IFERROR(INDEX(GOOGLEFINANCE($"&amp;"C7, ""price"", WORKDAY(INT($B7), 5)), 2, 2), """"))/$G7))"),-0.010781671159029659)</f>
        <v>-0.01078167116</v>
      </c>
      <c r="S7" s="16" t="str">
        <f>IFERROR(__xludf.DUMMYFUNCTION("IF(OR(ISBLANK($G7), IFERROR(INDEX(GOOGLEFINANCE($C7, ""price"", WORKDAY(INT($B7), 20)), 2, 2), """")=""""), """", IF($D7=""LONG"", (IFERROR(INDEX(GOOGLEFINANCE($C7, ""price"", WORKDAY(INT($B7), 20)), 2, 2), """")-$G7)/$G7, ($G7-IFERROR(INDEX(GOOGLEFINANCE"&amp;"($C7, ""price"", WORKDAY(INT($B7), 20)), 2, 2), """"))/$G7))"),"")</f>
        <v/>
      </c>
      <c r="T7" s="10" t="s">
        <v>4400</v>
      </c>
      <c r="U7" s="10" t="s">
        <v>984</v>
      </c>
      <c r="V7" s="10" t="s">
        <v>998</v>
      </c>
      <c r="W7" s="10" t="s">
        <v>51</v>
      </c>
      <c r="X7" s="10" t="s">
        <v>984</v>
      </c>
    </row>
    <row r="8">
      <c r="A8" s="9">
        <f t="shared" si="1"/>
        <v>7</v>
      </c>
      <c r="B8" s="11">
        <v>46227.66743055556</v>
      </c>
      <c r="C8" s="10" t="s">
        <v>104</v>
      </c>
      <c r="D8" s="10" t="s">
        <v>36</v>
      </c>
      <c r="E8" s="10" t="s">
        <v>37</v>
      </c>
      <c r="F8" s="13">
        <v>2.0</v>
      </c>
      <c r="G8" s="14">
        <v>117.2</v>
      </c>
      <c r="H8" s="10" t="s">
        <v>4402</v>
      </c>
      <c r="I8" s="10">
        <v>95.8</v>
      </c>
      <c r="O8" s="15">
        <f>IFERROR(__xludf.DUMMYFUNCTION("IF(ISBLANK($C8), """", GOOGLEFINANCE($C8, ""price""))"),127.45)</f>
        <v>127.45</v>
      </c>
      <c r="P8" s="16">
        <f t="shared" si="2"/>
        <v>0.08745733788</v>
      </c>
      <c r="Q8" s="16">
        <f>IFERROR(__xludf.DUMMYFUNCTION("IF(OR(ISBLANK($G8), IFERROR(INDEX(GOOGLEFINANCE($C8, ""price"", WORKDAY(INT($B8), 1)), 2, 2), """")=""""), """", IF($D8=""LONG"", (IFERROR(INDEX(GOOGLEFINANCE($C8, ""price"", WORKDAY(INT($B8), 1)), 2, 2), """")-$G8)/$G8, ($G8-IFERROR(INDEX(GOOGLEFINANCE($"&amp;"C8, ""price"", WORKDAY(INT($B8), 1)), 2, 2), """"))/$G8))"),0.05136518771331054)</f>
        <v>0.05136518771</v>
      </c>
      <c r="R8" s="16">
        <f>IFERROR(__xludf.DUMMYFUNCTION("IF(OR(ISBLANK($G8), IFERROR(INDEX(GOOGLEFINANCE($C8, ""price"", WORKDAY(INT($B8), 5)), 2, 2), """")=""""), """", IF($D8=""LONG"", (IFERROR(INDEX(GOOGLEFINANCE($C8, ""price"", WORKDAY(INT($B8), 5)), 2, 2), """")-$G8)/$G8, ($G8-IFERROR(INDEX(GOOGLEFINANCE($"&amp;"C8, ""price"", WORKDAY(INT($B8), 5)), 2, 2), """"))/$G8))"),0.08404436860068254)</f>
        <v>0.0840443686</v>
      </c>
      <c r="S8" s="16" t="str">
        <f>IFERROR(__xludf.DUMMYFUNCTION("IF(OR(ISBLANK($G8), IFERROR(INDEX(GOOGLEFINANCE($C8, ""price"", WORKDAY(INT($B8), 20)), 2, 2), """")=""""), """", IF($D8=""LONG"", (IFERROR(INDEX(GOOGLEFINANCE($C8, ""price"", WORKDAY(INT($B8), 20)), 2, 2), """")-$G8)/$G8, ($G8-IFERROR(INDEX(GOOGLEFINANCE"&amp;"($C8, ""price"", WORKDAY(INT($B8), 20)), 2, 2), """"))/$G8))"),"")</f>
        <v/>
      </c>
      <c r="T8" s="10" t="s">
        <v>4404</v>
      </c>
      <c r="U8" s="10" t="s">
        <v>984</v>
      </c>
      <c r="V8" s="10" t="s">
        <v>985</v>
      </c>
      <c r="W8" s="10" t="s">
        <v>51</v>
      </c>
      <c r="X8" s="10" t="s">
        <v>984</v>
      </c>
    </row>
    <row r="9">
      <c r="A9" s="9">
        <f t="shared" si="1"/>
        <v>8</v>
      </c>
      <c r="B9" s="11">
        <v>46227.66740740741</v>
      </c>
      <c r="C9" s="10" t="s">
        <v>98</v>
      </c>
      <c r="D9" s="10" t="s">
        <v>36</v>
      </c>
      <c r="E9" s="10" t="s">
        <v>37</v>
      </c>
      <c r="F9" s="13">
        <v>2.0</v>
      </c>
      <c r="G9" s="14">
        <v>30.85</v>
      </c>
      <c r="H9" s="10" t="s">
        <v>4406</v>
      </c>
      <c r="I9" s="10">
        <v>89.0</v>
      </c>
      <c r="O9" s="15">
        <f>IFERROR(__xludf.DUMMYFUNCTION("IF(ISBLANK($C9), """", GOOGLEFINANCE($C9, ""price""))"),31.39)</f>
        <v>31.39</v>
      </c>
      <c r="P9" s="16">
        <f t="shared" si="2"/>
        <v>0.01750405186</v>
      </c>
      <c r="Q9" s="16">
        <f>IFERROR(__xludf.DUMMYFUNCTION("IF(OR(ISBLANK($G9), IFERROR(INDEX(GOOGLEFINANCE($C9, ""price"", WORKDAY(INT($B9), 1)), 2, 2), """")=""""), """", IF($D9=""LONG"", (IFERROR(INDEX(GOOGLEFINANCE($C9, ""price"", WORKDAY(INT($B9), 1)), 2, 2), """")-$G9)/$G9, ($G9-IFERROR(INDEX(GOOGLEFINANCE($"&amp;"C9, ""price"", WORKDAY(INT($B9), 1)), 2, 2), """"))/$G9))"),-0.0035656401944895617)</f>
        <v>-0.003565640194</v>
      </c>
      <c r="R9" s="16">
        <f>IFERROR(__xludf.DUMMYFUNCTION("IF(OR(ISBLANK($G9), IFERROR(INDEX(GOOGLEFINANCE($C9, ""price"", WORKDAY(INT($B9), 5)), 2, 2), """")=""""), """", IF($D9=""LONG"", (IFERROR(INDEX(GOOGLEFINANCE($C9, ""price"", WORKDAY(INT($B9), 5)), 2, 2), """")-$G9)/$G9, ($G9-IFERROR(INDEX(GOOGLEFINANCE($"&amp;"C9, ""price"", WORKDAY(INT($B9), 5)), 2, 2), """"))/$G9))"),0.0032414910858994447)</f>
        <v>0.003241491086</v>
      </c>
      <c r="S9" s="16" t="str">
        <f>IFERROR(__xludf.DUMMYFUNCTION("IF(OR(ISBLANK($G9), IFERROR(INDEX(GOOGLEFINANCE($C9, ""price"", WORKDAY(INT($B9), 20)), 2, 2), """")=""""), """", IF($D9=""LONG"", (IFERROR(INDEX(GOOGLEFINANCE($C9, ""price"", WORKDAY(INT($B9), 20)), 2, 2), """")-$G9)/$G9, ($G9-IFERROR(INDEX(GOOGLEFINANCE"&amp;"($C9, ""price"", WORKDAY(INT($B9), 20)), 2, 2), """"))/$G9))"),"")</f>
        <v/>
      </c>
      <c r="T9" s="10" t="s">
        <v>4409</v>
      </c>
      <c r="U9" s="10" t="s">
        <v>984</v>
      </c>
      <c r="V9" s="10" t="s">
        <v>933</v>
      </c>
      <c r="W9" s="10" t="s">
        <v>51</v>
      </c>
      <c r="X9" s="10" t="s">
        <v>984</v>
      </c>
    </row>
    <row r="10">
      <c r="A10" s="9">
        <f t="shared" si="1"/>
        <v>9</v>
      </c>
      <c r="B10" s="11">
        <v>46227.66741898148</v>
      </c>
      <c r="C10" s="10" t="s">
        <v>66</v>
      </c>
      <c r="D10" s="10" t="s">
        <v>36</v>
      </c>
      <c r="E10" s="10" t="s">
        <v>37</v>
      </c>
      <c r="F10" s="13">
        <v>2.0</v>
      </c>
      <c r="G10" s="14">
        <v>276.76</v>
      </c>
      <c r="H10" s="10" t="s">
        <v>4410</v>
      </c>
      <c r="I10" s="10">
        <v>85.4</v>
      </c>
      <c r="O10" s="15">
        <f>IFERROR(__xludf.DUMMYFUNCTION("IF(ISBLANK($C10), """", GOOGLEFINANCE($C10, ""price""))"),296.4)</f>
        <v>296.4</v>
      </c>
      <c r="P10" s="16">
        <f t="shared" si="2"/>
        <v>0.07096401214</v>
      </c>
      <c r="Q10" s="16">
        <f>IFERROR(__xludf.DUMMYFUNCTION("IF(OR(ISBLANK($G10), IFERROR(INDEX(GOOGLEFINANCE($C10, ""price"", WORKDAY(INT($B10), 1)), 2, 2), """")=""""), """", IF($D10=""LONG"", (IFERROR(INDEX(GOOGLEFINANCE($C10, ""price"", WORKDAY(INT($B10), 1)), 2, 2), """")-$G10)/$G10, ($G10-IFERROR(INDEX(GOOGLE"&amp;"FINANCE($C10, ""price"", WORKDAY(INT($B10), 1)), 2, 2), """"))/$G10))"),3.974562798092703E-4)</f>
        <v>0.0003974562798</v>
      </c>
      <c r="R10" s="16">
        <f>IFERROR(__xludf.DUMMYFUNCTION("IF(OR(ISBLANK($G10), IFERROR(INDEX(GOOGLEFINANCE($C10, ""price"", WORKDAY(INT($B10), 5)), 2, 2), """")=""""), """", IF($D10=""LONG"", (IFERROR(INDEX(GOOGLEFINANCE($C10, ""price"", WORKDAY(INT($B10), 5)), 2, 2), """")-$G10)/$G10, ($G10-IFERROR(INDEX(GOOGLE"&amp;"FINANCE($C10, ""price"", WORKDAY(INT($B10), 5)), 2, 2), """"))/$G10))"),0.008780170544876452)</f>
        <v>0.008780170545</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4413</v>
      </c>
      <c r="U10" s="10" t="s">
        <v>984</v>
      </c>
      <c r="V10" s="10" t="s">
        <v>998</v>
      </c>
      <c r="W10" s="10" t="s">
        <v>51</v>
      </c>
      <c r="X10" s="10" t="s">
        <v>984</v>
      </c>
    </row>
    <row r="11">
      <c r="A11" s="9">
        <f t="shared" si="1"/>
        <v>10</v>
      </c>
      <c r="B11" s="11">
        <v>46227.66744212963</v>
      </c>
      <c r="C11" s="10" t="s">
        <v>1555</v>
      </c>
      <c r="D11" s="10" t="s">
        <v>36</v>
      </c>
      <c r="E11" s="10" t="s">
        <v>37</v>
      </c>
      <c r="F11" s="13">
        <v>2.0</v>
      </c>
      <c r="G11" s="14">
        <v>385.15</v>
      </c>
      <c r="H11" s="10" t="s">
        <v>4414</v>
      </c>
      <c r="I11" s="10">
        <v>89.9</v>
      </c>
      <c r="L11" s="10" t="s">
        <v>4415</v>
      </c>
      <c r="M11" s="34" t="s">
        <v>2106</v>
      </c>
      <c r="N11" s="10" t="s">
        <v>925</v>
      </c>
      <c r="O11" s="15">
        <f>IFERROR(__xludf.DUMMYFUNCTION("IF(ISBLANK($C11), """", GOOGLEFINANCE($C11, ""price""))"),370.35)</f>
        <v>370.35</v>
      </c>
      <c r="P11" s="16">
        <f t="shared" si="2"/>
        <v>-0.03842658704</v>
      </c>
      <c r="Q11" s="16">
        <f>IFERROR(__xludf.DUMMYFUNCTION("IF(OR(ISBLANK($G11), IFERROR(INDEX(GOOGLEFINANCE($C11, ""price"", WORKDAY(INT($B11), 1)), 2, 2), """")=""""), """", IF($D11=""LONG"", (IFERROR(INDEX(GOOGLEFINANCE($C11, ""price"", WORKDAY(INT($B11), 1)), 2, 2), """")-$G11)/$G11, ($G11-IFERROR(INDEX(GOOGLE"&amp;"FINANCE($C11, ""price"", WORKDAY(INT($B11), 1)), 2, 2), """"))/$G11))"),0.010878878359080872)</f>
        <v>0.01087887836</v>
      </c>
      <c r="R11" s="16">
        <f>IFERROR(__xludf.DUMMYFUNCTION("IF(OR(ISBLANK($G11), IFERROR(INDEX(GOOGLEFINANCE($C11, ""price"", WORKDAY(INT($B11), 5)), 2, 2), """")=""""), """", IF($D11=""LONG"", (IFERROR(INDEX(GOOGLEFINANCE($C11, ""price"", WORKDAY(INT($B11), 5)), 2, 2), """")-$G11)/$G11, ($G11-IFERROR(INDEX(GOOGLE"&amp;"FINANCE($C11, ""price"", WORKDAY(INT($B11), 5)), 2, 2), """"))/$G11))"),-0.028560301181357915)</f>
        <v>-0.02856030118</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4419</v>
      </c>
      <c r="U11" s="10" t="s">
        <v>704</v>
      </c>
      <c r="V11" s="10" t="s">
        <v>4420</v>
      </c>
      <c r="W11" s="10" t="s">
        <v>51</v>
      </c>
      <c r="X11" s="10" t="s">
        <v>1885</v>
      </c>
    </row>
    <row r="12">
      <c r="A12" s="9">
        <f t="shared" si="1"/>
        <v>11</v>
      </c>
      <c r="B12" s="11">
        <v>46227.6674537037</v>
      </c>
      <c r="C12" s="10" t="s">
        <v>707</v>
      </c>
      <c r="D12" s="10" t="s">
        <v>36</v>
      </c>
      <c r="E12" s="10" t="s">
        <v>37</v>
      </c>
      <c r="F12" s="13">
        <v>2.0</v>
      </c>
      <c r="G12" s="14">
        <v>113.0</v>
      </c>
      <c r="H12" s="10" t="s">
        <v>4421</v>
      </c>
      <c r="I12" s="10">
        <v>92.7</v>
      </c>
      <c r="O12" s="15">
        <f>IFERROR(__xludf.DUMMYFUNCTION("IF(ISBLANK($C12), """", GOOGLEFINANCE($C12, ""price""))"),108.95)</f>
        <v>108.95</v>
      </c>
      <c r="P12" s="16">
        <f t="shared" si="2"/>
        <v>-0.03584070796</v>
      </c>
      <c r="Q12" s="16">
        <f>IFERROR(__xludf.DUMMYFUNCTION("IF(OR(ISBLANK($G12), IFERROR(INDEX(GOOGLEFINANCE($C12, ""price"", WORKDAY(INT($B12), 1)), 2, 2), """")=""""), """", IF($D12=""LONG"", (IFERROR(INDEX(GOOGLEFINANCE($C12, ""price"", WORKDAY(INT($B12), 1)), 2, 2), """")-$G12)/$G12, ($G12-IFERROR(INDEX(GOOGLE"&amp;"FINANCE($C12, ""price"", WORKDAY(INT($B12), 1)), 2, 2), """"))/$G12))"),-0.01327433628318584)</f>
        <v>-0.01327433628</v>
      </c>
      <c r="R12" s="16">
        <f>IFERROR(__xludf.DUMMYFUNCTION("IF(OR(ISBLANK($G12), IFERROR(INDEX(GOOGLEFINANCE($C12, ""price"", WORKDAY(INT($B12), 5)), 2, 2), """")=""""), """", IF($D12=""LONG"", (IFERROR(INDEX(GOOGLEFINANCE($C12, ""price"", WORKDAY(INT($B12), 5)), 2, 2), """")-$G12)/$G12, ($G12-IFERROR(INDEX(GOOGLE"&amp;"FINANCE($C12, ""price"", WORKDAY(INT($B12), 5)), 2, 2), """"))/$G12))"),-0.03672566371681421)</f>
        <v>-0.03672566372</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4424</v>
      </c>
      <c r="U12" s="10" t="s">
        <v>984</v>
      </c>
      <c r="V12" s="10" t="s">
        <v>933</v>
      </c>
      <c r="W12" s="10" t="s">
        <v>51</v>
      </c>
      <c r="X12" s="10" t="s">
        <v>984</v>
      </c>
    </row>
    <row r="13">
      <c r="A13" s="9">
        <f t="shared" si="1"/>
        <v>12</v>
      </c>
      <c r="B13" s="11">
        <v>46227.6674537037</v>
      </c>
      <c r="C13" s="10" t="s">
        <v>2692</v>
      </c>
      <c r="D13" s="10" t="s">
        <v>36</v>
      </c>
      <c r="E13" s="10" t="s">
        <v>37</v>
      </c>
      <c r="F13" s="13">
        <v>2.0</v>
      </c>
      <c r="G13" s="14">
        <v>65.6</v>
      </c>
      <c r="H13" s="10" t="s">
        <v>4425</v>
      </c>
      <c r="I13" s="10">
        <v>91.9</v>
      </c>
      <c r="O13" s="15">
        <f>IFERROR(__xludf.DUMMYFUNCTION("IF(ISBLANK($C13), """", GOOGLEFINANCE($C13, ""price""))"),62.36)</f>
        <v>62.36</v>
      </c>
      <c r="P13" s="16">
        <f t="shared" si="2"/>
        <v>-0.0493902439</v>
      </c>
      <c r="Q13" s="16">
        <f>IFERROR(__xludf.DUMMYFUNCTION("IF(OR(ISBLANK($G13), IFERROR(INDEX(GOOGLEFINANCE($C13, ""price"", WORKDAY(INT($B13), 1)), 2, 2), """")=""""), """", IF($D13=""LONG"", (IFERROR(INDEX(GOOGLEFINANCE($C13, ""price"", WORKDAY(INT($B13), 1)), 2, 2), """")-$G13)/$G13, ($G13-IFERROR(INDEX(GOOGLE"&amp;"FINANCE($C13, ""price"", WORKDAY(INT($B13), 1)), 2, 2), """"))/$G13))"),-0.0015243902439023526)</f>
        <v>-0.001524390244</v>
      </c>
      <c r="R13" s="16">
        <f>IFERROR(__xludf.DUMMYFUNCTION("IF(OR(ISBLANK($G13), IFERROR(INDEX(GOOGLEFINANCE($C13, ""price"", WORKDAY(INT($B13), 5)), 2, 2), """")=""""), """", IF($D13=""LONG"", (IFERROR(INDEX(GOOGLEFINANCE($C13, ""price"", WORKDAY(INT($B13), 5)), 2, 2), """")-$G13)/$G13, ($G13-IFERROR(INDEX(GOOGLE"&amp;"FINANCE($C13, ""price"", WORKDAY(INT($B13), 5)), 2, 2), """"))/$G13))"),-0.02637195121951215)</f>
        <v>-0.02637195122</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4429</v>
      </c>
      <c r="U13" s="10" t="s">
        <v>984</v>
      </c>
      <c r="V13" s="10" t="s">
        <v>2785</v>
      </c>
      <c r="W13" s="10" t="s">
        <v>51</v>
      </c>
      <c r="X13" s="10" t="s">
        <v>984</v>
      </c>
    </row>
    <row r="14">
      <c r="A14" s="9">
        <f t="shared" si="1"/>
        <v>13</v>
      </c>
      <c r="B14" s="11">
        <v>46227.66748842593</v>
      </c>
      <c r="C14" s="10" t="s">
        <v>158</v>
      </c>
      <c r="D14" s="10" t="s">
        <v>36</v>
      </c>
      <c r="E14" s="10" t="s">
        <v>37</v>
      </c>
      <c r="F14" s="13">
        <v>2.0</v>
      </c>
      <c r="G14" s="14">
        <v>74.92</v>
      </c>
      <c r="H14" s="10" t="s">
        <v>4431</v>
      </c>
      <c r="I14" s="10">
        <v>91.1</v>
      </c>
      <c r="O14" s="15">
        <f>IFERROR(__xludf.DUMMYFUNCTION("IF(ISBLANK($C14), """", GOOGLEFINANCE($C14, ""price""))"),72.06)</f>
        <v>72.06</v>
      </c>
      <c r="P14" s="16">
        <f t="shared" si="2"/>
        <v>-0.03817405232</v>
      </c>
      <c r="Q14" s="16">
        <f>IFERROR(__xludf.DUMMYFUNCTION("IF(OR(ISBLANK($G14), IFERROR(INDEX(GOOGLEFINANCE($C14, ""price"", WORKDAY(INT($B14), 1)), 2, 2), """")=""""), """", IF($D14=""LONG"", (IFERROR(INDEX(GOOGLEFINANCE($C14, ""price"", WORKDAY(INT($B14), 1)), 2, 2), """")-$G14)/$G14, ($G14-IFERROR(INDEX(GOOGLE"&amp;"FINANCE($C14, ""price"", WORKDAY(INT($B14), 1)), 2, 2), """"))/$G14))"),-0.003069941270688788)</f>
        <v>-0.003069941271</v>
      </c>
      <c r="R14" s="16">
        <f>IFERROR(__xludf.DUMMYFUNCTION("IF(OR(ISBLANK($G14), IFERROR(INDEX(GOOGLEFINANCE($C14, ""price"", WORKDAY(INT($B14), 5)), 2, 2), """")=""""), """", IF($D14=""LONG"", (IFERROR(INDEX(GOOGLEFINANCE($C14, ""price"", WORKDAY(INT($B14), 5)), 2, 2), """")-$G14)/$G14, ($G14-IFERROR(INDEX(GOOGLE"&amp;"FINANCE($C14, ""price"", WORKDAY(INT($B14), 5)), 2, 2), """"))/$G14))"),-0.044447410571276005)</f>
        <v>-0.04444741057</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4434</v>
      </c>
      <c r="U14" s="10" t="s">
        <v>615</v>
      </c>
      <c r="V14" s="10" t="s">
        <v>4435</v>
      </c>
      <c r="W14" s="10" t="s">
        <v>51</v>
      </c>
      <c r="X14" s="10" t="s">
        <v>2637</v>
      </c>
    </row>
    <row r="15">
      <c r="A15" s="9">
        <f t="shared" si="1"/>
        <v>14</v>
      </c>
      <c r="B15" s="11">
        <v>46227.66748842593</v>
      </c>
      <c r="C15" s="10" t="s">
        <v>3904</v>
      </c>
      <c r="D15" s="10" t="s">
        <v>36</v>
      </c>
      <c r="E15" s="10" t="s">
        <v>37</v>
      </c>
      <c r="F15" s="13">
        <v>2.0</v>
      </c>
      <c r="G15" s="14">
        <v>471.43</v>
      </c>
      <c r="H15" s="10" t="s">
        <v>4436</v>
      </c>
      <c r="I15" s="10">
        <v>93.0</v>
      </c>
      <c r="L15" s="10" t="s">
        <v>4438</v>
      </c>
      <c r="M15" s="34" t="s">
        <v>2106</v>
      </c>
      <c r="N15" s="10" t="s">
        <v>4439</v>
      </c>
      <c r="O15" s="15">
        <f>IFERROR(__xludf.DUMMYFUNCTION("IF(ISBLANK($C15), """", GOOGLEFINANCE($C15, ""price""))"),473.13)</f>
        <v>473.13</v>
      </c>
      <c r="P15" s="16">
        <f t="shared" si="2"/>
        <v>0.003606049679</v>
      </c>
      <c r="Q15" s="16">
        <f>IFERROR(__xludf.DUMMYFUNCTION("IF(OR(ISBLANK($G15), IFERROR(INDEX(GOOGLEFINANCE($C15, ""price"", WORKDAY(INT($B15), 1)), 2, 2), """")=""""), """", IF($D15=""LONG"", (IFERROR(INDEX(GOOGLEFINANCE($C15, ""price"", WORKDAY(INT($B15), 1)), 2, 2), """")-$G15)/$G15, ($G15-IFERROR(INDEX(GOOGLE"&amp;"FINANCE($C15, ""price"", WORKDAY(INT($B15), 1)), 2, 2), """"))/$G15))"),0.030821118723882598)</f>
        <v>0.03082111872</v>
      </c>
      <c r="R15" s="16">
        <f>IFERROR(__xludf.DUMMYFUNCTION("IF(OR(ISBLANK($G15), IFERROR(INDEX(GOOGLEFINANCE($C15, ""price"", WORKDAY(INT($B15), 5)), 2, 2), """")=""""), """", IF($D15=""LONG"", (IFERROR(INDEX(GOOGLEFINANCE($C15, ""price"", WORKDAY(INT($B15), 5)), 2, 2), """")-$G15)/$G15, ($G15-IFERROR(INDEX(GOOGLE"&amp;"FINANCE($C15, ""price"", WORKDAY(INT($B15), 5)), 2, 2), """"))/$G15))"),0.014742379568546737)</f>
        <v>0.01474237957</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4441</v>
      </c>
      <c r="U15" s="10" t="s">
        <v>240</v>
      </c>
      <c r="V15" s="10" t="s">
        <v>4442</v>
      </c>
      <c r="W15" s="10" t="s">
        <v>51</v>
      </c>
      <c r="X15" s="10" t="s">
        <v>1905</v>
      </c>
    </row>
    <row r="16">
      <c r="A16" s="9">
        <f t="shared" si="1"/>
        <v>15</v>
      </c>
      <c r="B16" s="11">
        <v>46227.6675</v>
      </c>
      <c r="C16" s="10" t="s">
        <v>342</v>
      </c>
      <c r="D16" s="10" t="s">
        <v>36</v>
      </c>
      <c r="E16" s="10" t="s">
        <v>37</v>
      </c>
      <c r="F16" s="13">
        <v>2.0</v>
      </c>
      <c r="G16" s="14">
        <v>62.05</v>
      </c>
      <c r="H16" s="10" t="s">
        <v>3672</v>
      </c>
      <c r="I16" s="10">
        <v>90.0</v>
      </c>
      <c r="O16" s="15">
        <f>IFERROR(__xludf.DUMMYFUNCTION("IF(ISBLANK($C16), """", GOOGLEFINANCE($C16, ""price""))"),63.0)</f>
        <v>63</v>
      </c>
      <c r="P16" s="16">
        <f t="shared" si="2"/>
        <v>0.01531023368</v>
      </c>
      <c r="Q16" s="16">
        <f>IFERROR(__xludf.DUMMYFUNCTION("IF(OR(ISBLANK($G16), IFERROR(INDEX(GOOGLEFINANCE($C16, ""price"", WORKDAY(INT($B16), 1)), 2, 2), """")=""""), """", IF($D16=""LONG"", (IFERROR(INDEX(GOOGLEFINANCE($C16, ""price"", WORKDAY(INT($B16), 1)), 2, 2), """")-$G16)/$G16, ($G16-IFERROR(INDEX(GOOGLE"&amp;"FINANCE($C16, ""price"", WORKDAY(INT($B16), 1)), 2, 2), """"))/$G16))"),0.0012892828364223271)</f>
        <v>0.001289282836</v>
      </c>
      <c r="R16" s="16">
        <f>IFERROR(__xludf.DUMMYFUNCTION("IF(OR(ISBLANK($G16), IFERROR(INDEX(GOOGLEFINANCE($C16, ""price"", WORKDAY(INT($B16), 5)), 2, 2), """")=""""), """", IF($D16=""LONG"", (IFERROR(INDEX(GOOGLEFINANCE($C16, ""price"", WORKDAY(INT($B16), 5)), 2, 2), """")-$G16)/$G16, ($G16-IFERROR(INDEX(GOOGLE"&amp;"FINANCE($C16, ""price"", WORKDAY(INT($B16), 5)), 2, 2), """"))/$G16))"),-0.0016116035455277086)</f>
        <v>-0.001611603546</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4445</v>
      </c>
      <c r="U16" s="10" t="s">
        <v>984</v>
      </c>
      <c r="V16" s="10" t="s">
        <v>2785</v>
      </c>
      <c r="W16" s="10" t="s">
        <v>51</v>
      </c>
      <c r="X16" s="10" t="s">
        <v>984</v>
      </c>
    </row>
    <row r="17">
      <c r="A17" s="9">
        <f t="shared" si="1"/>
        <v>16</v>
      </c>
      <c r="B17" s="11">
        <v>46227.66748842593</v>
      </c>
      <c r="C17" s="10" t="s">
        <v>248</v>
      </c>
      <c r="D17" s="10" t="s">
        <v>36</v>
      </c>
      <c r="E17" s="10" t="s">
        <v>37</v>
      </c>
      <c r="F17" s="13">
        <v>2.0</v>
      </c>
      <c r="G17" s="14">
        <v>71.88</v>
      </c>
      <c r="H17" s="10" t="s">
        <v>4449</v>
      </c>
      <c r="I17" s="10">
        <v>89.0</v>
      </c>
      <c r="O17" s="15">
        <f>IFERROR(__xludf.DUMMYFUNCTION("IF(ISBLANK($C17), """", GOOGLEFINANCE($C17, ""price""))"),72.43)</f>
        <v>72.43</v>
      </c>
      <c r="P17" s="16">
        <f t="shared" si="2"/>
        <v>0.007651641625</v>
      </c>
      <c r="Q17" s="16">
        <f>IFERROR(__xludf.DUMMYFUNCTION("IF(OR(ISBLANK($G17), IFERROR(INDEX(GOOGLEFINANCE($C17, ""price"", WORKDAY(INT($B17), 1)), 2, 2), """")=""""), """", IF($D17=""LONG"", (IFERROR(INDEX(GOOGLEFINANCE($C17, ""price"", WORKDAY(INT($B17), 1)), 2, 2), """")-$G17)/$G17, ($G17-IFERROR(INDEX(GOOGLE"&amp;"FINANCE($C17, ""price"", WORKDAY(INT($B17), 1)), 2, 2), """"))/$G17))"),-0.01085141903171955)</f>
        <v>-0.01085141903</v>
      </c>
      <c r="R17" s="16">
        <f>IFERROR(__xludf.DUMMYFUNCTION("IF(OR(ISBLANK($G17), IFERROR(INDEX(GOOGLEFINANCE($C17, ""price"", WORKDAY(INT($B17), 5)), 2, 2), """")=""""), """", IF($D17=""LONG"", (IFERROR(INDEX(GOOGLEFINANCE($C17, ""price"", WORKDAY(INT($B17), 5)), 2, 2), """")-$G17)/$G17, ($G17-IFERROR(INDEX(GOOGLE"&amp;"FINANCE($C17, ""price"", WORKDAY(INT($B17), 5)), 2, 2), """"))/$G17))"),-0.0031997774067889506)</f>
        <v>-0.003199777407</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4451</v>
      </c>
      <c r="U17" s="10" t="s">
        <v>240</v>
      </c>
      <c r="V17" s="10" t="s">
        <v>4452</v>
      </c>
      <c r="W17" s="10" t="s">
        <v>51</v>
      </c>
      <c r="X17" s="10" t="s">
        <v>1905</v>
      </c>
    </row>
    <row r="18">
      <c r="A18" s="9">
        <f t="shared" si="1"/>
        <v>17</v>
      </c>
      <c r="B18" s="11">
        <v>46227.6675</v>
      </c>
      <c r="C18" s="10" t="s">
        <v>3081</v>
      </c>
      <c r="D18" s="10" t="s">
        <v>36</v>
      </c>
      <c r="E18" s="10" t="s">
        <v>37</v>
      </c>
      <c r="F18" s="13">
        <v>2.0</v>
      </c>
      <c r="G18" s="14">
        <v>17.86</v>
      </c>
      <c r="H18" s="10" t="s">
        <v>4453</v>
      </c>
      <c r="I18" s="10">
        <v>89.4</v>
      </c>
      <c r="O18" s="15">
        <f>IFERROR(__xludf.DUMMYFUNCTION("IF(ISBLANK($C18), """", GOOGLEFINANCE($C18, ""price""))"),17.0)</f>
        <v>17</v>
      </c>
      <c r="P18" s="16">
        <f t="shared" si="2"/>
        <v>-0.04815229563</v>
      </c>
      <c r="Q18" s="16">
        <f>IFERROR(__xludf.DUMMYFUNCTION("IF(OR(ISBLANK($G18), IFERROR(INDEX(GOOGLEFINANCE($C18, ""price"", WORKDAY(INT($B18), 1)), 2, 2), """")=""""), """", IF($D18=""LONG"", (IFERROR(INDEX(GOOGLEFINANCE($C18, ""price"", WORKDAY(INT($B18), 1)), 2, 2), """")-$G18)/$G18, ($G18-IFERROR(INDEX(GOOGLE"&amp;"FINANCE($C18, ""price"", WORKDAY(INT($B18), 1)), 2, 2), """"))/$G18))"),-0.014557670772676262)</f>
        <v>-0.01455767077</v>
      </c>
      <c r="R18" s="16">
        <f>IFERROR(__xludf.DUMMYFUNCTION("IF(OR(ISBLANK($G18), IFERROR(INDEX(GOOGLEFINANCE($C18, ""price"", WORKDAY(INT($B18), 5)), 2, 2), """")=""""), """", IF($D18=""LONG"", (IFERROR(INDEX(GOOGLEFINANCE($C18, ""price"", WORKDAY(INT($B18), 5)), 2, 2), """")-$G18)/$G18, ($G18-IFERROR(INDEX(GOOGLE"&amp;"FINANCE($C18, ""price"", WORKDAY(INT($B18), 5)), 2, 2), """"))/$G18))"),-0.026875699888017943)</f>
        <v>-0.02687569989</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4457</v>
      </c>
      <c r="U18" s="10" t="s">
        <v>984</v>
      </c>
      <c r="V18" s="10" t="s">
        <v>2714</v>
      </c>
      <c r="W18" s="10" t="s">
        <v>51</v>
      </c>
      <c r="X18" s="10" t="s">
        <v>984</v>
      </c>
    </row>
    <row r="19">
      <c r="A19" s="9">
        <f t="shared" si="1"/>
        <v>18</v>
      </c>
      <c r="B19" s="11">
        <v>46227.66752314815</v>
      </c>
      <c r="C19" s="10" t="s">
        <v>434</v>
      </c>
      <c r="D19" s="10" t="s">
        <v>36</v>
      </c>
      <c r="E19" s="10" t="s">
        <v>37</v>
      </c>
      <c r="F19" s="13">
        <v>2.0</v>
      </c>
      <c r="G19" s="14">
        <v>110.46</v>
      </c>
      <c r="H19" s="10" t="s">
        <v>4458</v>
      </c>
      <c r="I19" s="10">
        <v>92.3</v>
      </c>
      <c r="L19" s="10" t="s">
        <v>4459</v>
      </c>
      <c r="M19" s="34" t="s">
        <v>2106</v>
      </c>
      <c r="N19" s="10" t="s">
        <v>4460</v>
      </c>
      <c r="O19" s="15">
        <f>IFERROR(__xludf.DUMMYFUNCTION("IF(ISBLANK($C19), """", GOOGLEFINANCE($C19, ""price""))"),114.24)</f>
        <v>114.24</v>
      </c>
      <c r="P19" s="16">
        <f t="shared" si="2"/>
        <v>0.03422053232</v>
      </c>
      <c r="Q19" s="16">
        <f>IFERROR(__xludf.DUMMYFUNCTION("IF(OR(ISBLANK($G19), IFERROR(INDEX(GOOGLEFINANCE($C19, ""price"", WORKDAY(INT($B19), 1)), 2, 2), """")=""""), """", IF($D19=""LONG"", (IFERROR(INDEX(GOOGLEFINANCE($C19, ""price"", WORKDAY(INT($B19), 1)), 2, 2), """")-$G19)/$G19, ($G19-IFERROR(INDEX(GOOGLE"&amp;"FINANCE($C19, ""price"", WORKDAY(INT($B19), 1)), 2, 2), """"))/$G19))"),-0.02163679159876879)</f>
        <v>-0.0216367916</v>
      </c>
      <c r="R19" s="16">
        <f>IFERROR(__xludf.DUMMYFUNCTION("IF(OR(ISBLANK($G19), IFERROR(INDEX(GOOGLEFINANCE($C19, ""price"", WORKDAY(INT($B19), 5)), 2, 2), """")=""""), """", IF($D19=""LONG"", (IFERROR(INDEX(GOOGLEFINANCE($C19, ""price"", WORKDAY(INT($B19), 5)), 2, 2), """")-$G19)/$G19, ($G19-IFERROR(INDEX(GOOGLE"&amp;"FINANCE($C19, ""price"", WORKDAY(INT($B19), 5)), 2, 2), """"))/$G19))"),0.01864928480898065)</f>
        <v>0.01864928481</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4466</v>
      </c>
      <c r="U19" s="10" t="s">
        <v>240</v>
      </c>
      <c r="V19" s="10" t="s">
        <v>4467</v>
      </c>
      <c r="W19" s="10" t="s">
        <v>51</v>
      </c>
      <c r="X19" s="10" t="s">
        <v>1905</v>
      </c>
    </row>
    <row r="20">
      <c r="A20" s="9">
        <f t="shared" si="1"/>
        <v>19</v>
      </c>
      <c r="B20" s="11">
        <v>46227.66753472222</v>
      </c>
      <c r="C20" s="10" t="s">
        <v>108</v>
      </c>
      <c r="D20" s="10" t="s">
        <v>36</v>
      </c>
      <c r="E20" s="10" t="s">
        <v>37</v>
      </c>
      <c r="F20" s="13">
        <v>2.0</v>
      </c>
      <c r="G20" s="14">
        <v>120.46</v>
      </c>
      <c r="H20" s="10" t="s">
        <v>4468</v>
      </c>
      <c r="I20" s="10">
        <v>96.3</v>
      </c>
      <c r="L20" s="10" t="s">
        <v>4469</v>
      </c>
      <c r="M20" s="10" t="s">
        <v>2174</v>
      </c>
      <c r="N20" s="10" t="s">
        <v>4470</v>
      </c>
      <c r="O20" s="15">
        <f>IFERROR(__xludf.DUMMYFUNCTION("IF(ISBLANK($C20), """", GOOGLEFINANCE($C20, ""price""))"),129.68)</f>
        <v>129.68</v>
      </c>
      <c r="P20" s="16">
        <f t="shared" si="2"/>
        <v>0.07653993027</v>
      </c>
      <c r="Q20" s="16">
        <f>IFERROR(__xludf.DUMMYFUNCTION("IF(OR(ISBLANK($G20), IFERROR(INDEX(GOOGLEFINANCE($C20, ""price"", WORKDAY(INT($B20), 1)), 2, 2), """")=""""), """", IF($D20=""LONG"", (IFERROR(INDEX(GOOGLEFINANCE($C20, ""price"", WORKDAY(INT($B20), 1)), 2, 2), """")-$G20)/$G20, ($G20-IFERROR(INDEX(GOOGLE"&amp;"FINANCE($C20, ""price"", WORKDAY(INT($B20), 1)), 2, 2), """"))/$G20))"),0.04217167524489468)</f>
        <v>0.04217167524</v>
      </c>
      <c r="R20" s="16">
        <f>IFERROR(__xludf.DUMMYFUNCTION("IF(OR(ISBLANK($G20), IFERROR(INDEX(GOOGLEFINANCE($C20, ""price"", WORKDAY(INT($B20), 5)), 2, 2), """")=""""), """", IF($D20=""LONG"", (IFERROR(INDEX(GOOGLEFINANCE($C20, ""price"", WORKDAY(INT($B20), 5)), 2, 2), """")-$G20)/$G20, ($G20-IFERROR(INDEX(GOOGLE"&amp;"FINANCE($C20, ""price"", WORKDAY(INT($B20), 5)), 2, 2), """"))/$G20))"),0.05603519840610992)</f>
        <v>0.05603519841</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4473</v>
      </c>
      <c r="U20" s="10" t="s">
        <v>507</v>
      </c>
      <c r="V20" s="10" t="s">
        <v>4474</v>
      </c>
      <c r="W20" s="10" t="s">
        <v>51</v>
      </c>
      <c r="X20" s="10" t="s">
        <v>2228</v>
      </c>
    </row>
    <row r="21">
      <c r="A21" s="9">
        <f t="shared" si="1"/>
        <v>20</v>
      </c>
      <c r="B21" s="11">
        <v>46227.66751157407</v>
      </c>
      <c r="C21" s="10" t="s">
        <v>2066</v>
      </c>
      <c r="D21" s="10" t="s">
        <v>36</v>
      </c>
      <c r="E21" s="10" t="s">
        <v>37</v>
      </c>
      <c r="F21" s="13">
        <v>2.0</v>
      </c>
      <c r="G21" s="14">
        <v>92.02</v>
      </c>
      <c r="H21" s="10" t="s">
        <v>4475</v>
      </c>
      <c r="I21" s="10">
        <v>98.5</v>
      </c>
      <c r="O21" s="15">
        <f>IFERROR(__xludf.DUMMYFUNCTION("IF(ISBLANK($C21), """", GOOGLEFINANCE($C21, ""price""))"),98.02)</f>
        <v>98.02</v>
      </c>
      <c r="P21" s="16">
        <f t="shared" si="2"/>
        <v>0.06520321669</v>
      </c>
      <c r="Q21" s="16">
        <f>IFERROR(__xludf.DUMMYFUNCTION("IF(OR(ISBLANK($G21), IFERROR(INDEX(GOOGLEFINANCE($C21, ""price"", WORKDAY(INT($B21), 1)), 2, 2), """")=""""), """", IF($D21=""LONG"", (IFERROR(INDEX(GOOGLEFINANCE($C21, ""price"", WORKDAY(INT($B21), 1)), 2, 2), """")-$G21)/$G21, ($G21-IFERROR(INDEX(GOOGLE"&amp;"FINANCE($C21, ""price"", WORKDAY(INT($B21), 1)), 2, 2), """"))/$G21))"),0.024559878287328897)</f>
        <v>0.02455987829</v>
      </c>
      <c r="R21" s="16">
        <f>IFERROR(__xludf.DUMMYFUNCTION("IF(OR(ISBLANK($G21), IFERROR(INDEX(GOOGLEFINANCE($C21, ""price"", WORKDAY(INT($B21), 5)), 2, 2), """")=""""), """", IF($D21=""LONG"", (IFERROR(INDEX(GOOGLEFINANCE($C21, ""price"", WORKDAY(INT($B21), 5)), 2, 2), """")-$G21)/$G21, ($G21-IFERROR(INDEX(GOOGLE"&amp;"FINANCE($C21, ""price"", WORKDAY(INT($B21), 5)), 2, 2), """"))/$G21))"),0.023364485981308473)</f>
        <v>0.02336448598</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4479</v>
      </c>
      <c r="U21" s="10" t="s">
        <v>984</v>
      </c>
      <c r="V21" s="10" t="s">
        <v>985</v>
      </c>
      <c r="W21" s="10" t="s">
        <v>51</v>
      </c>
      <c r="X21" s="10" t="s">
        <v>984</v>
      </c>
    </row>
    <row r="22">
      <c r="A22" s="9">
        <f t="shared" si="1"/>
        <v>21</v>
      </c>
      <c r="B22" s="11">
        <v>46227.66753472222</v>
      </c>
      <c r="C22" s="10" t="s">
        <v>201</v>
      </c>
      <c r="D22" s="10" t="s">
        <v>36</v>
      </c>
      <c r="E22" s="10" t="s">
        <v>37</v>
      </c>
      <c r="F22" s="13">
        <v>2.0</v>
      </c>
      <c r="G22" s="14">
        <v>134.66</v>
      </c>
      <c r="H22" s="10" t="s">
        <v>2546</v>
      </c>
      <c r="I22" s="10">
        <v>96.9</v>
      </c>
      <c r="O22" s="15">
        <f>IFERROR(__xludf.DUMMYFUNCTION("IF(ISBLANK($C22), """", GOOGLEFINANCE($C22, ""price""))"),134.82)</f>
        <v>134.82</v>
      </c>
      <c r="P22" s="16">
        <f t="shared" si="2"/>
        <v>0.001188177633</v>
      </c>
      <c r="Q22" s="16">
        <f>IFERROR(__xludf.DUMMYFUNCTION("IF(OR(ISBLANK($G22), IFERROR(INDEX(GOOGLEFINANCE($C22, ""price"", WORKDAY(INT($B22), 1)), 2, 2), """")=""""), """", IF($D22=""LONG"", (IFERROR(INDEX(GOOGLEFINANCE($C22, ""price"", WORKDAY(INT($B22), 1)), 2, 2), """")-$G22)/$G22, ($G22-IFERROR(INDEX(GOOGLE"&amp;"FINANCE($C22, ""price"", WORKDAY(INT($B22), 1)), 2, 2), """"))/$G22))"),-7.426110203474997E-4)</f>
        <v>-0.0007426110203</v>
      </c>
      <c r="R22" s="16">
        <f>IFERROR(__xludf.DUMMYFUNCTION("IF(OR(ISBLANK($G22), IFERROR(INDEX(GOOGLEFINANCE($C22, ""price"", WORKDAY(INT($B22), 5)), 2, 2), """")=""""), """", IF($D22=""LONG"", (IFERROR(INDEX(GOOGLEFINANCE($C22, ""price"", WORKDAY(INT($B22), 5)), 2, 2), """")-$G22)/$G22, ($G22-IFERROR(INDEX(GOOGLE"&amp;"FINANCE($C22, ""price"", WORKDAY(INT($B22), 5)), 2, 2), """"))/$G22))"),-0.003638793999703023)</f>
        <v>-0.003638794</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4483</v>
      </c>
      <c r="U22" s="10" t="s">
        <v>984</v>
      </c>
      <c r="V22" s="10" t="s">
        <v>985</v>
      </c>
      <c r="W22" s="10" t="s">
        <v>51</v>
      </c>
      <c r="X22" s="10" t="s">
        <v>984</v>
      </c>
    </row>
    <row r="23">
      <c r="A23" s="9">
        <f t="shared" si="1"/>
        <v>22</v>
      </c>
      <c r="B23" s="11">
        <v>46227.66746527778</v>
      </c>
      <c r="C23" s="10" t="s">
        <v>114</v>
      </c>
      <c r="D23" s="10" t="s">
        <v>36</v>
      </c>
      <c r="E23" s="10" t="s">
        <v>37</v>
      </c>
      <c r="F23" s="13">
        <v>2.0</v>
      </c>
      <c r="G23" s="14">
        <v>227.85</v>
      </c>
      <c r="H23" s="10" t="s">
        <v>4485</v>
      </c>
      <c r="I23" s="10">
        <v>91.2</v>
      </c>
      <c r="O23" s="15">
        <f>IFERROR(__xludf.DUMMYFUNCTION("IF(ISBLANK($C23), """", GOOGLEFINANCE($C23, ""price""))"),237.66)</f>
        <v>237.66</v>
      </c>
      <c r="P23" s="16">
        <f t="shared" si="2"/>
        <v>0.04305464121</v>
      </c>
      <c r="Q23" s="16">
        <f>IFERROR(__xludf.DUMMYFUNCTION("IF(OR(ISBLANK($G23), IFERROR(INDEX(GOOGLEFINANCE($C23, ""price"", WORKDAY(INT($B23), 1)), 2, 2), """")=""""), """", IF($D23=""LONG"", (IFERROR(INDEX(GOOGLEFINANCE($C23, ""price"", WORKDAY(INT($B23), 1)), 2, 2), """")-$G23)/$G23, ($G23-IFERROR(INDEX(GOOGLE"&amp;"FINANCE($C23, ""price"", WORKDAY(INT($B23), 1)), 2, 2), """"))/$G23))"),0.0065832784726793945)</f>
        <v>0.006583278473</v>
      </c>
      <c r="R23" s="16">
        <f>IFERROR(__xludf.DUMMYFUNCTION("IF(OR(ISBLANK($G23), IFERROR(INDEX(GOOGLEFINANCE($C23, ""price"", WORKDAY(INT($B23), 5)), 2, 2), """")=""""), """", IF($D23=""LONG"", (IFERROR(INDEX(GOOGLEFINANCE($C23, ""price"", WORKDAY(INT($B23), 5)), 2, 2), """")-$G23)/$G23, ($G23-IFERROR(INDEX(GOOGLE"&amp;"FINANCE($C23, ""price"", WORKDAY(INT($B23), 5)), 2, 2), """"))/$G23))"),0.00956769804696075)</f>
        <v>0.009567698047</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4488</v>
      </c>
      <c r="U23" s="10" t="s">
        <v>984</v>
      </c>
      <c r="V23" s="10" t="s">
        <v>933</v>
      </c>
      <c r="W23" s="10" t="s">
        <v>51</v>
      </c>
      <c r="X23" s="10" t="s">
        <v>984</v>
      </c>
    </row>
    <row r="24">
      <c r="A24" s="9">
        <f t="shared" si="1"/>
        <v>23</v>
      </c>
      <c r="B24" s="11">
        <v>46227.66752314815</v>
      </c>
      <c r="C24" s="10" t="s">
        <v>222</v>
      </c>
      <c r="D24" s="10" t="s">
        <v>36</v>
      </c>
      <c r="E24" s="10" t="s">
        <v>37</v>
      </c>
      <c r="F24" s="13">
        <v>2.0</v>
      </c>
      <c r="G24" s="14">
        <v>477.43</v>
      </c>
      <c r="H24" s="10" t="s">
        <v>4489</v>
      </c>
      <c r="I24" s="10">
        <v>80.8</v>
      </c>
      <c r="O24" s="15">
        <f>IFERROR(__xludf.DUMMYFUNCTION("IF(ISBLANK($C24), """", GOOGLEFINANCE($C24, ""price""))"),484.03)</f>
        <v>484.03</v>
      </c>
      <c r="P24" s="16">
        <f t="shared" si="2"/>
        <v>0.01382401609</v>
      </c>
      <c r="Q24" s="16">
        <f>IFERROR(__xludf.DUMMYFUNCTION("IF(OR(ISBLANK($G24), IFERROR(INDEX(GOOGLEFINANCE($C24, ""price"", WORKDAY(INT($B24), 1)), 2, 2), """")=""""), """", IF($D24=""LONG"", (IFERROR(INDEX(GOOGLEFINANCE($C24, ""price"", WORKDAY(INT($B24), 1)), 2, 2), """")-$G24)/$G24, ($G24-IFERROR(INDEX(GOOGLE"&amp;"FINANCE($C24, ""price"", WORKDAY(INT($B24), 1)), 2, 2), """"))/$G24))"),0.0032884401901849343)</f>
        <v>0.00328844019</v>
      </c>
      <c r="R24" s="16">
        <f>IFERROR(__xludf.DUMMYFUNCTION("IF(OR(ISBLANK($G24), IFERROR(INDEX(GOOGLEFINANCE($C24, ""price"", WORKDAY(INT($B24), 5)), 2, 2), """")=""""), """", IF($D24=""LONG"", (IFERROR(INDEX(GOOGLEFINANCE($C24, ""price"", WORKDAY(INT($B24), 5)), 2, 2), """")-$G24)/$G24, ($G24-IFERROR(INDEX(GOOGLE"&amp;"FINANCE($C24, ""price"", WORKDAY(INT($B24), 5)), 2, 2), """"))/$G24))"),-6.912008043063571E-4)</f>
        <v>-0.0006912008043</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4492</v>
      </c>
      <c r="U24" s="10" t="s">
        <v>984</v>
      </c>
      <c r="V24" s="10" t="s">
        <v>933</v>
      </c>
      <c r="W24" s="10" t="s">
        <v>51</v>
      </c>
      <c r="X24" s="10" t="s">
        <v>984</v>
      </c>
    </row>
    <row r="25">
      <c r="A25" s="9">
        <f t="shared" si="1"/>
        <v>24</v>
      </c>
      <c r="B25" s="11">
        <v>46227.66752314815</v>
      </c>
      <c r="C25" s="10" t="s">
        <v>1507</v>
      </c>
      <c r="D25" s="10" t="s">
        <v>36</v>
      </c>
      <c r="E25" s="10" t="s">
        <v>37</v>
      </c>
      <c r="F25" s="13">
        <v>2.0</v>
      </c>
      <c r="G25" s="14">
        <v>80.96</v>
      </c>
      <c r="H25" s="10" t="s">
        <v>4495</v>
      </c>
      <c r="I25" s="10">
        <v>97.1</v>
      </c>
      <c r="O25" s="15">
        <f>IFERROR(__xludf.DUMMYFUNCTION("IF(ISBLANK($C25), """", GOOGLEFINANCE($C25, ""price""))"),87.69)</f>
        <v>87.69</v>
      </c>
      <c r="P25" s="16">
        <f t="shared" si="2"/>
        <v>0.08312747036</v>
      </c>
      <c r="Q25" s="16">
        <f>IFERROR(__xludf.DUMMYFUNCTION("IF(OR(ISBLANK($G25), IFERROR(INDEX(GOOGLEFINANCE($C25, ""price"", WORKDAY(INT($B25), 1)), 2, 2), """")=""""), """", IF($D25=""LONG"", (IFERROR(INDEX(GOOGLEFINANCE($C25, ""price"", WORKDAY(INT($B25), 1)), 2, 2), """")-$G25)/$G25, ($G25-IFERROR(INDEX(GOOGLE"&amp;"FINANCE($C25, ""price"", WORKDAY(INT($B25), 1)), 2, 2), """"))/$G25))"),0.0382905138339922)</f>
        <v>0.03829051383</v>
      </c>
      <c r="R25" s="16">
        <f>IFERROR(__xludf.DUMMYFUNCTION("IF(OR(ISBLANK($G25), IFERROR(INDEX(GOOGLEFINANCE($C25, ""price"", WORKDAY(INT($B25), 5)), 2, 2), """")=""""), """", IF($D25=""LONG"", (IFERROR(INDEX(GOOGLEFINANCE($C25, ""price"", WORKDAY(INT($B25), 5)), 2, 2), """")-$G25)/$G25, ($G25-IFERROR(INDEX(GOOGLE"&amp;"FINANCE($C25, ""price"", WORKDAY(INT($B25), 5)), 2, 2), """"))/$G25))"),0.038537549407114687)</f>
        <v>0.03853754941</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4500</v>
      </c>
      <c r="U25" s="10" t="s">
        <v>984</v>
      </c>
      <c r="V25" s="10" t="s">
        <v>985</v>
      </c>
      <c r="W25" s="10" t="s">
        <v>51</v>
      </c>
      <c r="X25" s="10" t="s">
        <v>984</v>
      </c>
    </row>
    <row r="26">
      <c r="A26" s="9">
        <f t="shared" si="1"/>
        <v>25</v>
      </c>
      <c r="B26" s="11">
        <v>46227.66753472222</v>
      </c>
      <c r="C26" s="10" t="s">
        <v>4394</v>
      </c>
      <c r="D26" s="10" t="s">
        <v>36</v>
      </c>
      <c r="E26" s="10" t="s">
        <v>37</v>
      </c>
      <c r="F26" s="13">
        <v>2.0</v>
      </c>
      <c r="G26" s="14">
        <v>302.43</v>
      </c>
      <c r="H26" s="10" t="s">
        <v>4501</v>
      </c>
      <c r="I26" s="10">
        <v>93.8</v>
      </c>
      <c r="L26" s="10" t="s">
        <v>4502</v>
      </c>
      <c r="M26" s="34" t="s">
        <v>1789</v>
      </c>
      <c r="N26" s="10" t="s">
        <v>925</v>
      </c>
      <c r="O26" s="15">
        <f>IFERROR(__xludf.DUMMYFUNCTION("IF(ISBLANK($C26), """", GOOGLEFINANCE($C26, ""price""))"),302.99)</f>
        <v>302.99</v>
      </c>
      <c r="P26" s="16">
        <f t="shared" si="2"/>
        <v>0.001851668155</v>
      </c>
      <c r="Q26" s="16">
        <f>IFERROR(__xludf.DUMMYFUNCTION("IF(OR(ISBLANK($G26), IFERROR(INDEX(GOOGLEFINANCE($C26, ""price"", WORKDAY(INT($B26), 1)), 2, 2), """")=""""), """", IF($D26=""LONG"", (IFERROR(INDEX(GOOGLEFINANCE($C26, ""price"", WORKDAY(INT($B26), 1)), 2, 2), """")-$G26)/$G26, ($G26-IFERROR(INDEX(GOOGLE"&amp;"FINANCE($C26, ""price"", WORKDAY(INT($B26), 1)), 2, 2), """"))/$G26))"),0.00826637569024237)</f>
        <v>0.00826637569</v>
      </c>
      <c r="R26" s="16">
        <f>IFERROR(__xludf.DUMMYFUNCTION("IF(OR(ISBLANK($G26), IFERROR(INDEX(GOOGLEFINANCE($C26, ""price"", WORKDAY(INT($B26), 5)), 2, 2), """")=""""), """", IF($D26=""LONG"", (IFERROR(INDEX(GOOGLEFINANCE($C26, ""price"", WORKDAY(INT($B26), 5)), 2, 2), """")-$G26)/$G26, ($G26-IFERROR(INDEX(GOOGLE"&amp;"FINANCE($C26, ""price"", WORKDAY(INT($B26), 5)), 2, 2), """"))/$G26))"),0.03461958139073495)</f>
        <v>0.03461958139</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4505</v>
      </c>
      <c r="U26" s="10" t="s">
        <v>704</v>
      </c>
      <c r="V26" s="10" t="s">
        <v>4507</v>
      </c>
      <c r="W26" s="10" t="s">
        <v>51</v>
      </c>
      <c r="X26" s="10" t="s">
        <v>1885</v>
      </c>
    </row>
    <row r="27">
      <c r="A27" s="9">
        <f t="shared" si="1"/>
        <v>26</v>
      </c>
      <c r="B27" s="11">
        <v>46227.667546296296</v>
      </c>
      <c r="C27" s="10" t="s">
        <v>257</v>
      </c>
      <c r="D27" s="10" t="s">
        <v>36</v>
      </c>
      <c r="E27" s="10" t="s">
        <v>37</v>
      </c>
      <c r="F27" s="13">
        <v>2.0</v>
      </c>
      <c r="G27" s="14">
        <v>69.11</v>
      </c>
      <c r="H27" s="10" t="s">
        <v>4508</v>
      </c>
      <c r="I27" s="10">
        <v>92.7</v>
      </c>
      <c r="O27" s="15">
        <f>IFERROR(__xludf.DUMMYFUNCTION("IF(ISBLANK($C27), """", GOOGLEFINANCE($C27, ""price""))"),68.81)</f>
        <v>68.81</v>
      </c>
      <c r="P27" s="16">
        <f t="shared" si="2"/>
        <v>-0.004340905802</v>
      </c>
      <c r="Q27" s="16">
        <f>IFERROR(__xludf.DUMMYFUNCTION("IF(OR(ISBLANK($G27), IFERROR(INDEX(GOOGLEFINANCE($C27, ""price"", WORKDAY(INT($B27), 1)), 2, 2), """")=""""), """", IF($D27=""LONG"", (IFERROR(INDEX(GOOGLEFINANCE($C27, ""price"", WORKDAY(INT($B27), 1)), 2, 2), """")-$G27)/$G27, ($G27-IFERROR(INDEX(GOOGLE"&amp;"FINANCE($C27, ""price"", WORKDAY(INT($B27), 1)), 2, 2), """"))/$G27))"),0.0014469686007812807)</f>
        <v>0.001446968601</v>
      </c>
      <c r="R27" s="16">
        <f>IFERROR(__xludf.DUMMYFUNCTION("IF(OR(ISBLANK($G27), IFERROR(INDEX(GOOGLEFINANCE($C27, ""price"", WORKDAY(INT($B27), 5)), 2, 2), """")=""""), """", IF($D27=""LONG"", (IFERROR(INDEX(GOOGLEFINANCE($C27, ""price"", WORKDAY(INT($B27), 5)), 2, 2), """")-$G27)/$G27, ($G27-IFERROR(INDEX(GOOGLE"&amp;"FINANCE($C27, ""price"", WORKDAY(INT($B27), 5)), 2, 2), """"))/$G27))"),0.01461438286789184)</f>
        <v>0.01461438287</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4510</v>
      </c>
      <c r="U27" s="10" t="s">
        <v>984</v>
      </c>
      <c r="V27" s="10" t="s">
        <v>933</v>
      </c>
      <c r="W27" s="10" t="s">
        <v>51</v>
      </c>
      <c r="X27" s="10" t="s">
        <v>984</v>
      </c>
    </row>
    <row r="28">
      <c r="A28" s="9">
        <f t="shared" si="1"/>
        <v>27</v>
      </c>
      <c r="B28" s="11">
        <v>46227.66756944444</v>
      </c>
      <c r="C28" s="10" t="s">
        <v>351</v>
      </c>
      <c r="D28" s="10" t="s">
        <v>36</v>
      </c>
      <c r="E28" s="10" t="s">
        <v>37</v>
      </c>
      <c r="F28" s="13">
        <v>2.0</v>
      </c>
      <c r="G28" s="14">
        <v>229.68</v>
      </c>
      <c r="H28" s="10" t="s">
        <v>4512</v>
      </c>
      <c r="I28" s="10">
        <v>66.4</v>
      </c>
      <c r="O28" s="15">
        <f>IFERROR(__xludf.DUMMYFUNCTION("IF(ISBLANK($C28), """", GOOGLEFINANCE($C28, ""price""))"),221.83)</f>
        <v>221.83</v>
      </c>
      <c r="P28" s="16">
        <f t="shared" si="2"/>
        <v>-0.03417798676</v>
      </c>
      <c r="Q28" s="16">
        <f>IFERROR(__xludf.DUMMYFUNCTION("IF(OR(ISBLANK($G28), IFERROR(INDEX(GOOGLEFINANCE($C28, ""price"", WORKDAY(INT($B28), 1)), 2, 2), """")=""""), """", IF($D28=""LONG"", (IFERROR(INDEX(GOOGLEFINANCE($C28, ""price"", WORKDAY(INT($B28), 1)), 2, 2), """")-$G28)/$G28, ($G28-IFERROR(INDEX(GOOGLE"&amp;"FINANCE($C28, ""price"", WORKDAY(INT($B28), 1)), 2, 2), """"))/$G28))"),0.008664228491814615)</f>
        <v>0.008664228492</v>
      </c>
      <c r="R28" s="16">
        <f>IFERROR(__xludf.DUMMYFUNCTION("IF(OR(ISBLANK($G28), IFERROR(INDEX(GOOGLEFINANCE($C28, ""price"", WORKDAY(INT($B28), 5)), 2, 2), """")=""""), """", IF($D28=""LONG"", (IFERROR(INDEX(GOOGLEFINANCE($C28, ""price"", WORKDAY(INT($B28), 5)), 2, 2), """")-$G28)/$G28, ($G28-IFERROR(INDEX(GOOGLE"&amp;"FINANCE($C28, ""price"", WORKDAY(INT($B28), 5)), 2, 2), """"))/$G28))"),-0.0013497039359108424)</f>
        <v>-0.001349703936</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4515</v>
      </c>
      <c r="U28" s="10" t="s">
        <v>984</v>
      </c>
      <c r="V28" s="10" t="s">
        <v>998</v>
      </c>
      <c r="W28" s="10" t="s">
        <v>51</v>
      </c>
      <c r="X28" s="10" t="s">
        <v>984</v>
      </c>
    </row>
    <row r="29">
      <c r="A29" s="9">
        <f t="shared" si="1"/>
        <v>28</v>
      </c>
      <c r="B29" s="11">
        <v>46227.66756944444</v>
      </c>
      <c r="C29" s="10" t="s">
        <v>149</v>
      </c>
      <c r="D29" s="10" t="s">
        <v>36</v>
      </c>
      <c r="E29" s="10" t="s">
        <v>37</v>
      </c>
      <c r="F29" s="13">
        <v>2.0</v>
      </c>
      <c r="G29" s="14">
        <v>124.18</v>
      </c>
      <c r="H29" s="10" t="s">
        <v>4516</v>
      </c>
      <c r="I29" s="10">
        <v>92.4</v>
      </c>
      <c r="O29" s="15">
        <f>IFERROR(__xludf.DUMMYFUNCTION("IF(ISBLANK($C29), """", GOOGLEFINANCE($C29, ""price""))"),132.79)</f>
        <v>132.79</v>
      </c>
      <c r="P29" s="16">
        <f t="shared" si="2"/>
        <v>0.06933483653</v>
      </c>
      <c r="Q29" s="16">
        <f>IFERROR(__xludf.DUMMYFUNCTION("IF(OR(ISBLANK($G29), IFERROR(INDEX(GOOGLEFINANCE($C29, ""price"", WORKDAY(INT($B29), 1)), 2, 2), """")=""""), """", IF($D29=""LONG"", (IFERROR(INDEX(GOOGLEFINANCE($C29, ""price"", WORKDAY(INT($B29), 1)), 2, 2), """")-$G29)/$G29, ($G29-IFERROR(INDEX(GOOGLE"&amp;"FINANCE($C29, ""price"", WORKDAY(INT($B29), 1)), 2, 2), """"))/$G29))"),0.028345949428249282)</f>
        <v>0.02834594943</v>
      </c>
      <c r="R29" s="16">
        <f>IFERROR(__xludf.DUMMYFUNCTION("IF(OR(ISBLANK($G29), IFERROR(INDEX(GOOGLEFINANCE($C29, ""price"", WORKDAY(INT($B29), 5)), 2, 2), """")=""""), """", IF($D29=""LONG"", (IFERROR(INDEX(GOOGLEFINANCE($C29, ""price"", WORKDAY(INT($B29), 5)), 2, 2), """")-$G29)/$G29, ($G29-IFERROR(INDEX(GOOGLE"&amp;"FINANCE($C29, ""price"", WORKDAY(INT($B29), 5)), 2, 2), """"))/$G29))"),0.0015300370430020754)</f>
        <v>0.001530037043</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4520</v>
      </c>
      <c r="U29" s="10" t="s">
        <v>984</v>
      </c>
      <c r="V29" s="10" t="s">
        <v>1059</v>
      </c>
      <c r="W29" s="10" t="s">
        <v>51</v>
      </c>
      <c r="X29" s="10" t="s">
        <v>984</v>
      </c>
    </row>
    <row r="30">
      <c r="A30" s="9">
        <f t="shared" si="1"/>
        <v>29</v>
      </c>
      <c r="B30" s="11">
        <v>46227.66777777778</v>
      </c>
      <c r="C30" s="10" t="s">
        <v>323</v>
      </c>
      <c r="D30" s="10" t="s">
        <v>36</v>
      </c>
      <c r="E30" s="10" t="s">
        <v>37</v>
      </c>
      <c r="F30" s="13">
        <v>2.0</v>
      </c>
      <c r="G30" s="14">
        <v>209.07</v>
      </c>
      <c r="H30" s="10" t="s">
        <v>4521</v>
      </c>
      <c r="I30" s="10">
        <v>84.6</v>
      </c>
      <c r="O30" s="15">
        <f>IFERROR(__xludf.DUMMYFUNCTION("IF(ISBLANK($C30), """", GOOGLEFINANCE($C30, ""price""))"),209.7)</f>
        <v>209.7</v>
      </c>
      <c r="P30" s="16">
        <f t="shared" si="2"/>
        <v>0.003013344813</v>
      </c>
      <c r="Q30" s="16">
        <f>IFERROR(__xludf.DUMMYFUNCTION("IF(OR(ISBLANK($G30), IFERROR(INDEX(GOOGLEFINANCE($C30, ""price"", WORKDAY(INT($B30), 1)), 2, 2), """")=""""), """", IF($D30=""LONG"", (IFERROR(INDEX(GOOGLEFINANCE($C30, ""price"", WORKDAY(INT($B30), 1)), 2, 2), """")-$G30)/$G30, ($G30-IFERROR(INDEX(GOOGLE"&amp;"FINANCE($C30, ""price"", WORKDAY(INT($B30), 1)), 2, 2), """"))/$G30))"),0.0)</f>
        <v>0</v>
      </c>
      <c r="R30" s="16">
        <f>IFERROR(__xludf.DUMMYFUNCTION("IF(OR(ISBLANK($G30), IFERROR(INDEX(GOOGLEFINANCE($C30, ""price"", WORKDAY(INT($B30), 5)), 2, 2), """")=""""), """", IF($D30=""LONG"", (IFERROR(INDEX(GOOGLEFINANCE($C30, ""price"", WORKDAY(INT($B30), 5)), 2, 2), """")-$G30)/$G30, ($G30-IFERROR(INDEX(GOOGLE"&amp;"FINANCE($C30, ""price"", WORKDAY(INT($B30), 5)), 2, 2), """"))/$G30))"),0.003778638733438659)</f>
        <v>0.003778638733</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4524</v>
      </c>
      <c r="U30" s="10" t="s">
        <v>984</v>
      </c>
      <c r="V30" s="10" t="s">
        <v>2785</v>
      </c>
      <c r="W30" s="10" t="s">
        <v>51</v>
      </c>
      <c r="X30" s="10" t="s">
        <v>984</v>
      </c>
    </row>
    <row r="31">
      <c r="A31" s="9">
        <f t="shared" si="1"/>
        <v>30</v>
      </c>
      <c r="B31" s="11">
        <v>46227.66755787037</v>
      </c>
      <c r="C31" s="10" t="s">
        <v>641</v>
      </c>
      <c r="D31" s="10" t="s">
        <v>36</v>
      </c>
      <c r="E31" s="10" t="s">
        <v>37</v>
      </c>
      <c r="F31" s="13">
        <v>2.0</v>
      </c>
      <c r="G31" s="14">
        <v>63.81</v>
      </c>
      <c r="H31" s="10" t="s">
        <v>4525</v>
      </c>
      <c r="I31" s="10">
        <v>90.2</v>
      </c>
      <c r="O31" s="15">
        <f>IFERROR(__xludf.DUMMYFUNCTION("IF(ISBLANK($C31), """", GOOGLEFINANCE($C31, ""price""))"),63.13)</f>
        <v>63.13</v>
      </c>
      <c r="P31" s="16">
        <f t="shared" si="2"/>
        <v>-0.01065663689</v>
      </c>
      <c r="Q31" s="16">
        <f>IFERROR(__xludf.DUMMYFUNCTION("IF(OR(ISBLANK($G31), IFERROR(INDEX(GOOGLEFINANCE($C31, ""price"", WORKDAY(INT($B31), 1)), 2, 2), """")=""""), """", IF($D31=""LONG"", (IFERROR(INDEX(GOOGLEFINANCE($C31, ""price"", WORKDAY(INT($B31), 1)), 2, 2), """")-$G31)/$G31, ($G31-IFERROR(INDEX(GOOGLE"&amp;"FINANCE($C31, ""price"", WORKDAY(INT($B31), 1)), 2, 2), """"))/$G31))"),0.0134775113618555)</f>
        <v>0.01347751136</v>
      </c>
      <c r="R31" s="16">
        <f>IFERROR(__xludf.DUMMYFUNCTION("IF(OR(ISBLANK($G31), IFERROR(INDEX(GOOGLEFINANCE($C31, ""price"", WORKDAY(INT($B31), 5)), 2, 2), """")=""""), """", IF($D31=""LONG"", (IFERROR(INDEX(GOOGLEFINANCE($C31, ""price"", WORKDAY(INT($B31), 5)), 2, 2), """")-$G31)/$G31, ($G31-IFERROR(INDEX(GOOGLE"&amp;"FINANCE($C31, ""price"", WORKDAY(INT($B31), 5)), 2, 2), """"))/$G31))"),0.017081962074909942)</f>
        <v>0.01708196207</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4528</v>
      </c>
      <c r="U31" s="10" t="s">
        <v>984</v>
      </c>
      <c r="V31" s="10" t="s">
        <v>2785</v>
      </c>
      <c r="W31" s="10" t="s">
        <v>51</v>
      </c>
      <c r="X31" s="10" t="s">
        <v>984</v>
      </c>
    </row>
    <row r="32">
      <c r="A32" s="9">
        <f t="shared" si="1"/>
        <v>31</v>
      </c>
      <c r="B32" s="11">
        <v>46227.66756944444</v>
      </c>
      <c r="C32" s="10" t="s">
        <v>170</v>
      </c>
      <c r="D32" s="10" t="s">
        <v>36</v>
      </c>
      <c r="E32" s="10" t="s">
        <v>37</v>
      </c>
      <c r="F32" s="13">
        <v>2.0</v>
      </c>
      <c r="G32" s="14">
        <v>71.09</v>
      </c>
      <c r="H32" s="10" t="s">
        <v>4529</v>
      </c>
      <c r="I32" s="10">
        <v>92.6</v>
      </c>
      <c r="O32" s="15">
        <f>IFERROR(__xludf.DUMMYFUNCTION("IF(ISBLANK($C32), """", GOOGLEFINANCE($C32, ""price""))"),66.8)</f>
        <v>66.8</v>
      </c>
      <c r="P32" s="16">
        <f t="shared" si="2"/>
        <v>-0.06034604023</v>
      </c>
      <c r="Q32" s="16">
        <f>IFERROR(__xludf.DUMMYFUNCTION("IF(OR(ISBLANK($G32), IFERROR(INDEX(GOOGLEFINANCE($C32, ""price"", WORKDAY(INT($B32), 1)), 2, 2), """")=""""), """", IF($D32=""LONG"", (IFERROR(INDEX(GOOGLEFINANCE($C32, ""price"", WORKDAY(INT($B32), 1)), 2, 2), """")-$G32)/$G32, ($G32-IFERROR(INDEX(GOOGLE"&amp;"FINANCE($C32, ""price"", WORKDAY(INT($B32), 1)), 2, 2), """"))/$G32))"),-0.011534674356449674)</f>
        <v>-0.01153467436</v>
      </c>
      <c r="R32" s="16">
        <f>IFERROR(__xludf.DUMMYFUNCTION("IF(OR(ISBLANK($G32), IFERROR(INDEX(GOOGLEFINANCE($C32, ""price"", WORKDAY(INT($B32), 5)), 2, 2), """")=""""), """", IF($D32=""LONG"", (IFERROR(INDEX(GOOGLEFINANCE($C32, ""price"", WORKDAY(INT($B32), 5)), 2, 2), """")-$G32)/$G32, ($G32-IFERROR(INDEX(GOOGLE"&amp;"FINANCE($C32, ""price"", WORKDAY(INT($B32), 5)), 2, 2), """"))/$G32))"),-0.02700801800534536)</f>
        <v>-0.02700801801</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4533</v>
      </c>
      <c r="U32" s="10" t="s">
        <v>984</v>
      </c>
      <c r="V32" s="10" t="s">
        <v>2785</v>
      </c>
      <c r="W32" s="10" t="s">
        <v>51</v>
      </c>
      <c r="X32" s="10" t="s">
        <v>984</v>
      </c>
    </row>
    <row r="33">
      <c r="A33" s="9">
        <f t="shared" si="1"/>
        <v>32</v>
      </c>
      <c r="B33" s="11">
        <v>46227.667546296296</v>
      </c>
      <c r="C33" s="10" t="s">
        <v>288</v>
      </c>
      <c r="D33" s="10" t="s">
        <v>36</v>
      </c>
      <c r="E33" s="10" t="s">
        <v>37</v>
      </c>
      <c r="F33" s="13">
        <v>2.0</v>
      </c>
      <c r="G33" s="14">
        <v>19.26</v>
      </c>
      <c r="H33" s="10" t="s">
        <v>4537</v>
      </c>
      <c r="I33" s="10">
        <v>85.2</v>
      </c>
      <c r="O33" s="15">
        <f>IFERROR(__xludf.DUMMYFUNCTION("IF(ISBLANK($C33), """", GOOGLEFINANCE($C33, ""price""))"),19.18)</f>
        <v>19.18</v>
      </c>
      <c r="P33" s="16">
        <f t="shared" si="2"/>
        <v>-0.004153686397</v>
      </c>
      <c r="Q33" s="16">
        <f>IFERROR(__xludf.DUMMYFUNCTION("IF(OR(ISBLANK($G33), IFERROR(INDEX(GOOGLEFINANCE($C33, ""price"", WORKDAY(INT($B33), 1)), 2, 2), """")=""""), """", IF($D33=""LONG"", (IFERROR(INDEX(GOOGLEFINANCE($C33, ""price"", WORKDAY(INT($B33), 1)), 2, 2), """")-$G33)/$G33, ($G33-IFERROR(INDEX(GOOGLE"&amp;"FINANCE($C33, ""price"", WORKDAY(INT($B33), 1)), 2, 2), """"))/$G33))"),0.01142263759086183)</f>
        <v>0.01142263759</v>
      </c>
      <c r="R33" s="16">
        <f>IFERROR(__xludf.DUMMYFUNCTION("IF(OR(ISBLANK($G33), IFERROR(INDEX(GOOGLEFINANCE($C33, ""price"", WORKDAY(INT($B33), 5)), 2, 2), """")=""""), """", IF($D33=""LONG"", (IFERROR(INDEX(GOOGLEFINANCE($C33, ""price"", WORKDAY(INT($B33), 5)), 2, 2), """")-$G33)/$G33, ($G33-IFERROR(INDEX(GOOGLE"&amp;"FINANCE($C33, ""price"", WORKDAY(INT($B33), 5)), 2, 2), """"))/$G33))"),-0.0010384215991694249)</f>
        <v>-0.001038421599</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4540</v>
      </c>
      <c r="U33" s="10" t="s">
        <v>984</v>
      </c>
      <c r="V33" s="10" t="s">
        <v>2785</v>
      </c>
      <c r="W33" s="10" t="s">
        <v>51</v>
      </c>
      <c r="X33" s="10" t="s">
        <v>984</v>
      </c>
    </row>
    <row r="34">
      <c r="A34" s="9">
        <f t="shared" si="1"/>
        <v>33</v>
      </c>
      <c r="B34" s="11">
        <v>46227.66752314815</v>
      </c>
      <c r="C34" s="10" t="s">
        <v>174</v>
      </c>
      <c r="D34" s="10" t="s">
        <v>36</v>
      </c>
      <c r="E34" s="10" t="s">
        <v>37</v>
      </c>
      <c r="F34" s="13">
        <v>2.0</v>
      </c>
      <c r="G34" s="14">
        <v>25.31</v>
      </c>
      <c r="H34" s="10" t="s">
        <v>4542</v>
      </c>
      <c r="I34" s="10">
        <v>89.3</v>
      </c>
      <c r="O34" s="15">
        <f>IFERROR(__xludf.DUMMYFUNCTION("IF(ISBLANK($C34), """", GOOGLEFINANCE($C34, ""price""))"),25.09)</f>
        <v>25.09</v>
      </c>
      <c r="P34" s="16">
        <f t="shared" si="2"/>
        <v>-0.008692216515</v>
      </c>
      <c r="Q34" s="16">
        <f>IFERROR(__xludf.DUMMYFUNCTION("IF(OR(ISBLANK($G34), IFERROR(INDEX(GOOGLEFINANCE($C34, ""price"", WORKDAY(INT($B34), 1)), 2, 2), """")=""""), """", IF($D34=""LONG"", (IFERROR(INDEX(GOOGLEFINANCE($C34, ""price"", WORKDAY(INT($B34), 1)), 2, 2), """")-$G34)/$G34, ($G34-IFERROR(INDEX(GOOGLE"&amp;"FINANCE($C34, ""price"", WORKDAY(INT($B34), 1)), 2, 2), """"))/$G34))"),0.029237455551165626)</f>
        <v>0.02923745555</v>
      </c>
      <c r="R34" s="16">
        <f>IFERROR(__xludf.DUMMYFUNCTION("IF(OR(ISBLANK($G34), IFERROR(INDEX(GOOGLEFINANCE($C34, ""price"", WORKDAY(INT($B34), 5)), 2, 2), """")=""""), """", IF($D34=""LONG"", (IFERROR(INDEX(GOOGLEFINANCE($C34, ""price"", WORKDAY(INT($B34), 5)), 2, 2), """")-$G34)/$G34, ($G34-IFERROR(INDEX(GOOGLE"&amp;"FINANCE($C34, ""price"", WORKDAY(INT($B34), 5)), 2, 2), """"))/$G34))"),-0.011853022520742678)</f>
        <v>-0.01185302252</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4546</v>
      </c>
      <c r="U34" s="10" t="s">
        <v>984</v>
      </c>
      <c r="V34" s="10" t="s">
        <v>933</v>
      </c>
      <c r="W34" s="10" t="s">
        <v>51</v>
      </c>
      <c r="X34" s="10" t="s">
        <v>984</v>
      </c>
    </row>
    <row r="35">
      <c r="A35" s="9">
        <f t="shared" si="1"/>
        <v>34</v>
      </c>
      <c r="B35" s="11">
        <v>46227.667604166665</v>
      </c>
      <c r="C35" s="10" t="s">
        <v>76</v>
      </c>
      <c r="D35" s="10" t="s">
        <v>36</v>
      </c>
      <c r="E35" s="10" t="s">
        <v>87</v>
      </c>
      <c r="F35" s="13">
        <v>2.0</v>
      </c>
      <c r="G35" s="14">
        <v>282.99</v>
      </c>
      <c r="H35" s="10" t="s">
        <v>4548</v>
      </c>
      <c r="I35" s="10">
        <v>91.4</v>
      </c>
      <c r="O35" s="15">
        <f>IFERROR(__xludf.DUMMYFUNCTION("IF(ISBLANK($C35), """", GOOGLEFINANCE($C35, ""price""))"),294.7)</f>
        <v>294.7</v>
      </c>
      <c r="P35" s="16">
        <f t="shared" si="2"/>
        <v>0.04137955405</v>
      </c>
      <c r="Q35" s="16">
        <f>IFERROR(__xludf.DUMMYFUNCTION("IF(OR(ISBLANK($G35), IFERROR(INDEX(GOOGLEFINANCE($C35, ""price"", WORKDAY(INT($B35), 1)), 2, 2), """")=""""), """", IF($D35=""LONG"", (IFERROR(INDEX(GOOGLEFINANCE($C35, ""price"", WORKDAY(INT($B35), 1)), 2, 2), """")-$G35)/$G35, ($G35-IFERROR(INDEX(GOOGLE"&amp;"FINANCE($C35, ""price"", WORKDAY(INT($B35), 1)), 2, 2), """"))/$G35))"),0.00646665959927907)</f>
        <v>0.006466659599</v>
      </c>
      <c r="R35" s="16">
        <f>IFERROR(__xludf.DUMMYFUNCTION("IF(OR(ISBLANK($G35), IFERROR(INDEX(GOOGLEFINANCE($C35, ""price"", WORKDAY(INT($B35), 5)), 2, 2), """")=""""), """", IF($D35=""LONG"", (IFERROR(INDEX(GOOGLEFINANCE($C35, ""price"", WORKDAY(INT($B35), 5)), 2, 2), """")-$G35)/$G35, ($G35-IFERROR(INDEX(GOOGLE"&amp;"FINANCE($C35, ""price"", WORKDAY(INT($B35), 5)), 2, 2), """"))/$G35))"),0.013993427329587546)</f>
        <v>0.01399342733</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4551</v>
      </c>
      <c r="U35" s="10" t="s">
        <v>984</v>
      </c>
      <c r="V35" s="10" t="s">
        <v>933</v>
      </c>
      <c r="W35" s="10" t="s">
        <v>51</v>
      </c>
      <c r="X35" s="10" t="s">
        <v>984</v>
      </c>
    </row>
    <row r="36">
      <c r="A36" s="9">
        <f t="shared" si="1"/>
        <v>35</v>
      </c>
      <c r="B36" s="11">
        <v>46227.66758101852</v>
      </c>
      <c r="C36" s="10" t="s">
        <v>1154</v>
      </c>
      <c r="D36" s="10" t="s">
        <v>36</v>
      </c>
      <c r="E36" s="10" t="s">
        <v>37</v>
      </c>
      <c r="F36" s="13">
        <v>2.0</v>
      </c>
      <c r="G36" s="14">
        <v>1328.49</v>
      </c>
      <c r="H36" s="10" t="s">
        <v>3761</v>
      </c>
      <c r="I36" s="10">
        <v>95.3</v>
      </c>
      <c r="O36" s="15">
        <f>IFERROR(__xludf.DUMMYFUNCTION("IF(ISBLANK($C36), """", GOOGLEFINANCE($C36, ""price""))"),1421.24)</f>
        <v>1421.24</v>
      </c>
      <c r="P36" s="16">
        <f t="shared" si="2"/>
        <v>0.06981610701</v>
      </c>
      <c r="Q36" s="16">
        <f>IFERROR(__xludf.DUMMYFUNCTION("IF(OR(ISBLANK($G36), IFERROR(INDEX(GOOGLEFINANCE($C36, ""price"", WORKDAY(INT($B36), 1)), 2, 2), """")=""""), """", IF($D36=""LONG"", (IFERROR(INDEX(GOOGLEFINANCE($C36, ""price"", WORKDAY(INT($B36), 1)), 2, 2), """")-$G36)/$G36, ($G36-IFERROR(INDEX(GOOGLE"&amp;"FINANCE($C36, ""price"", WORKDAY(INT($B36), 1)), 2, 2), """"))/$G36))"),0.005871327597497877)</f>
        <v>0.005871327597</v>
      </c>
      <c r="R36" s="16">
        <f>IFERROR(__xludf.DUMMYFUNCTION("IF(OR(ISBLANK($G36), IFERROR(INDEX(GOOGLEFINANCE($C36, ""price"", WORKDAY(INT($B36), 5)), 2, 2), """")=""""), """", IF($D36=""LONG"", (IFERROR(INDEX(GOOGLEFINANCE($C36, ""price"", WORKDAY(INT($B36), 5)), 2, 2), """")-$G36)/$G36, ($G36-IFERROR(INDEX(GOOGLE"&amp;"FINANCE($C36, ""price"", WORKDAY(INT($B36), 5)), 2, 2), """"))/$G36))"),0.06609759953029375)</f>
        <v>0.06609759953</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4554</v>
      </c>
      <c r="U36" s="10" t="s">
        <v>984</v>
      </c>
      <c r="V36" s="10" t="s">
        <v>985</v>
      </c>
      <c r="W36" s="10" t="s">
        <v>51</v>
      </c>
      <c r="X36" s="10" t="s">
        <v>984</v>
      </c>
    </row>
    <row r="37">
      <c r="A37" s="9">
        <f t="shared" si="1"/>
        <v>36</v>
      </c>
      <c r="B37" s="11">
        <v>46227.66756944444</v>
      </c>
      <c r="C37" s="10" t="s">
        <v>696</v>
      </c>
      <c r="D37" s="10" t="s">
        <v>36</v>
      </c>
      <c r="E37" s="10" t="s">
        <v>37</v>
      </c>
      <c r="F37" s="13">
        <v>2.0</v>
      </c>
      <c r="G37" s="14">
        <v>175.22</v>
      </c>
      <c r="H37" s="10" t="s">
        <v>4556</v>
      </c>
      <c r="I37" s="10">
        <v>90.5</v>
      </c>
      <c r="O37" s="15">
        <f>IFERROR(__xludf.DUMMYFUNCTION("IF(ISBLANK($C37), """", GOOGLEFINANCE($C37, ""price""))"),178.56)</f>
        <v>178.56</v>
      </c>
      <c r="P37" s="16">
        <f t="shared" si="2"/>
        <v>0.01906175094</v>
      </c>
      <c r="Q37" s="16">
        <f>IFERROR(__xludf.DUMMYFUNCTION("IF(OR(ISBLANK($G37), IFERROR(INDEX(GOOGLEFINANCE($C37, ""price"", WORKDAY(INT($B37), 1)), 2, 2), """")=""""), """", IF($D37=""LONG"", (IFERROR(INDEX(GOOGLEFINANCE($C37, ""price"", WORKDAY(INT($B37), 1)), 2, 2), """")-$G37)/$G37, ($G37-IFERROR(INDEX(GOOGLE"&amp;"FINANCE($C37, ""price"", WORKDAY(INT($B37), 1)), 2, 2), """"))/$G37))"),-0.022143590914279167)</f>
        <v>-0.02214359091</v>
      </c>
      <c r="R37" s="16">
        <f>IFERROR(__xludf.DUMMYFUNCTION("IF(OR(ISBLANK($G37), IFERROR(INDEX(GOOGLEFINANCE($C37, ""price"", WORKDAY(INT($B37), 5)), 2, 2), """")=""""), """", IF($D37=""LONG"", (IFERROR(INDEX(GOOGLEFINANCE($C37, ""price"", WORKDAY(INT($B37), 5)), 2, 2), """")-$G37)/$G37, ($G37-IFERROR(INDEX(GOOGLE"&amp;"FINANCE($C37, ""price"", WORKDAY(INT($B37), 5)), 2, 2), """"))/$G37))"),-0.04183312407259453)</f>
        <v>-0.04183312407</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4558</v>
      </c>
      <c r="U37" s="10" t="s">
        <v>984</v>
      </c>
      <c r="V37" s="10" t="s">
        <v>998</v>
      </c>
      <c r="W37" s="10" t="s">
        <v>51</v>
      </c>
      <c r="X37" s="10" t="s">
        <v>984</v>
      </c>
    </row>
    <row r="38">
      <c r="A38" s="9">
        <f t="shared" si="1"/>
        <v>37</v>
      </c>
      <c r="B38" s="11">
        <v>46227.667604166665</v>
      </c>
      <c r="C38" s="10" t="s">
        <v>2025</v>
      </c>
      <c r="D38" s="10" t="s">
        <v>36</v>
      </c>
      <c r="E38" s="10" t="s">
        <v>37</v>
      </c>
      <c r="F38" s="13">
        <v>2.0</v>
      </c>
      <c r="G38" s="14">
        <v>67.67</v>
      </c>
      <c r="H38" s="10" t="s">
        <v>4560</v>
      </c>
      <c r="I38" s="10">
        <v>99.4</v>
      </c>
      <c r="O38" s="15">
        <f>IFERROR(__xludf.DUMMYFUNCTION("IF(ISBLANK($C38), """", GOOGLEFINANCE($C38, ""price""))"),71.18)</f>
        <v>71.18</v>
      </c>
      <c r="P38" s="16">
        <f t="shared" si="2"/>
        <v>0.05186936604</v>
      </c>
      <c r="Q38" s="16">
        <f>IFERROR(__xludf.DUMMYFUNCTION("IF(OR(ISBLANK($G38), IFERROR(INDEX(GOOGLEFINANCE($C38, ""price"", WORKDAY(INT($B38), 1)), 2, 2), """")=""""), """", IF($D38=""LONG"", (IFERROR(INDEX(GOOGLEFINANCE($C38, ""price"", WORKDAY(INT($B38), 1)), 2, 2), """")-$G38)/$G38, ($G38-IFERROR(INDEX(GOOGLE"&amp;"FINANCE($C38, ""price"", WORKDAY(INT($B38), 1)), 2, 2), """"))/$G38))"),0.029998522240283747)</f>
        <v>0.02999852224</v>
      </c>
      <c r="R38" s="16">
        <f>IFERROR(__xludf.DUMMYFUNCTION("IF(OR(ISBLANK($G38), IFERROR(INDEX(GOOGLEFINANCE($C38, ""price"", WORKDAY(INT($B38), 5)), 2, 2), """")=""""), """", IF($D38=""LONG"", (IFERROR(INDEX(GOOGLEFINANCE($C38, ""price"", WORKDAY(INT($B38), 5)), 2, 2), """")-$G38)/$G38, ($G38-IFERROR(INDEX(GOOGLE"&amp;"FINANCE($C38, ""price"", WORKDAY(INT($B38), 5)), 2, 2), """"))/$G38))"),0.04034284025417473)</f>
        <v>0.04034284025</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4561</v>
      </c>
      <c r="U38" s="10" t="s">
        <v>984</v>
      </c>
      <c r="V38" s="10" t="s">
        <v>985</v>
      </c>
      <c r="W38" s="10" t="s">
        <v>51</v>
      </c>
      <c r="X38" s="10" t="s">
        <v>984</v>
      </c>
    </row>
    <row r="39">
      <c r="A39" s="9">
        <f t="shared" si="1"/>
        <v>38</v>
      </c>
      <c r="B39" s="11">
        <v>46227.667592592596</v>
      </c>
      <c r="C39" s="10" t="s">
        <v>3364</v>
      </c>
      <c r="D39" s="10" t="s">
        <v>36</v>
      </c>
      <c r="E39" s="10" t="s">
        <v>37</v>
      </c>
      <c r="F39" s="13">
        <v>2.0</v>
      </c>
      <c r="G39" s="14">
        <v>186.29</v>
      </c>
      <c r="H39" s="10" t="s">
        <v>855</v>
      </c>
      <c r="I39" s="10">
        <v>98.9</v>
      </c>
      <c r="O39" s="15">
        <f>IFERROR(__xludf.DUMMYFUNCTION("IF(ISBLANK($C39), """", GOOGLEFINANCE($C39, ""price""))"),217.8)</f>
        <v>217.8</v>
      </c>
      <c r="P39" s="16">
        <f t="shared" si="2"/>
        <v>0.1691448816</v>
      </c>
      <c r="Q39" s="16">
        <f>IFERROR(__xludf.DUMMYFUNCTION("IF(OR(ISBLANK($G39), IFERROR(INDEX(GOOGLEFINANCE($C39, ""price"", WORKDAY(INT($B39), 1)), 2, 2), """")=""""), """", IF($D39=""LONG"", (IFERROR(INDEX(GOOGLEFINANCE($C39, ""price"", WORKDAY(INT($B39), 1)), 2, 2), """")-$G39)/$G39, ($G39-IFERROR(INDEX(GOOGLE"&amp;"FINANCE($C39, ""price"", WORKDAY(INT($B39), 1)), 2, 2), """"))/$G39))"),0.04385635299801394)</f>
        <v>0.043856353</v>
      </c>
      <c r="R39" s="16">
        <f>IFERROR(__xludf.DUMMYFUNCTION("IF(OR(ISBLANK($G39), IFERROR(INDEX(GOOGLEFINANCE($C39, ""price"", WORKDAY(INT($B39), 5)), 2, 2), """")=""""), """", IF($D39=""LONG"", (IFERROR(INDEX(GOOGLEFINANCE($C39, ""price"", WORKDAY(INT($B39), 5)), 2, 2), """")-$G39)/$G39, ($G39-IFERROR(INDEX(GOOGLE"&amp;"FINANCE($C39, ""price"", WORKDAY(INT($B39), 5)), 2, 2), """"))/$G39))"),0.09388587685866127)</f>
        <v>0.09388587686</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4566</v>
      </c>
      <c r="U39" s="10" t="s">
        <v>984</v>
      </c>
      <c r="V39" s="10" t="s">
        <v>985</v>
      </c>
      <c r="W39" s="10" t="s">
        <v>51</v>
      </c>
      <c r="X39" s="10" t="s">
        <v>984</v>
      </c>
    </row>
    <row r="40">
      <c r="A40" s="9">
        <f t="shared" si="1"/>
        <v>39</v>
      </c>
      <c r="B40" s="11">
        <v>46227.66761574074</v>
      </c>
      <c r="C40" s="10" t="s">
        <v>4567</v>
      </c>
      <c r="D40" s="10" t="s">
        <v>36</v>
      </c>
      <c r="E40" s="10" t="s">
        <v>37</v>
      </c>
      <c r="F40" s="13">
        <v>2.0</v>
      </c>
      <c r="G40" s="14">
        <v>85.91</v>
      </c>
      <c r="H40" s="10" t="s">
        <v>4568</v>
      </c>
      <c r="I40" s="10">
        <v>88.6</v>
      </c>
      <c r="O40" s="15">
        <f>IFERROR(__xludf.DUMMYFUNCTION("IF(ISBLANK($C40), """", GOOGLEFINANCE($C40, ""price""))"),77.51)</f>
        <v>77.51</v>
      </c>
      <c r="P40" s="16">
        <f t="shared" si="2"/>
        <v>-0.0977767431</v>
      </c>
      <c r="Q40" s="16">
        <f>IFERROR(__xludf.DUMMYFUNCTION("IF(OR(ISBLANK($G40), IFERROR(INDEX(GOOGLEFINANCE($C40, ""price"", WORKDAY(INT($B40), 1)), 2, 2), """")=""""), """", IF($D40=""LONG"", (IFERROR(INDEX(GOOGLEFINANCE($C40, ""price"", WORKDAY(INT($B40), 1)), 2, 2), """")-$G40)/$G40, ($G40-IFERROR(INDEX(GOOGLE"&amp;"FINANCE($C40, ""price"", WORKDAY(INT($B40), 1)), 2, 2), """"))/$G40))"),-0.03166104062390873)</f>
        <v>-0.03166104062</v>
      </c>
      <c r="R40" s="16">
        <f>IFERROR(__xludf.DUMMYFUNCTION("IF(OR(ISBLANK($G40), IFERROR(INDEX(GOOGLEFINANCE($C40, ""price"", WORKDAY(INT($B40), 5)), 2, 2), """")=""""), """", IF($D40=""LONG"", (IFERROR(INDEX(GOOGLEFINANCE($C40, ""price"", WORKDAY(INT($B40), 5)), 2, 2), """")-$G40)/$G40, ($G40-IFERROR(INDEX(GOOGLE"&amp;"FINANCE($C40, ""price"", WORKDAY(INT($B40), 5)), 2, 2), """"))/$G40))"),-0.07729018740542429)</f>
        <v>-0.07729018741</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4570</v>
      </c>
      <c r="U40" s="10" t="s">
        <v>984</v>
      </c>
      <c r="V40" s="10" t="s">
        <v>2785</v>
      </c>
      <c r="W40" s="10" t="s">
        <v>51</v>
      </c>
      <c r="X40" s="10" t="s">
        <v>984</v>
      </c>
    </row>
    <row r="41">
      <c r="A41" s="9">
        <f t="shared" si="1"/>
        <v>40</v>
      </c>
      <c r="B41" s="11">
        <v>46227.667592592596</v>
      </c>
      <c r="C41" s="10" t="s">
        <v>67</v>
      </c>
      <c r="D41" s="10" t="s">
        <v>36</v>
      </c>
      <c r="E41" s="10" t="s">
        <v>37</v>
      </c>
      <c r="F41" s="13">
        <v>2.0</v>
      </c>
      <c r="G41" s="14">
        <v>85.43</v>
      </c>
      <c r="H41" s="10" t="s">
        <v>4571</v>
      </c>
      <c r="I41" s="10">
        <v>92.5</v>
      </c>
      <c r="O41" s="15">
        <f>IFERROR(__xludf.DUMMYFUNCTION("IF(ISBLANK($C41), """", GOOGLEFINANCE($C41, ""price""))"),80.02)</f>
        <v>80.02</v>
      </c>
      <c r="P41" s="16">
        <f t="shared" si="2"/>
        <v>-0.06332670022</v>
      </c>
      <c r="Q41" s="16">
        <f>IFERROR(__xludf.DUMMYFUNCTION("IF(OR(ISBLANK($G41), IFERROR(INDEX(GOOGLEFINANCE($C41, ""price"", WORKDAY(INT($B41), 1)), 2, 2), """")=""""), """", IF($D41=""LONG"", (IFERROR(INDEX(GOOGLEFINANCE($C41, ""price"", WORKDAY(INT($B41), 1)), 2, 2), """")-$G41)/$G41, ($G41-IFERROR(INDEX(GOOGLE"&amp;"FINANCE($C41, ""price"", WORKDAY(INT($B41), 1)), 2, 2), """"))/$G41))"),0.035350579421748754)</f>
        <v>0.03535057942</v>
      </c>
      <c r="R41" s="16">
        <f>IFERROR(__xludf.DUMMYFUNCTION("IF(OR(ISBLANK($G41), IFERROR(INDEX(GOOGLEFINANCE($C41, ""price"", WORKDAY(INT($B41), 5)), 2, 2), """")=""""), """", IF($D41=""LONG"", (IFERROR(INDEX(GOOGLEFINANCE($C41, ""price"", WORKDAY(INT($B41), 5)), 2, 2), """")-$G41)/$G41, ($G41-IFERROR(INDEX(GOOGLE"&amp;"FINANCE($C41, ""price"", WORKDAY(INT($B41), 5)), 2, 2), """"))/$G41))"),0.009715556596043524)</f>
        <v>0.009715556596</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4573</v>
      </c>
      <c r="U41" s="10" t="s">
        <v>984</v>
      </c>
      <c r="V41" s="10" t="s">
        <v>933</v>
      </c>
      <c r="W41" s="10" t="s">
        <v>51</v>
      </c>
      <c r="X41" s="10" t="s">
        <v>984</v>
      </c>
    </row>
    <row r="42">
      <c r="A42" s="9">
        <f t="shared" si="1"/>
        <v>41</v>
      </c>
      <c r="B42" s="11">
        <v>46227.667592592596</v>
      </c>
      <c r="C42" s="10" t="s">
        <v>455</v>
      </c>
      <c r="D42" s="10" t="s">
        <v>36</v>
      </c>
      <c r="E42" s="10" t="s">
        <v>37</v>
      </c>
      <c r="F42" s="13">
        <v>2.0</v>
      </c>
      <c r="G42" s="14">
        <v>109.69</v>
      </c>
      <c r="H42" s="10" t="s">
        <v>4575</v>
      </c>
      <c r="I42" s="10">
        <v>94.5</v>
      </c>
      <c r="O42" s="15">
        <f>IFERROR(__xludf.DUMMYFUNCTION("IF(ISBLANK($C42), """", GOOGLEFINANCE($C42, ""price""))"),108.66)</f>
        <v>108.66</v>
      </c>
      <c r="P42" s="16">
        <f t="shared" si="2"/>
        <v>-0.009390099371</v>
      </c>
      <c r="Q42" s="16">
        <f>IFERROR(__xludf.DUMMYFUNCTION("IF(OR(ISBLANK($G42), IFERROR(INDEX(GOOGLEFINANCE($C42, ""price"", WORKDAY(INT($B42), 1)), 2, 2), """")=""""), """", IF($D42=""LONG"", (IFERROR(INDEX(GOOGLEFINANCE($C42, ""price"", WORKDAY(INT($B42), 1)), 2, 2), """")-$G42)/$G42, ($G42-IFERROR(INDEX(GOOGLE"&amp;"FINANCE($C42, ""price"", WORKDAY(INT($B42), 1)), 2, 2), """"))/$G42))"),0.01595405232929164)</f>
        <v>0.01595405233</v>
      </c>
      <c r="R42" s="16">
        <f>IFERROR(__xludf.DUMMYFUNCTION("IF(OR(ISBLANK($G42), IFERROR(INDEX(GOOGLEFINANCE($C42, ""price"", WORKDAY(INT($B42), 5)), 2, 2), """")=""""), """", IF($D42=""LONG"", (IFERROR(INDEX(GOOGLEFINANCE($C42, ""price"", WORKDAY(INT($B42), 5)), 2, 2), """")-$G42)/$G42, ($G42-IFERROR(INDEX(GOOGLE"&amp;"FINANCE($C42, ""price"", WORKDAY(INT($B42), 5)), 2, 2), """"))/$G42))"),-0.0034643085057890007)</f>
        <v>-0.003464308506</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4579</v>
      </c>
      <c r="U42" s="10" t="s">
        <v>984</v>
      </c>
      <c r="V42" s="10" t="s">
        <v>2785</v>
      </c>
      <c r="W42" s="10" t="s">
        <v>51</v>
      </c>
      <c r="X42" s="10" t="s">
        <v>984</v>
      </c>
    </row>
    <row r="43">
      <c r="A43" s="9">
        <f t="shared" si="1"/>
        <v>42</v>
      </c>
      <c r="B43" s="11">
        <v>46227.667604166665</v>
      </c>
      <c r="C43" s="10" t="s">
        <v>303</v>
      </c>
      <c r="D43" s="10" t="s">
        <v>36</v>
      </c>
      <c r="E43" s="10" t="s">
        <v>37</v>
      </c>
      <c r="F43" s="13">
        <v>2.0</v>
      </c>
      <c r="G43" s="14">
        <v>107.74</v>
      </c>
      <c r="H43" s="10" t="s">
        <v>4581</v>
      </c>
      <c r="I43" s="10">
        <v>88.2</v>
      </c>
      <c r="O43" s="15">
        <f>IFERROR(__xludf.DUMMYFUNCTION("IF(ISBLANK($C43), """", GOOGLEFINANCE($C43, ""price""))"),96.22)</f>
        <v>96.22</v>
      </c>
      <c r="P43" s="16">
        <f t="shared" si="2"/>
        <v>-0.1069240765</v>
      </c>
      <c r="Q43" s="16">
        <f>IFERROR(__xludf.DUMMYFUNCTION("IF(OR(ISBLANK($G43), IFERROR(INDEX(GOOGLEFINANCE($C43, ""price"", WORKDAY(INT($B43), 1)), 2, 2), """")=""""), """", IF($D43=""LONG"", (IFERROR(INDEX(GOOGLEFINANCE($C43, ""price"", WORKDAY(INT($B43), 1)), 2, 2), """")-$G43)/$G43, ($G43-IFERROR(INDEX(GOOGLE"&amp;"FINANCE($C43, ""price"", WORKDAY(INT($B43), 1)), 2, 2), """"))/$G43))"),-0.006218674586968644)</f>
        <v>-0.006218674587</v>
      </c>
      <c r="R43" s="16">
        <f>IFERROR(__xludf.DUMMYFUNCTION("IF(OR(ISBLANK($G43), IFERROR(INDEX(GOOGLEFINANCE($C43, ""price"", WORKDAY(INT($B43), 5)), 2, 2), """")=""""), """", IF($D43=""LONG"", (IFERROR(INDEX(GOOGLEFINANCE($C43, ""price"", WORKDAY(INT($B43), 5)), 2, 2), """")-$G43)/$G43, ($G43-IFERROR(INDEX(GOOGLE"&amp;"FINANCE($C43, ""price"", WORKDAY(INT($B43), 5)), 2, 2), """"))/$G43))"),-0.030722108780397144)</f>
        <v>-0.03072210878</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4583</v>
      </c>
      <c r="U43" s="10" t="s">
        <v>219</v>
      </c>
      <c r="V43" s="10" t="s">
        <v>4584</v>
      </c>
      <c r="W43" s="10" t="s">
        <v>51</v>
      </c>
      <c r="X43" s="10" t="s">
        <v>974</v>
      </c>
    </row>
    <row r="44">
      <c r="A44" s="9">
        <f t="shared" si="1"/>
        <v>43</v>
      </c>
      <c r="B44" s="11">
        <v>46227.66763888889</v>
      </c>
      <c r="C44" s="10" t="s">
        <v>4586</v>
      </c>
      <c r="D44" s="10" t="s">
        <v>36</v>
      </c>
      <c r="E44" s="10" t="s">
        <v>37</v>
      </c>
      <c r="F44" s="13">
        <v>2.0</v>
      </c>
      <c r="G44" s="14">
        <v>309.23</v>
      </c>
      <c r="H44" s="10" t="s">
        <v>4587</v>
      </c>
      <c r="I44" s="10">
        <v>93.4</v>
      </c>
      <c r="L44" s="10" t="s">
        <v>4588</v>
      </c>
      <c r="M44" s="34" t="s">
        <v>951</v>
      </c>
      <c r="N44" s="10" t="s">
        <v>925</v>
      </c>
      <c r="O44" s="15">
        <f>IFERROR(__xludf.DUMMYFUNCTION("IF(ISBLANK($C44), """", GOOGLEFINANCE($C44, ""price""))"),299.25)</f>
        <v>299.25</v>
      </c>
      <c r="P44" s="16">
        <f t="shared" si="2"/>
        <v>-0.03227371212</v>
      </c>
      <c r="Q44" s="16">
        <f>IFERROR(__xludf.DUMMYFUNCTION("IF(OR(ISBLANK($G44), IFERROR(INDEX(GOOGLEFINANCE($C44, ""price"", WORKDAY(INT($B44), 1)), 2, 2), """")=""""), """", IF($D44=""LONG"", (IFERROR(INDEX(GOOGLEFINANCE($C44, ""price"", WORKDAY(INT($B44), 1)), 2, 2), """")-$G44)/$G44, ($G44-IFERROR(INDEX(GOOGLE"&amp;"FINANCE($C44, ""price"", WORKDAY(INT($B44), 1)), 2, 2), """"))/$G44))"),0.010089577337257072)</f>
        <v>0.01008957734</v>
      </c>
      <c r="R44" s="16">
        <f>IFERROR(__xludf.DUMMYFUNCTION("IF(OR(ISBLANK($G44), IFERROR(INDEX(GOOGLEFINANCE($C44, ""price"", WORKDAY(INT($B44), 5)), 2, 2), """")=""""), """", IF($D44=""LONG"", (IFERROR(INDEX(GOOGLEFINANCE($C44, ""price"", WORKDAY(INT($B44), 5)), 2, 2), """")-$G44)/$G44, ($G44-IFERROR(INDEX(GOOGLE"&amp;"FINANCE($C44, ""price"", WORKDAY(INT($B44), 5)), 2, 2), """"))/$G44))"),0.023412993564660638)</f>
        <v>0.02341299356</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4592</v>
      </c>
      <c r="U44" s="10" t="s">
        <v>704</v>
      </c>
      <c r="V44" s="10" t="s">
        <v>4593</v>
      </c>
      <c r="W44" s="10" t="s">
        <v>51</v>
      </c>
      <c r="X44" s="10" t="s">
        <v>1885</v>
      </c>
    </row>
    <row r="45">
      <c r="A45" s="9">
        <f t="shared" si="1"/>
        <v>44</v>
      </c>
      <c r="B45" s="11">
        <v>46227.667546296296</v>
      </c>
      <c r="C45" s="10" t="s">
        <v>3104</v>
      </c>
      <c r="D45" s="10" t="s">
        <v>36</v>
      </c>
      <c r="E45" s="10" t="s">
        <v>37</v>
      </c>
      <c r="F45" s="13">
        <v>2.0</v>
      </c>
      <c r="G45" s="14">
        <v>169.31</v>
      </c>
      <c r="H45" s="10" t="s">
        <v>4594</v>
      </c>
      <c r="I45" s="10">
        <v>92.9</v>
      </c>
      <c r="O45" s="15">
        <f>IFERROR(__xludf.DUMMYFUNCTION("IF(ISBLANK($C45), """", GOOGLEFINANCE($C45, ""price""))"),179.33)</f>
        <v>179.33</v>
      </c>
      <c r="P45" s="16">
        <f t="shared" si="2"/>
        <v>0.05918138326</v>
      </c>
      <c r="Q45" s="16">
        <f>IFERROR(__xludf.DUMMYFUNCTION("IF(OR(ISBLANK($G45), IFERROR(INDEX(GOOGLEFINANCE($C45, ""price"", WORKDAY(INT($B45), 1)), 2, 2), """")=""""), """", IF($D45=""LONG"", (IFERROR(INDEX(GOOGLEFINANCE($C45, ""price"", WORKDAY(INT($B45), 1)), 2, 2), """")-$G45)/$G45, ($G45-IFERROR(INDEX(GOOGLE"&amp;"FINANCE($C45, ""price"", WORKDAY(INT($B45), 1)), 2, 2), """"))/$G45))"),0.02533813714488212)</f>
        <v>0.02533813714</v>
      </c>
      <c r="R45" s="16">
        <f>IFERROR(__xludf.DUMMYFUNCTION("IF(OR(ISBLANK($G45), IFERROR(INDEX(GOOGLEFINANCE($C45, ""price"", WORKDAY(INT($B45), 5)), 2, 2), """")=""""), """", IF($D45=""LONG"", (IFERROR(INDEX(GOOGLEFINANCE($C45, ""price"", WORKDAY(INT($B45), 5)), 2, 2), """")-$G45)/$G45, ($G45-IFERROR(INDEX(GOOGLE"&amp;"FINANCE($C45, ""price"", WORKDAY(INT($B45), 5)), 2, 2), """"))/$G45))"),0.03939519225090064)</f>
        <v>0.03939519225</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4597</v>
      </c>
      <c r="U45" s="10" t="s">
        <v>984</v>
      </c>
      <c r="V45" s="10" t="s">
        <v>2785</v>
      </c>
      <c r="W45" s="10" t="s">
        <v>51</v>
      </c>
      <c r="X45" s="10" t="s">
        <v>984</v>
      </c>
    </row>
    <row r="46">
      <c r="A46" s="9">
        <f t="shared" si="1"/>
        <v>45</v>
      </c>
      <c r="B46" s="11">
        <v>46227.66762731481</v>
      </c>
      <c r="C46" s="10" t="s">
        <v>4598</v>
      </c>
      <c r="D46" s="10" t="s">
        <v>36</v>
      </c>
      <c r="E46" s="10" t="s">
        <v>87</v>
      </c>
      <c r="F46" s="13">
        <v>2.0</v>
      </c>
      <c r="G46" s="14">
        <v>14.78</v>
      </c>
      <c r="H46" s="10" t="s">
        <v>4599</v>
      </c>
      <c r="I46" s="10">
        <v>95.0</v>
      </c>
      <c r="O46" s="15">
        <f>IFERROR(__xludf.DUMMYFUNCTION("IF(ISBLANK($C46), """", GOOGLEFINANCE($C46, ""price""))"),14.85)</f>
        <v>14.85</v>
      </c>
      <c r="P46" s="16">
        <f t="shared" si="2"/>
        <v>0.004736129905</v>
      </c>
      <c r="Q46" s="16">
        <f>IFERROR(__xludf.DUMMYFUNCTION("IF(OR(ISBLANK($G46), IFERROR(INDEX(GOOGLEFINANCE($C46, ""price"", WORKDAY(INT($B46), 1)), 2, 2), """")=""""), """", IF($D46=""LONG"", (IFERROR(INDEX(GOOGLEFINANCE($C46, ""price"", WORKDAY(INT($B46), 1)), 2, 2), """")-$G46)/$G46, ($G46-IFERROR(INDEX(GOOGLE"&amp;"FINANCE($C46, ""price"", WORKDAY(INT($B46), 1)), 2, 2), """"))/$G46))"),0.03112313937753727)</f>
        <v>0.03112313938</v>
      </c>
      <c r="R46" s="16">
        <f>IFERROR(__xludf.DUMMYFUNCTION("IF(OR(ISBLANK($G46), IFERROR(INDEX(GOOGLEFINANCE($C46, ""price"", WORKDAY(INT($B46), 5)), 2, 2), """")=""""), """", IF($D46=""LONG"", (IFERROR(INDEX(GOOGLEFINANCE($C46, ""price"", WORKDAY(INT($B46), 5)), 2, 2), """")-$G46)/$G46, ($G46-IFERROR(INDEX(GOOGLE"&amp;"FINANCE($C46, ""price"", WORKDAY(INT($B46), 5)), 2, 2), """"))/$G46))"),-0.01826792963464138)</f>
        <v>-0.01826792963</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4602</v>
      </c>
      <c r="U46" s="10" t="s">
        <v>984</v>
      </c>
      <c r="V46" s="10" t="s">
        <v>985</v>
      </c>
      <c r="W46" s="10" t="s">
        <v>51</v>
      </c>
      <c r="X46" s="10" t="s">
        <v>984</v>
      </c>
    </row>
    <row r="47">
      <c r="A47" s="9">
        <f t="shared" si="1"/>
        <v>46</v>
      </c>
      <c r="B47" s="11">
        <v>46227.667650462965</v>
      </c>
      <c r="C47" s="10" t="s">
        <v>424</v>
      </c>
      <c r="D47" s="10" t="s">
        <v>36</v>
      </c>
      <c r="E47" s="10" t="s">
        <v>37</v>
      </c>
      <c r="F47" s="13">
        <v>2.0</v>
      </c>
      <c r="G47" s="14">
        <v>83.13</v>
      </c>
      <c r="H47" s="10" t="s">
        <v>4603</v>
      </c>
      <c r="I47" s="10">
        <v>89.8</v>
      </c>
      <c r="O47" s="15">
        <f>IFERROR(__xludf.DUMMYFUNCTION("IF(ISBLANK($C47), """", GOOGLEFINANCE($C47, ""price""))"),84.35)</f>
        <v>84.35</v>
      </c>
      <c r="P47" s="16">
        <f t="shared" si="2"/>
        <v>0.01467580897</v>
      </c>
      <c r="Q47" s="16">
        <f>IFERROR(__xludf.DUMMYFUNCTION("IF(OR(ISBLANK($G47), IFERROR(INDEX(GOOGLEFINANCE($C47, ""price"", WORKDAY(INT($B47), 1)), 2, 2), """")=""""), """", IF($D47=""LONG"", (IFERROR(INDEX(GOOGLEFINANCE($C47, ""price"", WORKDAY(INT($B47), 1)), 2, 2), """")-$G47)/$G47, ($G47-IFERROR(INDEX(GOOGLE"&amp;"FINANCE($C47, ""price"", WORKDAY(INT($B47), 1)), 2, 2), """"))/$G47))"),0.011548177553229977)</f>
        <v>0.01154817755</v>
      </c>
      <c r="R47" s="16">
        <f>IFERROR(__xludf.DUMMYFUNCTION("IF(OR(ISBLANK($G47), IFERROR(INDEX(GOOGLEFINANCE($C47, ""price"", WORKDAY(INT($B47), 5)), 2, 2), """")=""""), """", IF($D47=""LONG"", (IFERROR(INDEX(GOOGLEFINANCE($C47, ""price"", WORKDAY(INT($B47), 5)), 2, 2), """")-$G47)/$G47, ($G47-IFERROR(INDEX(GOOGLE"&amp;"FINANCE($C47, ""price"", WORKDAY(INT($B47), 5)), 2, 2), """"))/$G47))"),0.025381931913869837)</f>
        <v>0.02538193191</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4605</v>
      </c>
      <c r="U47" s="10" t="s">
        <v>984</v>
      </c>
      <c r="V47" s="10" t="s">
        <v>2785</v>
      </c>
      <c r="W47" s="10" t="s">
        <v>51</v>
      </c>
      <c r="X47" s="10" t="s">
        <v>984</v>
      </c>
    </row>
    <row r="48">
      <c r="A48" s="9">
        <f t="shared" si="1"/>
        <v>47</v>
      </c>
      <c r="B48" s="11">
        <v>46227.667650462965</v>
      </c>
      <c r="C48" s="10" t="s">
        <v>3445</v>
      </c>
      <c r="D48" s="10" t="s">
        <v>36</v>
      </c>
      <c r="E48" s="10" t="s">
        <v>37</v>
      </c>
      <c r="F48" s="13">
        <v>2.0</v>
      </c>
      <c r="G48" s="14">
        <v>250.12</v>
      </c>
      <c r="H48" s="10" t="s">
        <v>4607</v>
      </c>
      <c r="I48" s="10">
        <v>98.5</v>
      </c>
      <c r="O48" s="15">
        <f>IFERROR(__xludf.DUMMYFUNCTION("IF(ISBLANK($C48), """", GOOGLEFINANCE($C48, ""price""))"),273.51)</f>
        <v>273.51</v>
      </c>
      <c r="P48" s="16">
        <f t="shared" si="2"/>
        <v>0.09351511275</v>
      </c>
      <c r="Q48" s="16">
        <f>IFERROR(__xludf.DUMMYFUNCTION("IF(OR(ISBLANK($G48), IFERROR(INDEX(GOOGLEFINANCE($C48, ""price"", WORKDAY(INT($B48), 1)), 2, 2), """")=""""), """", IF($D48=""LONG"", (IFERROR(INDEX(GOOGLEFINANCE($C48, ""price"", WORKDAY(INT($B48), 1)), 2, 2), """")-$G48)/$G48, ($G48-IFERROR(INDEX(GOOGLE"&amp;"FINANCE($C48, ""price"", WORKDAY(INT($B48), 1)), 2, 2), """"))/$G48))"),0.019430673276827064)</f>
        <v>0.01943067328</v>
      </c>
      <c r="R48" s="16">
        <f>IFERROR(__xludf.DUMMYFUNCTION("IF(OR(ISBLANK($G48), IFERROR(INDEX(GOOGLEFINANCE($C48, ""price"", WORKDAY(INT($B48), 5)), 2, 2), """")=""""), """", IF($D48=""LONG"", (IFERROR(INDEX(GOOGLEFINANCE($C48, ""price"", WORKDAY(INT($B48), 5)), 2, 2), """")-$G48)/$G48, ($G48-IFERROR(INDEX(GOOGLE"&amp;"FINANCE($C48, ""price"", WORKDAY(INT($B48), 5)), 2, 2), """"))/$G48))"),0.06532864225171907)</f>
        <v>0.06532864225</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4608</v>
      </c>
      <c r="U48" s="10" t="s">
        <v>984</v>
      </c>
      <c r="V48" s="10" t="s">
        <v>985</v>
      </c>
      <c r="W48" s="10" t="s">
        <v>51</v>
      </c>
      <c r="X48" s="10" t="s">
        <v>984</v>
      </c>
    </row>
    <row r="49">
      <c r="A49" s="9">
        <f t="shared" si="1"/>
        <v>48</v>
      </c>
      <c r="B49" s="11">
        <v>46227.66761574074</v>
      </c>
      <c r="C49" s="10" t="s">
        <v>765</v>
      </c>
      <c r="D49" s="10" t="s">
        <v>36</v>
      </c>
      <c r="E49" s="10" t="s">
        <v>37</v>
      </c>
      <c r="F49" s="13">
        <v>2.0</v>
      </c>
      <c r="G49" s="14">
        <v>125.61</v>
      </c>
      <c r="H49" s="10" t="s">
        <v>4610</v>
      </c>
      <c r="I49" s="10">
        <v>84.9</v>
      </c>
      <c r="O49" s="15">
        <f>IFERROR(__xludf.DUMMYFUNCTION("IF(ISBLANK($C49), """", GOOGLEFINANCE($C49, ""price""))"),126.66)</f>
        <v>126.66</v>
      </c>
      <c r="P49" s="16">
        <f t="shared" si="2"/>
        <v>0.00835920707</v>
      </c>
      <c r="Q49" s="16">
        <f>IFERROR(__xludf.DUMMYFUNCTION("IF(OR(ISBLANK($G49), IFERROR(INDEX(GOOGLEFINANCE($C49, ""price"", WORKDAY(INT($B49), 1)), 2, 2), """")=""""), """", IF($D49=""LONG"", (IFERROR(INDEX(GOOGLEFINANCE($C49, ""price"", WORKDAY(INT($B49), 1)), 2, 2), """")-$G49)/$G49, ($G49-IFERROR(INDEX(GOOGLE"&amp;"FINANCE($C49, ""price"", WORKDAY(INT($B49), 1)), 2, 2), """"))/$G49))"),0.007563092110500779)</f>
        <v>0.007563092111</v>
      </c>
      <c r="R49" s="16">
        <f>IFERROR(__xludf.DUMMYFUNCTION("IF(OR(ISBLANK($G49), IFERROR(INDEX(GOOGLEFINANCE($C49, ""price"", WORKDAY(INT($B49), 5)), 2, 2), """")=""""), """", IF($D49=""LONG"", (IFERROR(INDEX(GOOGLEFINANCE($C49, ""price"", WORKDAY(INT($B49), 5)), 2, 2), """")-$G49)/$G49, ($G49-IFERROR(INDEX(GOOGLE"&amp;"FINANCE($C49, ""price"", WORKDAY(INT($B49), 5)), 2, 2), """"))/$G49))"),0.014887349733301525)</f>
        <v>0.01488734973</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4614</v>
      </c>
      <c r="U49" s="10" t="s">
        <v>984</v>
      </c>
      <c r="V49" s="10" t="s">
        <v>933</v>
      </c>
      <c r="W49" s="10" t="s">
        <v>51</v>
      </c>
      <c r="X49" s="10" t="s">
        <v>984</v>
      </c>
    </row>
    <row r="50">
      <c r="A50" s="9">
        <f t="shared" si="1"/>
        <v>49</v>
      </c>
      <c r="B50" s="11">
        <v>46227.667662037034</v>
      </c>
      <c r="C50" s="10" t="s">
        <v>406</v>
      </c>
      <c r="D50" s="10" t="s">
        <v>36</v>
      </c>
      <c r="E50" s="10" t="s">
        <v>37</v>
      </c>
      <c r="F50" s="13">
        <v>2.0</v>
      </c>
      <c r="G50" s="14">
        <v>182.76</v>
      </c>
      <c r="H50" s="10" t="s">
        <v>4615</v>
      </c>
      <c r="I50" s="10">
        <v>88.0</v>
      </c>
      <c r="L50" s="10" t="s">
        <v>4616</v>
      </c>
      <c r="M50" s="34" t="s">
        <v>3374</v>
      </c>
      <c r="N50" s="10" t="s">
        <v>925</v>
      </c>
      <c r="O50" s="15">
        <f>IFERROR(__xludf.DUMMYFUNCTION("IF(ISBLANK($C50), """", GOOGLEFINANCE($C50, ""price""))"),179.04)</f>
        <v>179.04</v>
      </c>
      <c r="P50" s="16">
        <f t="shared" si="2"/>
        <v>-0.02035456336</v>
      </c>
      <c r="Q50" s="16">
        <f>IFERROR(__xludf.DUMMYFUNCTION("IF(OR(ISBLANK($G50), IFERROR(INDEX(GOOGLEFINANCE($C50, ""price"", WORKDAY(INT($B50), 1)), 2, 2), """")=""""), """", IF($D50=""LONG"", (IFERROR(INDEX(GOOGLEFINANCE($C50, ""price"", WORKDAY(INT($B50), 1)), 2, 2), """")-$G50)/$G50, ($G50-IFERROR(INDEX(GOOGLE"&amp;"FINANCE($C50, ""price"", WORKDAY(INT($B50), 1)), 2, 2), """"))/$G50))"),0.008043335521996054)</f>
        <v>0.008043335522</v>
      </c>
      <c r="R50" s="16">
        <f>IFERROR(__xludf.DUMMYFUNCTION("IF(OR(ISBLANK($G50), IFERROR(INDEX(GOOGLEFINANCE($C50, ""price"", WORKDAY(INT($B50), 5)), 2, 2), """")=""""), """", IF($D50=""LONG"", (IFERROR(INDEX(GOOGLEFINANCE($C50, ""price"", WORKDAY(INT($B50), 5)), 2, 2), """")-$G50)/$G50, ($G50-IFERROR(INDEX(GOOGLE"&amp;"FINANCE($C50, ""price"", WORKDAY(INT($B50), 5)), 2, 2), """"))/$G50))"),-0.02779601663383664)</f>
        <v>-0.02779601663</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4620</v>
      </c>
      <c r="U50" s="10" t="s">
        <v>507</v>
      </c>
      <c r="V50" s="10" t="s">
        <v>4621</v>
      </c>
      <c r="W50" s="10" t="s">
        <v>51</v>
      </c>
      <c r="X50" s="10" t="s">
        <v>2228</v>
      </c>
    </row>
    <row r="51">
      <c r="A51" s="9">
        <f t="shared" si="1"/>
        <v>50</v>
      </c>
      <c r="B51" s="11">
        <v>46227.667650462965</v>
      </c>
      <c r="C51" s="10" t="s">
        <v>148</v>
      </c>
      <c r="D51" s="10" t="s">
        <v>36</v>
      </c>
      <c r="E51" s="10" t="s">
        <v>37</v>
      </c>
      <c r="F51" s="13">
        <v>2.0</v>
      </c>
      <c r="G51" s="14">
        <v>191.5</v>
      </c>
      <c r="H51" s="10" t="s">
        <v>4622</v>
      </c>
      <c r="I51" s="10">
        <v>81.6</v>
      </c>
      <c r="O51" s="15">
        <f>IFERROR(__xludf.DUMMYFUNCTION("IF(ISBLANK($C51), """", GOOGLEFINANCE($C51, ""price""))"),199.98)</f>
        <v>199.98</v>
      </c>
      <c r="P51" s="16">
        <f t="shared" si="2"/>
        <v>0.04428198433</v>
      </c>
      <c r="Q51" s="16">
        <f>IFERROR(__xludf.DUMMYFUNCTION("IF(OR(ISBLANK($G51), IFERROR(INDEX(GOOGLEFINANCE($C51, ""price"", WORKDAY(INT($B51), 1)), 2, 2), """")=""""), """", IF($D51=""LONG"", (IFERROR(INDEX(GOOGLEFINANCE($C51, ""price"", WORKDAY(INT($B51), 1)), 2, 2), """")-$G51)/$G51, ($G51-IFERROR(INDEX(GOOGLE"&amp;"FINANCE($C51, ""price"", WORKDAY(INT($B51), 1)), 2, 2), """"))/$G51))"),0.02610966057441253)</f>
        <v>0.02610966057</v>
      </c>
      <c r="R51" s="16">
        <f>IFERROR(__xludf.DUMMYFUNCTION("IF(OR(ISBLANK($G51), IFERROR(INDEX(GOOGLEFINANCE($C51, ""price"", WORKDAY(INT($B51), 5)), 2, 2), """")=""""), """", IF($D51=""LONG"", (IFERROR(INDEX(GOOGLEFINANCE($C51, ""price"", WORKDAY(INT($B51), 5)), 2, 2), """")-$G51)/$G51, ($G51-IFERROR(INDEX(GOOGLE"&amp;"FINANCE($C51, ""price"", WORKDAY(INT($B51), 5)), 2, 2), """"))/$G51))"),0.01817232375979107)</f>
        <v>0.01817232376</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4625</v>
      </c>
      <c r="U51" s="10" t="s">
        <v>984</v>
      </c>
      <c r="V51" s="10" t="s">
        <v>985</v>
      </c>
      <c r="W51" s="10" t="s">
        <v>51</v>
      </c>
      <c r="X51" s="10" t="s">
        <v>984</v>
      </c>
    </row>
    <row r="52">
      <c r="A52" s="9">
        <f t="shared" si="1"/>
        <v>51</v>
      </c>
      <c r="B52" s="11">
        <v>46227.66763888889</v>
      </c>
      <c r="C52" s="10" t="s">
        <v>1255</v>
      </c>
      <c r="D52" s="10" t="s">
        <v>36</v>
      </c>
      <c r="E52" s="10" t="s">
        <v>37</v>
      </c>
      <c r="F52" s="13">
        <v>2.0</v>
      </c>
      <c r="G52" s="14">
        <v>79.74</v>
      </c>
      <c r="H52" s="10" t="s">
        <v>4626</v>
      </c>
      <c r="I52" s="10">
        <v>86.4</v>
      </c>
      <c r="O52" s="15">
        <f>IFERROR(__xludf.DUMMYFUNCTION("IF(ISBLANK($C52), """", GOOGLEFINANCE($C52, ""price""))"),67.23)</f>
        <v>67.23</v>
      </c>
      <c r="P52" s="16">
        <f t="shared" si="2"/>
        <v>-0.1568848758</v>
      </c>
      <c r="Q52" s="16">
        <f>IFERROR(__xludf.DUMMYFUNCTION("IF(OR(ISBLANK($G52), IFERROR(INDEX(GOOGLEFINANCE($C52, ""price"", WORKDAY(INT($B52), 1)), 2, 2), """")=""""), """", IF($D52=""LONG"", (IFERROR(INDEX(GOOGLEFINANCE($C52, ""price"", WORKDAY(INT($B52), 1)), 2, 2), """")-$G52)/$G52, ($G52-IFERROR(INDEX(GOOGLE"&amp;"FINANCE($C52, ""price"", WORKDAY(INT($B52), 1)), 2, 2), """"))/$G52))"),-0.013794833207925688)</f>
        <v>-0.01379483321</v>
      </c>
      <c r="R52" s="16">
        <f>IFERROR(__xludf.DUMMYFUNCTION("IF(OR(ISBLANK($G52), IFERROR(INDEX(GOOGLEFINANCE($C52, ""price"", WORKDAY(INT($B52), 5)), 2, 2), """")=""""), """", IF($D52=""LONG"", (IFERROR(INDEX(GOOGLEFINANCE($C52, ""price"", WORKDAY(INT($B52), 5)), 2, 2), """")-$G52)/$G52, ($G52-IFERROR(INDEX(GOOGLE"&amp;"FINANCE($C52, ""price"", WORKDAY(INT($B52), 5)), 2, 2), """"))/$G52))"),-0.07988462503135178)</f>
        <v>-0.07988462503</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4629</v>
      </c>
      <c r="U52" s="10" t="s">
        <v>615</v>
      </c>
      <c r="V52" s="10" t="s">
        <v>4630</v>
      </c>
      <c r="W52" s="10" t="s">
        <v>51</v>
      </c>
      <c r="X52" s="10" t="s">
        <v>2637</v>
      </c>
    </row>
    <row r="53">
      <c r="A53" s="9">
        <f t="shared" si="1"/>
        <v>52</v>
      </c>
      <c r="B53" s="11">
        <v>46227.66768518519</v>
      </c>
      <c r="C53" s="10" t="s">
        <v>63</v>
      </c>
      <c r="D53" s="10" t="s">
        <v>36</v>
      </c>
      <c r="E53" s="10" t="s">
        <v>37</v>
      </c>
      <c r="F53" s="13">
        <v>2.0</v>
      </c>
      <c r="G53" s="14">
        <v>158.92</v>
      </c>
      <c r="H53" s="10" t="s">
        <v>4631</v>
      </c>
      <c r="I53" s="10">
        <v>89.0</v>
      </c>
      <c r="L53" s="10" t="s">
        <v>4632</v>
      </c>
      <c r="M53" s="34" t="s">
        <v>1789</v>
      </c>
      <c r="N53" s="10" t="s">
        <v>925</v>
      </c>
      <c r="O53" s="15">
        <f>IFERROR(__xludf.DUMMYFUNCTION("IF(ISBLANK($C53), """", GOOGLEFINANCE($C53, ""price""))"),158.82)</f>
        <v>158.82</v>
      </c>
      <c r="P53" s="16">
        <f t="shared" si="2"/>
        <v>-0.0006292474201</v>
      </c>
      <c r="Q53" s="16">
        <f>IFERROR(__xludf.DUMMYFUNCTION("IF(OR(ISBLANK($G53), IFERROR(INDEX(GOOGLEFINANCE($C53, ""price"", WORKDAY(INT($B53), 1)), 2, 2), """")=""""), """", IF($D53=""LONG"", (IFERROR(INDEX(GOOGLEFINANCE($C53, ""price"", WORKDAY(INT($B53), 1)), 2, 2), """")-$G53)/$G53, ($G53-IFERROR(INDEX(GOOGLE"&amp;"FINANCE($C53, ""price"", WORKDAY(INT($B53), 1)), 2, 2), """"))/$G53))"),-0.0072363453309840006)</f>
        <v>-0.007236345331</v>
      </c>
      <c r="R53" s="16">
        <f>IFERROR(__xludf.DUMMYFUNCTION("IF(OR(ISBLANK($G53), IFERROR(INDEX(GOOGLEFINANCE($C53, ""price"", WORKDAY(INT($B53), 5)), 2, 2), """")=""""), """", IF($D53=""LONG"", (IFERROR(INDEX(GOOGLEFINANCE($C53, ""price"", WORKDAY(INT($B53), 5)), 2, 2), """")-$G53)/$G53, ($G53-IFERROR(INDEX(GOOGLE"&amp;"FINANCE($C53, ""price"", WORKDAY(INT($B53), 5)), 2, 2), """"))/$G53))"),-0.016297508180216306)</f>
        <v>-0.01629750818</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4636</v>
      </c>
      <c r="U53" s="10" t="s">
        <v>240</v>
      </c>
      <c r="V53" s="10" t="s">
        <v>4637</v>
      </c>
      <c r="W53" s="10" t="s">
        <v>51</v>
      </c>
      <c r="X53" s="10" t="s">
        <v>1905</v>
      </c>
    </row>
    <row r="54">
      <c r="A54" s="9">
        <f t="shared" si="1"/>
        <v>53</v>
      </c>
      <c r="B54" s="11">
        <v>46227.66769675926</v>
      </c>
      <c r="C54" s="10" t="s">
        <v>2311</v>
      </c>
      <c r="D54" s="10" t="s">
        <v>36</v>
      </c>
      <c r="E54" s="10" t="s">
        <v>37</v>
      </c>
      <c r="F54" s="13">
        <v>2.0</v>
      </c>
      <c r="G54" s="14">
        <v>238.84</v>
      </c>
      <c r="H54" s="10" t="s">
        <v>4638</v>
      </c>
      <c r="I54" s="10">
        <v>94.9</v>
      </c>
      <c r="O54" s="15">
        <f>IFERROR(__xludf.DUMMYFUNCTION("IF(ISBLANK($C54), """", GOOGLEFINANCE($C54, ""price""))"),229.01)</f>
        <v>229.01</v>
      </c>
      <c r="P54" s="16">
        <f t="shared" si="2"/>
        <v>-0.04115726009</v>
      </c>
      <c r="Q54" s="16">
        <f>IFERROR(__xludf.DUMMYFUNCTION("IF(OR(ISBLANK($G54), IFERROR(INDEX(GOOGLEFINANCE($C54, ""price"", WORKDAY(INT($B54), 1)), 2, 2), """")=""""), """", IF($D54=""LONG"", (IFERROR(INDEX(GOOGLEFINANCE($C54, ""price"", WORKDAY(INT($B54), 1)), 2, 2), """")-$G54)/$G54, ($G54-IFERROR(INDEX(GOOGLE"&amp;"FINANCE($C54, ""price"", WORKDAY(INT($B54), 1)), 2, 2), """"))/$G54))"),-0.003935689164294078)</f>
        <v>-0.003935689164</v>
      </c>
      <c r="R54" s="16">
        <f>IFERROR(__xludf.DUMMYFUNCTION("IF(OR(ISBLANK($G54), IFERROR(INDEX(GOOGLEFINANCE($C54, ""price"", WORKDAY(INT($B54), 5)), 2, 2), """")=""""), """", IF($D54=""LONG"", (IFERROR(INDEX(GOOGLEFINANCE($C54, ""price"", WORKDAY(INT($B54), 5)), 2, 2), """")-$G54)/$G54, ($G54-IFERROR(INDEX(GOOGLE"&amp;"FINANCE($C54, ""price"", WORKDAY(INT($B54), 5)), 2, 2), """"))/$G54))"),-0.05145704237146203)</f>
        <v>-0.05145704237</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4640</v>
      </c>
      <c r="U54" s="10" t="s">
        <v>984</v>
      </c>
      <c r="V54" s="10" t="s">
        <v>933</v>
      </c>
      <c r="W54" s="10" t="s">
        <v>51</v>
      </c>
      <c r="X54" s="10" t="s">
        <v>984</v>
      </c>
    </row>
    <row r="55">
      <c r="A55" s="9">
        <f t="shared" si="1"/>
        <v>54</v>
      </c>
      <c r="B55" s="11">
        <v>46227.66767361111</v>
      </c>
      <c r="C55" s="10" t="s">
        <v>3690</v>
      </c>
      <c r="D55" s="10" t="s">
        <v>36</v>
      </c>
      <c r="E55" s="10" t="s">
        <v>37</v>
      </c>
      <c r="F55" s="13">
        <v>2.0</v>
      </c>
      <c r="G55" s="14">
        <v>655.42</v>
      </c>
      <c r="H55" s="10" t="s">
        <v>4641</v>
      </c>
      <c r="I55" s="10">
        <v>91.1</v>
      </c>
      <c r="O55" s="15">
        <f>IFERROR(__xludf.DUMMYFUNCTION("IF(ISBLANK($C55), """", GOOGLEFINANCE($C55, ""price""))"),687.52)</f>
        <v>687.52</v>
      </c>
      <c r="P55" s="16">
        <f t="shared" si="2"/>
        <v>0.04897622898</v>
      </c>
      <c r="Q55" s="16">
        <f>IFERROR(__xludf.DUMMYFUNCTION("IF(OR(ISBLANK($G55), IFERROR(INDEX(GOOGLEFINANCE($C55, ""price"", WORKDAY(INT($B55), 1)), 2, 2), """")=""""), """", IF($D55=""LONG"", (IFERROR(INDEX(GOOGLEFINANCE($C55, ""price"", WORKDAY(INT($B55), 1)), 2, 2), """")-$G55)/$G55, ($G55-IFERROR(INDEX(GOOGLE"&amp;"FINANCE($C55, ""price"", WORKDAY(INT($B55), 1)), 2, 2), """"))/$G55))"),-0.005752036861859543)</f>
        <v>-0.005752036862</v>
      </c>
      <c r="R55" s="16">
        <f>IFERROR(__xludf.DUMMYFUNCTION("IF(OR(ISBLANK($G55), IFERROR(INDEX(GOOGLEFINANCE($C55, ""price"", WORKDAY(INT($B55), 5)), 2, 2), """")=""""), """", IF($D55=""LONG"", (IFERROR(INDEX(GOOGLEFINANCE($C55, ""price"", WORKDAY(INT($B55), 5)), 2, 2), """")-$G55)/$G55, ($G55-IFERROR(INDEX(GOOGLE"&amp;"FINANCE($C55, ""price"", WORKDAY(INT($B55), 5)), 2, 2), """"))/$G55))"),2.288608830979997E-4)</f>
        <v>0.0002288608831</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4642</v>
      </c>
      <c r="U55" s="10" t="s">
        <v>984</v>
      </c>
      <c r="V55" s="10" t="s">
        <v>2785</v>
      </c>
      <c r="W55" s="10" t="s">
        <v>51</v>
      </c>
      <c r="X55" s="10" t="s">
        <v>984</v>
      </c>
    </row>
    <row r="56">
      <c r="A56" s="9">
        <f t="shared" si="1"/>
        <v>55</v>
      </c>
      <c r="B56" s="11">
        <v>46227.667708333334</v>
      </c>
      <c r="C56" s="10" t="s">
        <v>499</v>
      </c>
      <c r="D56" s="10" t="s">
        <v>36</v>
      </c>
      <c r="E56" s="10" t="s">
        <v>37</v>
      </c>
      <c r="F56" s="13">
        <v>2.0</v>
      </c>
      <c r="G56" s="14">
        <v>117.88</v>
      </c>
      <c r="H56" s="10" t="s">
        <v>2757</v>
      </c>
      <c r="I56" s="10">
        <v>89.9</v>
      </c>
      <c r="O56" s="15">
        <f>IFERROR(__xludf.DUMMYFUNCTION("IF(ISBLANK($C56), """", GOOGLEFINANCE($C56, ""price""))"),115.98)</f>
        <v>115.98</v>
      </c>
      <c r="P56" s="16">
        <f t="shared" si="2"/>
        <v>-0.01611808619</v>
      </c>
      <c r="Q56" s="16">
        <f>IFERROR(__xludf.DUMMYFUNCTION("IF(OR(ISBLANK($G56), IFERROR(INDEX(GOOGLEFINANCE($C56, ""price"", WORKDAY(INT($B56), 1)), 2, 2), """")=""""), """", IF($D56=""LONG"", (IFERROR(INDEX(GOOGLEFINANCE($C56, ""price"", WORKDAY(INT($B56), 1)), 2, 2), """")-$G56)/$G56, ($G56-IFERROR(INDEX(GOOGLE"&amp;"FINANCE($C56, ""price"", WORKDAY(INT($B56), 1)), 2, 2), """"))/$G56))"),0.005598914149983126)</f>
        <v>0.00559891415</v>
      </c>
      <c r="R56" s="16">
        <f>IFERROR(__xludf.DUMMYFUNCTION("IF(OR(ISBLANK($G56), IFERROR(INDEX(GOOGLEFINANCE($C56, ""price"", WORKDAY(INT($B56), 5)), 2, 2), """")=""""), """", IF($D56=""LONG"", (IFERROR(INDEX(GOOGLEFINANCE($C56, ""price"", WORKDAY(INT($B56), 5)), 2, 2), """")-$G56)/$G56, ($G56-IFERROR(INDEX(GOOGLE"&amp;"FINANCE($C56, ""price"", WORKDAY(INT($B56), 5)), 2, 2), """"))/$G56))"),-0.015863590091618515)</f>
        <v>-0.01586359009</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4643</v>
      </c>
      <c r="U56" s="10" t="s">
        <v>984</v>
      </c>
      <c r="V56" s="10" t="s">
        <v>2714</v>
      </c>
      <c r="W56" s="10" t="s">
        <v>51</v>
      </c>
      <c r="X56" s="10" t="s">
        <v>984</v>
      </c>
    </row>
    <row r="57">
      <c r="A57" s="9">
        <f t="shared" si="1"/>
        <v>56</v>
      </c>
      <c r="B57" s="11">
        <v>46227.667708333334</v>
      </c>
      <c r="C57" s="10" t="s">
        <v>3699</v>
      </c>
      <c r="D57" s="10" t="s">
        <v>36</v>
      </c>
      <c r="E57" s="10" t="s">
        <v>37</v>
      </c>
      <c r="F57" s="13">
        <v>2.0</v>
      </c>
      <c r="G57" s="14">
        <v>841.29</v>
      </c>
      <c r="H57" s="10" t="s">
        <v>4644</v>
      </c>
      <c r="I57" s="10">
        <v>94.4</v>
      </c>
      <c r="O57" s="15">
        <f>IFERROR(__xludf.DUMMYFUNCTION("IF(ISBLANK($C57), """", GOOGLEFINANCE($C57, ""price""))"),871.38)</f>
        <v>871.38</v>
      </c>
      <c r="P57" s="16">
        <f t="shared" si="2"/>
        <v>0.03576650144</v>
      </c>
      <c r="Q57" s="16">
        <f>IFERROR(__xludf.DUMMYFUNCTION("IF(OR(ISBLANK($G57), IFERROR(INDEX(GOOGLEFINANCE($C57, ""price"", WORKDAY(INT($B57), 1)), 2, 2), """")=""""), """", IF($D57=""LONG"", (IFERROR(INDEX(GOOGLEFINANCE($C57, ""price"", WORKDAY(INT($B57), 1)), 2, 2), """")-$G57)/$G57, ($G57-IFERROR(INDEX(GOOGLE"&amp;"FINANCE($C57, ""price"", WORKDAY(INT($B57), 1)), 2, 2), """"))/$G57))"),0.010424467187295679)</f>
        <v>0.01042446719</v>
      </c>
      <c r="R57" s="16">
        <f>IFERROR(__xludf.DUMMYFUNCTION("IF(OR(ISBLANK($G57), IFERROR(INDEX(GOOGLEFINANCE($C57, ""price"", WORKDAY(INT($B57), 5)), 2, 2), """")=""""), """", IF($D57=""LONG"", (IFERROR(INDEX(GOOGLEFINANCE($C57, ""price"", WORKDAY(INT($B57), 5)), 2, 2), """")-$G57)/$G57, ($G57-IFERROR(INDEX(GOOGLE"&amp;"FINANCE($C57, ""price"", WORKDAY(INT($B57), 5)), 2, 2), """"))/$G57))"),0.017710896361540125)</f>
        <v>0.01771089636</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4645</v>
      </c>
      <c r="U57" s="10" t="s">
        <v>984</v>
      </c>
      <c r="V57" s="10" t="s">
        <v>985</v>
      </c>
      <c r="W57" s="10" t="s">
        <v>51</v>
      </c>
      <c r="X57" s="10" t="s">
        <v>984</v>
      </c>
    </row>
    <row r="58">
      <c r="A58" s="9">
        <f t="shared" si="1"/>
        <v>57</v>
      </c>
      <c r="B58" s="11">
        <v>46227.66769675926</v>
      </c>
      <c r="C58" s="10" t="s">
        <v>4646</v>
      </c>
      <c r="D58" s="10" t="s">
        <v>36</v>
      </c>
      <c r="E58" s="10" t="s">
        <v>87</v>
      </c>
      <c r="F58" s="13">
        <v>2.0</v>
      </c>
      <c r="G58" s="14">
        <v>134.56</v>
      </c>
      <c r="H58" s="10" t="s">
        <v>4647</v>
      </c>
      <c r="I58" s="10">
        <v>91.7</v>
      </c>
      <c r="O58" s="15">
        <f>IFERROR(__xludf.DUMMYFUNCTION("IF(ISBLANK($C58), """", GOOGLEFINANCE($C58, ""price""))"),144.03)</f>
        <v>144.03</v>
      </c>
      <c r="P58" s="16">
        <f t="shared" si="2"/>
        <v>0.07037752675</v>
      </c>
      <c r="Q58" s="16">
        <f>IFERROR(__xludf.DUMMYFUNCTION("IF(OR(ISBLANK($G58), IFERROR(INDEX(GOOGLEFINANCE($C58, ""price"", WORKDAY(INT($B58), 1)), 2, 2), """")=""""), """", IF($D58=""LONG"", (IFERROR(INDEX(GOOGLEFINANCE($C58, ""price"", WORKDAY(INT($B58), 1)), 2, 2), """")-$G58)/$G58, ($G58-IFERROR(INDEX(GOOGLE"&amp;"FINANCE($C58, ""price"", WORKDAY(INT($B58), 1)), 2, 2), """"))/$G58))"),0.0049791914387632835)</f>
        <v>0.004979191439</v>
      </c>
      <c r="R58" s="16">
        <f>IFERROR(__xludf.DUMMYFUNCTION("IF(OR(ISBLANK($G58), IFERROR(INDEX(GOOGLEFINANCE($C58, ""price"", WORKDAY(INT($B58), 5)), 2, 2), """")=""""), """", IF($D58=""LONG"", (IFERROR(INDEX(GOOGLEFINANCE($C58, ""price"", WORKDAY(INT($B58), 5)), 2, 2), """")-$G58)/$G58, ($G58-IFERROR(INDEX(GOOGLE"&amp;"FINANCE($C58, ""price"", WORKDAY(INT($B58), 5)), 2, 2), """"))/$G58))"),0.0027497027348395106)</f>
        <v>0.002749702735</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4648</v>
      </c>
      <c r="U58" s="10" t="s">
        <v>984</v>
      </c>
      <c r="V58" s="10" t="s">
        <v>1059</v>
      </c>
      <c r="W58" s="10" t="s">
        <v>51</v>
      </c>
      <c r="X58" s="10" t="s">
        <v>984</v>
      </c>
    </row>
    <row r="59">
      <c r="A59" s="9">
        <f t="shared" si="1"/>
        <v>58</v>
      </c>
      <c r="B59" s="11">
        <v>46227.66773148148</v>
      </c>
      <c r="C59" s="10" t="s">
        <v>1960</v>
      </c>
      <c r="D59" s="10" t="s">
        <v>36</v>
      </c>
      <c r="E59" s="10" t="s">
        <v>37</v>
      </c>
      <c r="F59" s="13">
        <v>2.0</v>
      </c>
      <c r="G59" s="14">
        <v>180.73</v>
      </c>
      <c r="H59" s="10" t="s">
        <v>4649</v>
      </c>
      <c r="I59" s="10">
        <v>99.2</v>
      </c>
      <c r="O59" s="15">
        <f>IFERROR(__xludf.DUMMYFUNCTION("IF(ISBLANK($C59), """", GOOGLEFINANCE($C59, ""price""))"),193.29)</f>
        <v>193.29</v>
      </c>
      <c r="P59" s="16">
        <f t="shared" si="2"/>
        <v>0.06949593316</v>
      </c>
      <c r="Q59" s="16">
        <f>IFERROR(__xludf.DUMMYFUNCTION("IF(OR(ISBLANK($G59), IFERROR(INDEX(GOOGLEFINANCE($C59, ""price"", WORKDAY(INT($B59), 1)), 2, 2), """")=""""), """", IF($D59=""LONG"", (IFERROR(INDEX(GOOGLEFINANCE($C59, ""price"", WORKDAY(INT($B59), 1)), 2, 2), """")-$G59)/$G59, ($G59-IFERROR(INDEX(GOOGLE"&amp;"FINANCE($C59, ""price"", WORKDAY(INT($B59), 1)), 2, 2), """"))/$G59))"),0.014275438499419093)</f>
        <v>0.0142754385</v>
      </c>
      <c r="R59" s="16">
        <f>IFERROR(__xludf.DUMMYFUNCTION("IF(OR(ISBLANK($G59), IFERROR(INDEX(GOOGLEFINANCE($C59, ""price"", WORKDAY(INT($B59), 5)), 2, 2), """")=""""), """", IF($D59=""LONG"", (IFERROR(INDEX(GOOGLEFINANCE($C59, ""price"", WORKDAY(INT($B59), 5)), 2, 2), """")-$G59)/$G59, ($G59-IFERROR(INDEX(GOOGLE"&amp;"FINANCE($C59, ""price"", WORKDAY(INT($B59), 5)), 2, 2), """"))/$G59))"),0.04957671664914518)</f>
        <v>0.04957671665</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4650</v>
      </c>
      <c r="U59" s="10" t="s">
        <v>984</v>
      </c>
      <c r="V59" s="10" t="s">
        <v>985</v>
      </c>
      <c r="W59" s="10" t="s">
        <v>51</v>
      </c>
      <c r="X59" s="10" t="s">
        <v>984</v>
      </c>
    </row>
    <row r="60">
      <c r="A60" s="9">
        <f t="shared" si="1"/>
        <v>59</v>
      </c>
      <c r="B60" s="11">
        <v>46227.667708333334</v>
      </c>
      <c r="C60" s="10" t="s">
        <v>185</v>
      </c>
      <c r="D60" s="10" t="s">
        <v>36</v>
      </c>
      <c r="E60" s="10" t="s">
        <v>37</v>
      </c>
      <c r="F60" s="13">
        <v>2.0</v>
      </c>
      <c r="G60" s="14">
        <v>79.3</v>
      </c>
      <c r="H60" s="10" t="s">
        <v>4651</v>
      </c>
      <c r="I60" s="10">
        <v>87.6</v>
      </c>
      <c r="O60" s="15">
        <f>IFERROR(__xludf.DUMMYFUNCTION("IF(ISBLANK($C60), """", GOOGLEFINANCE($C60, ""price""))"),75.47)</f>
        <v>75.47</v>
      </c>
      <c r="P60" s="16">
        <f t="shared" si="2"/>
        <v>-0.04829760404</v>
      </c>
      <c r="Q60" s="16">
        <f>IFERROR(__xludf.DUMMYFUNCTION("IF(OR(ISBLANK($G60), IFERROR(INDEX(GOOGLEFINANCE($C60, ""price"", WORKDAY(INT($B60), 1)), 2, 2), """")=""""), """", IF($D60=""LONG"", (IFERROR(INDEX(GOOGLEFINANCE($C60, ""price"", WORKDAY(INT($B60), 1)), 2, 2), """")-$G60)/$G60, ($G60-IFERROR(INDEX(GOOGLE"&amp;"FINANCE($C60, ""price"", WORKDAY(INT($B60), 1)), 2, 2), """"))/$G60))"),0.02345523329129886)</f>
        <v>0.02345523329</v>
      </c>
      <c r="R60" s="16">
        <f>IFERROR(__xludf.DUMMYFUNCTION("IF(OR(ISBLANK($G60), IFERROR(INDEX(GOOGLEFINANCE($C60, ""price"", WORKDAY(INT($B60), 5)), 2, 2), """")=""""), """", IF($D60=""LONG"", (IFERROR(INDEX(GOOGLEFINANCE($C60, ""price"", WORKDAY(INT($B60), 5)), 2, 2), """")-$G60)/$G60, ($G60-IFERROR(INDEX(GOOGLE"&amp;"FINANCE($C60, ""price"", WORKDAY(INT($B60), 5)), 2, 2), """"))/$G60))"),-0.0986128625472887)</f>
        <v>-0.09861286255</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4652</v>
      </c>
      <c r="U60" s="10" t="s">
        <v>984</v>
      </c>
      <c r="V60" s="10" t="s">
        <v>998</v>
      </c>
      <c r="W60" s="10" t="s">
        <v>51</v>
      </c>
      <c r="X60" s="10" t="s">
        <v>984</v>
      </c>
    </row>
    <row r="61">
      <c r="A61" s="9">
        <f t="shared" si="1"/>
        <v>60</v>
      </c>
      <c r="B61" s="11">
        <v>46227.66773148148</v>
      </c>
      <c r="C61" s="10" t="s">
        <v>52</v>
      </c>
      <c r="D61" s="10" t="s">
        <v>36</v>
      </c>
      <c r="E61" s="10" t="s">
        <v>37</v>
      </c>
      <c r="F61" s="13">
        <v>2.0</v>
      </c>
      <c r="G61" s="14">
        <v>117.72</v>
      </c>
      <c r="H61" s="10" t="s">
        <v>4653</v>
      </c>
      <c r="I61" s="10">
        <v>93.9</v>
      </c>
      <c r="O61" s="15">
        <f>IFERROR(__xludf.DUMMYFUNCTION("IF(ISBLANK($C61), """", GOOGLEFINANCE($C61, ""price""))"),118.38)</f>
        <v>118.38</v>
      </c>
      <c r="P61" s="16">
        <f t="shared" si="2"/>
        <v>0.005606523955</v>
      </c>
      <c r="Q61" s="16">
        <f>IFERROR(__xludf.DUMMYFUNCTION("IF(OR(ISBLANK($G61), IFERROR(INDEX(GOOGLEFINANCE($C61, ""price"", WORKDAY(INT($B61), 1)), 2, 2), """")=""""), """", IF($D61=""LONG"", (IFERROR(INDEX(GOOGLEFINANCE($C61, ""price"", WORKDAY(INT($B61), 1)), 2, 2), """")-$G61)/$G61, ($G61-IFERROR(INDEX(GOOGLE"&amp;"FINANCE($C61, ""price"", WORKDAY(INT($B61), 1)), 2, 2), """"))/$G61))"),0.009768943255181836)</f>
        <v>0.009768943255</v>
      </c>
      <c r="R61" s="16">
        <f>IFERROR(__xludf.DUMMYFUNCTION("IF(OR(ISBLANK($G61), IFERROR(INDEX(GOOGLEFINANCE($C61, ""price"", WORKDAY(INT($B61), 5)), 2, 2), """")=""""), """", IF($D61=""LONG"", (IFERROR(INDEX(GOOGLEFINANCE($C61, ""price"", WORKDAY(INT($B61), 5)), 2, 2), """")-$G61)/$G61, ($G61-IFERROR(INDEX(GOOGLE"&amp;"FINANCE($C61, ""price"", WORKDAY(INT($B61), 5)), 2, 2), """"))/$G61))"),0.015290519877675816)</f>
        <v>0.01529051988</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4654</v>
      </c>
      <c r="U61" s="10" t="s">
        <v>984</v>
      </c>
      <c r="V61" s="10" t="s">
        <v>933</v>
      </c>
      <c r="W61" s="10" t="s">
        <v>51</v>
      </c>
      <c r="X61" s="10" t="s">
        <v>984</v>
      </c>
    </row>
    <row r="62">
      <c r="A62" s="9">
        <f t="shared" si="1"/>
        <v>61</v>
      </c>
      <c r="B62" s="11">
        <v>46227.66777777778</v>
      </c>
      <c r="C62" s="10" t="s">
        <v>3359</v>
      </c>
      <c r="D62" s="10" t="s">
        <v>36</v>
      </c>
      <c r="E62" s="10" t="s">
        <v>37</v>
      </c>
      <c r="F62" s="13">
        <v>2.0</v>
      </c>
      <c r="G62" s="14">
        <v>426.42</v>
      </c>
      <c r="H62" s="10" t="s">
        <v>4655</v>
      </c>
      <c r="I62" s="10">
        <v>94.5</v>
      </c>
      <c r="O62" s="15">
        <f>IFERROR(__xludf.DUMMYFUNCTION("IF(ISBLANK($C62), """", GOOGLEFINANCE($C62, ""price""))"),405.24)</f>
        <v>405.24</v>
      </c>
      <c r="P62" s="16">
        <f t="shared" si="2"/>
        <v>-0.04966934009</v>
      </c>
      <c r="Q62" s="16">
        <f>IFERROR(__xludf.DUMMYFUNCTION("IF(OR(ISBLANK($G62), IFERROR(INDEX(GOOGLEFINANCE($C62, ""price"", WORKDAY(INT($B62), 1)), 2, 2), """")=""""), """", IF($D62=""LONG"", (IFERROR(INDEX(GOOGLEFINANCE($C62, ""price"", WORKDAY(INT($B62), 1)), 2, 2), """")-$G62)/$G62, ($G62-IFERROR(INDEX(GOOGLE"&amp;"FINANCE($C62, ""price"", WORKDAY(INT($B62), 1)), 2, 2), """"))/$G62))"),0.031447868298860204)</f>
        <v>0.0314478683</v>
      </c>
      <c r="R62" s="16">
        <f>IFERROR(__xludf.DUMMYFUNCTION("IF(OR(ISBLANK($G62), IFERROR(INDEX(GOOGLEFINANCE($C62, ""price"", WORKDAY(INT($B62), 5)), 2, 2), """")=""""), """", IF($D62=""LONG"", (IFERROR(INDEX(GOOGLEFINANCE($C62, ""price"", WORKDAY(INT($B62), 5)), 2, 2), """")-$G62)/$G62, ($G62-IFERROR(INDEX(GOOGLE"&amp;"FINANCE($C62, ""price"", WORKDAY(INT($B62), 5)), 2, 2), """"))/$G62))"),-0.033980582524271864)</f>
        <v>-0.03398058252</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4656</v>
      </c>
      <c r="U62" s="10" t="s">
        <v>984</v>
      </c>
      <c r="V62" s="10" t="s">
        <v>985</v>
      </c>
      <c r="W62" s="10" t="s">
        <v>51</v>
      </c>
      <c r="X62" s="10" t="s">
        <v>984</v>
      </c>
    </row>
    <row r="63">
      <c r="A63" s="9">
        <f t="shared" si="1"/>
        <v>62</v>
      </c>
      <c r="B63" s="11">
        <v>46227.66774305556</v>
      </c>
      <c r="C63" s="10" t="s">
        <v>600</v>
      </c>
      <c r="D63" s="10" t="s">
        <v>36</v>
      </c>
      <c r="E63" s="10" t="s">
        <v>37</v>
      </c>
      <c r="F63" s="13">
        <v>2.0</v>
      </c>
      <c r="G63" s="14">
        <v>226.7</v>
      </c>
      <c r="H63" s="10" t="s">
        <v>4657</v>
      </c>
      <c r="I63" s="10">
        <v>90.4</v>
      </c>
      <c r="L63" s="10" t="s">
        <v>4658</v>
      </c>
      <c r="M63" s="34" t="s">
        <v>951</v>
      </c>
      <c r="N63" s="10" t="s">
        <v>925</v>
      </c>
      <c r="O63" s="15">
        <f>IFERROR(__xludf.DUMMYFUNCTION("IF(ISBLANK($C63), """", GOOGLEFINANCE($C63, ""price""))"),265.51)</f>
        <v>265.51</v>
      </c>
      <c r="P63" s="16">
        <f t="shared" si="2"/>
        <v>0.1711954124</v>
      </c>
      <c r="Q63" s="16">
        <f>IFERROR(__xludf.DUMMYFUNCTION("IF(OR(ISBLANK($G63), IFERROR(INDEX(GOOGLEFINANCE($C63, ""price"", WORKDAY(INT($B63), 1)), 2, 2), """")=""""), """", IF($D63=""LONG"", (IFERROR(INDEX(GOOGLEFINANCE($C63, ""price"", WORKDAY(INT($B63), 1)), 2, 2), """")-$G63)/$G63, ($G63-IFERROR(INDEX(GOOGLE"&amp;"FINANCE($C63, ""price"", WORKDAY(INT($B63), 1)), 2, 2), """"))/$G63))"),-0.0105866784296426)</f>
        <v>-0.01058667843</v>
      </c>
      <c r="R63" s="16">
        <f>IFERROR(__xludf.DUMMYFUNCTION("IF(OR(ISBLANK($G63), IFERROR(INDEX(GOOGLEFINANCE($C63, ""price"", WORKDAY(INT($B63), 5)), 2, 2), """")=""""), """", IF($D63=""LONG"", (IFERROR(INDEX(GOOGLEFINANCE($C63, ""price"", WORKDAY(INT($B63), 5)), 2, 2), """")-$G63)/$G63, ($G63-IFERROR(INDEX(GOOGLE"&amp;"FINANCE($C63, ""price"", WORKDAY(INT($B63), 5)), 2, 2), """"))/$G63))"),0.025628584031760045)</f>
        <v>0.02562858403</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4659</v>
      </c>
      <c r="U63" s="10" t="s">
        <v>240</v>
      </c>
      <c r="V63" s="10" t="s">
        <v>4660</v>
      </c>
      <c r="W63" s="10" t="s">
        <v>51</v>
      </c>
      <c r="X63" s="10" t="s">
        <v>1905</v>
      </c>
    </row>
    <row r="64">
      <c r="A64" s="9">
        <f t="shared" si="1"/>
        <v>63</v>
      </c>
      <c r="B64" s="11">
        <v>46227.66775462963</v>
      </c>
      <c r="C64" s="10" t="s">
        <v>94</v>
      </c>
      <c r="D64" s="10" t="s">
        <v>36</v>
      </c>
      <c r="E64" s="10" t="s">
        <v>37</v>
      </c>
      <c r="F64" s="13">
        <v>2.0</v>
      </c>
      <c r="G64" s="14">
        <v>57.41</v>
      </c>
      <c r="H64" s="10" t="s">
        <v>1404</v>
      </c>
      <c r="I64" s="10">
        <v>91.4</v>
      </c>
      <c r="O64" s="15">
        <f>IFERROR(__xludf.DUMMYFUNCTION("IF(ISBLANK($C64), """", GOOGLEFINANCE($C64, ""price""))"),56.96)</f>
        <v>56.96</v>
      </c>
      <c r="P64" s="16">
        <f t="shared" si="2"/>
        <v>-0.007838355687</v>
      </c>
      <c r="Q64" s="16">
        <f>IFERROR(__xludf.DUMMYFUNCTION("IF(OR(ISBLANK($G64), IFERROR(INDEX(GOOGLEFINANCE($C64, ""price"", WORKDAY(INT($B64), 1)), 2, 2), """")=""""), """", IF($D64=""LONG"", (IFERROR(INDEX(GOOGLEFINANCE($C64, ""price"", WORKDAY(INT($B64), 1)), 2, 2), """")-$G64)/$G64, ($G64-IFERROR(INDEX(GOOGLE"&amp;"FINANCE($C64, ""price"", WORKDAY(INT($B64), 1)), 2, 2), """"))/$G64))"),-0.007141612959414677)</f>
        <v>-0.007141612959</v>
      </c>
      <c r="R64" s="16">
        <f>IFERROR(__xludf.DUMMYFUNCTION("IF(OR(ISBLANK($G64), IFERROR(INDEX(GOOGLEFINANCE($C64, ""price"", WORKDAY(INT($B64), 5)), 2, 2), """")=""""), """", IF($D64=""LONG"", (IFERROR(INDEX(GOOGLEFINANCE($C64, ""price"", WORKDAY(INT($B64), 5)), 2, 2), """")-$G64)/$G64, ($G64-IFERROR(INDEX(GOOGLE"&amp;"FINANCE($C64, ""price"", WORKDAY(INT($B64), 5)), 2, 2), """"))/$G64))"),-0.015850897056261918)</f>
        <v>-0.01585089706</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4661</v>
      </c>
      <c r="U64" s="10" t="s">
        <v>984</v>
      </c>
      <c r="V64" s="10" t="s">
        <v>933</v>
      </c>
      <c r="W64" s="10" t="s">
        <v>51</v>
      </c>
      <c r="X64" s="10" t="s">
        <v>984</v>
      </c>
    </row>
    <row r="65">
      <c r="A65" s="9">
        <f t="shared" si="1"/>
        <v>64</v>
      </c>
      <c r="B65" s="11">
        <v>46227.66775462963</v>
      </c>
      <c r="C65" s="10" t="s">
        <v>191</v>
      </c>
      <c r="D65" s="10" t="s">
        <v>36</v>
      </c>
      <c r="E65" s="10" t="s">
        <v>37</v>
      </c>
      <c r="F65" s="13">
        <v>2.0</v>
      </c>
      <c r="G65" s="14">
        <v>22.4</v>
      </c>
      <c r="H65" s="10" t="s">
        <v>4662</v>
      </c>
      <c r="I65" s="10">
        <v>90.6</v>
      </c>
      <c r="O65" s="15">
        <f>IFERROR(__xludf.DUMMYFUNCTION("IF(ISBLANK($C65), """", GOOGLEFINANCE($C65, ""price""))"),27.01)</f>
        <v>27.01</v>
      </c>
      <c r="P65" s="16">
        <f t="shared" si="2"/>
        <v>0.2058035714</v>
      </c>
      <c r="Q65" s="16">
        <f>IFERROR(__xludf.DUMMYFUNCTION("IF(OR(ISBLANK($G65), IFERROR(INDEX(GOOGLEFINANCE($C65, ""price"", WORKDAY(INT($B65), 1)), 2, 2), """")=""""), """", IF($D65=""LONG"", (IFERROR(INDEX(GOOGLEFINANCE($C65, ""price"", WORKDAY(INT($B65), 1)), 2, 2), """")-$G65)/$G65, ($G65-IFERROR(INDEX(GOOGLE"&amp;"FINANCE($C65, ""price"", WORKDAY(INT($B65), 1)), 2, 2), """"))/$G65))"),0.04196428571428577)</f>
        <v>0.04196428571</v>
      </c>
      <c r="R65" s="16">
        <f>IFERROR(__xludf.DUMMYFUNCTION("IF(OR(ISBLANK($G65), IFERROR(INDEX(GOOGLEFINANCE($C65, ""price"", WORKDAY(INT($B65), 5)), 2, 2), """")=""""), """", IF($D65=""LONG"", (IFERROR(INDEX(GOOGLEFINANCE($C65, ""price"", WORKDAY(INT($B65), 5)), 2, 2), """")-$G65)/$G65, ($G65-IFERROR(INDEX(GOOGLE"&amp;"FINANCE($C65, ""price"", WORKDAY(INT($B65), 5)), 2, 2), """"))/$G65))"),0.16785714285714293)</f>
        <v>0.1678571429</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4663</v>
      </c>
      <c r="U65" s="10" t="s">
        <v>984</v>
      </c>
      <c r="V65" s="10" t="s">
        <v>2714</v>
      </c>
      <c r="W65" s="10" t="s">
        <v>51</v>
      </c>
      <c r="X65" s="10" t="s">
        <v>984</v>
      </c>
    </row>
    <row r="66">
      <c r="A66" s="9">
        <f t="shared" si="1"/>
        <v>65</v>
      </c>
      <c r="B66" s="11">
        <v>46227.66773148148</v>
      </c>
      <c r="C66" s="10" t="s">
        <v>269</v>
      </c>
      <c r="D66" s="10" t="s">
        <v>36</v>
      </c>
      <c r="E66" s="10" t="s">
        <v>37</v>
      </c>
      <c r="F66" s="13">
        <v>2.0</v>
      </c>
      <c r="G66" s="14">
        <v>185.42</v>
      </c>
      <c r="H66" s="10" t="s">
        <v>4664</v>
      </c>
      <c r="I66" s="10">
        <v>92.4</v>
      </c>
      <c r="O66" s="15">
        <f>IFERROR(__xludf.DUMMYFUNCTION("IF(ISBLANK($C66), """", GOOGLEFINANCE($C66, ""price""))"),184.92)</f>
        <v>184.92</v>
      </c>
      <c r="P66" s="16">
        <f t="shared" si="2"/>
        <v>-0.002696580736</v>
      </c>
      <c r="Q66" s="16">
        <f>IFERROR(__xludf.DUMMYFUNCTION("IF(OR(ISBLANK($G66), IFERROR(INDEX(GOOGLEFINANCE($C66, ""price"", WORKDAY(INT($B66), 1)), 2, 2), """")=""""), """", IF($D66=""LONG"", (IFERROR(INDEX(GOOGLEFINANCE($C66, ""price"", WORKDAY(INT($B66), 1)), 2, 2), """")-$G66)/$G66, ($G66-IFERROR(INDEX(GOOGLE"&amp;"FINANCE($C66, ""price"", WORKDAY(INT($B66), 1)), 2, 2), """"))/$G66))"),-0.004098802718153333)</f>
        <v>-0.004098802718</v>
      </c>
      <c r="R66" s="16">
        <f>IFERROR(__xludf.DUMMYFUNCTION("IF(OR(ISBLANK($G66), IFERROR(INDEX(GOOGLEFINANCE($C66, ""price"", WORKDAY(INT($B66), 5)), 2, 2), """")=""""), """", IF($D66=""LONG"", (IFERROR(INDEX(GOOGLEFINANCE($C66, ""price"", WORKDAY(INT($B66), 5)), 2, 2), """")-$G66)/$G66, ($G66-IFERROR(INDEX(GOOGLE"&amp;"FINANCE($C66, ""price"", WORKDAY(INT($B66), 5)), 2, 2), """"))/$G66))"),-0.006795383453780558)</f>
        <v>-0.006795383454</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4665</v>
      </c>
      <c r="U66" s="10" t="s">
        <v>984</v>
      </c>
      <c r="V66" s="10" t="s">
        <v>933</v>
      </c>
      <c r="W66" s="10" t="s">
        <v>51</v>
      </c>
      <c r="X66" s="10" t="s">
        <v>984</v>
      </c>
    </row>
    <row r="67">
      <c r="A67" s="9">
        <f t="shared" si="1"/>
        <v>66</v>
      </c>
      <c r="B67" s="11">
        <v>46227.66773148148</v>
      </c>
      <c r="C67" s="10" t="s">
        <v>1198</v>
      </c>
      <c r="D67" s="10" t="s">
        <v>36</v>
      </c>
      <c r="E67" s="10" t="s">
        <v>37</v>
      </c>
      <c r="F67" s="13">
        <v>2.0</v>
      </c>
      <c r="G67" s="14">
        <v>359.74</v>
      </c>
      <c r="H67" s="10" t="s">
        <v>4666</v>
      </c>
      <c r="I67" s="10">
        <v>93.2</v>
      </c>
      <c r="O67" s="15">
        <f>IFERROR(__xludf.DUMMYFUNCTION("IF(ISBLANK($C67), """", GOOGLEFINANCE($C67, ""price""))"),354.03)</f>
        <v>354.03</v>
      </c>
      <c r="P67" s="16">
        <f t="shared" si="2"/>
        <v>-0.01587257464</v>
      </c>
      <c r="Q67" s="16">
        <f>IFERROR(__xludf.DUMMYFUNCTION("IF(OR(ISBLANK($G67), IFERROR(INDEX(GOOGLEFINANCE($C67, ""price"", WORKDAY(INT($B67), 1)), 2, 2), """")=""""), """", IF($D67=""LONG"", (IFERROR(INDEX(GOOGLEFINANCE($C67, ""price"", WORKDAY(INT($B67), 1)), 2, 2), """")-$G67)/$G67, ($G67-IFERROR(INDEX(GOOGLE"&amp;"FINANCE($C67, ""price"", WORKDAY(INT($B67), 1)), 2, 2), """"))/$G67))"),-0.002307221882470629)</f>
        <v>-0.002307221882</v>
      </c>
      <c r="R67" s="16">
        <f>IFERROR(__xludf.DUMMYFUNCTION("IF(OR(ISBLANK($G67), IFERROR(INDEX(GOOGLEFINANCE($C67, ""price"", WORKDAY(INT($B67), 5)), 2, 2), """")=""""), """", IF($D67=""LONG"", (IFERROR(INDEX(GOOGLEFINANCE($C67, ""price"", WORKDAY(INT($B67), 5)), 2, 2), """")-$G67)/$G67, ($G67-IFERROR(INDEX(GOOGLE"&amp;"FINANCE($C67, ""price"", WORKDAY(INT($B67), 5)), 2, 2), """"))/$G67))"),-0.025184855729137715)</f>
        <v>-0.02518485573</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4667</v>
      </c>
      <c r="U67" s="10" t="s">
        <v>507</v>
      </c>
      <c r="V67" s="10" t="s">
        <v>4668</v>
      </c>
      <c r="W67" s="10" t="s">
        <v>51</v>
      </c>
      <c r="X67" s="10" t="s">
        <v>2228</v>
      </c>
    </row>
    <row r="68">
      <c r="A68" s="9">
        <f t="shared" si="1"/>
        <v>67</v>
      </c>
      <c r="B68" s="11">
        <v>46227.66775462963</v>
      </c>
      <c r="C68" s="10" t="s">
        <v>826</v>
      </c>
      <c r="D68" s="10" t="s">
        <v>36</v>
      </c>
      <c r="E68" s="10" t="s">
        <v>37</v>
      </c>
      <c r="F68" s="13">
        <v>2.0</v>
      </c>
      <c r="G68" s="14">
        <v>355.6</v>
      </c>
      <c r="H68" s="10" t="s">
        <v>2799</v>
      </c>
      <c r="I68" s="10">
        <v>96.1</v>
      </c>
      <c r="O68" s="15">
        <f>IFERROR(__xludf.DUMMYFUNCTION("IF(ISBLANK($C68), """", GOOGLEFINANCE($C68, ""price""))"),370.47)</f>
        <v>370.47</v>
      </c>
      <c r="P68" s="16">
        <f t="shared" si="2"/>
        <v>0.04181664792</v>
      </c>
      <c r="Q68" s="16">
        <f>IFERROR(__xludf.DUMMYFUNCTION("IF(OR(ISBLANK($G68), IFERROR(INDEX(GOOGLEFINANCE($C68, ""price"", WORKDAY(INT($B68), 1)), 2, 2), """")=""""), """", IF($D68=""LONG"", (IFERROR(INDEX(GOOGLEFINANCE($C68, ""price"", WORKDAY(INT($B68), 1)), 2, 2), """")-$G68)/$G68, ($G68-IFERROR(INDEX(GOOGLE"&amp;"FINANCE($C68, ""price"", WORKDAY(INT($B68), 1)), 2, 2), """"))/$G68))"),0.019488188976377812)</f>
        <v>0.01948818898</v>
      </c>
      <c r="R68" s="16">
        <f>IFERROR(__xludf.DUMMYFUNCTION("IF(OR(ISBLANK($G68), IFERROR(INDEX(GOOGLEFINANCE($C68, ""price"", WORKDAY(INT($B68), 5)), 2, 2), """")=""""), """", IF($D68=""LONG"", (IFERROR(INDEX(GOOGLEFINANCE($C68, ""price"", WORKDAY(INT($B68), 5)), 2, 2), """")-$G68)/$G68, ($G68-IFERROR(INDEX(GOOGLE"&amp;"FINANCE($C68, ""price"", WORKDAY(INT($B68), 5)), 2, 2), """"))/$G68))"),0.029611923509561225)</f>
        <v>0.02961192351</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4671</v>
      </c>
      <c r="U68" s="10" t="s">
        <v>984</v>
      </c>
      <c r="V68" s="10" t="s">
        <v>933</v>
      </c>
      <c r="W68" s="10" t="s">
        <v>51</v>
      </c>
      <c r="X68" s="10" t="s">
        <v>984</v>
      </c>
    </row>
    <row r="69">
      <c r="A69" s="9">
        <f t="shared" si="1"/>
        <v>68</v>
      </c>
      <c r="B69" s="11">
        <v>46227.66775462963</v>
      </c>
      <c r="C69" s="10" t="s">
        <v>374</v>
      </c>
      <c r="D69" s="10" t="s">
        <v>36</v>
      </c>
      <c r="E69" s="10" t="s">
        <v>37</v>
      </c>
      <c r="F69" s="13">
        <v>2.0</v>
      </c>
      <c r="G69" s="14">
        <v>70.28</v>
      </c>
      <c r="H69" s="10" t="s">
        <v>4672</v>
      </c>
      <c r="I69" s="10">
        <v>92.0</v>
      </c>
      <c r="O69" s="15">
        <f>IFERROR(__xludf.DUMMYFUNCTION("IF(ISBLANK($C69), """", GOOGLEFINANCE($C69, ""price""))"),73.32)</f>
        <v>73.32</v>
      </c>
      <c r="P69" s="16">
        <f t="shared" si="2"/>
        <v>0.04325554923</v>
      </c>
      <c r="Q69" s="16">
        <f>IFERROR(__xludf.DUMMYFUNCTION("IF(OR(ISBLANK($G69), IFERROR(INDEX(GOOGLEFINANCE($C69, ""price"", WORKDAY(INT($B69), 1)), 2, 2), """")=""""), """", IF($D69=""LONG"", (IFERROR(INDEX(GOOGLEFINANCE($C69, ""price"", WORKDAY(INT($B69), 1)), 2, 2), """")-$G69)/$G69, ($G69-IFERROR(INDEX(GOOGLE"&amp;"FINANCE($C69, ""price"", WORKDAY(INT($B69), 1)), 2, 2), """"))/$G69))"),1.4228799089364137E-4)</f>
        <v>0.0001422879909</v>
      </c>
      <c r="R69" s="16">
        <f>IFERROR(__xludf.DUMMYFUNCTION("IF(OR(ISBLANK($G69), IFERROR(INDEX(GOOGLEFINANCE($C69, ""price"", WORKDAY(INT($B69), 5)), 2, 2), """")=""""), """", IF($D69=""LONG"", (IFERROR(INDEX(GOOGLEFINANCE($C69, ""price"", WORKDAY(INT($B69), 5)), 2, 2), """")-$G69)/$G69, ($G69-IFERROR(INDEX(GOOGLE"&amp;"FINANCE($C69, ""price"", WORKDAY(INT($B69), 5)), 2, 2), """"))/$G69))"),0.029026750142287876)</f>
        <v>0.02902675014</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4673</v>
      </c>
      <c r="U69" s="10" t="s">
        <v>984</v>
      </c>
      <c r="V69" s="10" t="s">
        <v>985</v>
      </c>
      <c r="W69" s="10" t="s">
        <v>51</v>
      </c>
      <c r="X69" s="10" t="s">
        <v>984</v>
      </c>
    </row>
    <row r="70">
      <c r="A70" s="9">
        <f t="shared" si="1"/>
        <v>69</v>
      </c>
      <c r="B70" s="11">
        <v>46227.66777777778</v>
      </c>
      <c r="C70" s="10" t="s">
        <v>3480</v>
      </c>
      <c r="D70" s="10" t="s">
        <v>36</v>
      </c>
      <c r="E70" s="10" t="s">
        <v>37</v>
      </c>
      <c r="F70" s="13">
        <v>2.0</v>
      </c>
      <c r="G70" s="14">
        <v>26.11</v>
      </c>
      <c r="H70" s="10" t="s">
        <v>4676</v>
      </c>
      <c r="I70" s="10">
        <v>91.2</v>
      </c>
      <c r="O70" s="15">
        <f>IFERROR(__xludf.DUMMYFUNCTION("IF(ISBLANK($C70), """", GOOGLEFINANCE($C70, ""price""))"),24.43)</f>
        <v>24.43</v>
      </c>
      <c r="P70" s="16">
        <f t="shared" si="2"/>
        <v>-0.06434316354</v>
      </c>
      <c r="Q70" s="16">
        <f>IFERROR(__xludf.DUMMYFUNCTION("IF(OR(ISBLANK($G70), IFERROR(INDEX(GOOGLEFINANCE($C70, ""price"", WORKDAY(INT($B70), 1)), 2, 2), """")=""""), """", IF($D70=""LONG"", (IFERROR(INDEX(GOOGLEFINANCE($C70, ""price"", WORKDAY(INT($B70), 1)), 2, 2), """")-$G70)/$G70, ($G70-IFERROR(INDEX(GOOGLE"&amp;"FINANCE($C70, ""price"", WORKDAY(INT($B70), 1)), 2, 2), """"))/$G70))"),0.01034086556874759)</f>
        <v>0.01034086557</v>
      </c>
      <c r="R70" s="16">
        <f>IFERROR(__xludf.DUMMYFUNCTION("IF(OR(ISBLANK($G70), IFERROR(INDEX(GOOGLEFINANCE($C70, ""price"", WORKDAY(INT($B70), 5)), 2, 2), """")=""""), """", IF($D70=""LONG"", (IFERROR(INDEX(GOOGLEFINANCE($C70, ""price"", WORKDAY(INT($B70), 5)), 2, 2), """")-$G70)/$G70, ($G70-IFERROR(INDEX(GOOGLE"&amp;"FINANCE($C70, ""price"", WORKDAY(INT($B70), 5)), 2, 2), """"))/$G70))"),-0.024128686327077712)</f>
        <v>-0.02412868633</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4678</v>
      </c>
      <c r="U70" s="10" t="s">
        <v>984</v>
      </c>
      <c r="V70" s="10" t="s">
        <v>933</v>
      </c>
      <c r="W70" s="10" t="s">
        <v>51</v>
      </c>
      <c r="X70" s="10" t="s">
        <v>984</v>
      </c>
    </row>
    <row r="71">
      <c r="A71" s="9">
        <f t="shared" si="1"/>
        <v>70</v>
      </c>
      <c r="B71" s="11">
        <v>46227.6678125</v>
      </c>
      <c r="C71" s="10" t="s">
        <v>1603</v>
      </c>
      <c r="D71" s="10" t="s">
        <v>36</v>
      </c>
      <c r="E71" s="10" t="s">
        <v>37</v>
      </c>
      <c r="F71" s="13">
        <v>2.0</v>
      </c>
      <c r="G71" s="14">
        <v>140.49</v>
      </c>
      <c r="H71" s="10" t="s">
        <v>4680</v>
      </c>
      <c r="I71" s="10">
        <v>93.5</v>
      </c>
      <c r="O71" s="15">
        <f>IFERROR(__xludf.DUMMYFUNCTION("IF(ISBLANK($C71), """", GOOGLEFINANCE($C71, ""price""))"),144.51)</f>
        <v>144.51</v>
      </c>
      <c r="P71" s="16">
        <f t="shared" si="2"/>
        <v>0.02861413624</v>
      </c>
      <c r="Q71" s="16">
        <f>IFERROR(__xludf.DUMMYFUNCTION("IF(OR(ISBLANK($G71), IFERROR(INDEX(GOOGLEFINANCE($C71, ""price"", WORKDAY(INT($B71), 1)), 2, 2), """")=""""), """", IF($D71=""LONG"", (IFERROR(INDEX(GOOGLEFINANCE($C71, ""price"", WORKDAY(INT($B71), 1)), 2, 2), """")-$G71)/$G71, ($G71-IFERROR(INDEX(GOOGLE"&amp;"FINANCE($C71, ""price"", WORKDAY(INT($B71), 1)), 2, 2), """"))/$G71))"),-0.0024912805181865096)</f>
        <v>-0.002491280518</v>
      </c>
      <c r="R71" s="16">
        <f>IFERROR(__xludf.DUMMYFUNCTION("IF(OR(ISBLANK($G71), IFERROR(INDEX(GOOGLEFINANCE($C71, ""price"", WORKDAY(INT($B71), 5)), 2, 2), """")=""""), """", IF($D71=""LONG"", (IFERROR(INDEX(GOOGLEFINANCE($C71, ""price"", WORKDAY(INT($B71), 5)), 2, 2), """")-$G71)/$G71, ($G71-IFERROR(INDEX(GOOGLE"&amp;"FINANCE($C71, ""price"", WORKDAY(INT($B71), 5)), 2, 2), """"))/$G71))"),0.010107480959498807)</f>
        <v>0.01010748096</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4683</v>
      </c>
      <c r="U71" s="10" t="s">
        <v>984</v>
      </c>
      <c r="V71" s="10" t="s">
        <v>2785</v>
      </c>
      <c r="W71" s="10" t="s">
        <v>51</v>
      </c>
      <c r="X71" s="10" t="s">
        <v>984</v>
      </c>
    </row>
    <row r="72">
      <c r="A72" s="9">
        <f t="shared" si="1"/>
        <v>71</v>
      </c>
      <c r="B72" s="11">
        <v>46227.66780092593</v>
      </c>
      <c r="C72" s="10" t="s">
        <v>173</v>
      </c>
      <c r="D72" s="10" t="s">
        <v>36</v>
      </c>
      <c r="E72" s="10" t="s">
        <v>37</v>
      </c>
      <c r="F72" s="13">
        <v>2.0</v>
      </c>
      <c r="G72" s="14">
        <v>86.38</v>
      </c>
      <c r="H72" s="10" t="s">
        <v>4684</v>
      </c>
      <c r="I72" s="10">
        <v>92.3</v>
      </c>
      <c r="O72" s="15">
        <f>IFERROR(__xludf.DUMMYFUNCTION("IF(ISBLANK($C72), """", GOOGLEFINANCE($C72, ""price""))"),87.59)</f>
        <v>87.59</v>
      </c>
      <c r="P72" s="16">
        <f t="shared" si="2"/>
        <v>0.01400787219</v>
      </c>
      <c r="Q72" s="16">
        <f>IFERROR(__xludf.DUMMYFUNCTION("IF(OR(ISBLANK($G72), IFERROR(INDEX(GOOGLEFINANCE($C72, ""price"", WORKDAY(INT($B72), 1)), 2, 2), """")=""""), """", IF($D72=""LONG"", (IFERROR(INDEX(GOOGLEFINANCE($C72, ""price"", WORKDAY(INT($B72), 1)), 2, 2), """")-$G72)/$G72, ($G72-IFERROR(INDEX(GOOGLE"&amp;"FINANCE($C72, ""price"", WORKDAY(INT($B72), 1)), 2, 2), """"))/$G72))"),0.010303310951609176)</f>
        <v>0.01030331095</v>
      </c>
      <c r="R72" s="16">
        <f>IFERROR(__xludf.DUMMYFUNCTION("IF(OR(ISBLANK($G72), IFERROR(INDEX(GOOGLEFINANCE($C72, ""price"", WORKDAY(INT($B72), 5)), 2, 2), """")=""""), """", IF($D72=""LONG"", (IFERROR(INDEX(GOOGLEFINANCE($C72, ""price"", WORKDAY(INT($B72), 5)), 2, 2), """")-$G72)/$G72, ($G72-IFERROR(INDEX(GOOGLE"&amp;"FINANCE($C72, ""price"", WORKDAY(INT($B72), 5)), 2, 2), """"))/$G72))"),8.103727714749641E-4)</f>
        <v>0.0008103727715</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4687</v>
      </c>
      <c r="U72" s="10" t="s">
        <v>984</v>
      </c>
      <c r="V72" s="10" t="s">
        <v>933</v>
      </c>
      <c r="W72" s="10" t="s">
        <v>51</v>
      </c>
      <c r="X72" s="10" t="s">
        <v>984</v>
      </c>
    </row>
    <row r="73">
      <c r="A73" s="9">
        <f t="shared" si="1"/>
        <v>72</v>
      </c>
      <c r="B73" s="11">
        <v>46227.66778935185</v>
      </c>
      <c r="C73" s="10" t="s">
        <v>226</v>
      </c>
      <c r="D73" s="10" t="s">
        <v>36</v>
      </c>
      <c r="E73" s="10" t="s">
        <v>37</v>
      </c>
      <c r="F73" s="13">
        <v>2.0</v>
      </c>
      <c r="G73" s="14">
        <v>22.27</v>
      </c>
      <c r="H73" s="10" t="s">
        <v>4688</v>
      </c>
      <c r="I73" s="10">
        <v>92.9</v>
      </c>
      <c r="O73" s="15">
        <f>IFERROR(__xludf.DUMMYFUNCTION("IF(ISBLANK($C73), """", GOOGLEFINANCE($C73, ""price""))"),21.1)</f>
        <v>21.1</v>
      </c>
      <c r="P73" s="16">
        <f t="shared" si="2"/>
        <v>-0.05253704535</v>
      </c>
      <c r="Q73" s="16">
        <f>IFERROR(__xludf.DUMMYFUNCTION("IF(OR(ISBLANK($G73), IFERROR(INDEX(GOOGLEFINANCE($C73, ""price"", WORKDAY(INT($B73), 1)), 2, 2), """")=""""), """", IF($D73=""LONG"", (IFERROR(INDEX(GOOGLEFINANCE($C73, ""price"", WORKDAY(INT($B73), 1)), 2, 2), """")-$G73)/$G73, ($G73-IFERROR(INDEX(GOOGLE"&amp;"FINANCE($C73, ""price"", WORKDAY(INT($B73), 1)), 2, 2), """"))/$G73))"),0.01122586439155815)</f>
        <v>0.01122586439</v>
      </c>
      <c r="R73" s="16">
        <f>IFERROR(__xludf.DUMMYFUNCTION("IF(OR(ISBLANK($G73), IFERROR(INDEX(GOOGLEFINANCE($C73, ""price"", WORKDAY(INT($B73), 5)), 2, 2), """")=""""), """", IF($D73=""LONG"", (IFERROR(INDEX(GOOGLEFINANCE($C73, ""price"", WORKDAY(INT($B73), 5)), 2, 2), """")-$G73)/$G73, ($G73-IFERROR(INDEX(GOOGLE"&amp;"FINANCE($C73, ""price"", WORKDAY(INT($B73), 5)), 2, 2), """"))/$G73))"),-0.0197575213291424)</f>
        <v>-0.01975752133</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4691</v>
      </c>
      <c r="U73" s="10" t="s">
        <v>984</v>
      </c>
      <c r="V73" s="10" t="s">
        <v>933</v>
      </c>
      <c r="W73" s="10" t="s">
        <v>51</v>
      </c>
      <c r="X73" s="10" t="s">
        <v>984</v>
      </c>
    </row>
    <row r="74">
      <c r="A74" s="9">
        <f t="shared" si="1"/>
        <v>73</v>
      </c>
      <c r="B74" s="11">
        <v>46227.6678125</v>
      </c>
      <c r="C74" s="10" t="s">
        <v>60</v>
      </c>
      <c r="D74" s="10" t="s">
        <v>36</v>
      </c>
      <c r="E74" s="10" t="s">
        <v>37</v>
      </c>
      <c r="F74" s="13">
        <v>2.0</v>
      </c>
      <c r="G74" s="14">
        <v>44.54</v>
      </c>
      <c r="H74" s="10" t="s">
        <v>4693</v>
      </c>
      <c r="I74" s="10">
        <v>87.5</v>
      </c>
      <c r="O74" s="15">
        <f>IFERROR(__xludf.DUMMYFUNCTION("IF(ISBLANK($C74), """", GOOGLEFINANCE($C74, ""price""))"),47.06)</f>
        <v>47.06</v>
      </c>
      <c r="P74" s="16">
        <f t="shared" si="2"/>
        <v>0.05657835653</v>
      </c>
      <c r="Q74" s="16">
        <f>IFERROR(__xludf.DUMMYFUNCTION("IF(OR(ISBLANK($G74), IFERROR(INDEX(GOOGLEFINANCE($C74, ""price"", WORKDAY(INT($B74), 1)), 2, 2), """")=""""), """", IF($D74=""LONG"", (IFERROR(INDEX(GOOGLEFINANCE($C74, ""price"", WORKDAY(INT($B74), 1)), 2, 2), """")-$G74)/$G74, ($G74-IFERROR(INDEX(GOOGLE"&amp;"FINANCE($C74, ""price"", WORKDAY(INT($B74), 1)), 2, 2), """"))/$G74))"),0.015716210148181475)</f>
        <v>0.01571621015</v>
      </c>
      <c r="R74" s="16">
        <f>IFERROR(__xludf.DUMMYFUNCTION("IF(OR(ISBLANK($G74), IFERROR(INDEX(GOOGLEFINANCE($C74, ""price"", WORKDAY(INT($B74), 5)), 2, 2), """")=""""), """", IF($D74=""LONG"", (IFERROR(INDEX(GOOGLEFINANCE($C74, ""price"", WORKDAY(INT($B74), 5)), 2, 2), """")-$G74)/$G74, ($G74-IFERROR(INDEX(GOOGLE"&amp;"FINANCE($C74, ""price"", WORKDAY(INT($B74), 5)), 2, 2), """"))/$G74))"),0.007633587786259619)</f>
        <v>0.007633587786</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4695</v>
      </c>
      <c r="U74" s="10" t="s">
        <v>984</v>
      </c>
      <c r="V74" s="10" t="s">
        <v>2785</v>
      </c>
      <c r="W74" s="10" t="s">
        <v>51</v>
      </c>
      <c r="X74" s="10" t="s">
        <v>984</v>
      </c>
    </row>
    <row r="75">
      <c r="A75" s="9">
        <f t="shared" si="1"/>
        <v>74</v>
      </c>
      <c r="B75" s="11">
        <v>46227.66783564815</v>
      </c>
      <c r="C75" s="10" t="s">
        <v>3828</v>
      </c>
      <c r="D75" s="10" t="s">
        <v>36</v>
      </c>
      <c r="E75" s="10" t="s">
        <v>37</v>
      </c>
      <c r="F75" s="13">
        <v>2.0</v>
      </c>
      <c r="G75" s="14">
        <v>150.59</v>
      </c>
      <c r="H75" s="10" t="s">
        <v>4697</v>
      </c>
      <c r="I75" s="10">
        <v>98.6</v>
      </c>
      <c r="O75" s="15">
        <f>IFERROR(__xludf.DUMMYFUNCTION("IF(ISBLANK($C75), """", GOOGLEFINANCE($C75, ""price""))"),156.94)</f>
        <v>156.94</v>
      </c>
      <c r="P75" s="16">
        <f t="shared" si="2"/>
        <v>0.0421674746</v>
      </c>
      <c r="Q75" s="16">
        <f>IFERROR(__xludf.DUMMYFUNCTION("IF(OR(ISBLANK($G75), IFERROR(INDEX(GOOGLEFINANCE($C75, ""price"", WORKDAY(INT($B75), 1)), 2, 2), """")=""""), """", IF($D75=""LONG"", (IFERROR(INDEX(GOOGLEFINANCE($C75, ""price"", WORKDAY(INT($B75), 1)), 2, 2), """")-$G75)/$G75, ($G75-IFERROR(INDEX(GOOGLE"&amp;"FINANCE($C75, ""price"", WORKDAY(INT($B75), 1)), 2, 2), """"))/$G75))"),0.015870907762799563)</f>
        <v>0.01587090776</v>
      </c>
      <c r="R75" s="16">
        <f>IFERROR(__xludf.DUMMYFUNCTION("IF(OR(ISBLANK($G75), IFERROR(INDEX(GOOGLEFINANCE($C75, ""price"", WORKDAY(INT($B75), 5)), 2, 2), """")=""""), """", IF($D75=""LONG"", (IFERROR(INDEX(GOOGLEFINANCE($C75, ""price"", WORKDAY(INT($B75), 5)), 2, 2), """")-$G75)/$G75, ($G75-IFERROR(INDEX(GOOGLE"&amp;"FINANCE($C75, ""price"", WORKDAY(INT($B75), 5)), 2, 2), """"))/$G75))"),0.022909887774752564)</f>
        <v>0.02290988777</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4701</v>
      </c>
      <c r="U75" s="10" t="s">
        <v>984</v>
      </c>
      <c r="V75" s="10" t="s">
        <v>985</v>
      </c>
      <c r="W75" s="10" t="s">
        <v>51</v>
      </c>
      <c r="X75" s="10" t="s">
        <v>984</v>
      </c>
    </row>
    <row r="76">
      <c r="A76" s="9">
        <f t="shared" si="1"/>
        <v>75</v>
      </c>
      <c r="B76" s="11">
        <v>46227.66783564815</v>
      </c>
      <c r="C76" s="10" t="s">
        <v>4463</v>
      </c>
      <c r="D76" s="10" t="s">
        <v>36</v>
      </c>
      <c r="E76" s="10" t="s">
        <v>37</v>
      </c>
      <c r="F76" s="13">
        <v>2.0</v>
      </c>
      <c r="G76" s="14">
        <v>25.69</v>
      </c>
      <c r="H76" s="10" t="s">
        <v>4702</v>
      </c>
      <c r="I76" s="10">
        <v>93.4</v>
      </c>
      <c r="O76" s="15">
        <f>IFERROR(__xludf.DUMMYFUNCTION("IF(ISBLANK($C76), """", GOOGLEFINANCE($C76, ""price""))"),24.96)</f>
        <v>24.96</v>
      </c>
      <c r="P76" s="16">
        <f t="shared" si="2"/>
        <v>-0.02841572596</v>
      </c>
      <c r="Q76" s="16">
        <f>IFERROR(__xludf.DUMMYFUNCTION("IF(OR(ISBLANK($G76), IFERROR(INDEX(GOOGLEFINANCE($C76, ""price"", WORKDAY(INT($B76), 1)), 2, 2), """")=""""), """", IF($D76=""LONG"", (IFERROR(INDEX(GOOGLEFINANCE($C76, ""price"", WORKDAY(INT($B76), 1)), 2, 2), """")-$G76)/$G76, ($G76-IFERROR(INDEX(GOOGLE"&amp;"FINANCE($C76, ""price"", WORKDAY(INT($B76), 1)), 2, 2), """"))/$G76))"),0.020630595562475578)</f>
        <v>0.02063059556</v>
      </c>
      <c r="R76" s="16">
        <f>IFERROR(__xludf.DUMMYFUNCTION("IF(OR(ISBLANK($G76), IFERROR(INDEX(GOOGLEFINANCE($C76, ""price"", WORKDAY(INT($B76), 5)), 2, 2), """")=""""), """", IF($D76=""LONG"", (IFERROR(INDEX(GOOGLEFINANCE($C76, ""price"", WORKDAY(INT($B76), 5)), 2, 2), """")-$G76)/$G76, ($G76-IFERROR(INDEX(GOOGLE"&amp;"FINANCE($C76, ""price"", WORKDAY(INT($B76), 5)), 2, 2), """"))/$G76))"),0.006228104320747377)</f>
        <v>0.006228104321</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4705</v>
      </c>
      <c r="U76" s="10" t="s">
        <v>984</v>
      </c>
      <c r="V76" s="10" t="s">
        <v>933</v>
      </c>
      <c r="W76" s="10" t="s">
        <v>51</v>
      </c>
      <c r="X76" s="10" t="s">
        <v>984</v>
      </c>
    </row>
    <row r="77">
      <c r="A77" s="9">
        <f t="shared" si="1"/>
        <v>76</v>
      </c>
      <c r="B77" s="11">
        <v>46227.667858796296</v>
      </c>
      <c r="C77" s="10" t="s">
        <v>442</v>
      </c>
      <c r="D77" s="10" t="s">
        <v>36</v>
      </c>
      <c r="E77" s="10" t="s">
        <v>37</v>
      </c>
      <c r="F77" s="13">
        <v>2.0</v>
      </c>
      <c r="G77" s="14">
        <v>502.43</v>
      </c>
      <c r="H77" s="10" t="s">
        <v>4706</v>
      </c>
      <c r="I77" s="10">
        <v>96.6</v>
      </c>
      <c r="O77" s="15">
        <f>IFERROR(__xludf.DUMMYFUNCTION("IF(ISBLANK($C77), """", GOOGLEFINANCE($C77, ""price""))"),522.46)</f>
        <v>522.46</v>
      </c>
      <c r="P77" s="16">
        <f t="shared" si="2"/>
        <v>0.03986625002</v>
      </c>
      <c r="Q77" s="16">
        <f>IFERROR(__xludf.DUMMYFUNCTION("IF(OR(ISBLANK($G77), IFERROR(INDEX(GOOGLEFINANCE($C77, ""price"", WORKDAY(INT($B77), 1)), 2, 2), """")=""""), """", IF($D77=""LONG"", (IFERROR(INDEX(GOOGLEFINANCE($C77, ""price"", WORKDAY(INT($B77), 1)), 2, 2), """")-$G77)/$G77, ($G77-IFERROR(INDEX(GOOGLE"&amp;"FINANCE($C77, ""price"", WORKDAY(INT($B77), 1)), 2, 2), """"))/$G77))"),0.04587703759727726)</f>
        <v>0.0458770376</v>
      </c>
      <c r="R77" s="16">
        <f>IFERROR(__xludf.DUMMYFUNCTION("IF(OR(ISBLANK($G77), IFERROR(INDEX(GOOGLEFINANCE($C77, ""price"", WORKDAY(INT($B77), 5)), 2, 2), """")=""""), """", IF($D77=""LONG"", (IFERROR(INDEX(GOOGLEFINANCE($C77, ""price"", WORKDAY(INT($B77), 5)), 2, 2), """")-$G77)/$G77, ($G77-IFERROR(INDEX(GOOGLE"&amp;"FINANCE($C77, ""price"", WORKDAY(INT($B77), 5)), 2, 2), """"))/$G77))"),0.050414983181736726)</f>
        <v>0.05041498318</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4709</v>
      </c>
      <c r="U77" s="10" t="s">
        <v>984</v>
      </c>
      <c r="V77" s="10" t="s">
        <v>985</v>
      </c>
      <c r="W77" s="10" t="s">
        <v>51</v>
      </c>
      <c r="X77" s="10" t="s">
        <v>984</v>
      </c>
    </row>
    <row r="78">
      <c r="A78" s="9">
        <f t="shared" si="1"/>
        <v>77</v>
      </c>
      <c r="B78" s="11">
        <v>46227.667858796296</v>
      </c>
      <c r="C78" s="10" t="s">
        <v>258</v>
      </c>
      <c r="D78" s="10" t="s">
        <v>36</v>
      </c>
      <c r="E78" s="10" t="s">
        <v>37</v>
      </c>
      <c r="F78" s="13">
        <v>2.0</v>
      </c>
      <c r="G78" s="14">
        <v>116.52</v>
      </c>
      <c r="H78" s="10" t="s">
        <v>4710</v>
      </c>
      <c r="I78" s="10">
        <v>93.2</v>
      </c>
      <c r="O78" s="15">
        <f>IFERROR(__xludf.DUMMYFUNCTION("IF(ISBLANK($C78), """", GOOGLEFINANCE($C78, ""price""))"),113.62)</f>
        <v>113.62</v>
      </c>
      <c r="P78" s="16">
        <f t="shared" si="2"/>
        <v>-0.02488843117</v>
      </c>
      <c r="Q78" s="16">
        <f>IFERROR(__xludf.DUMMYFUNCTION("IF(OR(ISBLANK($G78), IFERROR(INDEX(GOOGLEFINANCE($C78, ""price"", WORKDAY(INT($B78), 1)), 2, 2), """")=""""), """", IF($D78=""LONG"", (IFERROR(INDEX(GOOGLEFINANCE($C78, ""price"", WORKDAY(INT($B78), 1)), 2, 2), """")-$G78)/$G78, ($G78-IFERROR(INDEX(GOOGLE"&amp;"FINANCE($C78, ""price"", WORKDAY(INT($B78), 1)), 2, 2), """"))/$G78))"),0.023086165465156176)</f>
        <v>0.02308616547</v>
      </c>
      <c r="R78" s="16">
        <f>IFERROR(__xludf.DUMMYFUNCTION("IF(OR(ISBLANK($G78), IFERROR(INDEX(GOOGLEFINANCE($C78, ""price"", WORKDAY(INT($B78), 5)), 2, 2), """")=""""), """", IF($D78=""LONG"", (IFERROR(INDEX(GOOGLEFINANCE($C78, ""price"", WORKDAY(INT($B78), 5)), 2, 2), """")-$G78)/$G78, ($G78-IFERROR(INDEX(GOOGLE"&amp;"FINANCE($C78, ""price"", WORKDAY(INT($B78), 5)), 2, 2), """"))/$G78))"),-0.04093717816683828)</f>
        <v>-0.04093717817</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4713</v>
      </c>
      <c r="U78" s="10" t="s">
        <v>984</v>
      </c>
      <c r="V78" s="10" t="s">
        <v>933</v>
      </c>
      <c r="W78" s="10" t="s">
        <v>51</v>
      </c>
      <c r="X78" s="10" t="s">
        <v>984</v>
      </c>
    </row>
    <row r="79">
      <c r="A79" s="9">
        <f t="shared" si="1"/>
        <v>78</v>
      </c>
      <c r="B79" s="11">
        <v>46227.66780092593</v>
      </c>
      <c r="C79" s="10" t="s">
        <v>332</v>
      </c>
      <c r="D79" s="10" t="s">
        <v>36</v>
      </c>
      <c r="E79" s="10" t="s">
        <v>37</v>
      </c>
      <c r="F79" s="13">
        <v>2.0</v>
      </c>
      <c r="G79" s="14">
        <v>85.47</v>
      </c>
      <c r="H79" s="10" t="s">
        <v>4714</v>
      </c>
      <c r="I79" s="10">
        <v>94.1</v>
      </c>
      <c r="O79" s="15">
        <f>IFERROR(__xludf.DUMMYFUNCTION("IF(ISBLANK($C79), """", GOOGLEFINANCE($C79, ""price""))"),88.23)</f>
        <v>88.23</v>
      </c>
      <c r="P79" s="16">
        <f t="shared" si="2"/>
        <v>0.03229203229</v>
      </c>
      <c r="Q79" s="16">
        <f>IFERROR(__xludf.DUMMYFUNCTION("IF(OR(ISBLANK($G79), IFERROR(INDEX(GOOGLEFINANCE($C79, ""price"", WORKDAY(INT($B79), 1)), 2, 2), """")=""""), """", IF($D79=""LONG"", (IFERROR(INDEX(GOOGLEFINANCE($C79, ""price"", WORKDAY(INT($B79), 1)), 2, 2), """")-$G79)/$G79, ($G79-IFERROR(INDEX(GOOGLE"&amp;"FINANCE($C79, ""price"", WORKDAY(INT($B79), 1)), 2, 2), """"))/$G79))"),-0.010062010062010055)</f>
        <v>-0.01006201006</v>
      </c>
      <c r="R79" s="16">
        <f>IFERROR(__xludf.DUMMYFUNCTION("IF(OR(ISBLANK($G79), IFERROR(INDEX(GOOGLEFINANCE($C79, ""price"", WORKDAY(INT($B79), 5)), 2, 2), """")=""""), """", IF($D79=""LONG"", (IFERROR(INDEX(GOOGLEFINANCE($C79, ""price"", WORKDAY(INT($B79), 5)), 2, 2), """")-$G79)/$G79, ($G79-IFERROR(INDEX(GOOGLE"&amp;"FINANCE($C79, ""price"", WORKDAY(INT($B79), 5)), 2, 2), """"))/$G79))"),0.0032760032760032892)</f>
        <v>0.003276003276</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4717</v>
      </c>
      <c r="U79" s="10" t="s">
        <v>984</v>
      </c>
      <c r="V79" s="10" t="s">
        <v>933</v>
      </c>
      <c r="W79" s="10" t="s">
        <v>51</v>
      </c>
      <c r="X79" s="10" t="s">
        <v>984</v>
      </c>
    </row>
    <row r="80">
      <c r="A80" s="9">
        <f t="shared" si="1"/>
        <v>79</v>
      </c>
      <c r="B80" s="11">
        <v>46227.66780092593</v>
      </c>
      <c r="C80" s="10" t="s">
        <v>4135</v>
      </c>
      <c r="D80" s="10" t="s">
        <v>36</v>
      </c>
      <c r="E80" s="10" t="s">
        <v>37</v>
      </c>
      <c r="F80" s="13">
        <v>2.0</v>
      </c>
      <c r="G80" s="14">
        <v>376.11</v>
      </c>
      <c r="H80" s="10" t="s">
        <v>4718</v>
      </c>
      <c r="I80" s="10">
        <v>80.9</v>
      </c>
      <c r="O80" s="15">
        <f>IFERROR(__xludf.DUMMYFUNCTION("IF(ISBLANK($C80), """", GOOGLEFINANCE($C80, ""price""))"),404.85)</f>
        <v>404.85</v>
      </c>
      <c r="P80" s="16">
        <f t="shared" si="2"/>
        <v>0.07641381511</v>
      </c>
      <c r="Q80" s="16">
        <f>IFERROR(__xludf.DUMMYFUNCTION("IF(OR(ISBLANK($G80), IFERROR(INDEX(GOOGLEFINANCE($C80, ""price"", WORKDAY(INT($B80), 1)), 2, 2), """")=""""), """", IF($D80=""LONG"", (IFERROR(INDEX(GOOGLEFINANCE($C80, ""price"", WORKDAY(INT($B80), 1)), 2, 2), """")-$G80)/$G80, ($G80-IFERROR(INDEX(GOOGLE"&amp;"FINANCE($C80, ""price"", WORKDAY(INT($B80), 1)), 2, 2), """"))/$G80))"),3.988194942968208E-4)</f>
        <v>0.0003988194943</v>
      </c>
      <c r="R80" s="16">
        <f>IFERROR(__xludf.DUMMYFUNCTION("IF(OR(ISBLANK($G80), IFERROR(INDEX(GOOGLEFINANCE($C80, ""price"", WORKDAY(INT($B80), 5)), 2, 2), """")=""""), """", IF($D80=""LONG"", (IFERROR(INDEX(GOOGLEFINANCE($C80, ""price"", WORKDAY(INT($B80), 5)), 2, 2), """")-$G80)/$G80, ($G80-IFERROR(INDEX(GOOGLE"&amp;"FINANCE($C80, ""price"", WORKDAY(INT($B80), 5)), 2, 2), """"))/$G80))"),0.024062109489245198)</f>
        <v>0.02406210949</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4721</v>
      </c>
      <c r="U80" s="10" t="s">
        <v>984</v>
      </c>
      <c r="V80" s="10" t="s">
        <v>2714</v>
      </c>
      <c r="W80" s="10" t="s">
        <v>51</v>
      </c>
      <c r="X80" s="10" t="s">
        <v>984</v>
      </c>
    </row>
    <row r="81">
      <c r="A81" s="9">
        <f t="shared" si="1"/>
        <v>80</v>
      </c>
      <c r="B81" s="11">
        <v>46227.66783564815</v>
      </c>
      <c r="C81" s="10" t="s">
        <v>69</v>
      </c>
      <c r="D81" s="10" t="s">
        <v>36</v>
      </c>
      <c r="E81" s="10" t="s">
        <v>37</v>
      </c>
      <c r="F81" s="13">
        <v>2.0</v>
      </c>
      <c r="G81" s="14">
        <v>263.41</v>
      </c>
      <c r="H81" s="10" t="s">
        <v>4722</v>
      </c>
      <c r="I81" s="10">
        <v>92.1</v>
      </c>
      <c r="O81" s="15">
        <f>IFERROR(__xludf.DUMMYFUNCTION("IF(ISBLANK($C81), """", GOOGLEFINANCE($C81, ""price""))"),256.98)</f>
        <v>256.98</v>
      </c>
      <c r="P81" s="16">
        <f t="shared" si="2"/>
        <v>-0.02441061463</v>
      </c>
      <c r="Q81" s="16">
        <f>IFERROR(__xludf.DUMMYFUNCTION("IF(OR(ISBLANK($G81), IFERROR(INDEX(GOOGLEFINANCE($C81, ""price"", WORKDAY(INT($B81), 1)), 2, 2), """")=""""), """", IF($D81=""LONG"", (IFERROR(INDEX(GOOGLEFINANCE($C81, ""price"", WORKDAY(INT($B81), 1)), 2, 2), """")-$G81)/$G81, ($G81-IFERROR(INDEX(GOOGLE"&amp;"FINANCE($C81, ""price"", WORKDAY(INT($B81), 1)), 2, 2), """"))/$G81))"),0.009642762233779899)</f>
        <v>0.009642762234</v>
      </c>
      <c r="R81" s="16">
        <f>IFERROR(__xludf.DUMMYFUNCTION("IF(OR(ISBLANK($G81), IFERROR(INDEX(GOOGLEFINANCE($C81, ""price"", WORKDAY(INT($B81), 5)), 2, 2), """")=""""), """", IF($D81=""LONG"", (IFERROR(INDEX(GOOGLEFINANCE($C81, ""price"", WORKDAY(INT($B81), 5)), 2, 2), """")-$G81)/$G81, ($G81-IFERROR(INDEX(GOOGLE"&amp;"FINANCE($C81, ""price"", WORKDAY(INT($B81), 5)), 2, 2), """"))/$G81))"),-0.026802323374207515)</f>
        <v>-0.02680232337</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4724</v>
      </c>
      <c r="U81" s="10" t="s">
        <v>984</v>
      </c>
      <c r="V81" s="10" t="s">
        <v>2785</v>
      </c>
      <c r="W81" s="10" t="s">
        <v>51</v>
      </c>
      <c r="X81" s="10" t="s">
        <v>984</v>
      </c>
    </row>
    <row r="82">
      <c r="A82" s="9">
        <f t="shared" si="1"/>
        <v>81</v>
      </c>
      <c r="B82" s="11">
        <v>46227.667766203704</v>
      </c>
      <c r="C82" s="10" t="s">
        <v>234</v>
      </c>
      <c r="D82" s="10" t="s">
        <v>36</v>
      </c>
      <c r="E82" s="10" t="s">
        <v>37</v>
      </c>
      <c r="F82" s="13">
        <v>2.0</v>
      </c>
      <c r="G82" s="14">
        <v>63.98</v>
      </c>
      <c r="H82" s="10" t="s">
        <v>4726</v>
      </c>
      <c r="I82" s="10">
        <v>91.9</v>
      </c>
      <c r="O82" s="15">
        <f>IFERROR(__xludf.DUMMYFUNCTION("IF(ISBLANK($C82), """", GOOGLEFINANCE($C82, ""price""))"),63.81)</f>
        <v>63.81</v>
      </c>
      <c r="P82" s="16">
        <f t="shared" si="2"/>
        <v>-0.002657080338</v>
      </c>
      <c r="Q82" s="16">
        <f>IFERROR(__xludf.DUMMYFUNCTION("IF(OR(ISBLANK($G82), IFERROR(INDEX(GOOGLEFINANCE($C82, ""price"", WORKDAY(INT($B82), 1)), 2, 2), """")=""""), """", IF($D82=""LONG"", (IFERROR(INDEX(GOOGLEFINANCE($C82, ""price"", WORKDAY(INT($B82), 1)), 2, 2), """")-$G82)/$G82, ($G82-IFERROR(INDEX(GOOGLE"&amp;"FINANCE($C82, ""price"", WORKDAY(INT($B82), 1)), 2, 2), """"))/$G82))"),-0.007658643326039308)</f>
        <v>-0.007658643326</v>
      </c>
      <c r="R82" s="16">
        <f>IFERROR(__xludf.DUMMYFUNCTION("IF(OR(ISBLANK($G82), IFERROR(INDEX(GOOGLEFINANCE($C82, ""price"", WORKDAY(INT($B82), 5)), 2, 2), """")=""""), """", IF($D82=""LONG"", (IFERROR(INDEX(GOOGLEFINANCE($C82, ""price"", WORKDAY(INT($B82), 5)), 2, 2), """")-$G82)/$G82, ($G82-IFERROR(INDEX(GOOGLE"&amp;"FINANCE($C82, ""price"", WORKDAY(INT($B82), 5)), 2, 2), """"))/$G82))"),-0.015160987808690199)</f>
        <v>-0.01516098781</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4729</v>
      </c>
      <c r="U82" s="10" t="s">
        <v>984</v>
      </c>
      <c r="V82" s="10" t="s">
        <v>933</v>
      </c>
      <c r="W82" s="10" t="s">
        <v>51</v>
      </c>
      <c r="X82" s="10" t="s">
        <v>984</v>
      </c>
    </row>
    <row r="83">
      <c r="A83" s="9">
        <f t="shared" si="1"/>
        <v>82</v>
      </c>
      <c r="B83" s="11">
        <v>46227.667905092596</v>
      </c>
      <c r="C83" s="10" t="s">
        <v>2084</v>
      </c>
      <c r="D83" s="10" t="s">
        <v>36</v>
      </c>
      <c r="E83" s="10" t="s">
        <v>37</v>
      </c>
      <c r="F83" s="13">
        <v>2.0</v>
      </c>
      <c r="G83" s="14">
        <v>295.17</v>
      </c>
      <c r="H83" s="10" t="s">
        <v>4732</v>
      </c>
      <c r="I83" s="10">
        <v>95.6</v>
      </c>
      <c r="O83" s="15">
        <f>IFERROR(__xludf.DUMMYFUNCTION("IF(ISBLANK($C83), """", GOOGLEFINANCE($C83, ""price""))"),340.01)</f>
        <v>340.01</v>
      </c>
      <c r="P83" s="16">
        <f t="shared" si="2"/>
        <v>0.1519124572</v>
      </c>
      <c r="Q83" s="16">
        <f>IFERROR(__xludf.DUMMYFUNCTION("IF(OR(ISBLANK($G83), IFERROR(INDEX(GOOGLEFINANCE($C83, ""price"", WORKDAY(INT($B83), 1)), 2, 2), """")=""""), """", IF($D83=""LONG"", (IFERROR(INDEX(GOOGLEFINANCE($C83, ""price"", WORKDAY(INT($B83), 1)), 2, 2), """")-$G83)/$G83, ($G83-IFERROR(INDEX(GOOGLE"&amp;"FINANCE($C83, ""price"", WORKDAY(INT($B83), 1)), 2, 2), """"))/$G83))"),0.02530744994409991)</f>
        <v>0.02530744994</v>
      </c>
      <c r="R83" s="16">
        <f>IFERROR(__xludf.DUMMYFUNCTION("IF(OR(ISBLANK($G83), IFERROR(INDEX(GOOGLEFINANCE($C83, ""price"", WORKDAY(INT($B83), 5)), 2, 2), """")=""""), """", IF($D83=""LONG"", (IFERROR(INDEX(GOOGLEFINANCE($C83, ""price"", WORKDAY(INT($B83), 5)), 2, 2), """")-$G83)/$G83, ($G83-IFERROR(INDEX(GOOGLE"&amp;"FINANCE($C83, ""price"", WORKDAY(INT($B83), 5)), 2, 2), """"))/$G83))"),0.13805603550496323)</f>
        <v>0.1380560355</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4733</v>
      </c>
      <c r="U83" s="10" t="s">
        <v>984</v>
      </c>
      <c r="V83" s="10" t="s">
        <v>985</v>
      </c>
      <c r="W83" s="10" t="s">
        <v>51</v>
      </c>
      <c r="X83" s="10" t="s">
        <v>984</v>
      </c>
    </row>
    <row r="84">
      <c r="A84" s="9">
        <f t="shared" si="1"/>
        <v>83</v>
      </c>
      <c r="B84" s="11">
        <v>46227.66782407407</v>
      </c>
      <c r="C84" s="10" t="s">
        <v>123</v>
      </c>
      <c r="D84" s="10" t="s">
        <v>36</v>
      </c>
      <c r="E84" s="10" t="s">
        <v>37</v>
      </c>
      <c r="F84" s="13">
        <v>2.0</v>
      </c>
      <c r="G84" s="14">
        <v>17.36</v>
      </c>
      <c r="H84" s="10" t="s">
        <v>4735</v>
      </c>
      <c r="I84" s="10">
        <v>88.1</v>
      </c>
      <c r="L84" s="10" t="s">
        <v>4737</v>
      </c>
      <c r="M84" s="34" t="s">
        <v>1789</v>
      </c>
      <c r="N84" s="10" t="s">
        <v>925</v>
      </c>
      <c r="O84" s="15">
        <f>IFERROR(__xludf.DUMMYFUNCTION("IF(ISBLANK($C84), """", GOOGLEFINANCE($C84, ""price""))"),17.36)</f>
        <v>17.36</v>
      </c>
      <c r="P84" s="16">
        <f t="shared" si="2"/>
        <v>0</v>
      </c>
      <c r="Q84" s="16">
        <f>IFERROR(__xludf.DUMMYFUNCTION("IF(OR(ISBLANK($G84), IFERROR(INDEX(GOOGLEFINANCE($C84, ""price"", WORKDAY(INT($B84), 1)), 2, 2), """")=""""), """", IF($D84=""LONG"", (IFERROR(INDEX(GOOGLEFINANCE($C84, ""price"", WORKDAY(INT($B84), 1)), 2, 2), """")-$G84)/$G84, ($G84-IFERROR(INDEX(GOOGLE"&amp;"FINANCE($C84, ""price"", WORKDAY(INT($B84), 1)), 2, 2), """"))/$G84))"),-0.011520737327188899)</f>
        <v>-0.01152073733</v>
      </c>
      <c r="R84" s="16">
        <f>IFERROR(__xludf.DUMMYFUNCTION("IF(OR(ISBLANK($G84), IFERROR(INDEX(GOOGLEFINANCE($C84, ""price"", WORKDAY(INT($B84), 5)), 2, 2), """")=""""), """", IF($D84=""LONG"", (IFERROR(INDEX(GOOGLEFINANCE($C84, ""price"", WORKDAY(INT($B84), 5)), 2, 2), """")-$G84)/$G84, ($G84-IFERROR(INDEX(GOOGLE"&amp;"FINANCE($C84, ""price"", WORKDAY(INT($B84), 5)), 2, 2), """"))/$G84))"),-0.01843317972350232)</f>
        <v>-0.01843317972</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4740</v>
      </c>
      <c r="U84" s="10" t="s">
        <v>507</v>
      </c>
      <c r="V84" s="10" t="s">
        <v>4741</v>
      </c>
      <c r="W84" s="10" t="s">
        <v>51</v>
      </c>
      <c r="X84" s="10" t="s">
        <v>2228</v>
      </c>
    </row>
    <row r="85">
      <c r="A85" s="9">
        <f t="shared" si="1"/>
        <v>84</v>
      </c>
      <c r="B85" s="11">
        <v>46227.66784722222</v>
      </c>
      <c r="C85" s="10" t="s">
        <v>691</v>
      </c>
      <c r="D85" s="10" t="s">
        <v>36</v>
      </c>
      <c r="E85" s="10" t="s">
        <v>37</v>
      </c>
      <c r="F85" s="13">
        <v>2.0</v>
      </c>
      <c r="G85" s="14">
        <v>29.93</v>
      </c>
      <c r="H85" s="10" t="s">
        <v>4744</v>
      </c>
      <c r="I85" s="10">
        <v>89.7</v>
      </c>
      <c r="L85" s="10" t="s">
        <v>4745</v>
      </c>
      <c r="M85" s="34" t="s">
        <v>3374</v>
      </c>
      <c r="N85" s="10" t="s">
        <v>4746</v>
      </c>
      <c r="O85" s="15">
        <f>IFERROR(__xludf.DUMMYFUNCTION("IF(ISBLANK($C85), """", GOOGLEFINANCE($C85, ""price""))"),31.69)</f>
        <v>31.69</v>
      </c>
      <c r="P85" s="16">
        <f t="shared" si="2"/>
        <v>0.05880387571</v>
      </c>
      <c r="Q85" s="16">
        <f>IFERROR(__xludf.DUMMYFUNCTION("IF(OR(ISBLANK($G85), IFERROR(INDEX(GOOGLEFINANCE($C85, ""price"", WORKDAY(INT($B85), 1)), 2, 2), """")=""""), """", IF($D85=""LONG"", (IFERROR(INDEX(GOOGLEFINANCE($C85, ""price"", WORKDAY(INT($B85), 1)), 2, 2), """")-$G85)/$G85, ($G85-IFERROR(INDEX(GOOGLE"&amp;"FINANCE($C85, ""price"", WORKDAY(INT($B85), 1)), 2, 2), """"))/$G85))"),0.006014032743067148)</f>
        <v>0.006014032743</v>
      </c>
      <c r="R85" s="16">
        <f>IFERROR(__xludf.DUMMYFUNCTION("IF(OR(ISBLANK($G85), IFERROR(INDEX(GOOGLEFINANCE($C85, ""price"", WORKDAY(INT($B85), 5)), 2, 2), """")=""""), """", IF($D85=""LONG"", (IFERROR(INDEX(GOOGLEFINANCE($C85, ""price"", WORKDAY(INT($B85), 5)), 2, 2), """")-$G85)/$G85, ($G85-IFERROR(INDEX(GOOGLE"&amp;"FINANCE($C85, ""price"", WORKDAY(INT($B85), 5)), 2, 2), """"))/$G85))"),-0.011025726695623064)</f>
        <v>-0.0110257267</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4748</v>
      </c>
      <c r="U85" s="10" t="s">
        <v>704</v>
      </c>
      <c r="V85" s="10" t="s">
        <v>4749</v>
      </c>
      <c r="W85" s="10" t="s">
        <v>51</v>
      </c>
      <c r="X85" s="10" t="s">
        <v>1885</v>
      </c>
    </row>
    <row r="86">
      <c r="A86" s="9">
        <f t="shared" si="1"/>
        <v>85</v>
      </c>
      <c r="B86" s="11">
        <v>46227.667650462965</v>
      </c>
      <c r="C86" s="10" t="s">
        <v>310</v>
      </c>
      <c r="D86" s="10" t="s">
        <v>36</v>
      </c>
      <c r="E86" s="10" t="s">
        <v>37</v>
      </c>
      <c r="F86" s="13">
        <v>2.0</v>
      </c>
      <c r="G86" s="14">
        <v>207.95</v>
      </c>
      <c r="H86" s="10" t="s">
        <v>4751</v>
      </c>
      <c r="I86" s="10">
        <v>87.4</v>
      </c>
      <c r="L86" s="10" t="s">
        <v>4752</v>
      </c>
      <c r="M86" s="34" t="s">
        <v>2106</v>
      </c>
      <c r="N86" s="10" t="s">
        <v>925</v>
      </c>
      <c r="O86" s="15">
        <f>IFERROR(__xludf.DUMMYFUNCTION("IF(ISBLANK($C86), """", GOOGLEFINANCE($C86, ""price""))"),232.43)</f>
        <v>232.43</v>
      </c>
      <c r="P86" s="16">
        <f t="shared" si="2"/>
        <v>0.1177206059</v>
      </c>
      <c r="Q86" s="16">
        <f>IFERROR(__xludf.DUMMYFUNCTION("IF(OR(ISBLANK($G86), IFERROR(INDEX(GOOGLEFINANCE($C86, ""price"", WORKDAY(INT($B86), 1)), 2, 2), """")=""""), """", IF($D86=""LONG"", (IFERROR(INDEX(GOOGLEFINANCE($C86, ""price"", WORKDAY(INT($B86), 1)), 2, 2), """")-$G86)/$G86, ($G86-IFERROR(INDEX(GOOGLE"&amp;"FINANCE($C86, ""price"", WORKDAY(INT($B86), 1)), 2, 2), """"))/$G86))"),0.02534263044000967)</f>
        <v>0.02534263044</v>
      </c>
      <c r="R86" s="16">
        <f>IFERROR(__xludf.DUMMYFUNCTION("IF(OR(ISBLANK($G86), IFERROR(INDEX(GOOGLEFINANCE($C86, ""price"", WORKDAY(INT($B86), 5)), 2, 2), """")=""""), """", IF($D86=""LONG"", (IFERROR(INDEX(GOOGLEFINANCE($C86, ""price"", WORKDAY(INT($B86), 5)), 2, 2), """")-$G86)/$G86, ($G86-IFERROR(INDEX(GOOGLE"&amp;"FINANCE($C86, ""price"", WORKDAY(INT($B86), 5)), 2, 2), """"))/$G86))"),0.13017552296225066)</f>
        <v>0.130175523</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4754</v>
      </c>
      <c r="U86" s="10" t="s">
        <v>507</v>
      </c>
      <c r="V86" s="10" t="s">
        <v>4755</v>
      </c>
      <c r="W86" s="10" t="s">
        <v>51</v>
      </c>
      <c r="X86" s="10" t="s">
        <v>2228</v>
      </c>
    </row>
    <row r="87">
      <c r="A87" s="9">
        <f t="shared" si="1"/>
        <v>86</v>
      </c>
      <c r="B87" s="11">
        <v>46227.667662037034</v>
      </c>
      <c r="C87" s="10" t="s">
        <v>80</v>
      </c>
      <c r="D87" s="10" t="s">
        <v>36</v>
      </c>
      <c r="E87" s="10" t="s">
        <v>37</v>
      </c>
      <c r="F87" s="13">
        <v>2.0</v>
      </c>
      <c r="G87" s="14">
        <v>259.22</v>
      </c>
      <c r="H87" s="10" t="s">
        <v>4758</v>
      </c>
      <c r="I87" s="10">
        <v>81.2</v>
      </c>
      <c r="O87" s="15">
        <f>IFERROR(__xludf.DUMMYFUNCTION("IF(ISBLANK($C87), """", GOOGLEFINANCE($C87, ""price""))"),243.87)</f>
        <v>243.87</v>
      </c>
      <c r="P87" s="16">
        <f t="shared" si="2"/>
        <v>-0.05921610987</v>
      </c>
      <c r="Q87" s="16">
        <f>IFERROR(__xludf.DUMMYFUNCTION("IF(OR(ISBLANK($G87), IFERROR(INDEX(GOOGLEFINANCE($C87, ""price"", WORKDAY(INT($B87), 1)), 2, 2), """")=""""), """", IF($D87=""LONG"", (IFERROR(INDEX(GOOGLEFINANCE($C87, ""price"", WORKDAY(INT($B87), 1)), 2, 2), """")-$G87)/$G87, ($G87-IFERROR(INDEX(GOOGLE"&amp;"FINANCE($C87, ""price"", WORKDAY(INT($B87), 1)), 2, 2), """"))/$G87))"),-0.008911349432914134)</f>
        <v>-0.008911349433</v>
      </c>
      <c r="R87" s="16">
        <f>IFERROR(__xludf.DUMMYFUNCTION("IF(OR(ISBLANK($G87), IFERROR(INDEX(GOOGLEFINANCE($C87, ""price"", WORKDAY(INT($B87), 5)), 2, 2), """")=""""), """", IF($D87=""LONG"", (IFERROR(INDEX(GOOGLEFINANCE($C87, ""price"", WORKDAY(INT($B87), 5)), 2, 2), """")-$G87)/$G87, ($G87-IFERROR(INDEX(GOOGLE"&amp;"FINANCE($C87, ""price"", WORKDAY(INT($B87), 5)), 2, 2), """"))/$G87))"),-0.031941979785510485)</f>
        <v>-0.03194197979</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4760</v>
      </c>
      <c r="U87" s="10" t="s">
        <v>984</v>
      </c>
      <c r="V87" s="10" t="s">
        <v>2785</v>
      </c>
      <c r="W87" s="10" t="s">
        <v>51</v>
      </c>
      <c r="X87" s="10" t="s">
        <v>984</v>
      </c>
    </row>
    <row r="88">
      <c r="A88" s="9">
        <f t="shared" si="1"/>
        <v>87</v>
      </c>
      <c r="B88" s="11">
        <v>46227.667719907404</v>
      </c>
      <c r="C88" s="10" t="s">
        <v>3721</v>
      </c>
      <c r="D88" s="10" t="s">
        <v>36</v>
      </c>
      <c r="E88" s="10" t="s">
        <v>37</v>
      </c>
      <c r="F88" s="13">
        <v>2.0</v>
      </c>
      <c r="G88" s="14">
        <v>101.99</v>
      </c>
      <c r="H88" s="10" t="s">
        <v>4762</v>
      </c>
      <c r="I88" s="10">
        <v>97.2</v>
      </c>
      <c r="O88" s="15">
        <f>IFERROR(__xludf.DUMMYFUNCTION("IF(ISBLANK($C88), """", GOOGLEFINANCE($C88, ""price""))"),107.66)</f>
        <v>107.66</v>
      </c>
      <c r="P88" s="16">
        <f t="shared" si="2"/>
        <v>0.05559368566</v>
      </c>
      <c r="Q88" s="16">
        <f>IFERROR(__xludf.DUMMYFUNCTION("IF(OR(ISBLANK($G88), IFERROR(INDEX(GOOGLEFINANCE($C88, ""price"", WORKDAY(INT($B88), 1)), 2, 2), """")=""""), """", IF($D88=""LONG"", (IFERROR(INDEX(GOOGLEFINANCE($C88, ""price"", WORKDAY(INT($B88), 1)), 2, 2), """")-$G88)/$G88, ($G88-IFERROR(INDEX(GOOGLE"&amp;"FINANCE($C88, ""price"", WORKDAY(INT($B88), 1)), 2, 2), """"))/$G88))"),0.021472693401313973)</f>
        <v>0.0214726934</v>
      </c>
      <c r="R88" s="16">
        <f>IFERROR(__xludf.DUMMYFUNCTION("IF(OR(ISBLANK($G88), IFERROR(INDEX(GOOGLEFINANCE($C88, ""price"", WORKDAY(INT($B88), 5)), 2, 2), """")=""""), """", IF($D88=""LONG"", (IFERROR(INDEX(GOOGLEFINANCE($C88, ""price"", WORKDAY(INT($B88), 5)), 2, 2), """")-$G88)/$G88, ($G88-IFERROR(INDEX(GOOGLE"&amp;"FINANCE($C88, ""price"", WORKDAY(INT($B88), 5)), 2, 2), """"))/$G88))"),0.03186586920286303)</f>
        <v>0.0318658692</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4764</v>
      </c>
      <c r="U88" s="10" t="s">
        <v>984</v>
      </c>
      <c r="V88" s="10" t="s">
        <v>933</v>
      </c>
      <c r="W88" s="10" t="s">
        <v>51</v>
      </c>
      <c r="X88" s="10" t="s">
        <v>984</v>
      </c>
    </row>
    <row r="89">
      <c r="A89" s="9">
        <f t="shared" si="1"/>
        <v>88</v>
      </c>
      <c r="B89" s="11">
        <v>46227.667719907404</v>
      </c>
      <c r="C89" s="10" t="s">
        <v>228</v>
      </c>
      <c r="D89" s="10" t="s">
        <v>36</v>
      </c>
      <c r="E89" s="10" t="s">
        <v>87</v>
      </c>
      <c r="F89" s="13">
        <v>2.0</v>
      </c>
      <c r="G89" s="14">
        <v>75.45</v>
      </c>
      <c r="H89" s="10" t="s">
        <v>4765</v>
      </c>
      <c r="I89" s="10">
        <v>83.3</v>
      </c>
      <c r="O89" s="15">
        <f>IFERROR(__xludf.DUMMYFUNCTION("IF(ISBLANK($C89), """", GOOGLEFINANCE($C89, ""price""))"),72.13)</f>
        <v>72.13</v>
      </c>
      <c r="P89" s="16">
        <f t="shared" si="2"/>
        <v>-0.04400265076</v>
      </c>
      <c r="Q89" s="16">
        <f>IFERROR(__xludf.DUMMYFUNCTION("IF(OR(ISBLANK($G89), IFERROR(INDEX(GOOGLEFINANCE($C89, ""price"", WORKDAY(INT($B89), 1)), 2, 2), """")=""""), """", IF($D89=""LONG"", (IFERROR(INDEX(GOOGLEFINANCE($C89, ""price"", WORKDAY(INT($B89), 1)), 2, 2), """")-$G89)/$G89, ($G89-IFERROR(INDEX(GOOGLE"&amp;"FINANCE($C89, ""price"", WORKDAY(INT($B89), 1)), 2, 2), """"))/$G89))"),0.0033134526176275677)</f>
        <v>0.003313452618</v>
      </c>
      <c r="R89" s="16">
        <f>IFERROR(__xludf.DUMMYFUNCTION("IF(OR(ISBLANK($G89), IFERROR(INDEX(GOOGLEFINANCE($C89, ""price"", WORKDAY(INT($B89), 5)), 2, 2), """")=""""), """", IF($D89=""LONG"", (IFERROR(INDEX(GOOGLEFINANCE($C89, ""price"", WORKDAY(INT($B89), 5)), 2, 2), """")-$G89)/$G89, ($G89-IFERROR(INDEX(GOOGLE"&amp;"FINANCE($C89, ""price"", WORKDAY(INT($B89), 5)), 2, 2), """"))/$G89))"),-0.038568588469184845)</f>
        <v>-0.03856858847</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4768</v>
      </c>
      <c r="U89" s="10" t="s">
        <v>492</v>
      </c>
      <c r="V89" s="10" t="s">
        <v>2701</v>
      </c>
      <c r="W89" s="10" t="s">
        <v>51</v>
      </c>
      <c r="X89" s="10" t="s">
        <v>492</v>
      </c>
    </row>
    <row r="90">
      <c r="A90" s="9">
        <f t="shared" si="1"/>
        <v>89</v>
      </c>
      <c r="B90" s="11">
        <v>46227.66762731481</v>
      </c>
      <c r="C90" s="10" t="s">
        <v>1778</v>
      </c>
      <c r="D90" s="10" t="s">
        <v>36</v>
      </c>
      <c r="E90" s="10" t="s">
        <v>37</v>
      </c>
      <c r="F90" s="13">
        <v>2.0</v>
      </c>
      <c r="G90" s="14">
        <v>89.27</v>
      </c>
      <c r="H90" s="10" t="s">
        <v>4769</v>
      </c>
      <c r="I90" s="10">
        <v>92.5</v>
      </c>
      <c r="O90" s="15">
        <f>IFERROR(__xludf.DUMMYFUNCTION("IF(ISBLANK($C90), """", GOOGLEFINANCE($C90, ""price""))"),76.86)</f>
        <v>76.86</v>
      </c>
      <c r="P90" s="16">
        <f t="shared" si="2"/>
        <v>-0.1390164669</v>
      </c>
      <c r="Q90" s="16">
        <f>IFERROR(__xludf.DUMMYFUNCTION("IF(OR(ISBLANK($G90), IFERROR(INDEX(GOOGLEFINANCE($C90, ""price"", WORKDAY(INT($B90), 1)), 2, 2), """")=""""), """", IF($D90=""LONG"", (IFERROR(INDEX(GOOGLEFINANCE($C90, ""price"", WORKDAY(INT($B90), 1)), 2, 2), """")-$G90)/$G90, ($G90-IFERROR(INDEX(GOOGLE"&amp;"FINANCE($C90, ""price"", WORKDAY(INT($B90), 1)), 2, 2), """"))/$G90))"),-0.018931331914416913)</f>
        <v>-0.01893133191</v>
      </c>
      <c r="R90" s="16">
        <f>IFERROR(__xludf.DUMMYFUNCTION("IF(OR(ISBLANK($G90), IFERROR(INDEX(GOOGLEFINANCE($C90, ""price"", WORKDAY(INT($B90), 5)), 2, 2), """")=""""), """", IF($D90=""LONG"", (IFERROR(INDEX(GOOGLEFINANCE($C90, ""price"", WORKDAY(INT($B90), 5)), 2, 2), """")-$G90)/$G90, ($G90-IFERROR(INDEX(GOOGLE"&amp;"FINANCE($C90, ""price"", WORKDAY(INT($B90), 5)), 2, 2), """"))/$G90))"),-0.11829281953623841)</f>
        <v>-0.1182928195</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4772</v>
      </c>
      <c r="U90" s="10" t="s">
        <v>984</v>
      </c>
      <c r="V90" s="10" t="s">
        <v>2714</v>
      </c>
      <c r="W90" s="10" t="s">
        <v>51</v>
      </c>
      <c r="X90" s="10" t="s">
        <v>984</v>
      </c>
    </row>
    <row r="91">
      <c r="A91" s="9">
        <f t="shared" si="1"/>
        <v>90</v>
      </c>
      <c r="B91" s="11">
        <v>46227.66773148148</v>
      </c>
      <c r="C91" s="10" t="s">
        <v>2793</v>
      </c>
      <c r="D91" s="10" t="s">
        <v>36</v>
      </c>
      <c r="E91" s="10" t="s">
        <v>87</v>
      </c>
      <c r="F91" s="13">
        <v>2.0</v>
      </c>
      <c r="G91" s="14">
        <v>49.92</v>
      </c>
      <c r="H91" s="10" t="s">
        <v>4773</v>
      </c>
      <c r="I91" s="10">
        <v>88.5</v>
      </c>
      <c r="O91" s="15">
        <f>IFERROR(__xludf.DUMMYFUNCTION("IF(ISBLANK($C91), """", GOOGLEFINANCE($C91, ""price""))"),47.37)</f>
        <v>47.37</v>
      </c>
      <c r="P91" s="16">
        <f t="shared" si="2"/>
        <v>-0.05108173077</v>
      </c>
      <c r="Q91" s="16">
        <f>IFERROR(__xludf.DUMMYFUNCTION("IF(OR(ISBLANK($G91), IFERROR(INDEX(GOOGLEFINANCE($C91, ""price"", WORKDAY(INT($B91), 1)), 2, 2), """")=""""), """", IF($D91=""LONG"", (IFERROR(INDEX(GOOGLEFINANCE($C91, ""price"", WORKDAY(INT($B91), 1)), 2, 2), """")-$G91)/$G91, ($G91-IFERROR(INDEX(GOOGLE"&amp;"FINANCE($C91, ""price"", WORKDAY(INT($B91), 1)), 2, 2), """"))/$G91))"),-0.012019230769230798)</f>
        <v>-0.01201923077</v>
      </c>
      <c r="R91" s="16">
        <f>IFERROR(__xludf.DUMMYFUNCTION("IF(OR(ISBLANK($G91), IFERROR(INDEX(GOOGLEFINANCE($C91, ""price"", WORKDAY(INT($B91), 5)), 2, 2), """")=""""), """", IF($D91=""LONG"", (IFERROR(INDEX(GOOGLEFINANCE($C91, ""price"", WORKDAY(INT($B91), 5)), 2, 2), """")-$G91)/$G91, ($G91-IFERROR(INDEX(GOOGLE"&amp;"FINANCE($C91, ""price"", WORKDAY(INT($B91), 5)), 2, 2), """"))/$G91))"),-0.032251602564102554)</f>
        <v>-0.03225160256</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4775</v>
      </c>
      <c r="U91" s="10" t="s">
        <v>984</v>
      </c>
      <c r="V91" s="10" t="s">
        <v>933</v>
      </c>
      <c r="W91" s="10" t="s">
        <v>51</v>
      </c>
      <c r="X91" s="10" t="s">
        <v>984</v>
      </c>
    </row>
    <row r="92">
      <c r="A92" s="9">
        <f t="shared" si="1"/>
        <v>91</v>
      </c>
      <c r="B92" s="11">
        <v>46227.66775462963</v>
      </c>
      <c r="C92" s="10" t="s">
        <v>1672</v>
      </c>
      <c r="D92" s="10" t="s">
        <v>36</v>
      </c>
      <c r="E92" s="10" t="s">
        <v>37</v>
      </c>
      <c r="F92" s="13">
        <v>2.0</v>
      </c>
      <c r="G92" s="14">
        <v>103.39</v>
      </c>
      <c r="H92" s="10" t="s">
        <v>4776</v>
      </c>
      <c r="I92" s="10">
        <v>93.9</v>
      </c>
      <c r="O92" s="15">
        <f>IFERROR(__xludf.DUMMYFUNCTION("IF(ISBLANK($C92), """", GOOGLEFINANCE($C92, ""price""))"),99.29)</f>
        <v>99.29</v>
      </c>
      <c r="P92" s="16">
        <f t="shared" si="2"/>
        <v>-0.0396556727</v>
      </c>
      <c r="Q92" s="16">
        <f>IFERROR(__xludf.DUMMYFUNCTION("IF(OR(ISBLANK($G92), IFERROR(INDEX(GOOGLEFINANCE($C92, ""price"", WORKDAY(INT($B92), 1)), 2, 2), """")=""""), """", IF($D92=""LONG"", (IFERROR(INDEX(GOOGLEFINANCE($C92, ""price"", WORKDAY(INT($B92), 1)), 2, 2), """")-$G92)/$G92, ($G92-IFERROR(INDEX(GOOGLE"&amp;"FINANCE($C92, ""price"", WORKDAY(INT($B92), 1)), 2, 2), """"))/$G92))"),0.004739336492890946)</f>
        <v>0.004739336493</v>
      </c>
      <c r="R92" s="16">
        <f>IFERROR(__xludf.DUMMYFUNCTION("IF(OR(ISBLANK($G92), IFERROR(INDEX(GOOGLEFINANCE($C92, ""price"", WORKDAY(INT($B92), 5)), 2, 2), """")=""""), """", IF($D92=""LONG"", (IFERROR(INDEX(GOOGLEFINANCE($C92, ""price"", WORKDAY(INT($B92), 5)), 2, 2), """")-$G92)/$G92, ($G92-IFERROR(INDEX(GOOGLE"&amp;"FINANCE($C92, ""price"", WORKDAY(INT($B92), 5)), 2, 2), """"))/$G92))"),-0.027662249734016823)</f>
        <v>-0.02766224973</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4777</v>
      </c>
      <c r="U92" s="10" t="s">
        <v>984</v>
      </c>
      <c r="V92" s="10" t="s">
        <v>2714</v>
      </c>
      <c r="W92" s="10" t="s">
        <v>51</v>
      </c>
      <c r="X92" s="10" t="s">
        <v>984</v>
      </c>
    </row>
    <row r="93">
      <c r="A93" s="9">
        <f t="shared" si="1"/>
        <v>92</v>
      </c>
      <c r="B93" s="11">
        <v>46227.667708333334</v>
      </c>
      <c r="C93" s="10" t="s">
        <v>347</v>
      </c>
      <c r="D93" s="10" t="s">
        <v>36</v>
      </c>
      <c r="E93" s="10" t="s">
        <v>87</v>
      </c>
      <c r="F93" s="13">
        <v>2.0</v>
      </c>
      <c r="G93" s="14">
        <v>296.81</v>
      </c>
      <c r="H93" s="10" t="s">
        <v>4779</v>
      </c>
      <c r="I93" s="10">
        <v>53.5</v>
      </c>
      <c r="O93" s="15">
        <f>IFERROR(__xludf.DUMMYFUNCTION("IF(ISBLANK($C93), """", GOOGLEFINANCE($C93, ""price""))"),316.53)</f>
        <v>316.53</v>
      </c>
      <c r="P93" s="16">
        <f t="shared" si="2"/>
        <v>0.06643980998</v>
      </c>
      <c r="Q93" s="16">
        <f>IFERROR(__xludf.DUMMYFUNCTION("IF(OR(ISBLANK($G93), IFERROR(INDEX(GOOGLEFINANCE($C93, ""price"", WORKDAY(INT($B93), 1)), 2, 2), """")=""""), """", IF($D93=""LONG"", (IFERROR(INDEX(GOOGLEFINANCE($C93, ""price"", WORKDAY(INT($B93), 1)), 2, 2), """")-$G93)/$G93, ($G93-IFERROR(INDEX(GOOGLE"&amp;"FINANCE($C93, ""price"", WORKDAY(INT($B93), 1)), 2, 2), """"))/$G93))"),0.01468953202385369)</f>
        <v>0.01468953202</v>
      </c>
      <c r="R93" s="16">
        <f>IFERROR(__xludf.DUMMYFUNCTION("IF(OR(ISBLANK($G93), IFERROR(INDEX(GOOGLEFINANCE($C93, ""price"", WORKDAY(INT($B93), 5)), 2, 2), """")=""""), """", IF($D93=""LONG"", (IFERROR(INDEX(GOOGLEFINANCE($C93, ""price"", WORKDAY(INT($B93), 5)), 2, 2), """")-$G93)/$G93, ($G93-IFERROR(INDEX(GOOGLE"&amp;"FINANCE($C93, ""price"", WORKDAY(INT($B93), 5)), 2, 2), """"))/$G93))"),0.041743876554024416)</f>
        <v>0.04174387655</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4781</v>
      </c>
      <c r="U93" s="10" t="s">
        <v>984</v>
      </c>
      <c r="V93" s="10" t="s">
        <v>985</v>
      </c>
      <c r="W93" s="10" t="s">
        <v>51</v>
      </c>
      <c r="X93" s="10" t="s">
        <v>984</v>
      </c>
    </row>
    <row r="94">
      <c r="A94" s="9">
        <f t="shared" si="1"/>
        <v>93</v>
      </c>
      <c r="B94" s="11">
        <v>46227.66758101852</v>
      </c>
      <c r="C94" s="10" t="s">
        <v>408</v>
      </c>
      <c r="D94" s="10" t="s">
        <v>36</v>
      </c>
      <c r="E94" s="10" t="s">
        <v>37</v>
      </c>
      <c r="F94" s="13">
        <v>2.0</v>
      </c>
      <c r="G94" s="14">
        <v>249.59</v>
      </c>
      <c r="H94" s="10" t="s">
        <v>4782</v>
      </c>
      <c r="I94" s="10">
        <v>94.3</v>
      </c>
      <c r="O94" s="15">
        <f>IFERROR(__xludf.DUMMYFUNCTION("IF(ISBLANK($C94), """", GOOGLEFINANCE($C94, ""price""))"),250.14)</f>
        <v>250.14</v>
      </c>
      <c r="P94" s="16">
        <f t="shared" si="2"/>
        <v>0.002203613927</v>
      </c>
      <c r="Q94" s="16">
        <f>IFERROR(__xludf.DUMMYFUNCTION("IF(OR(ISBLANK($G94), IFERROR(INDEX(GOOGLEFINANCE($C94, ""price"", WORKDAY(INT($B94), 1)), 2, 2), """")=""""), """", IF($D94=""LONG"", (IFERROR(INDEX(GOOGLEFINANCE($C94, ""price"", WORKDAY(INT($B94), 1)), 2, 2), """")-$G94)/$G94, ($G94-IFERROR(INDEX(GOOGLE"&amp;"FINANCE($C94, ""price"", WORKDAY(INT($B94), 1)), 2, 2), """"))/$G94))"),-0.005248607716655323)</f>
        <v>-0.005248607717</v>
      </c>
      <c r="R94" s="16">
        <f>IFERROR(__xludf.DUMMYFUNCTION("IF(OR(ISBLANK($G94), IFERROR(INDEX(GOOGLEFINANCE($C94, ""price"", WORKDAY(INT($B94), 5)), 2, 2), """")=""""), """", IF($D94=""LONG"", (IFERROR(INDEX(GOOGLEFINANCE($C94, ""price"", WORKDAY(INT($B94), 5)), 2, 2), """")-$G94)/$G94, ($G94-IFERROR(INDEX(GOOGLE"&amp;"FINANCE($C94, ""price"", WORKDAY(INT($B94), 5)), 2, 2), """"))/$G94))"),-0.013221683561040152)</f>
        <v>-0.01322168356</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4787</v>
      </c>
      <c r="U94" s="10" t="s">
        <v>984</v>
      </c>
      <c r="V94" s="10" t="s">
        <v>933</v>
      </c>
      <c r="W94" s="10" t="s">
        <v>51</v>
      </c>
      <c r="X94" s="10" t="s">
        <v>984</v>
      </c>
    </row>
    <row r="95">
      <c r="A95" s="9">
        <f t="shared" si="1"/>
        <v>94</v>
      </c>
      <c r="B95" s="11">
        <v>46227.66768518519</v>
      </c>
      <c r="C95" s="10" t="s">
        <v>800</v>
      </c>
      <c r="D95" s="10" t="s">
        <v>36</v>
      </c>
      <c r="E95" s="10" t="s">
        <v>37</v>
      </c>
      <c r="F95" s="13">
        <v>2.0</v>
      </c>
      <c r="G95" s="14">
        <v>309.83</v>
      </c>
      <c r="H95" s="10" t="s">
        <v>4788</v>
      </c>
      <c r="I95" s="10">
        <v>94.6</v>
      </c>
      <c r="O95" s="15">
        <f>IFERROR(__xludf.DUMMYFUNCTION("IF(ISBLANK($C95), """", GOOGLEFINANCE($C95, ""price""))"),325.01)</f>
        <v>325.01</v>
      </c>
      <c r="P95" s="16">
        <f t="shared" si="2"/>
        <v>0.04899460995</v>
      </c>
      <c r="Q95" s="16">
        <f>IFERROR(__xludf.DUMMYFUNCTION("IF(OR(ISBLANK($G95), IFERROR(INDEX(GOOGLEFINANCE($C95, ""price"", WORKDAY(INT($B95), 1)), 2, 2), """")=""""), """", IF($D95=""LONG"", (IFERROR(INDEX(GOOGLEFINANCE($C95, ""price"", WORKDAY(INT($B95), 1)), 2, 2), """")-$G95)/$G95, ($G95-IFERROR(INDEX(GOOGLE"&amp;"FINANCE($C95, ""price"", WORKDAY(INT($B95), 1)), 2, 2), """"))/$G95))"),0.004260400864990457)</f>
        <v>0.004260400865</v>
      </c>
      <c r="R95" s="16">
        <f>IFERROR(__xludf.DUMMYFUNCTION("IF(OR(ISBLANK($G95), IFERROR(INDEX(GOOGLEFINANCE($C95, ""price"", WORKDAY(INT($B95), 5)), 2, 2), """")=""""), """", IF($D95=""LONG"", (IFERROR(INDEX(GOOGLEFINANCE($C95, ""price"", WORKDAY(INT($B95), 5)), 2, 2), """")-$G95)/$G95, ($G95-IFERROR(INDEX(GOOGLE"&amp;"FINANCE($C95, ""price"", WORKDAY(INT($B95), 5)), 2, 2), """"))/$G95))"),0.004873640383436049)</f>
        <v>0.004873640383</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4792</v>
      </c>
      <c r="U95" s="10" t="s">
        <v>984</v>
      </c>
      <c r="V95" s="10" t="s">
        <v>985</v>
      </c>
      <c r="W95" s="10" t="s">
        <v>51</v>
      </c>
      <c r="X95" s="10" t="s">
        <v>984</v>
      </c>
    </row>
    <row r="96">
      <c r="A96" s="9">
        <f t="shared" si="1"/>
        <v>95</v>
      </c>
      <c r="B96" s="11">
        <v>46227.66782407407</v>
      </c>
      <c r="C96" s="10" t="s">
        <v>3566</v>
      </c>
      <c r="D96" s="10" t="s">
        <v>36</v>
      </c>
      <c r="E96" s="10" t="s">
        <v>37</v>
      </c>
      <c r="F96" s="13">
        <v>2.0</v>
      </c>
      <c r="G96" s="14">
        <v>361.67</v>
      </c>
      <c r="H96" s="10" t="s">
        <v>4793</v>
      </c>
      <c r="I96" s="10">
        <v>96.3</v>
      </c>
      <c r="O96" s="15">
        <f>IFERROR(__xludf.DUMMYFUNCTION("IF(ISBLANK($C96), """", GOOGLEFINANCE($C96, ""price""))"),360.75)</f>
        <v>360.75</v>
      </c>
      <c r="P96" s="16">
        <f t="shared" si="2"/>
        <v>-0.002543755357</v>
      </c>
      <c r="Q96" s="16">
        <f>IFERROR(__xludf.DUMMYFUNCTION("IF(OR(ISBLANK($G96), IFERROR(INDEX(GOOGLEFINANCE($C96, ""price"", WORKDAY(INT($B96), 1)), 2, 2), """")=""""), """", IF($D96=""LONG"", (IFERROR(INDEX(GOOGLEFINANCE($C96, ""price"", WORKDAY(INT($B96), 1)), 2, 2), """")-$G96)/$G96, ($G96-IFERROR(INDEX(GOOGLE"&amp;"FINANCE($C96, ""price"", WORKDAY(INT($B96), 1)), 2, 2), """"))/$G96))"),0.015207233113058865)</f>
        <v>0.01520723311</v>
      </c>
      <c r="R96" s="16">
        <f>IFERROR(__xludf.DUMMYFUNCTION("IF(OR(ISBLANK($G96), IFERROR(INDEX(GOOGLEFINANCE($C96, ""price"", WORKDAY(INT($B96), 5)), 2, 2), """")=""""), """", IF($D96=""LONG"", (IFERROR(INDEX(GOOGLEFINANCE($C96, ""price"", WORKDAY(INT($B96), 5)), 2, 2), """")-$G96)/$G96, ($G96-IFERROR(INDEX(GOOGLE"&amp;"FINANCE($C96, ""price"", WORKDAY(INT($B96), 5)), 2, 2), """"))/$G96))"),-0.003096745652113818)</f>
        <v>-0.003096745652</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4795</v>
      </c>
      <c r="U96" s="10" t="s">
        <v>984</v>
      </c>
      <c r="V96" s="10" t="s">
        <v>933</v>
      </c>
      <c r="W96" s="10" t="s">
        <v>51</v>
      </c>
      <c r="X96" s="10" t="s">
        <v>984</v>
      </c>
    </row>
    <row r="97">
      <c r="A97" s="9">
        <f t="shared" si="1"/>
        <v>96</v>
      </c>
      <c r="B97" s="11">
        <v>46227.667662037034</v>
      </c>
      <c r="C97" s="10" t="s">
        <v>1739</v>
      </c>
      <c r="D97" s="10" t="s">
        <v>36</v>
      </c>
      <c r="E97" s="10" t="s">
        <v>37</v>
      </c>
      <c r="F97" s="13">
        <v>2.0</v>
      </c>
      <c r="G97" s="14">
        <v>260.01</v>
      </c>
      <c r="H97" s="10" t="s">
        <v>4797</v>
      </c>
      <c r="I97" s="10">
        <v>89.7</v>
      </c>
      <c r="O97" s="15">
        <f>IFERROR(__xludf.DUMMYFUNCTION("IF(ISBLANK($C96), """", GOOGLEFINANCE($C96, ""price""))"),360.75)</f>
        <v>360.75</v>
      </c>
      <c r="P97" s="16">
        <f t="shared" ref="P97:P101" si="3">IF(OR(ISBLANK($G96), ISBLANK($O96)), "", IF($D96="LONG", ($O96-$G96)/$G96, ($G96-$O96)/$G96))</f>
        <v>-0.002543755357</v>
      </c>
      <c r="Q97" s="16">
        <f>IFERROR(__xludf.DUMMYFUNCTION("IF(OR(ISBLANK($G96), IFERROR(INDEX(GOOGLEFINANCE($C96, ""price"", WORKDAY(INT($B96), 1)), 2, 2), """")=""""), """", IF($D96=""LONG"", (IFERROR(INDEX(GOOGLEFINANCE($C96, ""price"", WORKDAY(INT($B96), 1)), 2, 2), """")-$G96)/$G96, ($G96-IFERROR(INDEX(GOOGLE"&amp;"FINANCE($C96, ""price"", WORKDAY(INT($B96), 1)), 2, 2), """"))/$G96))"),0.015207233113058865)</f>
        <v>0.01520723311</v>
      </c>
      <c r="R97" s="16">
        <f>IFERROR(__xludf.DUMMYFUNCTION("IF(OR(ISBLANK($G96), IFERROR(INDEX(GOOGLEFINANCE($C96, ""price"", WORKDAY(INT($B96), 5)), 2, 2), """")=""""), """", IF($D96=""LONG"", (IFERROR(INDEX(GOOGLEFINANCE($C96, ""price"", WORKDAY(INT($B96), 5)), 2, 2), """")-$G96)/$G96, ($G96-IFERROR(INDEX(GOOGLE"&amp;"FINANCE($C96, ""price"", WORKDAY(INT($B96), 5)), 2, 2), """"))/$G96))"),-0.003096745652113818)</f>
        <v>-0.003096745652</v>
      </c>
      <c r="S97" s="16" t="str">
        <f>IFERROR(__xludf.DUMMYFUNCTION("IF(OR(ISBLANK($G96), IFERROR(INDEX(GOOGLEFINANCE($C96, ""price"", WORKDAY(INT($B96), 20)), 2, 2), """")=""""), """", IF($D96=""LONG"", (IFERROR(INDEX(GOOGLEFINANCE($C96, ""price"", WORKDAY(INT($B96), 20)), 2, 2), """")-$G96)/$G96, ($G96-IFERROR(INDEX(GOOG"&amp;"LEFINANCE($C96, ""price"", WORKDAY(INT($B96), 20)), 2, 2), """"))/$G96))"),"")</f>
        <v/>
      </c>
      <c r="T97" s="10" t="s">
        <v>4800</v>
      </c>
      <c r="U97" s="10" t="s">
        <v>984</v>
      </c>
      <c r="V97" s="10" t="s">
        <v>985</v>
      </c>
      <c r="W97" s="10" t="s">
        <v>51</v>
      </c>
      <c r="X97" s="10" t="s">
        <v>984</v>
      </c>
    </row>
    <row r="98">
      <c r="A98" s="9">
        <f t="shared" si="1"/>
        <v>97</v>
      </c>
      <c r="B98" s="11">
        <v>46227.66763888889</v>
      </c>
      <c r="C98" s="10" t="s">
        <v>3533</v>
      </c>
      <c r="D98" s="10" t="s">
        <v>36</v>
      </c>
      <c r="E98" s="10" t="s">
        <v>37</v>
      </c>
      <c r="F98" s="13">
        <v>2.0</v>
      </c>
      <c r="G98" s="14">
        <v>82.17</v>
      </c>
      <c r="H98" s="10" t="s">
        <v>4801</v>
      </c>
      <c r="I98" s="10">
        <v>93.5</v>
      </c>
      <c r="O98" s="15">
        <f>IFERROR(__xludf.DUMMYFUNCTION("IF(ISBLANK($C97), """", GOOGLEFINANCE($C97, ""price""))"),275.11)</f>
        <v>275.11</v>
      </c>
      <c r="P98" s="16">
        <f t="shared" si="3"/>
        <v>0.3874466367</v>
      </c>
      <c r="Q98" s="16">
        <f>IFERROR(__xludf.DUMMYFUNCTION("IF(OR(ISBLANK($G97), IFERROR(INDEX(GOOGLEFINANCE($C97, ""price"", WORKDAY(INT($B97), 1)), 2, 2), """")=""""), """", IF($D97=""LONG"", (IFERROR(INDEX(GOOGLEFINANCE($C97, ""price"", WORKDAY(INT($B97), 1)), 2, 2), """")-$G97)/$G97, ($G97-IFERROR(INDEX(GOOGLE"&amp;"FINANCE($C97, ""price"", WORKDAY(INT($B97), 1)), 2, 2), """"))/$G97))"),0.004845967462789858)</f>
        <v>0.004845967463</v>
      </c>
      <c r="R98" s="16">
        <f>IFERROR(__xludf.DUMMYFUNCTION("IF(OR(ISBLANK($G97), IFERROR(INDEX(GOOGLEFINANCE($C97, ""price"", WORKDAY(INT($B97), 5)), 2, 2), """")=""""), """", IF($D97=""LONG"", (IFERROR(INDEX(GOOGLEFINANCE($C97, ""price"", WORKDAY(INT($B97), 5)), 2, 2), """")-$G97)/$G97, ($G97-IFERROR(INDEX(GOOGLE"&amp;"FINANCE($C97, ""price"", WORKDAY(INT($B97), 5)), 2, 2), """"))/$G97))"),0.015653244105995896)</f>
        <v>0.01565324411</v>
      </c>
      <c r="S98" s="16" t="str">
        <f>IFERROR(__xludf.DUMMYFUNCTION("IF(OR(ISBLANK($G97), IFERROR(INDEX(GOOGLEFINANCE($C97, ""price"", WORKDAY(INT($B97), 20)), 2, 2), """")=""""), """", IF($D97=""LONG"", (IFERROR(INDEX(GOOGLEFINANCE($C97, ""price"", WORKDAY(INT($B97), 20)), 2, 2), """")-$G97)/$G97, ($G97-IFERROR(INDEX(GOOG"&amp;"LEFINANCE($C97, ""price"", WORKDAY(INT($B97), 20)), 2, 2), """"))/$G97))"),"")</f>
        <v/>
      </c>
      <c r="T98" s="10" t="s">
        <v>4804</v>
      </c>
      <c r="U98" s="10" t="s">
        <v>984</v>
      </c>
      <c r="V98" s="10" t="s">
        <v>933</v>
      </c>
      <c r="W98" s="10" t="s">
        <v>51</v>
      </c>
      <c r="X98" s="10" t="s">
        <v>984</v>
      </c>
    </row>
    <row r="99">
      <c r="A99" s="9">
        <f t="shared" si="1"/>
        <v>98</v>
      </c>
      <c r="B99" s="11">
        <v>46227.667650462965</v>
      </c>
      <c r="C99" s="10" t="s">
        <v>440</v>
      </c>
      <c r="D99" s="10" t="s">
        <v>36</v>
      </c>
      <c r="E99" s="10" t="s">
        <v>37</v>
      </c>
      <c r="F99" s="13">
        <v>2.0</v>
      </c>
      <c r="G99" s="14">
        <v>94.84</v>
      </c>
      <c r="H99" s="10" t="s">
        <v>4769</v>
      </c>
      <c r="I99" s="10">
        <v>91.0</v>
      </c>
      <c r="O99" s="15">
        <f>IFERROR(__xludf.DUMMYFUNCTION("IF(ISBLANK($C98), """", GOOGLEFINANCE($C98, ""price""))"),76.96)</f>
        <v>76.96</v>
      </c>
      <c r="P99" s="16">
        <f t="shared" si="3"/>
        <v>2.348058902</v>
      </c>
      <c r="Q99" s="16">
        <f>IFERROR(__xludf.DUMMYFUNCTION("IF(OR(ISBLANK($G98), IFERROR(INDEX(GOOGLEFINANCE($C98, ""price"", WORKDAY(INT($B98), 1)), 2, 2), """")=""""), """", IF($D98=""LONG"", (IFERROR(INDEX(GOOGLEFINANCE($C98, ""price"", WORKDAY(INT($B98), 1)), 2, 2), """")-$G98)/$G98, ($G98-IFERROR(INDEX(GOOGLE"&amp;"FINANCE($C98, ""price"", WORKDAY(INT($B98), 1)), 2, 2), """"))/$G98))"),0.002068881586953897)</f>
        <v>0.002068881587</v>
      </c>
      <c r="R99" s="16">
        <f>IFERROR(__xludf.DUMMYFUNCTION("IF(OR(ISBLANK($G98), IFERROR(INDEX(GOOGLEFINANCE($C98, ""price"", WORKDAY(INT($B98), 5)), 2, 2), """")=""""), """", IF($D98=""LONG"", (IFERROR(INDEX(GOOGLEFINANCE($C98, ""price"", WORKDAY(INT($B98), 5)), 2, 2), """")-$G98)/$G98, ($G98-IFERROR(INDEX(GOOGLE"&amp;"FINANCE($C98, ""price"", WORKDAY(INT($B98), 5)), 2, 2), """"))/$G98))"),-0.022879396373372222)</f>
        <v>-0.02287939637</v>
      </c>
      <c r="S99" s="16" t="str">
        <f>IFERROR(__xludf.DUMMYFUNCTION("IF(OR(ISBLANK($G98), IFERROR(INDEX(GOOGLEFINANCE($C98, ""price"", WORKDAY(INT($B98), 20)), 2, 2), """")=""""), """", IF($D98=""LONG"", (IFERROR(INDEX(GOOGLEFINANCE($C98, ""price"", WORKDAY(INT($B98), 20)), 2, 2), """")-$G98)/$G98, ($G98-IFERROR(INDEX(GOOG"&amp;"LEFINANCE($C98, ""price"", WORKDAY(INT($B98), 20)), 2, 2), """"))/$G98))"),"")</f>
        <v/>
      </c>
      <c r="T99" s="10" t="s">
        <v>4807</v>
      </c>
      <c r="U99" s="10" t="s">
        <v>984</v>
      </c>
      <c r="V99" s="10" t="s">
        <v>2785</v>
      </c>
      <c r="W99" s="10" t="s">
        <v>51</v>
      </c>
      <c r="X99" s="10" t="s">
        <v>984</v>
      </c>
    </row>
    <row r="100">
      <c r="A100" s="9">
        <f t="shared" si="1"/>
        <v>99</v>
      </c>
      <c r="B100" s="11">
        <v>46227.66748842593</v>
      </c>
      <c r="C100" s="10" t="s">
        <v>86</v>
      </c>
      <c r="D100" s="10" t="s">
        <v>36</v>
      </c>
      <c r="E100" s="10" t="s">
        <v>37</v>
      </c>
      <c r="F100" s="13">
        <v>2.0</v>
      </c>
      <c r="G100" s="14">
        <v>84.4</v>
      </c>
      <c r="H100" s="10" t="s">
        <v>4808</v>
      </c>
      <c r="I100" s="10">
        <v>94.3</v>
      </c>
      <c r="O100" s="15">
        <f>IFERROR(__xludf.DUMMYFUNCTION("IF(ISBLANK($C99), """", GOOGLEFINANCE($C99, ""price""))"),99.95)</f>
        <v>99.95</v>
      </c>
      <c r="P100" s="16">
        <f t="shared" si="3"/>
        <v>-0.1885280472</v>
      </c>
      <c r="Q100" s="16">
        <f>IFERROR(__xludf.DUMMYFUNCTION("IF(OR(ISBLANK($G99), IFERROR(INDEX(GOOGLEFINANCE($C99, ""price"", WORKDAY(INT($B99), 1)), 2, 2), """")=""""), """", IF($D99=""LONG"", (IFERROR(INDEX(GOOGLEFINANCE($C99, ""price"", WORKDAY(INT($B99), 1)), 2, 2), """")-$G99)/$G99, ($G99-IFERROR(INDEX(GOOGLE"&amp;"FINANCE($C99, ""price"", WORKDAY(INT($B99), 1)), 2, 2), """"))/$G99))"),0.0036904259805988432)</f>
        <v>0.003690425981</v>
      </c>
      <c r="R100" s="16">
        <f>IFERROR(__xludf.DUMMYFUNCTION("IF(OR(ISBLANK($G99), IFERROR(INDEX(GOOGLEFINANCE($C99, ""price"", WORKDAY(INT($B99), 5)), 2, 2), """")=""""), """", IF($D99=""LONG"", (IFERROR(INDEX(GOOGLEFINANCE($C99, ""price"", WORKDAY(INT($B99), 5)), 2, 2), """")-$G99)/$G99, ($G99-IFERROR(INDEX(GOOGLE"&amp;"FINANCE($C99, ""price"", WORKDAY(INT($B99), 5)), 2, 2), """"))/$G99))"),0.013601855757064445)</f>
        <v>0.01360185576</v>
      </c>
      <c r="S100" s="16" t="str">
        <f>IFERROR(__xludf.DUMMYFUNCTION("IF(OR(ISBLANK($G99), IFERROR(INDEX(GOOGLEFINANCE($C99, ""price"", WORKDAY(INT($B99), 20)), 2, 2), """")=""""), """", IF($D99=""LONG"", (IFERROR(INDEX(GOOGLEFINANCE($C99, ""price"", WORKDAY(INT($B99), 20)), 2, 2), """")-$G99)/$G99, ($G99-IFERROR(INDEX(GOOG"&amp;"LEFINANCE($C99, ""price"", WORKDAY(INT($B99), 20)), 2, 2), """"))/$G99))"),"")</f>
        <v/>
      </c>
      <c r="T100" s="10" t="s">
        <v>4812</v>
      </c>
      <c r="U100" s="10" t="s">
        <v>984</v>
      </c>
      <c r="V100" s="10" t="s">
        <v>985</v>
      </c>
      <c r="W100" s="10" t="s">
        <v>51</v>
      </c>
      <c r="X100" s="10" t="s">
        <v>984</v>
      </c>
    </row>
    <row r="101">
      <c r="A101" s="9">
        <f t="shared" si="1"/>
        <v>100</v>
      </c>
      <c r="B101" s="11">
        <v>46227.667719907404</v>
      </c>
      <c r="C101" s="10" t="s">
        <v>398</v>
      </c>
      <c r="D101" s="10" t="s">
        <v>36</v>
      </c>
      <c r="E101" s="10" t="s">
        <v>37</v>
      </c>
      <c r="F101" s="13">
        <v>2.0</v>
      </c>
      <c r="G101" s="14">
        <v>71.59</v>
      </c>
      <c r="H101" s="10" t="s">
        <v>4813</v>
      </c>
      <c r="I101" s="10">
        <v>96.1</v>
      </c>
      <c r="O101" s="15">
        <f>IFERROR(__xludf.DUMMYFUNCTION("IF(ISBLANK($C100), """", GOOGLEFINANCE($C100, ""price""))"),88.24)</f>
        <v>88.24</v>
      </c>
      <c r="P101" s="16">
        <f t="shared" si="3"/>
        <v>0.1842417062</v>
      </c>
      <c r="Q101" s="16">
        <f>IFERROR(__xludf.DUMMYFUNCTION("IF(OR(ISBLANK($G100), IFERROR(INDEX(GOOGLEFINANCE($C100, ""price"", WORKDAY(INT($B100), 1)), 2, 2), """")=""""), """", IF($D100=""LONG"", (IFERROR(INDEX(GOOGLEFINANCE($C100, ""price"", WORKDAY(INT($B100), 1)), 2, 2), """")-$G100)/$G100, ($G100-IFERROR(IND"&amp;"EX(GOOGLEFINANCE($C100, ""price"", WORKDAY(INT($B100), 1)), 2, 2), """"))/$G100))"),0.003080568720379039)</f>
        <v>0.00308056872</v>
      </c>
      <c r="R101" s="16">
        <f>IFERROR(__xludf.DUMMYFUNCTION("IF(OR(ISBLANK($G100), IFERROR(INDEX(GOOGLEFINANCE($C100, ""price"", WORKDAY(INT($B100), 5)), 2, 2), """")=""""), """", IF($D100=""LONG"", (IFERROR(INDEX(GOOGLEFINANCE($C100, ""price"", WORKDAY(INT($B100), 5)), 2, 2), """")-$G100)/$G100, ($G100-IFERROR(IND"&amp;"EX(GOOGLEFINANCE($C100, ""price"", WORKDAY(INT($B100), 5)), 2, 2), """"))/$G100))"),-0.012085308056872157)</f>
        <v>-0.01208530806</v>
      </c>
      <c r="S101" s="16" t="str">
        <f>IFERROR(__xludf.DUMMYFUNCTION("IF(OR(ISBLANK($G100), IFERROR(INDEX(GOOGLEFINANCE($C100, ""price"", WORKDAY(INT($B100), 20)), 2, 2), """")=""""), """", IF($D100=""LONG"", (IFERROR(INDEX(GOOGLEFINANCE($C100, ""price"", WORKDAY(INT($B100), 20)), 2, 2), """")-$G100)/$G100, ($G100-IFERROR(I"&amp;"NDEX(GOOGLEFINANCE($C100, ""price"", WORKDAY(INT($B100), 20)), 2, 2), """"))/$G100))"),"")</f>
        <v/>
      </c>
      <c r="T101" s="10" t="s">
        <v>4816</v>
      </c>
      <c r="U101" s="10" t="s">
        <v>984</v>
      </c>
      <c r="V101" s="10" t="s">
        <v>933</v>
      </c>
      <c r="W101" s="10" t="s">
        <v>51</v>
      </c>
      <c r="X101" s="10" t="s">
        <v>984</v>
      </c>
    </row>
    <row r="102">
      <c r="B102" s="43"/>
      <c r="G102" s="15"/>
      <c r="O102" s="15"/>
      <c r="P102" s="16"/>
      <c r="Q102" s="16"/>
      <c r="R102" s="16"/>
      <c r="S102" s="16"/>
    </row>
    <row r="103">
      <c r="B103" s="43"/>
      <c r="G103" s="15"/>
      <c r="O103" s="15"/>
      <c r="P103" s="16"/>
      <c r="Q103" s="16"/>
      <c r="R103" s="16"/>
      <c r="S103" s="16"/>
    </row>
    <row r="104">
      <c r="B104" s="43"/>
      <c r="G104" s="15"/>
      <c r="O104" s="15"/>
      <c r="P104" s="16"/>
      <c r="Q104" s="16"/>
      <c r="R104" s="16"/>
      <c r="S104" s="16"/>
    </row>
    <row r="105">
      <c r="B105" s="43"/>
      <c r="G105" s="15"/>
      <c r="O105" s="15"/>
      <c r="P105" s="16"/>
      <c r="Q105" s="16"/>
      <c r="R105" s="16"/>
      <c r="S105" s="16"/>
    </row>
    <row r="106">
      <c r="B106" s="43"/>
      <c r="G106" s="15"/>
      <c r="O106" s="15"/>
      <c r="P106" s="16"/>
      <c r="Q106" s="16"/>
      <c r="R106" s="16"/>
      <c r="S106" s="16"/>
    </row>
    <row r="107">
      <c r="B107" s="43"/>
      <c r="G107" s="15"/>
      <c r="O107" s="15"/>
      <c r="P107" s="16"/>
      <c r="Q107" s="16"/>
      <c r="R107" s="16"/>
      <c r="S107" s="16"/>
    </row>
    <row r="108">
      <c r="B108" s="43"/>
      <c r="G108" s="15"/>
      <c r="O108" s="15"/>
      <c r="P108" s="16"/>
      <c r="Q108" s="16"/>
      <c r="R108" s="16"/>
      <c r="S108" s="16"/>
    </row>
    <row r="109">
      <c r="B109" s="43"/>
      <c r="G109" s="15"/>
      <c r="O109" s="15"/>
      <c r="P109" s="16"/>
      <c r="Q109" s="16"/>
      <c r="R109" s="16"/>
      <c r="S109" s="16"/>
    </row>
    <row r="110">
      <c r="B110" s="43"/>
      <c r="G110" s="15"/>
      <c r="O110" s="15"/>
      <c r="P110" s="16"/>
      <c r="Q110" s="16"/>
      <c r="R110" s="16"/>
      <c r="S110" s="16"/>
    </row>
    <row r="111">
      <c r="B111" s="43"/>
      <c r="G111" s="15"/>
      <c r="O111" s="15"/>
      <c r="P111" s="16"/>
      <c r="Q111" s="16"/>
      <c r="R111" s="16"/>
      <c r="S111" s="16"/>
    </row>
    <row r="112">
      <c r="B112" s="43"/>
      <c r="G112" s="15"/>
      <c r="O112" s="15"/>
      <c r="P112" s="16"/>
      <c r="Q112" s="16"/>
      <c r="R112" s="16"/>
      <c r="S112" s="16"/>
    </row>
    <row r="113">
      <c r="B113" s="43"/>
      <c r="G113" s="15"/>
      <c r="O113" s="15"/>
      <c r="P113" s="16"/>
      <c r="Q113" s="16"/>
      <c r="R113" s="16"/>
      <c r="S113" s="16"/>
    </row>
    <row r="114">
      <c r="B114" s="43"/>
      <c r="G114" s="15"/>
      <c r="O114" s="15"/>
      <c r="P114" s="16"/>
      <c r="Q114" s="16"/>
      <c r="R114" s="16"/>
      <c r="S114" s="16"/>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57.5"/>
  </cols>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90" si="1">ROW()-1</f>
        <v>1</v>
      </c>
      <c r="B2" s="11">
        <v>46230.66740740741</v>
      </c>
      <c r="C2" s="10" t="s">
        <v>222</v>
      </c>
      <c r="D2" s="10" t="s">
        <v>36</v>
      </c>
      <c r="E2" s="10" t="s">
        <v>37</v>
      </c>
      <c r="F2" s="13">
        <v>2.0</v>
      </c>
      <c r="G2" s="14">
        <v>478.95</v>
      </c>
      <c r="H2" s="10" t="s">
        <v>4669</v>
      </c>
      <c r="I2" s="10">
        <v>78.6</v>
      </c>
      <c r="L2" s="10" t="s">
        <v>4670</v>
      </c>
      <c r="M2" s="34" t="s">
        <v>2106</v>
      </c>
      <c r="N2" s="10" t="s">
        <v>925</v>
      </c>
      <c r="O2" s="15">
        <f>IFERROR(__xludf.DUMMYFUNCTION("IF(ISBLANK($C2), """", GOOGLEFINANCE($C2, ""price""))"),484.03)</f>
        <v>484.03</v>
      </c>
      <c r="P2" s="16">
        <f t="shared" ref="P2:P90" si="2">IF(OR(ISBLANK($G2), ISBLANK($O2)), "", IF($D2="LONG", ($O2-$G2)/$G2, ($G2-$O2)/$G2))</f>
        <v>0.01060653513</v>
      </c>
      <c r="Q2" s="16">
        <f>IFERROR(__xludf.DUMMYFUNCTION("IF(OR(ISBLANK($G2), IFERROR(INDEX(GOOGLEFINANCE($C2, ""price"", WORKDAY(INT($B2), 1)), 2, 2), """")=""""), """", IF($D2=""LONG"", (IFERROR(INDEX(GOOGLEFINANCE($C2, ""price"", WORKDAY(INT($B2), 1)), 2, 2), """")-$G2)/$G2, ($G2-IFERROR(INDEX(GOOGLEFINANCE($"&amp;"C2, ""price"", WORKDAY(INT($B2), 1)), 2, 2), """"))/$G2))"),0.023885583046246994)</f>
        <v>0.02388558305</v>
      </c>
      <c r="R2" s="16">
        <f>IFERROR(__xludf.DUMMYFUNCTION("IF(OR(ISBLANK($G2), IFERROR(INDEX(GOOGLEFINANCE($C2, ""price"", WORKDAY(INT($B2), 5)), 2, 2), """")=""""), """", IF($D2=""LONG"", (IFERROR(INDEX(GOOGLEFINANCE($C2, ""price"", WORKDAY(INT($B2), 5)), 2, 2), """")-$G2)/$G2, ($G2-IFERROR(INDEX(GOOGLEFINANCE($"&amp;"C2, ""price"", WORKDAY(INT($B2), 5)), 2, 2), """"))/$G2))"),-0.01718342206910943)</f>
        <v>-0.01718342207</v>
      </c>
      <c r="S2" s="16" t="str">
        <f>IFERROR(__xludf.DUMMYFUNCTION("IF(OR(ISBLANK($G2), IFERROR(INDEX(GOOGLEFINANCE($C2, ""price"", WORKDAY(INT($B2), 20)), 2, 2), """")=""""), """", IF($D2=""LONG"", (IFERROR(INDEX(GOOGLEFINANCE($C2, ""price"", WORKDAY(INT($B2), 20)), 2, 2), """")-$G2)/$G2, ($G2-IFERROR(INDEX(GOOGLEFINANCE"&amp;"($C2, ""price"", WORKDAY(INT($B2), 20)), 2, 2), """"))/$G2))"),"")</f>
        <v/>
      </c>
      <c r="T2" s="10" t="s">
        <v>4674</v>
      </c>
      <c r="U2" s="10" t="s">
        <v>507</v>
      </c>
      <c r="V2" s="10" t="s">
        <v>4675</v>
      </c>
      <c r="W2" s="10" t="s">
        <v>51</v>
      </c>
      <c r="X2" s="10" t="s">
        <v>2228</v>
      </c>
    </row>
    <row r="3">
      <c r="A3" s="9">
        <f t="shared" si="1"/>
        <v>2</v>
      </c>
      <c r="B3" s="11">
        <v>46230.66737268519</v>
      </c>
      <c r="C3" s="10" t="s">
        <v>1255</v>
      </c>
      <c r="D3" s="10" t="s">
        <v>36</v>
      </c>
      <c r="E3" s="10" t="s">
        <v>37</v>
      </c>
      <c r="F3" s="13">
        <v>2.0</v>
      </c>
      <c r="G3" s="14">
        <v>78.63</v>
      </c>
      <c r="H3" s="10" t="s">
        <v>4677</v>
      </c>
      <c r="I3" s="10">
        <v>88.2</v>
      </c>
      <c r="O3" s="15">
        <f>IFERROR(__xludf.DUMMYFUNCTION("IF(ISBLANK($C3), """", GOOGLEFINANCE($C3, ""price""))"),67.23)</f>
        <v>67.23</v>
      </c>
      <c r="P3" s="16">
        <f t="shared" si="2"/>
        <v>-0.144982831</v>
      </c>
      <c r="Q3" s="16">
        <f>IFERROR(__xludf.DUMMYFUNCTION("IF(OR(ISBLANK($G3), IFERROR(INDEX(GOOGLEFINANCE($C3, ""price"", WORKDAY(INT($B3), 1)), 2, 2), """")=""""), """", IF($D3=""LONG"", (IFERROR(INDEX(GOOGLEFINANCE($C3, ""price"", WORKDAY(INT($B3), 1)), 2, 2), """")-$G3)/$G3, ($G3-IFERROR(INDEX(GOOGLEFINANCE($"&amp;"C3, ""price"", WORKDAY(INT($B3), 1)), 2, 2), """"))/$G3))"),0.014752638941879828)</f>
        <v>0.01475263894</v>
      </c>
      <c r="R3" s="16">
        <f>IFERROR(__xludf.DUMMYFUNCTION("IF(OR(ISBLANK($G3), IFERROR(INDEX(GOOGLEFINANCE($C3, ""price"", WORKDAY(INT($B3), 5)), 2, 2), """")=""""), """", IF($D3=""LONG"", (IFERROR(INDEX(GOOGLEFINANCE($C3, ""price"", WORKDAY(INT($B3), 5)), 2, 2), """")-$G3)/$G3, ($G3-IFERROR(INDEX(GOOGLEFINANCE($"&amp;"C3, ""price"", WORKDAY(INT($B3), 5)), 2, 2), """"))/$G3))"),-0.09118657001144603)</f>
        <v>-0.09118657001</v>
      </c>
      <c r="S3" s="16" t="str">
        <f>IFERROR(__xludf.DUMMYFUNCTION("IF(OR(ISBLANK($G3), IFERROR(INDEX(GOOGLEFINANCE($C3, ""price"", WORKDAY(INT($B3), 20)), 2, 2), """")=""""), """", IF($D3=""LONG"", (IFERROR(INDEX(GOOGLEFINANCE($C3, ""price"", WORKDAY(INT($B3), 20)), 2, 2), """")-$G3)/$G3, ($G3-IFERROR(INDEX(GOOGLEFINANCE"&amp;"($C3, ""price"", WORKDAY(INT($B3), 20)), 2, 2), """"))/$G3))"),"")</f>
        <v/>
      </c>
      <c r="T3" s="10" t="s">
        <v>4679</v>
      </c>
      <c r="U3" s="10" t="s">
        <v>507</v>
      </c>
      <c r="V3" s="10" t="s">
        <v>4681</v>
      </c>
      <c r="W3" s="10" t="s">
        <v>51</v>
      </c>
      <c r="X3" s="10" t="s">
        <v>2228</v>
      </c>
    </row>
    <row r="4">
      <c r="A4" s="9">
        <f t="shared" si="1"/>
        <v>3</v>
      </c>
      <c r="B4" s="11">
        <v>46230.667395833334</v>
      </c>
      <c r="C4" s="10" t="s">
        <v>3533</v>
      </c>
      <c r="D4" s="10" t="s">
        <v>36</v>
      </c>
      <c r="E4" s="10" t="s">
        <v>37</v>
      </c>
      <c r="F4" s="13">
        <v>2.0</v>
      </c>
      <c r="G4" s="14">
        <v>82.33</v>
      </c>
      <c r="H4" s="10" t="s">
        <v>4682</v>
      </c>
      <c r="I4" s="10">
        <v>93.9</v>
      </c>
      <c r="O4" s="15">
        <f>IFERROR(__xludf.DUMMYFUNCTION("IF(ISBLANK($C4), """", GOOGLEFINANCE($C4, ""price""))"),76.96)</f>
        <v>76.96</v>
      </c>
      <c r="P4" s="16">
        <f t="shared" si="2"/>
        <v>-0.06522531277</v>
      </c>
      <c r="Q4" s="16">
        <f>IFERROR(__xludf.DUMMYFUNCTION("IF(OR(ISBLANK($G4), IFERROR(INDEX(GOOGLEFINANCE($C4, ""price"", WORKDAY(INT($B4), 1)), 2, 2), """")=""""), """", IF($D4=""LONG"", (IFERROR(INDEX(GOOGLEFINANCE($C4, ""price"", WORKDAY(INT($B4), 1)), 2, 2), """")-$G4)/$G4, ($G4-IFERROR(INDEX(GOOGLEFINANCE($"&amp;"C4, ""price"", WORKDAY(INT($B4), 1)), 2, 2), """"))/$G4))"),-0.016518887404348346)</f>
        <v>-0.0165188874</v>
      </c>
      <c r="R4" s="16">
        <f>IFERROR(__xludf.DUMMYFUNCTION("IF(OR(ISBLANK($G4), IFERROR(INDEX(GOOGLEFINANCE($C4, ""price"", WORKDAY(INT($B4), 5)), 2, 2), """")=""""), """", IF($D4=""LONG"", (IFERROR(INDEX(GOOGLEFINANCE($C4, ""price"", WORKDAY(INT($B4), 5)), 2, 2), """")-$G4)/$G4, ($G4-IFERROR(INDEX(GOOGLEFINANCE($"&amp;"C4, ""price"", WORKDAY(INT($B4), 5)), 2, 2), """"))/$G4))"),-0.02465686869913763)</f>
        <v>-0.0246568687</v>
      </c>
      <c r="S4" s="16" t="str">
        <f>IFERROR(__xludf.DUMMYFUNCTION("IF(OR(ISBLANK($G4), IFERROR(INDEX(GOOGLEFINANCE($C4, ""price"", WORKDAY(INT($B4), 20)), 2, 2), """")=""""), """", IF($D4=""LONG"", (IFERROR(INDEX(GOOGLEFINANCE($C4, ""price"", WORKDAY(INT($B4), 20)), 2, 2), """")-$G4)/$G4, ($G4-IFERROR(INDEX(GOOGLEFINANCE"&amp;"($C4, ""price"", WORKDAY(INT($B4), 20)), 2, 2), """"))/$G4))"),"")</f>
        <v/>
      </c>
      <c r="T4" s="10" t="s">
        <v>4685</v>
      </c>
      <c r="U4" s="10" t="s">
        <v>984</v>
      </c>
      <c r="V4" s="10" t="s">
        <v>2785</v>
      </c>
      <c r="W4" s="10" t="s">
        <v>51</v>
      </c>
      <c r="X4" s="10" t="s">
        <v>984</v>
      </c>
    </row>
    <row r="5">
      <c r="A5" s="9">
        <f t="shared" si="1"/>
        <v>4</v>
      </c>
      <c r="B5" s="11">
        <v>46230.66741898148</v>
      </c>
      <c r="C5" s="10" t="s">
        <v>226</v>
      </c>
      <c r="D5" s="10" t="s">
        <v>36</v>
      </c>
      <c r="E5" s="10" t="s">
        <v>87</v>
      </c>
      <c r="F5" s="13">
        <v>2.0</v>
      </c>
      <c r="G5" s="14">
        <v>22.51</v>
      </c>
      <c r="H5" s="10" t="s">
        <v>4686</v>
      </c>
      <c r="I5" s="10">
        <v>92.3</v>
      </c>
      <c r="O5" s="15">
        <f>IFERROR(__xludf.DUMMYFUNCTION("IF(ISBLANK($C5), """", GOOGLEFINANCE($C5, ""price""))"),21.1)</f>
        <v>21.1</v>
      </c>
      <c r="P5" s="16">
        <f t="shared" si="2"/>
        <v>-0.06263882719</v>
      </c>
      <c r="Q5" s="16">
        <f>IFERROR(__xludf.DUMMYFUNCTION("IF(OR(ISBLANK($G5), IFERROR(INDEX(GOOGLEFINANCE($C5, ""price"", WORKDAY(INT($B5), 1)), 2, 2), """")=""""), """", IF($D5=""LONG"", (IFERROR(INDEX(GOOGLEFINANCE($C5, ""price"", WORKDAY(INT($B5), 1)), 2, 2), """")-$G5)/$G5, ($G5-IFERROR(INDEX(GOOGLEFINANCE($"&amp;"C5, ""price"", WORKDAY(INT($B5), 1)), 2, 2), """"))/$G5))"),0.013771657041314913)</f>
        <v>0.01377165704</v>
      </c>
      <c r="R5" s="16">
        <f>IFERROR(__xludf.DUMMYFUNCTION("IF(OR(ISBLANK($G5), IFERROR(INDEX(GOOGLEFINANCE($C5, ""price"", WORKDAY(INT($B5), 5)), 2, 2), """")=""""), """", IF($D5=""LONG"", (IFERROR(INDEX(GOOGLEFINANCE($C5, ""price"", WORKDAY(INT($B5), 5)), 2, 2), """")-$G5)/$G5, ($G5-IFERROR(INDEX(GOOGLEFINANCE($"&amp;"C5, ""price"", WORKDAY(INT($B5), 5)), 2, 2), """"))/$G5))"),-0.03864948911594851)</f>
        <v>-0.03864948912</v>
      </c>
      <c r="S5" s="16" t="str">
        <f>IFERROR(__xludf.DUMMYFUNCTION("IF(OR(ISBLANK($G5), IFERROR(INDEX(GOOGLEFINANCE($C5, ""price"", WORKDAY(INT($B5), 20)), 2, 2), """")=""""), """", IF($D5=""LONG"", (IFERROR(INDEX(GOOGLEFINANCE($C5, ""price"", WORKDAY(INT($B5), 20)), 2, 2), """")-$G5)/$G5, ($G5-IFERROR(INDEX(GOOGLEFINANCE"&amp;"($C5, ""price"", WORKDAY(INT($B5), 20)), 2, 2), """"))/$G5))"),"")</f>
        <v/>
      </c>
      <c r="T5" s="10" t="s">
        <v>4689</v>
      </c>
      <c r="U5" s="10" t="s">
        <v>984</v>
      </c>
      <c r="V5" s="10" t="s">
        <v>2785</v>
      </c>
      <c r="W5" s="10" t="s">
        <v>51</v>
      </c>
      <c r="X5" s="10" t="s">
        <v>984</v>
      </c>
    </row>
    <row r="6">
      <c r="A6" s="9">
        <f t="shared" si="1"/>
        <v>5</v>
      </c>
      <c r="B6" s="11">
        <v>46230.66741898148</v>
      </c>
      <c r="C6" s="10" t="s">
        <v>148</v>
      </c>
      <c r="D6" s="10" t="s">
        <v>36</v>
      </c>
      <c r="E6" s="10" t="s">
        <v>37</v>
      </c>
      <c r="F6" s="13">
        <v>2.0</v>
      </c>
      <c r="G6" s="14">
        <v>196.56</v>
      </c>
      <c r="H6" s="10" t="s">
        <v>4690</v>
      </c>
      <c r="I6" s="10">
        <v>83.4</v>
      </c>
      <c r="O6" s="15">
        <f>IFERROR(__xludf.DUMMYFUNCTION("IF(ISBLANK($C6), """", GOOGLEFINANCE($C6, ""price""))"),199.98)</f>
        <v>199.98</v>
      </c>
      <c r="P6" s="16">
        <f t="shared" si="2"/>
        <v>0.0173992674</v>
      </c>
      <c r="Q6" s="16">
        <f>IFERROR(__xludf.DUMMYFUNCTION("IF(OR(ISBLANK($G6), IFERROR(INDEX(GOOGLEFINANCE($C6, ""price"", WORKDAY(INT($B6), 1)), 2, 2), """")=""""), """", IF($D6=""LONG"", (IFERROR(INDEX(GOOGLEFINANCE($C6, ""price"", WORKDAY(INT($B6), 1)), 2, 2), """")-$G6)/$G6, ($G6-IFERROR(INDEX(GOOGLEFINANCE($"&amp;"C6, ""price"", WORKDAY(INT($B6), 1)), 2, 2), """"))/$G6))"),0.012667887667887715)</f>
        <v>0.01266788767</v>
      </c>
      <c r="R6" s="16">
        <f>IFERROR(__xludf.DUMMYFUNCTION("IF(OR(ISBLANK($G6), IFERROR(INDEX(GOOGLEFINANCE($C6, ""price"", WORKDAY(INT($B6), 5)), 2, 2), """")=""""), """", IF($D6=""LONG"", (IFERROR(INDEX(GOOGLEFINANCE($C6, ""price"", WORKDAY(INT($B6), 5)), 2, 2), """")-$G6)/$G6, ($G6-IFERROR(INDEX(GOOGLEFINANCE($"&amp;"C6, ""price"", WORKDAY(INT($B6), 5)), 2, 2), """"))/$G6))"),0.004782254782254771)</f>
        <v>0.004782254782</v>
      </c>
      <c r="S6" s="16" t="str">
        <f>IFERROR(__xludf.DUMMYFUNCTION("IF(OR(ISBLANK($G6), IFERROR(INDEX(GOOGLEFINANCE($C6, ""price"", WORKDAY(INT($B6), 20)), 2, 2), """")=""""), """", IF($D6=""LONG"", (IFERROR(INDEX(GOOGLEFINANCE($C6, ""price"", WORKDAY(INT($B6), 20)), 2, 2), """")-$G6)/$G6, ($G6-IFERROR(INDEX(GOOGLEFINANCE"&amp;"($C6, ""price"", WORKDAY(INT($B6), 20)), 2, 2), """"))/$G6))"),"")</f>
        <v/>
      </c>
      <c r="T6" s="10" t="s">
        <v>4692</v>
      </c>
      <c r="U6" s="10" t="s">
        <v>492</v>
      </c>
      <c r="V6" s="10" t="s">
        <v>493</v>
      </c>
      <c r="W6" s="10" t="s">
        <v>51</v>
      </c>
      <c r="X6" s="10" t="s">
        <v>492</v>
      </c>
    </row>
    <row r="7">
      <c r="A7" s="9">
        <f t="shared" si="1"/>
        <v>6</v>
      </c>
      <c r="B7" s="11">
        <v>46230.6675</v>
      </c>
      <c r="C7" s="10" t="s">
        <v>374</v>
      </c>
      <c r="D7" s="10" t="s">
        <v>36</v>
      </c>
      <c r="E7" s="10" t="s">
        <v>37</v>
      </c>
      <c r="F7" s="13">
        <v>2.0</v>
      </c>
      <c r="G7" s="14">
        <v>70.3</v>
      </c>
      <c r="H7" s="10" t="s">
        <v>4694</v>
      </c>
      <c r="I7" s="10">
        <v>91.3</v>
      </c>
      <c r="O7" s="15">
        <f>IFERROR(__xludf.DUMMYFUNCTION("IF(ISBLANK($C7), """", GOOGLEFINANCE($C7, ""price""))"),73.32)</f>
        <v>73.32</v>
      </c>
      <c r="P7" s="16">
        <f t="shared" si="2"/>
        <v>0.04295874822</v>
      </c>
      <c r="Q7" s="16">
        <f>IFERROR(__xludf.DUMMYFUNCTION("IF(OR(ISBLANK($G7), IFERROR(INDEX(GOOGLEFINANCE($C7, ""price"", WORKDAY(INT($B7), 1)), 2, 2), """")=""""), """", IF($D7=""LONG"", (IFERROR(INDEX(GOOGLEFINANCE($C7, ""price"", WORKDAY(INT($B7), 1)), 2, 2), """")-$G7)/$G7, ($G7-IFERROR(INDEX(GOOGLEFINANCE($"&amp;"C7, ""price"", WORKDAY(INT($B7), 1)), 2, 2), """"))/$G7))"),0.025035561877667215)</f>
        <v>0.02503556188</v>
      </c>
      <c r="R7" s="16">
        <f>IFERROR(__xludf.DUMMYFUNCTION("IF(OR(ISBLANK($G7), IFERROR(INDEX(GOOGLEFINANCE($C7, ""price"", WORKDAY(INT($B7), 5)), 2, 2), """")=""""), """", IF($D7=""LONG"", (IFERROR(INDEX(GOOGLEFINANCE($C7, ""price"", WORKDAY(INT($B7), 5)), 2, 2), """")-$G7)/$G7, ($G7-IFERROR(INDEX(GOOGLEFINANCE($"&amp;"C7, ""price"", WORKDAY(INT($B7), 5)), 2, 2), """"))/$G7))"),0.055903271692745476)</f>
        <v>0.05590327169</v>
      </c>
      <c r="S7" s="16" t="str">
        <f>IFERROR(__xludf.DUMMYFUNCTION("IF(OR(ISBLANK($G7), IFERROR(INDEX(GOOGLEFINANCE($C7, ""price"", WORKDAY(INT($B7), 20)), 2, 2), """")=""""), """", IF($D7=""LONG"", (IFERROR(INDEX(GOOGLEFINANCE($C7, ""price"", WORKDAY(INT($B7), 20)), 2, 2), """")-$G7)/$G7, ($G7-IFERROR(INDEX(GOOGLEFINANCE"&amp;"($C7, ""price"", WORKDAY(INT($B7), 20)), 2, 2), """"))/$G7))"),"")</f>
        <v/>
      </c>
      <c r="T7" s="10" t="s">
        <v>4696</v>
      </c>
      <c r="U7" s="10" t="s">
        <v>984</v>
      </c>
      <c r="V7" s="10" t="s">
        <v>985</v>
      </c>
      <c r="W7" s="10" t="s">
        <v>51</v>
      </c>
      <c r="X7" s="10" t="s">
        <v>984</v>
      </c>
    </row>
    <row r="8">
      <c r="A8" s="9">
        <f t="shared" si="1"/>
        <v>7</v>
      </c>
      <c r="B8" s="11">
        <v>46230.66743055556</v>
      </c>
      <c r="C8" s="10" t="s">
        <v>2311</v>
      </c>
      <c r="D8" s="10" t="s">
        <v>36</v>
      </c>
      <c r="E8" s="10" t="s">
        <v>37</v>
      </c>
      <c r="F8" s="13">
        <v>2.0</v>
      </c>
      <c r="G8" s="14">
        <v>237.9</v>
      </c>
      <c r="H8" s="10" t="s">
        <v>4698</v>
      </c>
      <c r="I8" s="10">
        <v>94.6</v>
      </c>
      <c r="O8" s="15">
        <f>IFERROR(__xludf.DUMMYFUNCTION("IF(ISBLANK($C8), """", GOOGLEFINANCE($C8, ""price""))"),229.01)</f>
        <v>229.01</v>
      </c>
      <c r="P8" s="16">
        <f t="shared" si="2"/>
        <v>-0.03736864229</v>
      </c>
      <c r="Q8" s="16">
        <f>IFERROR(__xludf.DUMMYFUNCTION("IF(OR(ISBLANK($G8), IFERROR(INDEX(GOOGLEFINANCE($C8, ""price"", WORKDAY(INT($B8), 1)), 2, 2), """")=""""), """", IF($D8=""LONG"", (IFERROR(INDEX(GOOGLEFINANCE($C8, ""price"", WORKDAY(INT($B8), 1)), 2, 2), """")-$G8)/$G8, ($G8-IFERROR(INDEX(GOOGLEFINANCE($"&amp;"C8, ""price"", WORKDAY(INT($B8), 1)), 2, 2), """"))/$G8))"),0.006347204707860407)</f>
        <v>0.006347204708</v>
      </c>
      <c r="R8" s="16">
        <f>IFERROR(__xludf.DUMMYFUNCTION("IF(OR(ISBLANK($G8), IFERROR(INDEX(GOOGLEFINANCE($C8, ""price"", WORKDAY(INT($B8), 5)), 2, 2), """")=""""), """", IF($D8=""LONG"", (IFERROR(INDEX(GOOGLEFINANCE($C8, ""price"", WORKDAY(INT($B8), 5)), 2, 2), """")-$G8)/$G8, ($G8-IFERROR(INDEX(GOOGLEFINANCE($"&amp;"C8, ""price"", WORKDAY(INT($B8), 5)), 2, 2), """"))/$G8))"),-0.04821353509878099)</f>
        <v>-0.0482135351</v>
      </c>
      <c r="S8" s="16" t="str">
        <f>IFERROR(__xludf.DUMMYFUNCTION("IF(OR(ISBLANK($G8), IFERROR(INDEX(GOOGLEFINANCE($C8, ""price"", WORKDAY(INT($B8), 20)), 2, 2), """")=""""), """", IF($D8=""LONG"", (IFERROR(INDEX(GOOGLEFINANCE($C8, ""price"", WORKDAY(INT($B8), 20)), 2, 2), """")-$G8)/$G8, ($G8-IFERROR(INDEX(GOOGLEFINANCE"&amp;"($C8, ""price"", WORKDAY(INT($B8), 20)), 2, 2), """"))/$G8))"),"")</f>
        <v/>
      </c>
      <c r="T8" s="10" t="s">
        <v>4699</v>
      </c>
      <c r="U8" s="10" t="s">
        <v>492</v>
      </c>
      <c r="V8" s="10" t="s">
        <v>493</v>
      </c>
      <c r="W8" s="10" t="s">
        <v>51</v>
      </c>
      <c r="X8" s="10" t="s">
        <v>492</v>
      </c>
    </row>
    <row r="9">
      <c r="A9" s="9">
        <f t="shared" si="1"/>
        <v>8</v>
      </c>
      <c r="B9" s="11">
        <v>46230.66743055556</v>
      </c>
      <c r="C9" s="10" t="s">
        <v>434</v>
      </c>
      <c r="D9" s="10" t="s">
        <v>36</v>
      </c>
      <c r="E9" s="10" t="s">
        <v>37</v>
      </c>
      <c r="F9" s="13">
        <v>2.0</v>
      </c>
      <c r="G9" s="14">
        <v>108.03</v>
      </c>
      <c r="H9" s="10" t="s">
        <v>4700</v>
      </c>
      <c r="I9" s="10">
        <v>92.5</v>
      </c>
      <c r="O9" s="15">
        <f>IFERROR(__xludf.DUMMYFUNCTION("IF(ISBLANK($C9), """", GOOGLEFINANCE($C9, ""price""))"),114.24)</f>
        <v>114.24</v>
      </c>
      <c r="P9" s="16">
        <f t="shared" si="2"/>
        <v>0.05748403221</v>
      </c>
      <c r="Q9" s="16">
        <f>IFERROR(__xludf.DUMMYFUNCTION("IF(OR(ISBLANK($G9), IFERROR(INDEX(GOOGLEFINANCE($C9, ""price"", WORKDAY(INT($B9), 1)), 2, 2), """")=""""), """", IF($D9=""LONG"", (IFERROR(INDEX(GOOGLEFINANCE($C9, ""price"", WORKDAY(INT($B9), 1)), 2, 2), """")-$G9)/$G9, ($G9-IFERROR(INDEX(GOOGLEFINANCE($"&amp;"C9, ""price"", WORKDAY(INT($B9), 1)), 2, 2), """"))/$G9))"),0.032213274090530444)</f>
        <v>0.03221327409</v>
      </c>
      <c r="R9" s="16">
        <f>IFERROR(__xludf.DUMMYFUNCTION("IF(OR(ISBLANK($G9), IFERROR(INDEX(GOOGLEFINANCE($C9, ""price"", WORKDAY(INT($B9), 5)), 2, 2), """")=""""), """", IF($D9=""LONG"", (IFERROR(INDEX(GOOGLEFINANCE($C9, ""price"", WORKDAY(INT($B9), 5)), 2, 2), """")-$G9)/$G9, ($G9-IFERROR(INDEX(GOOGLEFINANCE($"&amp;"C9, ""price"", WORKDAY(INT($B9), 5)), 2, 2), """"))/$G9))"),0.06655558641118206)</f>
        <v>0.06655558641</v>
      </c>
      <c r="S9" s="16" t="str">
        <f>IFERROR(__xludf.DUMMYFUNCTION("IF(OR(ISBLANK($G9), IFERROR(INDEX(GOOGLEFINANCE($C9, ""price"", WORKDAY(INT($B9), 20)), 2, 2), """")=""""), """", IF($D9=""LONG"", (IFERROR(INDEX(GOOGLEFINANCE($C9, ""price"", WORKDAY(INT($B9), 20)), 2, 2), """")-$G9)/$G9, ($G9-IFERROR(INDEX(GOOGLEFINANCE"&amp;"($C9, ""price"", WORKDAY(INT($B9), 20)), 2, 2), """"))/$G9))"),"")</f>
        <v/>
      </c>
      <c r="T9" s="10" t="s">
        <v>4703</v>
      </c>
      <c r="U9" s="10" t="s">
        <v>984</v>
      </c>
      <c r="V9" s="10" t="s">
        <v>933</v>
      </c>
      <c r="W9" s="10" t="s">
        <v>51</v>
      </c>
      <c r="X9" s="10" t="s">
        <v>984</v>
      </c>
    </row>
    <row r="10">
      <c r="A10" s="9">
        <f t="shared" si="1"/>
        <v>9</v>
      </c>
      <c r="B10" s="11">
        <v>46230.66744212963</v>
      </c>
      <c r="C10" s="10" t="s">
        <v>1603</v>
      </c>
      <c r="D10" s="10" t="s">
        <v>36</v>
      </c>
      <c r="E10" s="10" t="s">
        <v>37</v>
      </c>
      <c r="F10" s="13">
        <v>2.0</v>
      </c>
      <c r="G10" s="14">
        <v>140.01</v>
      </c>
      <c r="H10" s="10" t="s">
        <v>4704</v>
      </c>
      <c r="I10" s="10">
        <v>93.5</v>
      </c>
      <c r="O10" s="15">
        <f>IFERROR(__xludf.DUMMYFUNCTION("IF(ISBLANK($C10), """", GOOGLEFINANCE($C10, ""price""))"),144.51)</f>
        <v>144.51</v>
      </c>
      <c r="P10" s="16">
        <f t="shared" si="2"/>
        <v>0.03214056139</v>
      </c>
      <c r="Q10" s="16">
        <f>IFERROR(__xludf.DUMMYFUNCTION("IF(OR(ISBLANK($G10), IFERROR(INDEX(GOOGLEFINANCE($C10, ""price"", WORKDAY(INT($B10), 1)), 2, 2), """")=""""), """", IF($D10=""LONG"", (IFERROR(INDEX(GOOGLEFINANCE($C10, ""price"", WORKDAY(INT($B10), 1)), 2, 2), """")-$G10)/$G10, ($G10-IFERROR(INDEX(GOOGLE"&amp;"FINANCE($C10, ""price"", WORKDAY(INT($B10), 1)), 2, 2), """"))/$G10))"),0.024355403185486728)</f>
        <v>0.02435540319</v>
      </c>
      <c r="R10" s="16">
        <f>IFERROR(__xludf.DUMMYFUNCTION("IF(OR(ISBLANK($G10), IFERROR(INDEX(GOOGLEFINANCE($C10, ""price"", WORKDAY(INT($B10), 5)), 2, 2), """")=""""), """", IF($D10=""LONG"", (IFERROR(INDEX(GOOGLEFINANCE($C10, ""price"", WORKDAY(INT($B10), 5)), 2, 2), """")-$G10)/$G10, ($G10-IFERROR(INDEX(GOOGLE"&amp;"FINANCE($C10, ""price"", WORKDAY(INT($B10), 5)), 2, 2), """"))/$G10))"),0.02064138275837451)</f>
        <v>0.02064138276</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4707</v>
      </c>
      <c r="U10" s="10" t="s">
        <v>984</v>
      </c>
      <c r="V10" s="10" t="s">
        <v>2785</v>
      </c>
      <c r="W10" s="10" t="s">
        <v>51</v>
      </c>
      <c r="X10" s="10" t="s">
        <v>984</v>
      </c>
    </row>
    <row r="11">
      <c r="A11" s="9">
        <f t="shared" si="1"/>
        <v>10</v>
      </c>
      <c r="B11" s="11">
        <v>46230.6674537037</v>
      </c>
      <c r="C11" s="10" t="s">
        <v>201</v>
      </c>
      <c r="D11" s="10" t="s">
        <v>36</v>
      </c>
      <c r="E11" s="10" t="s">
        <v>37</v>
      </c>
      <c r="F11" s="13">
        <v>2.0</v>
      </c>
      <c r="G11" s="14">
        <v>134.59</v>
      </c>
      <c r="H11" s="10" t="s">
        <v>4708</v>
      </c>
      <c r="I11" s="10">
        <v>96.4</v>
      </c>
      <c r="O11" s="15">
        <f>IFERROR(__xludf.DUMMYFUNCTION("IF(ISBLANK($C11), """", GOOGLEFINANCE($C11, ""price""))"),134.82)</f>
        <v>134.82</v>
      </c>
      <c r="P11" s="16">
        <f t="shared" si="2"/>
        <v>0.001708893677</v>
      </c>
      <c r="Q11" s="16">
        <f>IFERROR(__xludf.DUMMYFUNCTION("IF(OR(ISBLANK($G11), IFERROR(INDEX(GOOGLEFINANCE($C11, ""price"", WORKDAY(INT($B11), 1)), 2, 2), """")=""""), """", IF($D11=""LONG"", (IFERROR(INDEX(GOOGLEFINANCE($C11, ""price"", WORKDAY(INT($B11), 1)), 2, 2), """")-$G11)/$G11, ($G11-IFERROR(INDEX(GOOGLE"&amp;"FINANCE($C11, ""price"", WORKDAY(INT($B11), 1)), 2, 2), """"))/$G11))"),0.025633405156400835)</f>
        <v>0.02563340516</v>
      </c>
      <c r="R11" s="16">
        <f>IFERROR(__xludf.DUMMYFUNCTION("IF(OR(ISBLANK($G11), IFERROR(INDEX(GOOGLEFINANCE($C11, ""price"", WORKDAY(INT($B11), 5)), 2, 2), """")=""""), """", IF($D11=""LONG"", (IFERROR(INDEX(GOOGLEFINANCE($C11, ""price"", WORKDAY(INT($B11), 5)), 2, 2), """")-$G11)/$G11, ($G11-IFERROR(INDEX(GOOGLE"&amp;"FINANCE($C11, ""price"", WORKDAY(INT($B11), 5)), 2, 2), """"))/$G11))"),-0.024444609554944586)</f>
        <v>-0.02444460955</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4711</v>
      </c>
      <c r="U11" s="10" t="s">
        <v>492</v>
      </c>
      <c r="V11" s="10" t="s">
        <v>493</v>
      </c>
      <c r="W11" s="10" t="s">
        <v>51</v>
      </c>
      <c r="X11" s="10" t="s">
        <v>492</v>
      </c>
    </row>
    <row r="12">
      <c r="A12" s="9">
        <f t="shared" si="1"/>
        <v>11</v>
      </c>
      <c r="B12" s="11">
        <v>46230.66744212963</v>
      </c>
      <c r="C12" s="10" t="s">
        <v>269</v>
      </c>
      <c r="D12" s="10" t="s">
        <v>36</v>
      </c>
      <c r="E12" s="10" t="s">
        <v>37</v>
      </c>
      <c r="F12" s="13">
        <v>2.0</v>
      </c>
      <c r="G12" s="14">
        <v>184.59</v>
      </c>
      <c r="H12" s="10" t="s">
        <v>4712</v>
      </c>
      <c r="I12" s="10">
        <v>92.3</v>
      </c>
      <c r="O12" s="15">
        <f>IFERROR(__xludf.DUMMYFUNCTION("IF(ISBLANK($C12), """", GOOGLEFINANCE($C12, ""price""))"),184.92)</f>
        <v>184.92</v>
      </c>
      <c r="P12" s="16">
        <f t="shared" si="2"/>
        <v>0.001787745815</v>
      </c>
      <c r="Q12" s="16">
        <f>IFERROR(__xludf.DUMMYFUNCTION("IF(OR(ISBLANK($G12), IFERROR(INDEX(GOOGLEFINANCE($C12, ""price"", WORKDAY(INT($B12), 1)), 2, 2), """")=""""), """", IF($D12=""LONG"", (IFERROR(INDEX(GOOGLEFINANCE($C12, ""price"", WORKDAY(INT($B12), 1)), 2, 2), """")-$G12)/$G12, ($G12-IFERROR(INDEX(GOOGLE"&amp;"FINANCE($C12, ""price"", WORKDAY(INT($B12), 1)), 2, 2), """"))/$G12))"),-0.010943171352727722)</f>
        <v>-0.01094317135</v>
      </c>
      <c r="R12" s="16">
        <f>IFERROR(__xludf.DUMMYFUNCTION("IF(OR(ISBLANK($G12), IFERROR(INDEX(GOOGLEFINANCE($C12, ""price"", WORKDAY(INT($B12), 5)), 2, 2), """")=""""), """", IF($D12=""LONG"", (IFERROR(INDEX(GOOGLEFINANCE($C12, ""price"", WORKDAY(INT($B12), 5)), 2, 2), """")-$G12)/$G12, ($G12-IFERROR(INDEX(GOOGLE"&amp;"FINANCE($C12, ""price"", WORKDAY(INT($B12), 5)), 2, 2), """"))/$G12))"),-0.004984018635895855)</f>
        <v>-0.004984018636</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4715</v>
      </c>
      <c r="U12" s="10" t="s">
        <v>984</v>
      </c>
      <c r="V12" s="10" t="s">
        <v>933</v>
      </c>
      <c r="W12" s="10" t="s">
        <v>51</v>
      </c>
      <c r="X12" s="10" t="s">
        <v>984</v>
      </c>
    </row>
    <row r="13">
      <c r="A13" s="9">
        <f t="shared" si="1"/>
        <v>12</v>
      </c>
      <c r="B13" s="11">
        <v>46230.66744212963</v>
      </c>
      <c r="C13" s="10" t="s">
        <v>288</v>
      </c>
      <c r="D13" s="10" t="s">
        <v>36</v>
      </c>
      <c r="E13" s="10" t="s">
        <v>37</v>
      </c>
      <c r="F13" s="13">
        <v>2.0</v>
      </c>
      <c r="G13" s="14">
        <v>19.46</v>
      </c>
      <c r="H13" s="10" t="s">
        <v>4716</v>
      </c>
      <c r="I13" s="10">
        <v>79.2</v>
      </c>
      <c r="O13" s="15">
        <f>IFERROR(__xludf.DUMMYFUNCTION("IF(ISBLANK($C13), """", GOOGLEFINANCE($C13, ""price""))"),19.18)</f>
        <v>19.18</v>
      </c>
      <c r="P13" s="16">
        <f t="shared" si="2"/>
        <v>-0.01438848921</v>
      </c>
      <c r="Q13" s="16">
        <f>IFERROR(__xludf.DUMMYFUNCTION("IF(OR(ISBLANK($G13), IFERROR(INDEX(GOOGLEFINANCE($C13, ""price"", WORKDAY(INT($B13), 1)), 2, 2), """")=""""), """", IF($D13=""LONG"", (IFERROR(INDEX(GOOGLEFINANCE($C13, ""price"", WORKDAY(INT($B13), 1)), 2, 2), """")-$G13)/$G13, ($G13-IFERROR(INDEX(GOOGLE"&amp;"FINANCE($C13, ""price"", WORKDAY(INT($B13), 1)), 2, 2), """"))/$G13))"),0.014902363823227087)</f>
        <v>0.01490236382</v>
      </c>
      <c r="R13" s="16">
        <f>IFERROR(__xludf.DUMMYFUNCTION("IF(OR(ISBLANK($G13), IFERROR(INDEX(GOOGLEFINANCE($C13, ""price"", WORKDAY(INT($B13), 5)), 2, 2), """")=""""), """", IF($D13=""LONG"", (IFERROR(INDEX(GOOGLEFINANCE($C13, ""price"", WORKDAY(INT($B13), 5)), 2, 2), """")-$G13)/$G13, ($G13-IFERROR(INDEX(GOOGLE"&amp;"FINANCE($C13, ""price"", WORKDAY(INT($B13), 5)), 2, 2), """"))/$G13))"),-0.02312435765673172)</f>
        <v>-0.02312435766</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4719</v>
      </c>
      <c r="U13" s="10" t="s">
        <v>492</v>
      </c>
      <c r="V13" s="10" t="s">
        <v>493</v>
      </c>
      <c r="W13" s="10" t="s">
        <v>51</v>
      </c>
      <c r="X13" s="10" t="s">
        <v>492</v>
      </c>
    </row>
    <row r="14">
      <c r="A14" s="9">
        <f t="shared" si="1"/>
        <v>13</v>
      </c>
      <c r="B14" s="11">
        <v>46230.66747685185</v>
      </c>
      <c r="C14" s="10" t="s">
        <v>86</v>
      </c>
      <c r="D14" s="10" t="s">
        <v>36</v>
      </c>
      <c r="E14" s="10" t="s">
        <v>37</v>
      </c>
      <c r="F14" s="13">
        <v>2.0</v>
      </c>
      <c r="G14" s="14">
        <v>84.62</v>
      </c>
      <c r="H14" s="10" t="s">
        <v>4720</v>
      </c>
      <c r="I14" s="10">
        <v>94.4</v>
      </c>
      <c r="O14" s="15">
        <f>IFERROR(__xludf.DUMMYFUNCTION("IF(ISBLANK($C14), """", GOOGLEFINANCE($C14, ""price""))"),88.24)</f>
        <v>88.24</v>
      </c>
      <c r="P14" s="16">
        <f t="shared" si="2"/>
        <v>0.04277948476</v>
      </c>
      <c r="Q14" s="16">
        <f>IFERROR(__xludf.DUMMYFUNCTION("IF(OR(ISBLANK($G14), IFERROR(INDEX(GOOGLEFINANCE($C14, ""price"", WORKDAY(INT($B14), 1)), 2, 2), """")=""""), """", IF($D14=""LONG"", (IFERROR(INDEX(GOOGLEFINANCE($C14, ""price"", WORKDAY(INT($B14), 1)), 2, 2), """")-$G14)/$G14, ($G14-IFERROR(INDEX(GOOGLE"&amp;"FINANCE($C14, ""price"", WORKDAY(INT($B14), 1)), 2, 2), """"))/$G14))"),0.022216969983455393)</f>
        <v>0.02221696998</v>
      </c>
      <c r="R14" s="16">
        <f>IFERROR(__xludf.DUMMYFUNCTION("IF(OR(ISBLANK($G14), IFERROR(INDEX(GOOGLEFINANCE($C14, ""price"", WORKDAY(INT($B14), 5)), 2, 2), """")=""""), """", IF($D14=""LONG"", (IFERROR(INDEX(GOOGLEFINANCE($C14, ""price"", WORKDAY(INT($B14), 5)), 2, 2), """")-$G14)/$G14, ($G14-IFERROR(INDEX(GOOGLE"&amp;"FINANCE($C14, ""price"", WORKDAY(INT($B14), 5)), 2, 2), """"))/$G14))"),0.0373434176317655)</f>
        <v>0.03734341763</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4723</v>
      </c>
      <c r="U14" s="10" t="s">
        <v>984</v>
      </c>
      <c r="V14" s="10" t="s">
        <v>985</v>
      </c>
      <c r="W14" s="10" t="s">
        <v>51</v>
      </c>
      <c r="X14" s="10" t="s">
        <v>984</v>
      </c>
    </row>
    <row r="15">
      <c r="A15" s="9">
        <f t="shared" si="1"/>
        <v>14</v>
      </c>
      <c r="B15" s="11">
        <v>46230.66751157407</v>
      </c>
      <c r="C15" s="10" t="s">
        <v>141</v>
      </c>
      <c r="D15" s="10" t="s">
        <v>36</v>
      </c>
      <c r="E15" s="10" t="s">
        <v>37</v>
      </c>
      <c r="F15" s="13">
        <v>2.0</v>
      </c>
      <c r="G15" s="14">
        <v>130.76</v>
      </c>
      <c r="H15" s="10" t="s">
        <v>4725</v>
      </c>
      <c r="I15" s="10">
        <v>86.0</v>
      </c>
      <c r="O15" s="15">
        <f>IFERROR(__xludf.DUMMYFUNCTION("IF(ISBLANK($C15), """", GOOGLEFINANCE($C15, ""price""))"),128.37)</f>
        <v>128.37</v>
      </c>
      <c r="P15" s="16">
        <f t="shared" si="2"/>
        <v>-0.01827776078</v>
      </c>
      <c r="Q15" s="16">
        <f>IFERROR(__xludf.DUMMYFUNCTION("IF(OR(ISBLANK($G15), IFERROR(INDEX(GOOGLEFINANCE($C15, ""price"", WORKDAY(INT($B15), 1)), 2, 2), """")=""""), """", IF($D15=""LONG"", (IFERROR(INDEX(GOOGLEFINANCE($C15, ""price"", WORKDAY(INT($B15), 1)), 2, 2), """")-$G15)/$G15, ($G15-IFERROR(INDEX(GOOGLE"&amp;"FINANCE($C15, ""price"", WORKDAY(INT($B15), 1)), 2, 2), """"))/$G15))"),0.008106454573264013)</f>
        <v>0.008106454573</v>
      </c>
      <c r="R15" s="16">
        <f>IFERROR(__xludf.DUMMYFUNCTION("IF(OR(ISBLANK($G15), IFERROR(INDEX(GOOGLEFINANCE($C15, ""price"", WORKDAY(INT($B15), 5)), 2, 2), """")=""""), """", IF($D15=""LONG"", (IFERROR(INDEX(GOOGLEFINANCE($C15, ""price"", WORKDAY(INT($B15), 5)), 2, 2), """")-$G15)/$G15, ($G15-IFERROR(INDEX(GOOGLE"&amp;"FINANCE($C15, ""price"", WORKDAY(INT($B15), 5)), 2, 2), """"))/$G15))"),-0.022866319975527648)</f>
        <v>-0.02286631998</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4727</v>
      </c>
      <c r="U15" s="10" t="s">
        <v>507</v>
      </c>
      <c r="V15" s="10" t="s">
        <v>4728</v>
      </c>
      <c r="W15" s="10" t="s">
        <v>51</v>
      </c>
      <c r="X15" s="10" t="s">
        <v>2228</v>
      </c>
    </row>
    <row r="16">
      <c r="A16" s="9">
        <f t="shared" si="1"/>
        <v>15</v>
      </c>
      <c r="B16" s="11">
        <v>46230.667395833334</v>
      </c>
      <c r="C16" s="10" t="s">
        <v>600</v>
      </c>
      <c r="D16" s="10" t="s">
        <v>36</v>
      </c>
      <c r="E16" s="10" t="s">
        <v>37</v>
      </c>
      <c r="F16" s="13">
        <v>2.0</v>
      </c>
      <c r="G16" s="14">
        <v>224.21</v>
      </c>
      <c r="H16" s="10" t="s">
        <v>4730</v>
      </c>
      <c r="I16" s="10">
        <v>89.9</v>
      </c>
      <c r="L16" s="10" t="s">
        <v>4731</v>
      </c>
      <c r="M16" s="10" t="s">
        <v>2174</v>
      </c>
      <c r="N16" s="10" t="s">
        <v>925</v>
      </c>
      <c r="O16" s="15">
        <f>IFERROR(__xludf.DUMMYFUNCTION("IF(ISBLANK($C16), """", GOOGLEFINANCE($C16, ""price""))"),265.51)</f>
        <v>265.51</v>
      </c>
      <c r="P16" s="16">
        <f t="shared" si="2"/>
        <v>0.1842023103</v>
      </c>
      <c r="Q16" s="16">
        <f>IFERROR(__xludf.DUMMYFUNCTION("IF(OR(ISBLANK($G16), IFERROR(INDEX(GOOGLEFINANCE($C16, ""price"", WORKDAY(INT($B16), 1)), 2, 2), """")=""""), """", IF($D16=""LONG"", (IFERROR(INDEX(GOOGLEFINANCE($C16, ""price"", WORKDAY(INT($B16), 1)), 2, 2), """")-$G16)/$G16, ($G16-IFERROR(INDEX(GOOGLE"&amp;"FINANCE($C16, ""price"", WORKDAY(INT($B16), 1)), 2, 2), """"))/$G16))"),0.07234289282369206)</f>
        <v>0.07234289282</v>
      </c>
      <c r="R16" s="16">
        <f>IFERROR(__xludf.DUMMYFUNCTION("IF(OR(ISBLANK($G16), IFERROR(INDEX(GOOGLEFINANCE($C16, ""price"", WORKDAY(INT($B16), 5)), 2, 2), """")=""""), """", IF($D16=""LONG"", (IFERROR(INDEX(GOOGLEFINANCE($C16, ""price"", WORKDAY(INT($B16), 5)), 2, 2), """")-$G16)/$G16, ($G16-IFERROR(INDEX(GOOGLE"&amp;"FINANCE($C16, ""price"", WORKDAY(INT($B16), 5)), 2, 2), """"))/$G16))"),0.02970429508050487)</f>
        <v>0.02970429508</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4734</v>
      </c>
      <c r="U16" s="10" t="s">
        <v>704</v>
      </c>
      <c r="V16" s="10" t="s">
        <v>4736</v>
      </c>
      <c r="W16" s="10" t="s">
        <v>51</v>
      </c>
      <c r="X16" s="10" t="s">
        <v>1885</v>
      </c>
    </row>
    <row r="17">
      <c r="A17" s="9">
        <f t="shared" si="1"/>
        <v>16</v>
      </c>
      <c r="B17" s="11">
        <v>46230.66751157407</v>
      </c>
      <c r="C17" s="10" t="s">
        <v>4738</v>
      </c>
      <c r="D17" s="10" t="s">
        <v>36</v>
      </c>
      <c r="E17" s="10" t="s">
        <v>37</v>
      </c>
      <c r="F17" s="13">
        <v>2.0</v>
      </c>
      <c r="G17" s="14">
        <v>96.48</v>
      </c>
      <c r="H17" s="10" t="s">
        <v>4739</v>
      </c>
      <c r="I17" s="10">
        <v>82.0</v>
      </c>
      <c r="O17" s="15">
        <f>IFERROR(__xludf.DUMMYFUNCTION("IF(ISBLANK($C17), """", GOOGLEFINANCE($C17, ""price""))"),92.9)</f>
        <v>92.9</v>
      </c>
      <c r="P17" s="16">
        <f t="shared" si="2"/>
        <v>-0.03710613599</v>
      </c>
      <c r="Q17" s="16">
        <f>IFERROR(__xludf.DUMMYFUNCTION("IF(OR(ISBLANK($G17), IFERROR(INDEX(GOOGLEFINANCE($C17, ""price"", WORKDAY(INT($B17), 1)), 2, 2), """")=""""), """", IF($D17=""LONG"", (IFERROR(INDEX(GOOGLEFINANCE($C17, ""price"", WORKDAY(INT($B17), 1)), 2, 2), """")-$G17)/$G17, ($G17-IFERROR(INDEX(GOOGLE"&amp;"FINANCE($C17, ""price"", WORKDAY(INT($B17), 1)), 2, 2), """"))/$G17))"),0.003109452736318378)</f>
        <v>0.003109452736</v>
      </c>
      <c r="R17" s="16">
        <f>IFERROR(__xludf.DUMMYFUNCTION("IF(OR(ISBLANK($G17), IFERROR(INDEX(GOOGLEFINANCE($C17, ""price"", WORKDAY(INT($B17), 5)), 2, 2), """")=""""), """", IF($D17=""LONG"", (IFERROR(INDEX(GOOGLEFINANCE($C17, ""price"", WORKDAY(INT($B17), 5)), 2, 2), """")-$G17)/$G17, ($G17-IFERROR(INDEX(GOOGLE"&amp;"FINANCE($C17, ""price"", WORKDAY(INT($B17), 5)), 2, 2), """"))/$G17))"),-0.036691542288557276)</f>
        <v>-0.03669154229</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4742</v>
      </c>
      <c r="U17" s="10" t="s">
        <v>704</v>
      </c>
      <c r="V17" s="10" t="s">
        <v>4743</v>
      </c>
      <c r="W17" s="10" t="s">
        <v>51</v>
      </c>
      <c r="X17" s="10" t="s">
        <v>1885</v>
      </c>
    </row>
    <row r="18">
      <c r="A18" s="9">
        <f t="shared" si="1"/>
        <v>17</v>
      </c>
      <c r="B18" s="11">
        <v>46230.66753472222</v>
      </c>
      <c r="C18" s="10" t="s">
        <v>303</v>
      </c>
      <c r="D18" s="10" t="s">
        <v>36</v>
      </c>
      <c r="E18" s="10" t="s">
        <v>37</v>
      </c>
      <c r="F18" s="13">
        <v>2.0</v>
      </c>
      <c r="G18" s="14">
        <v>107.05</v>
      </c>
      <c r="H18" s="10" t="s">
        <v>4747</v>
      </c>
      <c r="I18" s="10">
        <v>89.1</v>
      </c>
      <c r="O18" s="15">
        <f>IFERROR(__xludf.DUMMYFUNCTION("IF(ISBLANK($C18), """", GOOGLEFINANCE($C18, ""price""))"),96.22)</f>
        <v>96.22</v>
      </c>
      <c r="P18" s="16">
        <f t="shared" si="2"/>
        <v>-0.1011676787</v>
      </c>
      <c r="Q18" s="16">
        <f>IFERROR(__xludf.DUMMYFUNCTION("IF(OR(ISBLANK($G18), IFERROR(INDEX(GOOGLEFINANCE($C18, ""price"", WORKDAY(INT($B18), 1)), 2, 2), """")=""""), """", IF($D18=""LONG"", (IFERROR(INDEX(GOOGLEFINANCE($C18, ""price"", WORKDAY(INT($B18), 1)), 2, 2), """")-$G18)/$G18, ($G18-IFERROR(INDEX(GOOGLE"&amp;"FINANCE($C18, ""price"", WORKDAY(INT($B18), 1)), 2, 2), """"))/$G18))"),0.021391872956562412)</f>
        <v>0.02139187296</v>
      </c>
      <c r="R18" s="16">
        <f>IFERROR(__xludf.DUMMYFUNCTION("IF(OR(ISBLANK($G18), IFERROR(INDEX(GOOGLEFINANCE($C18, ""price"", WORKDAY(INT($B18), 5)), 2, 2), """")=""""), """", IF($D18=""LONG"", (IFERROR(INDEX(GOOGLEFINANCE($C18, ""price"", WORKDAY(INT($B18), 5)), 2, 2), """")-$G18)/$G18, ($G18-IFERROR(INDEX(GOOGLE"&amp;"FINANCE($C18, ""price"", WORKDAY(INT($B18), 5)), 2, 2), """"))/$G18))"),-0.01569360112097144)</f>
        <v>-0.01569360112</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4750</v>
      </c>
      <c r="U18" s="10" t="s">
        <v>984</v>
      </c>
      <c r="V18" s="10" t="s">
        <v>2785</v>
      </c>
      <c r="W18" s="10" t="s">
        <v>51</v>
      </c>
      <c r="X18" s="10" t="s">
        <v>984</v>
      </c>
    </row>
    <row r="19">
      <c r="A19" s="9">
        <f t="shared" si="1"/>
        <v>18</v>
      </c>
      <c r="B19" s="11">
        <v>46230.66753472222</v>
      </c>
      <c r="C19" s="10" t="s">
        <v>4586</v>
      </c>
      <c r="D19" s="10" t="s">
        <v>36</v>
      </c>
      <c r="E19" s="10" t="s">
        <v>37</v>
      </c>
      <c r="F19" s="13">
        <v>2.0</v>
      </c>
      <c r="G19" s="14">
        <v>312.35</v>
      </c>
      <c r="H19" s="10" t="s">
        <v>4753</v>
      </c>
      <c r="I19" s="10">
        <v>94.2</v>
      </c>
      <c r="O19" s="15">
        <f>IFERROR(__xludf.DUMMYFUNCTION("IF(ISBLANK($C19), """", GOOGLEFINANCE($C19, ""price""))"),299.25)</f>
        <v>299.25</v>
      </c>
      <c r="P19" s="16">
        <f t="shared" si="2"/>
        <v>-0.04194013126</v>
      </c>
      <c r="Q19" s="16">
        <f>IFERROR(__xludf.DUMMYFUNCTION("IF(OR(ISBLANK($G19), IFERROR(INDEX(GOOGLEFINANCE($C19, ""price"", WORKDAY(INT($B19), 1)), 2, 2), """")=""""), """", IF($D19=""LONG"", (IFERROR(INDEX(GOOGLEFINANCE($C19, ""price"", WORKDAY(INT($B19), 1)), 2, 2), """")-$G19)/$G19, ($G19-IFERROR(INDEX(GOOGLE"&amp;"FINANCE($C19, ""price"", WORKDAY(INT($B19), 1)), 2, 2), """"))/$G19))"),-0.02016968144709464)</f>
        <v>-0.02016968145</v>
      </c>
      <c r="R19" s="16">
        <f>IFERROR(__xludf.DUMMYFUNCTION("IF(OR(ISBLANK($G19), IFERROR(INDEX(GOOGLEFINANCE($C19, ""price"", WORKDAY(INT($B19), 5)), 2, 2), """")=""""), """", IF($D19=""LONG"", (IFERROR(INDEX(GOOGLEFINANCE($C19, ""price"", WORKDAY(INT($B19), 5)), 2, 2), """")-$G19)/$G19, ($G19-IFERROR(INDEX(GOOGLE"&amp;"FINANCE($C19, ""price"", WORKDAY(INT($B19), 5)), 2, 2), """"))/$G19))"),-0.01703217544421338)</f>
        <v>-0.01703217544</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4756</v>
      </c>
      <c r="U19" s="10" t="s">
        <v>984</v>
      </c>
      <c r="V19" s="10" t="s">
        <v>933</v>
      </c>
      <c r="W19" s="10" t="s">
        <v>51</v>
      </c>
      <c r="X19" s="10" t="s">
        <v>984</v>
      </c>
    </row>
    <row r="20">
      <c r="A20" s="9">
        <f t="shared" si="1"/>
        <v>19</v>
      </c>
      <c r="B20" s="11">
        <v>46230.667546296296</v>
      </c>
      <c r="C20" s="10" t="s">
        <v>4757</v>
      </c>
      <c r="D20" s="10" t="s">
        <v>36</v>
      </c>
      <c r="E20" s="10" t="s">
        <v>4224</v>
      </c>
      <c r="F20" s="13">
        <v>4.0</v>
      </c>
      <c r="G20" s="14">
        <v>291.42</v>
      </c>
      <c r="H20" s="10" t="s">
        <v>4759</v>
      </c>
      <c r="I20" s="10">
        <v>25.3</v>
      </c>
      <c r="O20" s="15">
        <f>IFERROR(__xludf.DUMMYFUNCTION("IF(ISBLANK($C20), """", GOOGLEFINANCE($C20, ""price""))"),305.77)</f>
        <v>305.77</v>
      </c>
      <c r="P20" s="16">
        <f t="shared" si="2"/>
        <v>0.04924164436</v>
      </c>
      <c r="Q20" s="16">
        <f>IFERROR(__xludf.DUMMYFUNCTION("IF(OR(ISBLANK($G20), IFERROR(INDEX(GOOGLEFINANCE($C20, ""price"", WORKDAY(INT($B20), 1)), 2, 2), """")=""""), """", IF($D20=""LONG"", (IFERROR(INDEX(GOOGLEFINANCE($C20, ""price"", WORKDAY(INT($B20), 1)), 2, 2), """")-$G20)/$G20, ($G20-IFERROR(INDEX(GOOGLE"&amp;"FINANCE($C20, ""price"", WORKDAY(INT($B20), 1)), 2, 2), """"))/$G20))"),-0.07484043648342599)</f>
        <v>-0.07484043648</v>
      </c>
      <c r="R20" s="16">
        <f>IFERROR(__xludf.DUMMYFUNCTION("IF(OR(ISBLANK($G20), IFERROR(INDEX(GOOGLEFINANCE($C20, ""price"", WORKDAY(INT($B20), 5)), 2, 2), """")=""""), """", IF($D20=""LONG"", (IFERROR(INDEX(GOOGLEFINANCE($C20, ""price"", WORKDAY(INT($B20), 5)), 2, 2), """")-$G20)/$G20, ($G20-IFERROR(INDEX(GOOGLE"&amp;"FINANCE($C20, ""price"", WORKDAY(INT($B20), 5)), 2, 2), """"))/$G20))"),0.01094640038432502)</f>
        <v>0.01094640038</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4761</v>
      </c>
      <c r="U20" s="10" t="s">
        <v>984</v>
      </c>
      <c r="V20" s="10" t="s">
        <v>1059</v>
      </c>
      <c r="W20" s="10" t="s">
        <v>51</v>
      </c>
      <c r="X20" s="10" t="s">
        <v>984</v>
      </c>
    </row>
    <row r="21">
      <c r="A21" s="9">
        <f t="shared" si="1"/>
        <v>20</v>
      </c>
      <c r="B21" s="11">
        <v>46230.66753472222</v>
      </c>
      <c r="C21" s="10" t="s">
        <v>4394</v>
      </c>
      <c r="D21" s="10" t="s">
        <v>36</v>
      </c>
      <c r="E21" s="10" t="s">
        <v>37</v>
      </c>
      <c r="F21" s="13">
        <v>2.0</v>
      </c>
      <c r="G21" s="14">
        <v>304.88</v>
      </c>
      <c r="H21" s="10" t="s">
        <v>4763</v>
      </c>
      <c r="I21" s="10">
        <v>94.3</v>
      </c>
      <c r="O21" s="15">
        <f>IFERROR(__xludf.DUMMYFUNCTION("IF(ISBLANK($C21), """", GOOGLEFINANCE($C21, ""price""))"),302.99)</f>
        <v>302.99</v>
      </c>
      <c r="P21" s="16">
        <f t="shared" si="2"/>
        <v>-0.006199160325</v>
      </c>
      <c r="Q21" s="16">
        <f>IFERROR(__xludf.DUMMYFUNCTION("IF(OR(ISBLANK($G21), IFERROR(INDEX(GOOGLEFINANCE($C21, ""price"", WORKDAY(INT($B21), 1)), 2, 2), """")=""""), """", IF($D21=""LONG"", (IFERROR(INDEX(GOOGLEFINANCE($C21, ""price"", WORKDAY(INT($B21), 1)), 2, 2), """")-$G21)/$G21, ($G21-IFERROR(INDEX(GOOGLE"&amp;"FINANCE($C21, ""price"", WORKDAY(INT($B21), 1)), 2, 2), """"))/$G21))"),-0.019679874048806088)</f>
        <v>-0.01967987405</v>
      </c>
      <c r="R21" s="16">
        <f>IFERROR(__xludf.DUMMYFUNCTION("IF(OR(ISBLANK($G21), IFERROR(INDEX(GOOGLEFINANCE($C21, ""price"", WORKDAY(INT($B21), 5)), 2, 2), """")=""""), """", IF($D21=""LONG"", (IFERROR(INDEX(GOOGLEFINANCE($C21, ""price"", WORKDAY(INT($B21), 5)), 2, 2), """")-$G21)/$G21, ($G21-IFERROR(INDEX(GOOGLE"&amp;"FINANCE($C21, ""price"", WORKDAY(INT($B21), 5)), 2, 2), """"))/$G21))"),0.008724744161637448)</f>
        <v>0.008724744162</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4766</v>
      </c>
      <c r="U21" s="10" t="s">
        <v>984</v>
      </c>
      <c r="V21" s="10" t="s">
        <v>933</v>
      </c>
      <c r="W21" s="10" t="s">
        <v>51</v>
      </c>
      <c r="X21" s="10" t="s">
        <v>984</v>
      </c>
    </row>
    <row r="22">
      <c r="A22" s="9">
        <f t="shared" si="1"/>
        <v>21</v>
      </c>
      <c r="B22" s="11">
        <v>46230.66755787037</v>
      </c>
      <c r="C22" s="10" t="s">
        <v>696</v>
      </c>
      <c r="D22" s="10" t="s">
        <v>36</v>
      </c>
      <c r="E22" s="10" t="s">
        <v>37</v>
      </c>
      <c r="F22" s="13">
        <v>2.0</v>
      </c>
      <c r="G22" s="14">
        <v>171.3</v>
      </c>
      <c r="H22" s="10" t="s">
        <v>4767</v>
      </c>
      <c r="I22" s="10">
        <v>90.1</v>
      </c>
      <c r="O22" s="15">
        <f>IFERROR(__xludf.DUMMYFUNCTION("IF(ISBLANK($C22), """", GOOGLEFINANCE($C22, ""price""))"),178.56)</f>
        <v>178.56</v>
      </c>
      <c r="P22" s="16">
        <f t="shared" si="2"/>
        <v>0.04238178634</v>
      </c>
      <c r="Q22" s="16">
        <f>IFERROR(__xludf.DUMMYFUNCTION("IF(OR(ISBLANK($G22), IFERROR(INDEX(GOOGLEFINANCE($C22, ""price"", WORKDAY(INT($B22), 1)), 2, 2), """")=""""), """", IF($D22=""LONG"", (IFERROR(INDEX(GOOGLEFINANCE($C22, ""price"", WORKDAY(INT($B22), 1)), 2, 2), """")-$G22)/$G22, ($G22-IFERROR(INDEX(GOOGLE"&amp;"FINANCE($C22, ""price"", WORKDAY(INT($B22), 1)), 2, 2), """"))/$G22))"),7.005253940453947E-4)</f>
        <v>0.000700525394</v>
      </c>
      <c r="R22" s="16">
        <f>IFERROR(__xludf.DUMMYFUNCTION("IF(OR(ISBLANK($G22), IFERROR(INDEX(GOOGLEFINANCE($C22, ""price"", WORKDAY(INT($B22), 5)), 2, 2), """")=""""), """", IF($D22=""LONG"", (IFERROR(INDEX(GOOGLEFINANCE($C22, ""price"", WORKDAY(INT($B22), 5)), 2, 2), """")-$G22)/$G22, ($G22-IFERROR(INDEX(GOOGLE"&amp;"FINANCE($C22, ""price"", WORKDAY(INT($B22), 5)), 2, 2), """"))/$G22))"),-0.00414477524810279)</f>
        <v>-0.004144775248</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4770</v>
      </c>
      <c r="U22" s="10" t="s">
        <v>984</v>
      </c>
      <c r="V22" s="10" t="s">
        <v>985</v>
      </c>
      <c r="W22" s="10" t="s">
        <v>51</v>
      </c>
      <c r="X22" s="10" t="s">
        <v>984</v>
      </c>
    </row>
    <row r="23">
      <c r="A23" s="9">
        <f t="shared" si="1"/>
        <v>22</v>
      </c>
      <c r="B23" s="11">
        <v>46230.66758101852</v>
      </c>
      <c r="C23" s="10" t="s">
        <v>312</v>
      </c>
      <c r="D23" s="10" t="s">
        <v>36</v>
      </c>
      <c r="E23" s="10" t="s">
        <v>37</v>
      </c>
      <c r="F23" s="13">
        <v>2.0</v>
      </c>
      <c r="G23" s="14">
        <v>14.84</v>
      </c>
      <c r="H23" s="10" t="s">
        <v>4771</v>
      </c>
      <c r="I23" s="10">
        <v>90.3</v>
      </c>
      <c r="O23" s="15">
        <f>IFERROR(__xludf.DUMMYFUNCTION("IF(ISBLANK($C23), """", GOOGLEFINANCE($C23, ""price""))"),14.7)</f>
        <v>14.7</v>
      </c>
      <c r="P23" s="16">
        <f t="shared" si="2"/>
        <v>-0.009433962264</v>
      </c>
      <c r="Q23" s="16">
        <f>IFERROR(__xludf.DUMMYFUNCTION("IF(OR(ISBLANK($G23), IFERROR(INDEX(GOOGLEFINANCE($C23, ""price"", WORKDAY(INT($B23), 1)), 2, 2), """")=""""), """", IF($D23=""LONG"", (IFERROR(INDEX(GOOGLEFINANCE($C23, ""price"", WORKDAY(INT($B23), 1)), 2, 2), """")-$G23)/$G23, ($G23-IFERROR(INDEX(GOOGLE"&amp;"FINANCE($C23, ""price"", WORKDAY(INT($B23), 1)), 2, 2), """"))/$G23))"),-6.738544474393387E-4)</f>
        <v>-0.0006738544474</v>
      </c>
      <c r="R23" s="16">
        <f>IFERROR(__xludf.DUMMYFUNCTION("IF(OR(ISBLANK($G23), IFERROR(INDEX(GOOGLEFINANCE($C23, ""price"", WORKDAY(INT($B23), 5)), 2, 2), """")=""""), """", IF($D23=""LONG"", (IFERROR(INDEX(GOOGLEFINANCE($C23, ""price"", WORKDAY(INT($B23), 5)), 2, 2), """")-$G23)/$G23, ($G23-IFERROR(INDEX(GOOGLE"&amp;"FINANCE($C23, ""price"", WORKDAY(INT($B23), 5)), 2, 2), """"))/$G23))"),-0.008760107816711523)</f>
        <v>-0.008760107817</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4774</v>
      </c>
      <c r="U23" s="10" t="s">
        <v>984</v>
      </c>
      <c r="V23" s="10" t="s">
        <v>998</v>
      </c>
      <c r="W23" s="10" t="s">
        <v>51</v>
      </c>
      <c r="X23" s="10" t="s">
        <v>984</v>
      </c>
    </row>
    <row r="24">
      <c r="A24" s="9">
        <f t="shared" si="1"/>
        <v>23</v>
      </c>
      <c r="B24" s="11">
        <v>46230.66756944444</v>
      </c>
      <c r="C24" s="10" t="s">
        <v>426</v>
      </c>
      <c r="D24" s="10" t="s">
        <v>36</v>
      </c>
      <c r="E24" s="10" t="s">
        <v>37</v>
      </c>
      <c r="F24" s="13">
        <v>2.0</v>
      </c>
      <c r="G24" s="14">
        <v>559.53</v>
      </c>
      <c r="H24" s="10" t="s">
        <v>3058</v>
      </c>
      <c r="I24" s="10">
        <v>87.1</v>
      </c>
      <c r="O24" s="15">
        <f>IFERROR(__xludf.DUMMYFUNCTION("IF(ISBLANK($C24), """", GOOGLEFINANCE($C24, ""price""))"),580.02)</f>
        <v>580.02</v>
      </c>
      <c r="P24" s="16">
        <f t="shared" si="2"/>
        <v>0.03662002037</v>
      </c>
      <c r="Q24" s="16">
        <f>IFERROR(__xludf.DUMMYFUNCTION("IF(OR(ISBLANK($G24), IFERROR(INDEX(GOOGLEFINANCE($C24, ""price"", WORKDAY(INT($B24), 1)), 2, 2), """")=""""), """", IF($D24=""LONG"", (IFERROR(INDEX(GOOGLEFINANCE($C24, ""price"", WORKDAY(INT($B24), 1)), 2, 2), """")-$G24)/$G24, ($G24-IFERROR(INDEX(GOOGLE"&amp;"FINANCE($C24, ""price"", WORKDAY(INT($B24), 1)), 2, 2), """"))/$G24))"),0.030168176862724064)</f>
        <v>0.03016817686</v>
      </c>
      <c r="R24" s="16">
        <f>IFERROR(__xludf.DUMMYFUNCTION("IF(OR(ISBLANK($G24), IFERROR(INDEX(GOOGLEFINANCE($C24, ""price"", WORKDAY(INT($B24), 5)), 2, 2), """")=""""), """", IF($D24=""LONG"", (IFERROR(INDEX(GOOGLEFINANCE($C24, ""price"", WORKDAY(INT($B24), 5)), 2, 2), """")-$G24)/$G24, ($G24-IFERROR(INDEX(GOOGLE"&amp;"FINANCE($C24, ""price"", WORKDAY(INT($B24), 5)), 2, 2), """"))/$G24))"),0.02591460690222151)</f>
        <v>0.0259146069</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4778</v>
      </c>
      <c r="U24" s="10" t="s">
        <v>984</v>
      </c>
      <c r="V24" s="10" t="s">
        <v>2714</v>
      </c>
      <c r="W24" s="10" t="s">
        <v>51</v>
      </c>
      <c r="X24" s="10" t="s">
        <v>984</v>
      </c>
    </row>
    <row r="25">
      <c r="A25" s="9">
        <f t="shared" si="1"/>
        <v>24</v>
      </c>
      <c r="B25" s="11">
        <v>46230.66755787037</v>
      </c>
      <c r="C25" s="10" t="s">
        <v>234</v>
      </c>
      <c r="D25" s="10" t="s">
        <v>36</v>
      </c>
      <c r="E25" s="10" t="s">
        <v>37</v>
      </c>
      <c r="F25" s="13">
        <v>2.0</v>
      </c>
      <c r="G25" s="14">
        <v>63.5</v>
      </c>
      <c r="H25" s="10" t="s">
        <v>409</v>
      </c>
      <c r="I25" s="10">
        <v>92.3</v>
      </c>
      <c r="L25" s="10" t="s">
        <v>4780</v>
      </c>
      <c r="M25" s="34" t="s">
        <v>2106</v>
      </c>
      <c r="N25" s="10" t="s">
        <v>925</v>
      </c>
      <c r="O25" s="15">
        <f>IFERROR(__xludf.DUMMYFUNCTION("IF(ISBLANK($C25), """", GOOGLEFINANCE($C25, ""price""))"),63.81)</f>
        <v>63.81</v>
      </c>
      <c r="P25" s="16">
        <f t="shared" si="2"/>
        <v>0.004881889764</v>
      </c>
      <c r="Q25" s="16">
        <f>IFERROR(__xludf.DUMMYFUNCTION("IF(OR(ISBLANK($G25), IFERROR(INDEX(GOOGLEFINANCE($C25, ""price"", WORKDAY(INT($B25), 1)), 2, 2), """")=""""), """", IF($D25=""LONG"", (IFERROR(INDEX(GOOGLEFINANCE($C25, ""price"", WORKDAY(INT($B25), 1)), 2, 2), """")-$G25)/$G25, ($G25-IFERROR(INDEX(GOOGLE"&amp;"FINANCE($C25, ""price"", WORKDAY(INT($B25), 1)), 2, 2), """"))/$G25))"),0.01464566929133869)</f>
        <v>0.01464566929</v>
      </c>
      <c r="R25" s="16">
        <f>IFERROR(__xludf.DUMMYFUNCTION("IF(OR(ISBLANK($G25), IFERROR(INDEX(GOOGLEFINANCE($C25, ""price"", WORKDAY(INT($B25), 5)), 2, 2), """")=""""), """", IF($D25=""LONG"", (IFERROR(INDEX(GOOGLEFINANCE($C25, ""price"", WORKDAY(INT($B25), 5)), 2, 2), """")-$G25)/$G25, ($G25-IFERROR(INDEX(GOOGLE"&amp;"FINANCE($C25, ""price"", WORKDAY(INT($B25), 5)), 2, 2), """"))/$G25))"),0.0069291338582676805)</f>
        <v>0.006929133858</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4783</v>
      </c>
      <c r="U25" s="10" t="s">
        <v>240</v>
      </c>
      <c r="V25" s="10" t="s">
        <v>4784</v>
      </c>
      <c r="W25" s="10" t="s">
        <v>51</v>
      </c>
      <c r="X25" s="10" t="s">
        <v>1905</v>
      </c>
    </row>
    <row r="26">
      <c r="A26" s="9">
        <f t="shared" si="1"/>
        <v>25</v>
      </c>
      <c r="B26" s="11">
        <v>46230.667592592596</v>
      </c>
      <c r="C26" s="10" t="s">
        <v>248</v>
      </c>
      <c r="D26" s="10" t="s">
        <v>36</v>
      </c>
      <c r="E26" s="10" t="s">
        <v>37</v>
      </c>
      <c r="F26" s="13">
        <v>2.0</v>
      </c>
      <c r="G26" s="14">
        <v>71.09</v>
      </c>
      <c r="H26" s="10" t="s">
        <v>4785</v>
      </c>
      <c r="I26" s="10">
        <v>89.3</v>
      </c>
      <c r="L26" s="10" t="s">
        <v>4786</v>
      </c>
      <c r="M26" s="34" t="s">
        <v>1789</v>
      </c>
      <c r="N26" s="10" t="s">
        <v>925</v>
      </c>
      <c r="O26" s="15">
        <f>IFERROR(__xludf.DUMMYFUNCTION("IF(ISBLANK($C26), """", GOOGLEFINANCE($C26, ""price""))"),72.43)</f>
        <v>72.43</v>
      </c>
      <c r="P26" s="16">
        <f t="shared" si="2"/>
        <v>0.0188493459</v>
      </c>
      <c r="Q26" s="16">
        <f>IFERROR(__xludf.DUMMYFUNCTION("IF(OR(ISBLANK($G26), IFERROR(INDEX(GOOGLEFINANCE($C26, ""price"", WORKDAY(INT($B26), 1)), 2, 2), """")=""""), """", IF($D26=""LONG"", (IFERROR(INDEX(GOOGLEFINANCE($C26, ""price"", WORKDAY(INT($B26), 1)), 2, 2), """")-$G26)/$G26, ($G26-IFERROR(INDEX(GOOGLE"&amp;"FINANCE($C26, ""price"", WORKDAY(INT($B26), 1)), 2, 2), """"))/$G26))"),0.026023350682233708)</f>
        <v>0.02602335068</v>
      </c>
      <c r="R26" s="16">
        <f>IFERROR(__xludf.DUMMYFUNCTION("IF(OR(ISBLANK($G26), IFERROR(INDEX(GOOGLEFINANCE($C26, ""price"", WORKDAY(INT($B26), 5)), 2, 2), """")=""""), """", IF($D26=""LONG"", (IFERROR(INDEX(GOOGLEFINANCE($C26, ""price"", WORKDAY(INT($B26), 5)), 2, 2), """")-$G26)/$G26, ($G26-IFERROR(INDEX(GOOGLE"&amp;"FINANCE($C26, ""price"", WORKDAY(INT($B26), 5)), 2, 2), """"))/$G26))"),0.02264734843156561)</f>
        <v>0.02264734843</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4789</v>
      </c>
      <c r="U26" s="10" t="s">
        <v>240</v>
      </c>
      <c r="V26" s="10" t="s">
        <v>4790</v>
      </c>
      <c r="W26" s="10" t="s">
        <v>51</v>
      </c>
      <c r="X26" s="10" t="s">
        <v>1905</v>
      </c>
    </row>
    <row r="27">
      <c r="A27" s="9">
        <f t="shared" si="1"/>
        <v>26</v>
      </c>
      <c r="B27" s="11">
        <v>46230.66756944444</v>
      </c>
      <c r="C27" s="10" t="s">
        <v>3566</v>
      </c>
      <c r="D27" s="10" t="s">
        <v>36</v>
      </c>
      <c r="E27" s="10" t="s">
        <v>37</v>
      </c>
      <c r="F27" s="13">
        <v>2.0</v>
      </c>
      <c r="G27" s="14">
        <v>367.12</v>
      </c>
      <c r="H27" s="10" t="s">
        <v>4791</v>
      </c>
      <c r="I27" s="10">
        <v>94.6</v>
      </c>
      <c r="O27" s="15">
        <f>IFERROR(__xludf.DUMMYFUNCTION("IF(ISBLANK($C27), """", GOOGLEFINANCE($C27, ""price""))"),360.75)</f>
        <v>360.75</v>
      </c>
      <c r="P27" s="16">
        <f t="shared" si="2"/>
        <v>-0.01735127479</v>
      </c>
      <c r="Q27" s="16">
        <f>IFERROR(__xludf.DUMMYFUNCTION("IF(OR(ISBLANK($G27), IFERROR(INDEX(GOOGLEFINANCE($C27, ""price"", WORKDAY(INT($B27), 1)), 2, 2), """")=""""), """", IF($D27=""LONG"", (IFERROR(INDEX(GOOGLEFINANCE($C27, ""price"", WORKDAY(INT($B27), 1)), 2, 2), """")-$G27)/$G27, ($G27-IFERROR(INDEX(GOOGLE"&amp;"FINANCE($C27, ""price"", WORKDAY(INT($B27), 1)), 2, 2), """"))/$G27))"),0.038516016561342306)</f>
        <v>0.03851601656</v>
      </c>
      <c r="R27" s="16">
        <f>IFERROR(__xludf.DUMMYFUNCTION("IF(OR(ISBLANK($G27), IFERROR(INDEX(GOOGLEFINANCE($C27, ""price"", WORKDAY(INT($B27), 5)), 2, 2), """")=""""), """", IF($D27=""LONG"", (IFERROR(INDEX(GOOGLEFINANCE($C27, ""price"", WORKDAY(INT($B27), 5)), 2, 2), """")-$G27)/$G27, ($G27-IFERROR(INDEX(GOOGLE"&amp;"FINANCE($C27, ""price"", WORKDAY(INT($B27), 5)), 2, 2), """"))/$G27))"),-0.025849858356940536)</f>
        <v>-0.02584985836</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4794</v>
      </c>
      <c r="U27" s="10" t="s">
        <v>984</v>
      </c>
      <c r="V27" s="10" t="s">
        <v>985</v>
      </c>
      <c r="W27" s="10" t="s">
        <v>51</v>
      </c>
      <c r="X27" s="10" t="s">
        <v>984</v>
      </c>
    </row>
    <row r="28">
      <c r="A28" s="9">
        <f t="shared" si="1"/>
        <v>27</v>
      </c>
      <c r="B28" s="11">
        <v>46230.667592592596</v>
      </c>
      <c r="C28" s="10" t="s">
        <v>2793</v>
      </c>
      <c r="D28" s="10" t="s">
        <v>36</v>
      </c>
      <c r="E28" s="10" t="s">
        <v>37</v>
      </c>
      <c r="F28" s="13">
        <v>2.0</v>
      </c>
      <c r="G28" s="14">
        <v>49.32</v>
      </c>
      <c r="H28" s="10" t="s">
        <v>4796</v>
      </c>
      <c r="I28" s="10">
        <v>90.7</v>
      </c>
      <c r="O28" s="15">
        <f>IFERROR(__xludf.DUMMYFUNCTION("IF(ISBLANK($C28), """", GOOGLEFINANCE($C28, ""price""))"),47.37)</f>
        <v>47.37</v>
      </c>
      <c r="P28" s="16">
        <f t="shared" si="2"/>
        <v>-0.0395377129</v>
      </c>
      <c r="Q28" s="16">
        <f>IFERROR(__xludf.DUMMYFUNCTION("IF(OR(ISBLANK($G28), IFERROR(INDEX(GOOGLEFINANCE($C28, ""price"", WORKDAY(INT($B28), 1)), 2, 2), """")=""""), """", IF($D28=""LONG"", (IFERROR(INDEX(GOOGLEFINANCE($C28, ""price"", WORKDAY(INT($B28), 1)), 2, 2), """")-$G28)/$G28, ($G28-IFERROR(INDEX(GOOGLE"&amp;"FINANCE($C28, ""price"", WORKDAY(INT($B28), 1)), 2, 2), """"))/$G28))"),0.0066909975669099415)</f>
        <v>0.006690997567</v>
      </c>
      <c r="R28" s="16">
        <f>IFERROR(__xludf.DUMMYFUNCTION("IF(OR(ISBLANK($G28), IFERROR(INDEX(GOOGLEFINANCE($C28, ""price"", WORKDAY(INT($B28), 5)), 2, 2), """")=""""), """", IF($D28=""LONG"", (IFERROR(INDEX(GOOGLEFINANCE($C28, ""price"", WORKDAY(INT($B28), 5)), 2, 2), """")-$G28)/$G28, ($G28-IFERROR(INDEX(GOOGLE"&amp;"FINANCE($C28, ""price"", WORKDAY(INT($B28), 5)), 2, 2), """"))/$G28))"),-0.018045417680454187)</f>
        <v>-0.01804541768</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4798</v>
      </c>
      <c r="U28" s="10" t="s">
        <v>984</v>
      </c>
      <c r="V28" s="10" t="s">
        <v>933</v>
      </c>
      <c r="W28" s="10" t="s">
        <v>51</v>
      </c>
      <c r="X28" s="10" t="s">
        <v>984</v>
      </c>
    </row>
    <row r="29">
      <c r="A29" s="9">
        <f t="shared" si="1"/>
        <v>28</v>
      </c>
      <c r="B29" s="11">
        <v>46230.66756944444</v>
      </c>
      <c r="C29" s="10" t="s">
        <v>406</v>
      </c>
      <c r="D29" s="10" t="s">
        <v>36</v>
      </c>
      <c r="E29" s="10" t="s">
        <v>37</v>
      </c>
      <c r="F29" s="13">
        <v>2.0</v>
      </c>
      <c r="G29" s="14">
        <v>184.16</v>
      </c>
      <c r="H29" s="10" t="s">
        <v>4799</v>
      </c>
      <c r="I29" s="10">
        <v>85.6</v>
      </c>
      <c r="O29" s="15">
        <f>IFERROR(__xludf.DUMMYFUNCTION("IF(ISBLANK($C29), """", GOOGLEFINANCE($C29, ""price""))"),179.04)</f>
        <v>179.04</v>
      </c>
      <c r="P29" s="16">
        <f t="shared" si="2"/>
        <v>-0.02780191138</v>
      </c>
      <c r="Q29" s="16">
        <f>IFERROR(__xludf.DUMMYFUNCTION("IF(OR(ISBLANK($G29), IFERROR(INDEX(GOOGLEFINANCE($C29, ""price"", WORKDAY(INT($B29), 1)), 2, 2), """")=""""), """", IF($D29=""LONG"", (IFERROR(INDEX(GOOGLEFINANCE($C29, ""price"", WORKDAY(INT($B29), 1)), 2, 2), """")-$G29)/$G29, ($G29-IFERROR(INDEX(GOOGLE"&amp;"FINANCE($C29, ""price"", WORKDAY(INT($B29), 1)), 2, 2), """"))/$G29))"),-0.00830799304952216)</f>
        <v>-0.00830799305</v>
      </c>
      <c r="R29" s="16">
        <f>IFERROR(__xludf.DUMMYFUNCTION("IF(OR(ISBLANK($G29), IFERROR(INDEX(GOOGLEFINANCE($C29, ""price"", WORKDAY(INT($B29), 5)), 2, 2), """")=""""), """", IF($D29=""LONG"", (IFERROR(INDEX(GOOGLEFINANCE($C29, ""price"", WORKDAY(INT($B29), 5)), 2, 2), """")-$G29)/$G29, ($G29-IFERROR(INDEX(GOOGLE"&amp;"FINANCE($C29, ""price"", WORKDAY(INT($B29), 5)), 2, 2), """"))/$G29))"),-0.03328627280625541)</f>
        <v>-0.03328627281</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4802</v>
      </c>
      <c r="U29" s="10" t="s">
        <v>984</v>
      </c>
      <c r="V29" s="10" t="s">
        <v>933</v>
      </c>
      <c r="W29" s="10" t="s">
        <v>51</v>
      </c>
      <c r="X29" s="10" t="s">
        <v>984</v>
      </c>
    </row>
    <row r="30">
      <c r="A30" s="9">
        <f t="shared" si="1"/>
        <v>29</v>
      </c>
      <c r="B30" s="11">
        <v>46230.66761574074</v>
      </c>
      <c r="C30" s="10" t="s">
        <v>2025</v>
      </c>
      <c r="D30" s="10" t="s">
        <v>36</v>
      </c>
      <c r="E30" s="10" t="s">
        <v>37</v>
      </c>
      <c r="F30" s="13">
        <v>2.0</v>
      </c>
      <c r="G30" s="14">
        <v>69.67</v>
      </c>
      <c r="H30" s="10" t="s">
        <v>4803</v>
      </c>
      <c r="I30" s="10">
        <v>99.1</v>
      </c>
      <c r="O30" s="15">
        <f>IFERROR(__xludf.DUMMYFUNCTION("IF(ISBLANK($C30), """", GOOGLEFINANCE($C30, ""price""))"),71.18)</f>
        <v>71.18</v>
      </c>
      <c r="P30" s="16">
        <f t="shared" si="2"/>
        <v>0.02167360413</v>
      </c>
      <c r="Q30" s="16">
        <f>IFERROR(__xludf.DUMMYFUNCTION("IF(OR(ISBLANK($G30), IFERROR(INDEX(GOOGLEFINANCE($C30, ""price"", WORKDAY(INT($B30), 1)), 2, 2), """")=""""), """", IF($D30=""LONG"", (IFERROR(INDEX(GOOGLEFINANCE($C30, ""price"", WORKDAY(INT($B30), 1)), 2, 2), """")-$G30)/$G30, ($G30-IFERROR(INDEX(GOOGLE"&amp;"FINANCE($C30, ""price"", WORKDAY(INT($B30), 1)), 2, 2), """"))/$G30))"),0.057126453279747434)</f>
        <v>0.05712645328</v>
      </c>
      <c r="R30" s="16">
        <f>IFERROR(__xludf.DUMMYFUNCTION("IF(OR(ISBLANK($G30), IFERROR(INDEX(GOOGLEFINANCE($C30, ""price"", WORKDAY(INT($B30), 5)), 2, 2), """")=""""), """", IF($D30=""LONG"", (IFERROR(INDEX(GOOGLEFINANCE($C30, ""price"", WORKDAY(INT($B30), 5)), 2, 2), """")-$G30)/$G30, ($G30-IFERROR(INDEX(GOOGLE"&amp;"FINANCE($C30, ""price"", WORKDAY(INT($B30), 5)), 2, 2), """"))/$G30))"),0.03028563226639873)</f>
        <v>0.03028563227</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4805</v>
      </c>
      <c r="U30" s="10" t="s">
        <v>984</v>
      </c>
      <c r="V30" s="10" t="s">
        <v>985</v>
      </c>
      <c r="W30" s="10" t="s">
        <v>51</v>
      </c>
      <c r="X30" s="10" t="s">
        <v>984</v>
      </c>
    </row>
    <row r="31">
      <c r="A31" s="9">
        <f t="shared" si="1"/>
        <v>30</v>
      </c>
      <c r="B31" s="11">
        <v>46230.66761574074</v>
      </c>
      <c r="C31" s="10" t="s">
        <v>392</v>
      </c>
      <c r="D31" s="10" t="s">
        <v>36</v>
      </c>
      <c r="E31" s="10" t="s">
        <v>37</v>
      </c>
      <c r="F31" s="13">
        <v>2.0</v>
      </c>
      <c r="G31" s="14">
        <v>236.18</v>
      </c>
      <c r="H31" s="10" t="s">
        <v>4806</v>
      </c>
      <c r="I31" s="10">
        <v>94.3</v>
      </c>
      <c r="O31" s="15">
        <f>IFERROR(__xludf.DUMMYFUNCTION("IF(ISBLANK($C31), """", GOOGLEFINANCE($C31, ""price""))"),180.67)</f>
        <v>180.67</v>
      </c>
      <c r="P31" s="16">
        <f t="shared" si="2"/>
        <v>-0.2350326023</v>
      </c>
      <c r="Q31" s="16">
        <f>IFERROR(__xludf.DUMMYFUNCTION("IF(OR(ISBLANK($G31), IFERROR(INDEX(GOOGLEFINANCE($C31, ""price"", WORKDAY(INT($B31), 1)), 2, 2), """")=""""), """", IF($D31=""LONG"", (IFERROR(INDEX(GOOGLEFINANCE($C31, ""price"", WORKDAY(INT($B31), 1)), 2, 2), """")-$G31)/$G31, ($G31-IFERROR(INDEX(GOOGLE"&amp;"FINANCE($C31, ""price"", WORKDAY(INT($B31), 1)), 2, 2), """"))/$G31))"),0.013887712761453133)</f>
        <v>0.01388771276</v>
      </c>
      <c r="R31" s="16">
        <f>IFERROR(__xludf.DUMMYFUNCTION("IF(OR(ISBLANK($G31), IFERROR(INDEX(GOOGLEFINANCE($C31, ""price"", WORKDAY(INT($B31), 5)), 2, 2), """")=""""), """", IF($D31=""LONG"", (IFERROR(INDEX(GOOGLEFINANCE($C31, ""price"", WORKDAY(INT($B31), 5)), 2, 2), """")-$G31)/$G31, ($G31-IFERROR(INDEX(GOOGLE"&amp;"FINANCE($C31, ""price"", WORKDAY(INT($B31), 5)), 2, 2), """"))/$G31))"),-0.010585146921839275)</f>
        <v>-0.01058514692</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4809</v>
      </c>
      <c r="U31" s="10" t="s">
        <v>615</v>
      </c>
      <c r="V31" s="10" t="s">
        <v>4810</v>
      </c>
      <c r="W31" s="10" t="s">
        <v>51</v>
      </c>
      <c r="X31" s="10" t="s">
        <v>2637</v>
      </c>
    </row>
    <row r="32">
      <c r="A32" s="9">
        <f t="shared" si="1"/>
        <v>31</v>
      </c>
      <c r="B32" s="11">
        <v>46230.66761574074</v>
      </c>
      <c r="C32" s="10" t="s">
        <v>397</v>
      </c>
      <c r="D32" s="10" t="s">
        <v>36</v>
      </c>
      <c r="E32" s="10" t="s">
        <v>37</v>
      </c>
      <c r="F32" s="13">
        <v>2.0</v>
      </c>
      <c r="G32" s="14">
        <v>278.42</v>
      </c>
      <c r="H32" s="10" t="s">
        <v>4811</v>
      </c>
      <c r="I32" s="10">
        <v>77.9</v>
      </c>
      <c r="O32" s="15">
        <f>IFERROR(__xludf.DUMMYFUNCTION("IF(ISBLANK($C32), """", GOOGLEFINANCE($C32, ""price""))"),306.57)</f>
        <v>306.57</v>
      </c>
      <c r="P32" s="16">
        <f t="shared" si="2"/>
        <v>0.1011062424</v>
      </c>
      <c r="Q32" s="16">
        <f>IFERROR(__xludf.DUMMYFUNCTION("IF(OR(ISBLANK($G32), IFERROR(INDEX(GOOGLEFINANCE($C32, ""price"", WORKDAY(INT($B32), 1)), 2, 2), """")=""""), """", IF($D32=""LONG"", (IFERROR(INDEX(GOOGLEFINANCE($C32, ""price"", WORKDAY(INT($B32), 1)), 2, 2), """")-$G32)/$G32, ($G32-IFERROR(INDEX(GOOGLE"&amp;"FINANCE($C32, ""price"", WORKDAY(INT($B32), 1)), 2, 2), """"))/$G32))"),0.06238775950003593)</f>
        <v>0.0623877595</v>
      </c>
      <c r="R32" s="16">
        <f>IFERROR(__xludf.DUMMYFUNCTION("IF(OR(ISBLANK($G32), IFERROR(INDEX(GOOGLEFINANCE($C32, ""price"", WORKDAY(INT($B32), 5)), 2, 2), """")=""""), """", IF($D32=""LONG"", (IFERROR(INDEX(GOOGLEFINANCE($C32, ""price"", WORKDAY(INT($B32), 5)), 2, 2), """")-$G32)/$G32, ($G32-IFERROR(INDEX(GOOGLE"&amp;"FINANCE($C32, ""price"", WORKDAY(INT($B32), 5)), 2, 2), """"))/$G32))"),0.07043315853746122)</f>
        <v>0.07043315854</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4814</v>
      </c>
      <c r="U32" s="10" t="s">
        <v>984</v>
      </c>
      <c r="V32" s="10" t="s">
        <v>2714</v>
      </c>
      <c r="W32" s="10" t="s">
        <v>51</v>
      </c>
      <c r="X32" s="10" t="s">
        <v>984</v>
      </c>
    </row>
    <row r="33">
      <c r="A33" s="9">
        <f t="shared" si="1"/>
        <v>32</v>
      </c>
      <c r="B33" s="11">
        <v>46230.66762731481</v>
      </c>
      <c r="C33" s="10" t="s">
        <v>2066</v>
      </c>
      <c r="D33" s="10" t="s">
        <v>36</v>
      </c>
      <c r="E33" s="10" t="s">
        <v>37</v>
      </c>
      <c r="F33" s="13">
        <v>2.0</v>
      </c>
      <c r="G33" s="14">
        <v>94.26</v>
      </c>
      <c r="H33" s="10" t="s">
        <v>4815</v>
      </c>
      <c r="I33" s="10">
        <v>98.3</v>
      </c>
      <c r="O33" s="15">
        <f>IFERROR(__xludf.DUMMYFUNCTION("IF(ISBLANK($C33), """", GOOGLEFINANCE($C33, ""price""))"),98.02)</f>
        <v>98.02</v>
      </c>
      <c r="P33" s="16">
        <f t="shared" si="2"/>
        <v>0.03988966688</v>
      </c>
      <c r="Q33" s="16">
        <f>IFERROR(__xludf.DUMMYFUNCTION("IF(OR(ISBLANK($G33), IFERROR(INDEX(GOOGLEFINANCE($C33, ""price"", WORKDAY(INT($B33), 1)), 2, 2), """")=""""), """", IF($D33=""LONG"", (IFERROR(INDEX(GOOGLEFINANCE($C33, ""price"", WORKDAY(INT($B33), 1)), 2, 2), """")-$G33)/$G33, ($G33-IFERROR(INDEX(GOOGLE"&amp;"FINANCE($C33, ""price"", WORKDAY(INT($B33), 1)), 2, 2), """"))/$G33))"),0.0446636961595586)</f>
        <v>0.04466369616</v>
      </c>
      <c r="R33" s="16">
        <f>IFERROR(__xludf.DUMMYFUNCTION("IF(OR(ISBLANK($G33), IFERROR(INDEX(GOOGLEFINANCE($C33, ""price"", WORKDAY(INT($B33), 5)), 2, 2), """")=""""), """", IF($D33=""LONG"", (IFERROR(INDEX(GOOGLEFINANCE($C33, ""price"", WORKDAY(INT($B33), 5)), 2, 2), """")-$G33)/$G33, ($G33-IFERROR(INDEX(GOOGLE"&amp;"FINANCE($C33, ""price"", WORKDAY(INT($B33), 5)), 2, 2), """"))/$G33))"),0.005941014215998176)</f>
        <v>0.005941014216</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4817</v>
      </c>
      <c r="U33" s="10" t="s">
        <v>984</v>
      </c>
      <c r="V33" s="10" t="s">
        <v>985</v>
      </c>
      <c r="W33" s="10" t="s">
        <v>51</v>
      </c>
      <c r="X33" s="10" t="s">
        <v>984</v>
      </c>
    </row>
    <row r="34">
      <c r="A34" s="9">
        <f t="shared" si="1"/>
        <v>33</v>
      </c>
      <c r="B34" s="11">
        <v>46230.66762731481</v>
      </c>
      <c r="C34" s="10" t="s">
        <v>149</v>
      </c>
      <c r="D34" s="10" t="s">
        <v>36</v>
      </c>
      <c r="E34" s="10" t="s">
        <v>37</v>
      </c>
      <c r="F34" s="13">
        <v>2.0</v>
      </c>
      <c r="G34" s="14">
        <v>127.69</v>
      </c>
      <c r="H34" s="10" t="s">
        <v>4818</v>
      </c>
      <c r="I34" s="10">
        <v>90.0</v>
      </c>
      <c r="O34" s="15">
        <f>IFERROR(__xludf.DUMMYFUNCTION("IF(ISBLANK($C34), """", GOOGLEFINANCE($C34, ""price""))"),132.79)</f>
        <v>132.79</v>
      </c>
      <c r="P34" s="16">
        <f t="shared" si="2"/>
        <v>0.03994048085</v>
      </c>
      <c r="Q34" s="16">
        <f>IFERROR(__xludf.DUMMYFUNCTION("IF(OR(ISBLANK($G34), IFERROR(INDEX(GOOGLEFINANCE($C34, ""price"", WORKDAY(INT($B34), 1)), 2, 2), """")=""""), """", IF($D34=""LONG"", (IFERROR(INDEX(GOOGLEFINANCE($C34, ""price"", WORKDAY(INT($B34), 1)), 2, 2), """")-$G34)/$G34, ($G34-IFERROR(INDEX(GOOGLE"&amp;"FINANCE($C34, ""price"", WORKDAY(INT($B34), 1)), 2, 2), """"))/$G34))"),0.015819563004150758)</f>
        <v>0.015819563</v>
      </c>
      <c r="R34" s="16">
        <f>IFERROR(__xludf.DUMMYFUNCTION("IF(OR(ISBLANK($G34), IFERROR(INDEX(GOOGLEFINANCE($C34, ""price"", WORKDAY(INT($B34), 5)), 2, 2), """")=""""), """", IF($D34=""LONG"", (IFERROR(INDEX(GOOGLEFINANCE($C34, ""price"", WORKDAY(INT($B34), 5)), 2, 2), """")-$G34)/$G34, ($G34-IFERROR(INDEX(GOOGLE"&amp;"FINANCE($C34, ""price"", WORKDAY(INT($B34), 5)), 2, 2), """"))/$G34))"),0.006500117472002604)</f>
        <v>0.006500117472</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4819</v>
      </c>
      <c r="U34" s="10" t="s">
        <v>984</v>
      </c>
      <c r="V34" s="10" t="s">
        <v>985</v>
      </c>
      <c r="W34" s="10" t="s">
        <v>51</v>
      </c>
      <c r="X34" s="10" t="s">
        <v>984</v>
      </c>
    </row>
    <row r="35">
      <c r="A35" s="9">
        <f t="shared" si="1"/>
        <v>34</v>
      </c>
      <c r="B35" s="11">
        <v>46230.66795138889</v>
      </c>
      <c r="C35" s="10" t="s">
        <v>4820</v>
      </c>
      <c r="D35" s="10" t="s">
        <v>36</v>
      </c>
      <c r="E35" s="10" t="s">
        <v>87</v>
      </c>
      <c r="F35" s="13">
        <v>2.0</v>
      </c>
      <c r="G35" s="14">
        <v>96.11</v>
      </c>
      <c r="H35" s="10" t="s">
        <v>4821</v>
      </c>
      <c r="I35" s="10">
        <v>83.4</v>
      </c>
      <c r="O35" s="15">
        <f>IFERROR(__xludf.DUMMYFUNCTION("IF(ISBLANK($C35), """", GOOGLEFINANCE($C35, ""price""))"),87.89)</f>
        <v>87.89</v>
      </c>
      <c r="P35" s="16">
        <f t="shared" si="2"/>
        <v>-0.08552700031</v>
      </c>
      <c r="Q35" s="16">
        <f>IFERROR(__xludf.DUMMYFUNCTION("IF(OR(ISBLANK($G35), IFERROR(INDEX(GOOGLEFINANCE($C35, ""price"", WORKDAY(INT($B35), 1)), 2, 2), """")=""""), """", IF($D35=""LONG"", (IFERROR(INDEX(GOOGLEFINANCE($C35, ""price"", WORKDAY(INT($B35), 1)), 2, 2), """")-$G35)/$G35, ($G35-IFERROR(INDEX(GOOGLE"&amp;"FINANCE($C35, ""price"", WORKDAY(INT($B35), 1)), 2, 2), """"))/$G35))"),-0.063989179065654)</f>
        <v>-0.06398917907</v>
      </c>
      <c r="R35" s="16">
        <f>IFERROR(__xludf.DUMMYFUNCTION("IF(OR(ISBLANK($G35), IFERROR(INDEX(GOOGLEFINANCE($C35, ""price"", WORKDAY(INT($B35), 5)), 2, 2), """")=""""), """", IF($D35=""LONG"", (IFERROR(INDEX(GOOGLEFINANCE($C35, ""price"", WORKDAY(INT($B35), 5)), 2, 2), """")-$G35)/$G35, ($G35-IFERROR(INDEX(GOOGLE"&amp;"FINANCE($C35, ""price"", WORKDAY(INT($B35), 5)), 2, 2), """"))/$G35))"),-0.10113411715742378)</f>
        <v>-0.1011341172</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4822</v>
      </c>
      <c r="U35" s="10" t="s">
        <v>984</v>
      </c>
      <c r="V35" s="10" t="s">
        <v>2714</v>
      </c>
      <c r="W35" s="10" t="s">
        <v>51</v>
      </c>
      <c r="X35" s="10" t="s">
        <v>984</v>
      </c>
    </row>
    <row r="36">
      <c r="A36" s="9">
        <f t="shared" si="1"/>
        <v>35</v>
      </c>
      <c r="B36" s="11">
        <v>46230.667650462965</v>
      </c>
      <c r="C36" s="10" t="s">
        <v>499</v>
      </c>
      <c r="D36" s="10" t="s">
        <v>36</v>
      </c>
      <c r="E36" s="10" t="s">
        <v>37</v>
      </c>
      <c r="F36" s="13">
        <v>2.0</v>
      </c>
      <c r="G36" s="14">
        <v>118.55</v>
      </c>
      <c r="H36" s="10" t="s">
        <v>4823</v>
      </c>
      <c r="I36" s="10">
        <v>88.0</v>
      </c>
      <c r="O36" s="15">
        <f>IFERROR(__xludf.DUMMYFUNCTION("IF(ISBLANK($C36), """", GOOGLEFINANCE($C36, ""price""))"),115.98)</f>
        <v>115.98</v>
      </c>
      <c r="P36" s="16">
        <f t="shared" si="2"/>
        <v>-0.02167861662</v>
      </c>
      <c r="Q36" s="16">
        <f>IFERROR(__xludf.DUMMYFUNCTION("IF(OR(ISBLANK($G36), IFERROR(INDEX(GOOGLEFINANCE($C36, ""price"", WORKDAY(INT($B36), 1)), 2, 2), """")=""""), """", IF($D36=""LONG"", (IFERROR(INDEX(GOOGLEFINANCE($C36, ""price"", WORKDAY(INT($B36), 1)), 2, 2), """")-$G36)/$G36, ($G36-IFERROR(INDEX(GOOGLE"&amp;"FINANCE($C36, ""price"", WORKDAY(INT($B36), 1)), 2, 2), """"))/$G36))"),0.007169970476592227)</f>
        <v>0.007169970477</v>
      </c>
      <c r="R36" s="16">
        <f>IFERROR(__xludf.DUMMYFUNCTION("IF(OR(ISBLANK($G36), IFERROR(INDEX(GOOGLEFINANCE($C36, ""price"", WORKDAY(INT($B36), 5)), 2, 2), """")=""""), """", IF($D36=""LONG"", (IFERROR(INDEX(GOOGLEFINANCE($C36, ""price"", WORKDAY(INT($B36), 5)), 2, 2), """")-$G36)/$G36, ($G36-IFERROR(INDEX(GOOGLE"&amp;"FINANCE($C36, ""price"", WORKDAY(INT($B36), 5)), 2, 2), """"))/$G36))"),-0.019401096583719926)</f>
        <v>-0.01940109658</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4824</v>
      </c>
      <c r="U36" s="10" t="s">
        <v>984</v>
      </c>
      <c r="V36" s="10" t="s">
        <v>2714</v>
      </c>
      <c r="W36" s="10" t="s">
        <v>51</v>
      </c>
      <c r="X36" s="10" t="s">
        <v>984</v>
      </c>
    </row>
    <row r="37">
      <c r="A37" s="9">
        <f t="shared" si="1"/>
        <v>36</v>
      </c>
      <c r="B37" s="11">
        <v>46230.667662037034</v>
      </c>
      <c r="C37" s="10" t="s">
        <v>3081</v>
      </c>
      <c r="D37" s="10" t="s">
        <v>36</v>
      </c>
      <c r="E37" s="10" t="s">
        <v>37</v>
      </c>
      <c r="F37" s="13">
        <v>2.0</v>
      </c>
      <c r="G37" s="14">
        <v>17.59</v>
      </c>
      <c r="H37" s="10" t="s">
        <v>4825</v>
      </c>
      <c r="I37" s="10">
        <v>92.0</v>
      </c>
      <c r="L37" s="10" t="s">
        <v>4826</v>
      </c>
      <c r="M37" s="34" t="s">
        <v>1789</v>
      </c>
      <c r="N37" s="10" t="s">
        <v>925</v>
      </c>
      <c r="O37" s="15">
        <f>IFERROR(__xludf.DUMMYFUNCTION("IF(ISBLANK($C37), """", GOOGLEFINANCE($C37, ""price""))"),17.0)</f>
        <v>17</v>
      </c>
      <c r="P37" s="16">
        <f t="shared" si="2"/>
        <v>-0.03354178511</v>
      </c>
      <c r="Q37" s="16">
        <f>IFERROR(__xludf.DUMMYFUNCTION("IF(OR(ISBLANK($G37), IFERROR(INDEX(GOOGLEFINANCE($C37, ""price"", WORKDAY(INT($B37), 1)), 2, 2), """")=""""), """", IF($D37=""LONG"", (IFERROR(INDEX(GOOGLEFINANCE($C37, ""price"", WORKDAY(INT($B37), 1)), 2, 2), """")-$G37)/$G37, ($G37-IFERROR(INDEX(GOOGLE"&amp;"FINANCE($C37, ""price"", WORKDAY(INT($B37), 1)), 2, 2), """"))/$G37))"),0.010801591813530487)</f>
        <v>0.01080159181</v>
      </c>
      <c r="R37" s="16">
        <f>IFERROR(__xludf.DUMMYFUNCTION("IF(OR(ISBLANK($G37), IFERROR(INDEX(GOOGLEFINANCE($C37, ""price"", WORKDAY(INT($B37), 5)), 2, 2), """")=""""), """", IF($D37=""LONG"", (IFERROR(INDEX(GOOGLEFINANCE($C37, ""price"", WORKDAY(INT($B37), 5)), 2, 2), """")-$G37)/$G37, ($G37-IFERROR(INDEX(GOOGLE"&amp;"FINANCE($C37, ""price"", WORKDAY(INT($B37), 5)), 2, 2), """"))/$G37))"),-0.0090960773166572)</f>
        <v>-0.009096077317</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4827</v>
      </c>
      <c r="U37" s="10" t="s">
        <v>240</v>
      </c>
      <c r="V37" s="10" t="s">
        <v>4828</v>
      </c>
      <c r="W37" s="10" t="s">
        <v>51</v>
      </c>
      <c r="X37" s="10" t="s">
        <v>1905</v>
      </c>
    </row>
    <row r="38">
      <c r="A38" s="9">
        <f t="shared" si="1"/>
        <v>37</v>
      </c>
      <c r="B38" s="11">
        <v>46230.66755787037</v>
      </c>
      <c r="C38" s="10" t="s">
        <v>114</v>
      </c>
      <c r="D38" s="10" t="s">
        <v>36</v>
      </c>
      <c r="E38" s="10" t="s">
        <v>37</v>
      </c>
      <c r="F38" s="13">
        <v>2.0</v>
      </c>
      <c r="G38" s="14">
        <v>229.31</v>
      </c>
      <c r="H38" s="10" t="s">
        <v>4829</v>
      </c>
      <c r="I38" s="10">
        <v>88.6</v>
      </c>
      <c r="O38" s="15">
        <f>IFERROR(__xludf.DUMMYFUNCTION("IF(ISBLANK($C38), """", GOOGLEFINANCE($C38, ""price""))"),237.66)</f>
        <v>237.66</v>
      </c>
      <c r="P38" s="16">
        <f t="shared" si="2"/>
        <v>0.03641358859</v>
      </c>
      <c r="Q38" s="16">
        <f>IFERROR(__xludf.DUMMYFUNCTION("IF(OR(ISBLANK($G38), IFERROR(INDEX(GOOGLEFINANCE($C38, ""price"", WORKDAY(INT($B38), 1)), 2, 2), """")=""""), """", IF($D38=""LONG"", (IFERROR(INDEX(GOOGLEFINANCE($C38, ""price"", WORKDAY(INT($B38), 1)), 2, 2), """")-$G38)/$G38, ($G38-IFERROR(INDEX(GOOGLE"&amp;"FINANCE($C38, ""price"", WORKDAY(INT($B38), 1)), 2, 2), """"))/$G38))"),0.013954908202869428)</f>
        <v>0.0139549082</v>
      </c>
      <c r="R38" s="16">
        <f>IFERROR(__xludf.DUMMYFUNCTION("IF(OR(ISBLANK($G38), IFERROR(INDEX(GOOGLEFINANCE($C38, ""price"", WORKDAY(INT($B38), 5)), 2, 2), """")=""""), """", IF($D38=""LONG"", (IFERROR(INDEX(GOOGLEFINANCE($C38, ""price"", WORKDAY(INT($B38), 5)), 2, 2), """")-$G38)/$G38, ($G38-IFERROR(INDEX(GOOGLE"&amp;"FINANCE($C38, ""price"", WORKDAY(INT($B38), 5)), 2, 2), """"))/$G38))"),0.027430116436265282)</f>
        <v>0.02743011644</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4830</v>
      </c>
      <c r="U38" s="10" t="s">
        <v>984</v>
      </c>
      <c r="V38" s="10" t="s">
        <v>933</v>
      </c>
      <c r="W38" s="10" t="s">
        <v>51</v>
      </c>
      <c r="X38" s="10" t="s">
        <v>984</v>
      </c>
    </row>
    <row r="39">
      <c r="A39" s="9">
        <f t="shared" si="1"/>
        <v>38</v>
      </c>
      <c r="B39" s="11">
        <v>46230.66767361111</v>
      </c>
      <c r="C39" s="10" t="s">
        <v>2048</v>
      </c>
      <c r="D39" s="10" t="s">
        <v>36</v>
      </c>
      <c r="E39" s="10" t="s">
        <v>37</v>
      </c>
      <c r="F39" s="13">
        <v>2.0</v>
      </c>
      <c r="G39" s="14">
        <v>299.43</v>
      </c>
      <c r="H39" s="10" t="s">
        <v>4831</v>
      </c>
      <c r="I39" s="10">
        <v>91.5</v>
      </c>
      <c r="O39" s="15">
        <f>IFERROR(__xludf.DUMMYFUNCTION("IF(ISBLANK($C39), """", GOOGLEFINANCE($C39, ""price""))"),295.38)</f>
        <v>295.38</v>
      </c>
      <c r="P39" s="16">
        <f t="shared" si="2"/>
        <v>-0.01352569883</v>
      </c>
      <c r="Q39" s="16">
        <f>IFERROR(__xludf.DUMMYFUNCTION("IF(OR(ISBLANK($G39), IFERROR(INDEX(GOOGLEFINANCE($C39, ""price"", WORKDAY(INT($B39), 1)), 2, 2), """")=""""), """", IF($D39=""LONG"", (IFERROR(INDEX(GOOGLEFINANCE($C39, ""price"", WORKDAY(INT($B39), 1)), 2, 2), """")-$G39)/$G39, ($G39-IFERROR(INDEX(GOOGLE"&amp;"FINANCE($C39, ""price"", WORKDAY(INT($B39), 1)), 2, 2), """"))/$G39))"),-0.016631600040076206)</f>
        <v>-0.01663160004</v>
      </c>
      <c r="R39" s="16">
        <f>IFERROR(__xludf.DUMMYFUNCTION("IF(OR(ISBLANK($G39), IFERROR(INDEX(GOOGLEFINANCE($C39, ""price"", WORKDAY(INT($B39), 5)), 2, 2), """")=""""), """", IF($D39=""LONG"", (IFERROR(INDEX(GOOGLEFINANCE($C39, ""price"", WORKDAY(INT($B39), 5)), 2, 2), """")-$G39)/$G39, ($G39-IFERROR(INDEX(GOOGLE"&amp;"FINANCE($C39, ""price"", WORKDAY(INT($B39), 5)), 2, 2), """"))/$G39))"),-0.027385365527836183)</f>
        <v>-0.02738536553</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4832</v>
      </c>
      <c r="U39" s="10" t="s">
        <v>402</v>
      </c>
      <c r="V39" s="10" t="s">
        <v>4833</v>
      </c>
      <c r="W39" s="10" t="s">
        <v>51</v>
      </c>
      <c r="X39" s="10" t="s">
        <v>4834</v>
      </c>
    </row>
    <row r="40">
      <c r="A40" s="9">
        <f t="shared" si="1"/>
        <v>39</v>
      </c>
      <c r="B40" s="11">
        <v>46230.667604166665</v>
      </c>
      <c r="C40" s="10" t="s">
        <v>379</v>
      </c>
      <c r="D40" s="10" t="s">
        <v>36</v>
      </c>
      <c r="E40" s="10" t="s">
        <v>37</v>
      </c>
      <c r="F40" s="13">
        <v>2.0</v>
      </c>
      <c r="G40" s="14">
        <v>51.79</v>
      </c>
      <c r="H40" s="10" t="s">
        <v>4835</v>
      </c>
      <c r="I40" s="10">
        <v>87.4</v>
      </c>
      <c r="O40" s="15">
        <f>IFERROR(__xludf.DUMMYFUNCTION("IF(ISBLANK($C40), """", GOOGLEFINANCE($C40, ""price""))"),50.7)</f>
        <v>50.7</v>
      </c>
      <c r="P40" s="16">
        <f t="shared" si="2"/>
        <v>-0.02104653408</v>
      </c>
      <c r="Q40" s="16">
        <f>IFERROR(__xludf.DUMMYFUNCTION("IF(OR(ISBLANK($G40), IFERROR(INDEX(GOOGLEFINANCE($C40, ""price"", WORKDAY(INT($B40), 1)), 2, 2), """")=""""), """", IF($D40=""LONG"", (IFERROR(INDEX(GOOGLEFINANCE($C40, ""price"", WORKDAY(INT($B40), 1)), 2, 2), """")-$G40)/$G40, ($G40-IFERROR(INDEX(GOOGLE"&amp;"FINANCE($C40, ""price"", WORKDAY(INT($B40), 1)), 2, 2), """"))/$G40))"),-0.01834330951921212)</f>
        <v>-0.01834330952</v>
      </c>
      <c r="R40" s="16">
        <f>IFERROR(__xludf.DUMMYFUNCTION("IF(OR(ISBLANK($G40), IFERROR(INDEX(GOOGLEFINANCE($C40, ""price"", WORKDAY(INT($B40), 5)), 2, 2), """")=""""), """", IF($D40=""LONG"", (IFERROR(INDEX(GOOGLEFINANCE($C40, ""price"", WORKDAY(INT($B40), 5)), 2, 2), """")-$G40)/$G40, ($G40-IFERROR(INDEX(GOOGLE"&amp;"FINANCE($C40, ""price"", WORKDAY(INT($B40), 5)), 2, 2), """"))/$G40))"),-0.03784514385016414)</f>
        <v>-0.03784514385</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4836</v>
      </c>
      <c r="U40" s="10" t="s">
        <v>984</v>
      </c>
      <c r="V40" s="10" t="s">
        <v>2714</v>
      </c>
      <c r="W40" s="10" t="s">
        <v>51</v>
      </c>
      <c r="X40" s="10" t="s">
        <v>984</v>
      </c>
    </row>
    <row r="41">
      <c r="A41" s="9">
        <f t="shared" si="1"/>
        <v>40</v>
      </c>
      <c r="B41" s="11">
        <v>46230.66768518519</v>
      </c>
      <c r="C41" s="10" t="s">
        <v>331</v>
      </c>
      <c r="D41" s="10" t="s">
        <v>36</v>
      </c>
      <c r="E41" s="10" t="s">
        <v>37</v>
      </c>
      <c r="F41" s="13">
        <v>2.0</v>
      </c>
      <c r="G41" s="14">
        <v>249.61</v>
      </c>
      <c r="H41" s="10" t="s">
        <v>4837</v>
      </c>
      <c r="I41" s="10">
        <v>93.6</v>
      </c>
      <c r="L41" s="10" t="s">
        <v>4838</v>
      </c>
      <c r="M41" s="34" t="s">
        <v>2106</v>
      </c>
      <c r="N41" s="10" t="s">
        <v>925</v>
      </c>
      <c r="O41" s="15">
        <f>IFERROR(__xludf.DUMMYFUNCTION("IF(ISBLANK($C41), """", GOOGLEFINANCE($C41, ""price""))"),252.76)</f>
        <v>252.76</v>
      </c>
      <c r="P41" s="16">
        <f t="shared" si="2"/>
        <v>0.01261968671</v>
      </c>
      <c r="Q41" s="16">
        <f>IFERROR(__xludf.DUMMYFUNCTION("IF(OR(ISBLANK($G41), IFERROR(INDEX(GOOGLEFINANCE($C41, ""price"", WORKDAY(INT($B41), 1)), 2, 2), """")=""""), """", IF($D41=""LONG"", (IFERROR(INDEX(GOOGLEFINANCE($C41, ""price"", WORKDAY(INT($B41), 1)), 2, 2), """")-$G41)/$G41, ($G41-IFERROR(INDEX(GOOGLE"&amp;"FINANCE($C41, ""price"", WORKDAY(INT($B41), 1)), 2, 2), """"))/$G41))"),0.007972437001722609)</f>
        <v>0.007972437002</v>
      </c>
      <c r="R41" s="16">
        <f>IFERROR(__xludf.DUMMYFUNCTION("IF(OR(ISBLANK($G41), IFERROR(INDEX(GOOGLEFINANCE($C41, ""price"", WORKDAY(INT($B41), 5)), 2, 2), """")=""""), """", IF($D41=""LONG"", (IFERROR(INDEX(GOOGLEFINANCE($C41, ""price"", WORKDAY(INT($B41), 5)), 2, 2), """")-$G41)/$G41, ($G41-IFERROR(INDEX(GOOGLE"&amp;"FINANCE($C41, ""price"", WORKDAY(INT($B41), 5)), 2, 2), """"))/$G41))"),0.008453186971675755)</f>
        <v>0.008453186972</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4839</v>
      </c>
      <c r="U41" s="10" t="s">
        <v>240</v>
      </c>
      <c r="V41" s="10" t="s">
        <v>4840</v>
      </c>
      <c r="W41" s="10" t="s">
        <v>51</v>
      </c>
      <c r="X41" s="10" t="s">
        <v>1905</v>
      </c>
    </row>
    <row r="42">
      <c r="A42" s="9">
        <f t="shared" si="1"/>
        <v>41</v>
      </c>
      <c r="B42" s="11">
        <v>46230.66769675926</v>
      </c>
      <c r="C42" s="10" t="s">
        <v>2229</v>
      </c>
      <c r="D42" s="10" t="s">
        <v>36</v>
      </c>
      <c r="E42" s="10" t="s">
        <v>37</v>
      </c>
      <c r="F42" s="13">
        <v>2.0</v>
      </c>
      <c r="G42" s="14">
        <v>120.13</v>
      </c>
      <c r="H42" s="10" t="s">
        <v>4841</v>
      </c>
      <c r="I42" s="10">
        <v>96.2</v>
      </c>
      <c r="O42" s="15">
        <f>IFERROR(__xludf.DUMMYFUNCTION("IF(ISBLANK($C42), """", GOOGLEFINANCE($C42, ""price""))"),120.76)</f>
        <v>120.76</v>
      </c>
      <c r="P42" s="16">
        <f t="shared" si="2"/>
        <v>0.005244318655</v>
      </c>
      <c r="Q42" s="16">
        <f>IFERROR(__xludf.DUMMYFUNCTION("IF(OR(ISBLANK($G42), IFERROR(INDEX(GOOGLEFINANCE($C42, ""price"", WORKDAY(INT($B42), 1)), 2, 2), """")=""""), """", IF($D42=""LONG"", (IFERROR(INDEX(GOOGLEFINANCE($C42, ""price"", WORKDAY(INT($B42), 1)), 2, 2), """")-$G42)/$G42, ($G42-IFERROR(INDEX(GOOGLE"&amp;"FINANCE($C42, ""price"", WORKDAY(INT($B42), 1)), 2, 2), """"))/$G42))"),0.04028968617331227)</f>
        <v>0.04028968617</v>
      </c>
      <c r="R42" s="16">
        <f>IFERROR(__xludf.DUMMYFUNCTION("IF(OR(ISBLANK($G42), IFERROR(INDEX(GOOGLEFINANCE($C42, ""price"", WORKDAY(INT($B42), 5)), 2, 2), """")=""""), """", IF($D42=""LONG"", (IFERROR(INDEX(GOOGLEFINANCE($C42, ""price"", WORKDAY(INT($B42), 5)), 2, 2), """")-$G42)/$G42, ($G42-IFERROR(INDEX(GOOGLE"&amp;"FINANCE($C42, ""price"", WORKDAY(INT($B42), 5)), 2, 2), """"))/$G42))"),-0.008740531091317717)</f>
        <v>-0.008740531091</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4842</v>
      </c>
      <c r="U42" s="10" t="s">
        <v>984</v>
      </c>
      <c r="V42" s="10" t="s">
        <v>985</v>
      </c>
      <c r="W42" s="10" t="s">
        <v>51</v>
      </c>
      <c r="X42" s="10" t="s">
        <v>984</v>
      </c>
    </row>
    <row r="43">
      <c r="A43" s="9">
        <f t="shared" si="1"/>
        <v>42</v>
      </c>
      <c r="B43" s="11">
        <v>46230.66769675926</v>
      </c>
      <c r="C43" s="10" t="s">
        <v>707</v>
      </c>
      <c r="D43" s="10" t="s">
        <v>36</v>
      </c>
      <c r="E43" s="10" t="s">
        <v>37</v>
      </c>
      <c r="F43" s="13">
        <v>2.0</v>
      </c>
      <c r="G43" s="14">
        <v>111.48</v>
      </c>
      <c r="H43" s="10" t="s">
        <v>4843</v>
      </c>
      <c r="I43" s="10">
        <v>93.5</v>
      </c>
      <c r="O43" s="15">
        <f>IFERROR(__xludf.DUMMYFUNCTION("IF(ISBLANK($C43), """", GOOGLEFINANCE($C43, ""price""))"),108.95)</f>
        <v>108.95</v>
      </c>
      <c r="P43" s="16">
        <f t="shared" si="2"/>
        <v>-0.02269465375</v>
      </c>
      <c r="Q43" s="16">
        <f>IFERROR(__xludf.DUMMYFUNCTION("IF(OR(ISBLANK($G43), IFERROR(INDEX(GOOGLEFINANCE($C43, ""price"", WORKDAY(INT($B43), 1)), 2, 2), """")=""""), """", IF($D43=""LONG"", (IFERROR(INDEX(GOOGLEFINANCE($C43, ""price"", WORKDAY(INT($B43), 1)), 2, 2), """")-$G43)/$G43, ($G43-IFERROR(INDEX(GOOGLE"&amp;"FINANCE($C43, ""price"", WORKDAY(INT($B43), 1)), 2, 2), """"))/$G43))"),0.004485109436670255)</f>
        <v>0.004485109437</v>
      </c>
      <c r="R43" s="16">
        <f>IFERROR(__xludf.DUMMYFUNCTION("IF(OR(ISBLANK($G43), IFERROR(INDEX(GOOGLEFINANCE($C43, ""price"", WORKDAY(INT($B43), 5)), 2, 2), """")=""""), """", IF($D43=""LONG"", (IFERROR(INDEX(GOOGLEFINANCE($C43, ""price"", WORKDAY(INT($B43), 5)), 2, 2), """")-$G43)/$G43, ($G43-IFERROR(INDEX(GOOGLE"&amp;"FINANCE($C43, ""price"", WORKDAY(INT($B43), 5)), 2, 2), """"))/$G43))"),-0.031664872622892005)</f>
        <v>-0.03166487262</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4844</v>
      </c>
      <c r="U43" s="10" t="s">
        <v>240</v>
      </c>
      <c r="V43" s="10" t="s">
        <v>4845</v>
      </c>
      <c r="W43" s="10" t="s">
        <v>51</v>
      </c>
      <c r="X43" s="10" t="s">
        <v>1905</v>
      </c>
    </row>
    <row r="44">
      <c r="A44" s="9">
        <f t="shared" si="1"/>
        <v>43</v>
      </c>
      <c r="B44" s="11">
        <v>46230.66768518519</v>
      </c>
      <c r="C44" s="10" t="s">
        <v>323</v>
      </c>
      <c r="D44" s="10" t="s">
        <v>36</v>
      </c>
      <c r="E44" s="10" t="s">
        <v>37</v>
      </c>
      <c r="F44" s="13">
        <v>2.0</v>
      </c>
      <c r="G44" s="14">
        <v>209.04</v>
      </c>
      <c r="H44" s="10" t="s">
        <v>4846</v>
      </c>
      <c r="I44" s="10">
        <v>85.1</v>
      </c>
      <c r="O44" s="15">
        <f>IFERROR(__xludf.DUMMYFUNCTION("IF(ISBLANK($C44), """", GOOGLEFINANCE($C44, ""price""))"),209.7)</f>
        <v>209.7</v>
      </c>
      <c r="P44" s="16">
        <f t="shared" si="2"/>
        <v>0.003157290471</v>
      </c>
      <c r="Q44" s="16">
        <f>IFERROR(__xludf.DUMMYFUNCTION("IF(OR(ISBLANK($G44), IFERROR(INDEX(GOOGLEFINANCE($C44, ""price"", WORKDAY(INT($B44), 1)), 2, 2), """")=""""), """", IF($D44=""LONG"", (IFERROR(INDEX(GOOGLEFINANCE($C44, ""price"", WORKDAY(INT($B44), 1)), 2, 2), """")-$G44)/$G44, ($G44-IFERROR(INDEX(GOOGLE"&amp;"FINANCE($C44, ""price"", WORKDAY(INT($B44), 1)), 2, 2), """"))/$G44))"),-8.132414848832162E-4)</f>
        <v>-0.0008132414849</v>
      </c>
      <c r="R44" s="16">
        <f>IFERROR(__xludf.DUMMYFUNCTION("IF(OR(ISBLANK($G44), IFERROR(INDEX(GOOGLEFINANCE($C44, ""price"", WORKDAY(INT($B44), 5)), 2, 2), """")=""""), """", IF($D44=""LONG"", (IFERROR(INDEX(GOOGLEFINANCE($C44, ""price"", WORKDAY(INT($B44), 5)), 2, 2), """")-$G44)/$G44, ($G44-IFERROR(INDEX(GOOGLE"&amp;"FINANCE($C44, ""price"", WORKDAY(INT($B44), 5)), 2, 2), """"))/$G44))"),0.004161882893226198)</f>
        <v>0.004161882893</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4847</v>
      </c>
      <c r="U44" s="10" t="s">
        <v>984</v>
      </c>
      <c r="V44" s="10" t="s">
        <v>2785</v>
      </c>
      <c r="W44" s="10" t="s">
        <v>51</v>
      </c>
      <c r="X44" s="10" t="s">
        <v>984</v>
      </c>
    </row>
    <row r="45">
      <c r="A45" s="9">
        <f t="shared" si="1"/>
        <v>44</v>
      </c>
      <c r="B45" s="11">
        <v>46230.66769675926</v>
      </c>
      <c r="C45" s="10" t="s">
        <v>258</v>
      </c>
      <c r="D45" s="10" t="s">
        <v>36</v>
      </c>
      <c r="E45" s="10" t="s">
        <v>37</v>
      </c>
      <c r="F45" s="13">
        <v>2.0</v>
      </c>
      <c r="G45" s="14">
        <v>119.22</v>
      </c>
      <c r="H45" s="10" t="s">
        <v>4117</v>
      </c>
      <c r="I45" s="10">
        <v>92.8</v>
      </c>
      <c r="O45" s="15">
        <f>IFERROR(__xludf.DUMMYFUNCTION("IF(ISBLANK($C45), """", GOOGLEFINANCE($C45, ""price""))"),113.62)</f>
        <v>113.62</v>
      </c>
      <c r="P45" s="16">
        <f t="shared" si="2"/>
        <v>-0.04697198457</v>
      </c>
      <c r="Q45" s="16">
        <f>IFERROR(__xludf.DUMMYFUNCTION("IF(OR(ISBLANK($G45), IFERROR(INDEX(GOOGLEFINANCE($C45, ""price"", WORKDAY(INT($B45), 1)), 2, 2), """")=""""), """", IF($D45=""LONG"", (IFERROR(INDEX(GOOGLEFINANCE($C45, ""price"", WORKDAY(INT($B45), 1)), 2, 2), """")-$G45)/$G45, ($G45-IFERROR(INDEX(GOOGLE"&amp;"FINANCE($C45, ""price"", WORKDAY(INT($B45), 1)), 2, 2), """"))/$G45))"),0.020634121791645765)</f>
        <v>0.02063412179</v>
      </c>
      <c r="R45" s="16">
        <f>IFERROR(__xludf.DUMMYFUNCTION("IF(OR(ISBLANK($G45), IFERROR(INDEX(GOOGLEFINANCE($C45, ""price"", WORKDAY(INT($B45), 5)), 2, 2), """")=""""), """", IF($D45=""LONG"", (IFERROR(INDEX(GOOGLEFINANCE($C45, ""price"", WORKDAY(INT($B45), 5)), 2, 2), """")-$G45)/$G45, ($G45-IFERROR(INDEX(GOOGLE"&amp;"FINANCE($C45, ""price"", WORKDAY(INT($B45), 5)), 2, 2), """"))/$G45))"),-0.04789464854890114)</f>
        <v>-0.04789464855</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4848</v>
      </c>
      <c r="U45" s="10" t="s">
        <v>984</v>
      </c>
      <c r="V45" s="10" t="s">
        <v>2785</v>
      </c>
      <c r="W45" s="10" t="s">
        <v>51</v>
      </c>
      <c r="X45" s="10" t="s">
        <v>984</v>
      </c>
    </row>
    <row r="46">
      <c r="A46" s="9">
        <f t="shared" si="1"/>
        <v>45</v>
      </c>
      <c r="B46" s="11">
        <v>46230.66773148148</v>
      </c>
      <c r="C46" s="10" t="s">
        <v>1778</v>
      </c>
      <c r="D46" s="10" t="s">
        <v>36</v>
      </c>
      <c r="E46" s="10" t="s">
        <v>37</v>
      </c>
      <c r="F46" s="13">
        <v>2.0</v>
      </c>
      <c r="G46" s="14">
        <v>87.6</v>
      </c>
      <c r="H46" s="10" t="s">
        <v>3585</v>
      </c>
      <c r="I46" s="10">
        <v>93.3</v>
      </c>
      <c r="O46" s="15">
        <f>IFERROR(__xludf.DUMMYFUNCTION("IF(ISBLANK($C46), """", GOOGLEFINANCE($C46, ""price""))"),76.86)</f>
        <v>76.86</v>
      </c>
      <c r="P46" s="16">
        <f t="shared" si="2"/>
        <v>-0.1226027397</v>
      </c>
      <c r="Q46" s="16">
        <f>IFERROR(__xludf.DUMMYFUNCTION("IF(OR(ISBLANK($G46), IFERROR(INDEX(GOOGLEFINANCE($C46, ""price"", WORKDAY(INT($B46), 1)), 2, 2), """")=""""), """", IF($D46=""LONG"", (IFERROR(INDEX(GOOGLEFINANCE($C46, ""price"", WORKDAY(INT($B46), 1)), 2, 2), """")-$G46)/$G46, ($G46-IFERROR(INDEX(GOOGLE"&amp;"FINANCE($C46, ""price"", WORKDAY(INT($B46), 1)), 2, 2), """"))/$G46))"),0.015410958904109687)</f>
        <v>0.0154109589</v>
      </c>
      <c r="R46" s="16">
        <f>IFERROR(__xludf.DUMMYFUNCTION("IF(OR(ISBLANK($G46), IFERROR(INDEX(GOOGLEFINANCE($C46, ""price"", WORKDAY(INT($B46), 5)), 2, 2), """")=""""), """", IF($D46=""LONG"", (IFERROR(INDEX(GOOGLEFINANCE($C46, ""price"", WORKDAY(INT($B46), 5)), 2, 2), """")-$G46)/$G46, ($G46-IFERROR(INDEX(GOOGLE"&amp;"FINANCE($C46, ""price"", WORKDAY(INT($B46), 5)), 2, 2), """"))/$G46))"),-0.13196347031963457)</f>
        <v>-0.1319634703</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4849</v>
      </c>
      <c r="U46" s="10" t="s">
        <v>984</v>
      </c>
      <c r="V46" s="10" t="s">
        <v>2785</v>
      </c>
      <c r="W46" s="10" t="s">
        <v>51</v>
      </c>
      <c r="X46" s="10" t="s">
        <v>984</v>
      </c>
    </row>
    <row r="47">
      <c r="A47" s="9">
        <f t="shared" si="1"/>
        <v>46</v>
      </c>
      <c r="B47" s="11">
        <v>46230.66773148148</v>
      </c>
      <c r="C47" s="10" t="s">
        <v>98</v>
      </c>
      <c r="D47" s="10" t="s">
        <v>36</v>
      </c>
      <c r="E47" s="10" t="s">
        <v>37</v>
      </c>
      <c r="F47" s="13">
        <v>2.0</v>
      </c>
      <c r="G47" s="14">
        <v>30.75</v>
      </c>
      <c r="H47" s="10" t="s">
        <v>4850</v>
      </c>
      <c r="I47" s="10">
        <v>87.4</v>
      </c>
      <c r="L47" s="10" t="s">
        <v>4851</v>
      </c>
      <c r="M47" s="34" t="s">
        <v>3374</v>
      </c>
      <c r="N47" s="10" t="s">
        <v>925</v>
      </c>
      <c r="O47" s="15">
        <f>IFERROR(__xludf.DUMMYFUNCTION("IF(ISBLANK($C47), """", GOOGLEFINANCE($C47, ""price""))"),31.39)</f>
        <v>31.39</v>
      </c>
      <c r="P47" s="16">
        <f t="shared" si="2"/>
        <v>0.02081300813</v>
      </c>
      <c r="Q47" s="16">
        <f>IFERROR(__xludf.DUMMYFUNCTION("IF(OR(ISBLANK($G47), IFERROR(INDEX(GOOGLEFINANCE($C47, ""price"", WORKDAY(INT($B47), 1)), 2, 2), """")=""""), """", IF($D47=""LONG"", (IFERROR(INDEX(GOOGLEFINANCE($C47, ""price"", WORKDAY(INT($B47), 1)), 2, 2), """")-$G47)/$G47, ($G47-IFERROR(INDEX(GOOGLE"&amp;"FINANCE($C47, ""price"", WORKDAY(INT($B47), 1)), 2, 2), """"))/$G47))"),0.016910569105691043)</f>
        <v>0.01691056911</v>
      </c>
      <c r="R47" s="16">
        <f>IFERROR(__xludf.DUMMYFUNCTION("IF(OR(ISBLANK($G47), IFERROR(INDEX(GOOGLEFINANCE($C47, ""price"", WORKDAY(INT($B47), 5)), 2, 2), """")=""""), """", IF($D47=""LONG"", (IFERROR(INDEX(GOOGLEFINANCE($C47, ""price"", WORKDAY(INT($B47), 5)), 2, 2), """")-$G47)/$G47, ($G47-IFERROR(INDEX(GOOGLE"&amp;"FINANCE($C47, ""price"", WORKDAY(INT($B47), 5)), 2, 2), """"))/$G47))"),0.023739837398373997)</f>
        <v>0.0237398374</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4852</v>
      </c>
      <c r="U47" s="10" t="s">
        <v>176</v>
      </c>
      <c r="V47" s="10" t="s">
        <v>4853</v>
      </c>
      <c r="W47" s="10" t="s">
        <v>51</v>
      </c>
      <c r="X47" s="10" t="s">
        <v>962</v>
      </c>
    </row>
    <row r="48">
      <c r="A48" s="9">
        <f t="shared" si="1"/>
        <v>47</v>
      </c>
      <c r="B48" s="11">
        <v>46230.66774305556</v>
      </c>
      <c r="C48" s="10" t="s">
        <v>4567</v>
      </c>
      <c r="D48" s="10" t="s">
        <v>36</v>
      </c>
      <c r="E48" s="10" t="s">
        <v>37</v>
      </c>
      <c r="F48" s="13">
        <v>2.0</v>
      </c>
      <c r="G48" s="14">
        <v>83.19</v>
      </c>
      <c r="H48" s="10" t="s">
        <v>4854</v>
      </c>
      <c r="I48" s="10">
        <v>92.2</v>
      </c>
      <c r="O48" s="15">
        <f>IFERROR(__xludf.DUMMYFUNCTION("IF(ISBLANK($C48), """", GOOGLEFINANCE($C48, ""price""))"),77.51)</f>
        <v>77.51</v>
      </c>
      <c r="P48" s="16">
        <f t="shared" si="2"/>
        <v>-0.06827743719</v>
      </c>
      <c r="Q48" s="16">
        <f>IFERROR(__xludf.DUMMYFUNCTION("IF(OR(ISBLANK($G48), IFERROR(INDEX(GOOGLEFINANCE($C48, ""price"", WORKDAY(INT($B48), 1)), 2, 2), """")=""""), """", IF($D48=""LONG"", (IFERROR(INDEX(GOOGLEFINANCE($C48, ""price"", WORKDAY(INT($B48), 1)), 2, 2), """")-$G48)/$G48, ($G48-IFERROR(INDEX(GOOGLE"&amp;"FINANCE($C48, ""price"", WORKDAY(INT($B48), 1)), 2, 2), """"))/$G48))"),-1.202067556195565E-4)</f>
        <v>-0.0001202067556</v>
      </c>
      <c r="R48" s="16">
        <f>IFERROR(__xludf.DUMMYFUNCTION("IF(OR(ISBLANK($G48), IFERROR(INDEX(GOOGLEFINANCE($C48, ""price"", WORKDAY(INT($B48), 5)), 2, 2), """")=""""), """", IF($D48=""LONG"", (IFERROR(INDEX(GOOGLEFINANCE($C48, ""price"", WORKDAY(INT($B48), 5)), 2, 2), """")-$G48)/$G48, ($G48-IFERROR(INDEX(GOOGLE"&amp;"FINANCE($C48, ""price"", WORKDAY(INT($B48), 5)), 2, 2), """"))/$G48))"),-0.06166606563288852)</f>
        <v>-0.06166606563</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4855</v>
      </c>
      <c r="U48" s="10" t="s">
        <v>507</v>
      </c>
      <c r="V48" s="10" t="s">
        <v>4856</v>
      </c>
      <c r="W48" s="10" t="s">
        <v>51</v>
      </c>
      <c r="X48" s="10" t="s">
        <v>2228</v>
      </c>
    </row>
    <row r="49">
      <c r="A49" s="9">
        <f t="shared" si="1"/>
        <v>48</v>
      </c>
      <c r="B49" s="11">
        <v>46230.66769675926</v>
      </c>
      <c r="C49" s="10" t="s">
        <v>1171</v>
      </c>
      <c r="D49" s="10" t="s">
        <v>36</v>
      </c>
      <c r="E49" s="10" t="s">
        <v>37</v>
      </c>
      <c r="F49" s="13">
        <v>2.0</v>
      </c>
      <c r="G49" s="14">
        <v>248.38</v>
      </c>
      <c r="H49" s="10" t="s">
        <v>4858</v>
      </c>
      <c r="I49" s="10">
        <v>82.7</v>
      </c>
      <c r="O49" s="15">
        <f>IFERROR(__xludf.DUMMYFUNCTION("IF(ISBLANK($C49), """", GOOGLEFINANCE($C49, ""price""))"),236.0)</f>
        <v>236</v>
      </c>
      <c r="P49" s="16">
        <f t="shared" si="2"/>
        <v>-0.04984298253</v>
      </c>
      <c r="Q49" s="16">
        <f>IFERROR(__xludf.DUMMYFUNCTION("IF(OR(ISBLANK($G49), IFERROR(INDEX(GOOGLEFINANCE($C49, ""price"", WORKDAY(INT($B49), 1)), 2, 2), """")=""""), """", IF($D49=""LONG"", (IFERROR(INDEX(GOOGLEFINANCE($C49, ""price"", WORKDAY(INT($B49), 1)), 2, 2), """")-$G49)/$G49, ($G49-IFERROR(INDEX(GOOGLE"&amp;"FINANCE($C49, ""price"", WORKDAY(INT($B49), 1)), 2, 2), """"))/$G49))"),-0.019365488364602633)</f>
        <v>-0.01936548836</v>
      </c>
      <c r="R49" s="16">
        <f>IFERROR(__xludf.DUMMYFUNCTION("IF(OR(ISBLANK($G49), IFERROR(INDEX(GOOGLEFINANCE($C49, ""price"", WORKDAY(INT($B49), 5)), 2, 2), """")=""""), """", IF($D49=""LONG"", (IFERROR(INDEX(GOOGLEFINANCE($C49, ""price"", WORKDAY(INT($B49), 5)), 2, 2), """")-$G49)/$G49, ($G49-IFERROR(INDEX(GOOGLE"&amp;"FINANCE($C49, ""price"", WORKDAY(INT($B49), 5)), 2, 2), """"))/$G49))"),-0.06151864079233433)</f>
        <v>-0.06151864079</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4859</v>
      </c>
      <c r="U49" s="10" t="s">
        <v>984</v>
      </c>
      <c r="V49" s="10" t="s">
        <v>933</v>
      </c>
      <c r="W49" s="10" t="s">
        <v>51</v>
      </c>
      <c r="X49" s="10" t="s">
        <v>984</v>
      </c>
    </row>
    <row r="50">
      <c r="A50" s="9">
        <f t="shared" si="1"/>
        <v>49</v>
      </c>
      <c r="B50" s="11">
        <v>46230.66773148148</v>
      </c>
      <c r="C50" s="10" t="s">
        <v>158</v>
      </c>
      <c r="D50" s="10" t="s">
        <v>36</v>
      </c>
      <c r="E50" s="10" t="s">
        <v>37</v>
      </c>
      <c r="F50" s="13">
        <v>2.0</v>
      </c>
      <c r="G50" s="14">
        <v>74.68</v>
      </c>
      <c r="H50" s="10" t="s">
        <v>4860</v>
      </c>
      <c r="I50" s="10">
        <v>90.5</v>
      </c>
      <c r="O50" s="15">
        <f>IFERROR(__xludf.DUMMYFUNCTION("IF(ISBLANK($C50), """", GOOGLEFINANCE($C50, ""price""))"),72.06)</f>
        <v>72.06</v>
      </c>
      <c r="P50" s="16">
        <f t="shared" si="2"/>
        <v>-0.03508302089</v>
      </c>
      <c r="Q50" s="16">
        <f>IFERROR(__xludf.DUMMYFUNCTION("IF(OR(ISBLANK($G50), IFERROR(INDEX(GOOGLEFINANCE($C50, ""price"", WORKDAY(INT($B50), 1)), 2, 2), """")=""""), """", IF($D50=""LONG"", (IFERROR(INDEX(GOOGLEFINANCE($C50, ""price"", WORKDAY(INT($B50), 1)), 2, 2), """")-$G50)/$G50, ($G50-IFERROR(INDEX(GOOGLE"&amp;"FINANCE($C50, ""price"", WORKDAY(INT($B50), 1)), 2, 2), """"))/$G50))"),0.009507230851633552)</f>
        <v>0.009507230852</v>
      </c>
      <c r="R50" s="16">
        <f>IFERROR(__xludf.DUMMYFUNCTION("IF(OR(ISBLANK($G50), IFERROR(INDEX(GOOGLEFINANCE($C50, ""price"", WORKDAY(INT($B50), 5)), 2, 2), """")=""""), """", IF($D50=""LONG"", (IFERROR(INDEX(GOOGLEFINANCE($C50, ""price"", WORKDAY(INT($B50), 5)), 2, 2), """")-$G50)/$G50, ($G50-IFERROR(INDEX(GOOGLE"&amp;"FINANCE($C50, ""price"", WORKDAY(INT($B50), 5)), 2, 2), """"))/$G50))"),-0.036555972147830795)</f>
        <v>-0.03655597215</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4862</v>
      </c>
      <c r="U50" s="10" t="s">
        <v>984</v>
      </c>
      <c r="V50" s="10" t="s">
        <v>933</v>
      </c>
      <c r="W50" s="10" t="s">
        <v>51</v>
      </c>
      <c r="X50" s="10" t="s">
        <v>984</v>
      </c>
    </row>
    <row r="51">
      <c r="A51" s="9">
        <f t="shared" si="1"/>
        <v>50</v>
      </c>
      <c r="B51" s="11">
        <v>46230.667719907404</v>
      </c>
      <c r="C51" s="10" t="s">
        <v>310</v>
      </c>
      <c r="D51" s="10" t="s">
        <v>36</v>
      </c>
      <c r="E51" s="10" t="s">
        <v>37</v>
      </c>
      <c r="F51" s="13">
        <v>2.0</v>
      </c>
      <c r="G51" s="14">
        <v>213.35</v>
      </c>
      <c r="H51" s="10" t="s">
        <v>4864</v>
      </c>
      <c r="I51" s="10">
        <v>88.0</v>
      </c>
      <c r="O51" s="15">
        <f>IFERROR(__xludf.DUMMYFUNCTION("IF(ISBLANK($C51), """", GOOGLEFINANCE($C51, ""price""))"),232.43)</f>
        <v>232.43</v>
      </c>
      <c r="P51" s="16">
        <f t="shared" si="2"/>
        <v>0.08943051324</v>
      </c>
      <c r="Q51" s="16">
        <f>IFERROR(__xludf.DUMMYFUNCTION("IF(OR(ISBLANK($G51), IFERROR(INDEX(GOOGLEFINANCE($C51, ""price"", WORKDAY(INT($B51), 1)), 2, 2), """")=""""), """", IF($D51=""LONG"", (IFERROR(INDEX(GOOGLEFINANCE($C51, ""price"", WORKDAY(INT($B51), 1)), 2, 2), """")-$G51)/$G51, ($G51-IFERROR(INDEX(GOOGLE"&amp;"FINANCE($C51, ""price"", WORKDAY(INT($B51), 1)), 2, 2), """"))/$G51))"),0.13869228966486996)</f>
        <v>0.1386922897</v>
      </c>
      <c r="R51" s="16">
        <f>IFERROR(__xludf.DUMMYFUNCTION("IF(OR(ISBLANK($G51), IFERROR(INDEX(GOOGLEFINANCE($C51, ""price"", WORKDAY(INT($B51), 5)), 2, 2), """")=""""), """", IF($D51=""LONG"", (IFERROR(INDEX(GOOGLEFINANCE($C51, ""price"", WORKDAY(INT($B51), 5)), 2, 2), """")-$G51)/$G51, ($G51-IFERROR(INDEX(GOOGLE"&amp;"FINANCE($C51, ""price"", WORKDAY(INT($B51), 5)), 2, 2), """"))/$G51))"),0.09378954769158669)</f>
        <v>0.09378954769</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4867</v>
      </c>
      <c r="U51" s="10" t="s">
        <v>984</v>
      </c>
      <c r="V51" s="10" t="s">
        <v>2785</v>
      </c>
      <c r="W51" s="10" t="s">
        <v>51</v>
      </c>
      <c r="X51" s="10" t="s">
        <v>984</v>
      </c>
    </row>
    <row r="52">
      <c r="A52" s="9">
        <f t="shared" si="1"/>
        <v>51</v>
      </c>
      <c r="B52" s="11">
        <v>46230.66773148148</v>
      </c>
      <c r="C52" s="10" t="s">
        <v>257</v>
      </c>
      <c r="D52" s="10" t="s">
        <v>36</v>
      </c>
      <c r="E52" s="10" t="s">
        <v>37</v>
      </c>
      <c r="F52" s="13">
        <v>2.0</v>
      </c>
      <c r="G52" s="14">
        <v>69.19</v>
      </c>
      <c r="H52" s="10" t="s">
        <v>4868</v>
      </c>
      <c r="I52" s="10">
        <v>91.8</v>
      </c>
      <c r="O52" s="15">
        <f>IFERROR(__xludf.DUMMYFUNCTION("IF(ISBLANK($C52), """", GOOGLEFINANCE($C52, ""price""))"),68.81)</f>
        <v>68.81</v>
      </c>
      <c r="P52" s="16">
        <f t="shared" si="2"/>
        <v>-0.005492123139</v>
      </c>
      <c r="Q52" s="16">
        <f>IFERROR(__xludf.DUMMYFUNCTION("IF(OR(ISBLANK($G52), IFERROR(INDEX(GOOGLEFINANCE($C52, ""price"", WORKDAY(INT($B52), 1)), 2, 2), """")=""""), """", IF($D52=""LONG"", (IFERROR(INDEX(GOOGLEFINANCE($C52, ""price"", WORKDAY(INT($B52), 1)), 2, 2), """")-$G52)/$G52, ($G52-IFERROR(INDEX(GOOGLE"&amp;"FINANCE($C52, ""price"", WORKDAY(INT($B52), 1)), 2, 2), """"))/$G52))"),0.011128775834658131)</f>
        <v>0.01112877583</v>
      </c>
      <c r="R52" s="16">
        <f>IFERROR(__xludf.DUMMYFUNCTION("IF(OR(ISBLANK($G52), IFERROR(INDEX(GOOGLEFINANCE($C52, ""price"", WORKDAY(INT($B52), 5)), 2, 2), """")=""""), """", IF($D52=""LONG"", (IFERROR(INDEX(GOOGLEFINANCE($C52, ""price"", WORKDAY(INT($B52), 5)), 2, 2), """")-$G52)/$G52, ($G52-IFERROR(INDEX(GOOGLE"&amp;"FINANCE($C52, ""price"", WORKDAY(INT($B52), 5)), 2, 2), """"))/$G52))"),0.01763260586789997)</f>
        <v>0.01763260587</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4871</v>
      </c>
      <c r="U52" s="10" t="s">
        <v>984</v>
      </c>
      <c r="V52" s="10" t="s">
        <v>933</v>
      </c>
      <c r="W52" s="10" t="s">
        <v>51</v>
      </c>
      <c r="X52" s="10" t="s">
        <v>984</v>
      </c>
    </row>
    <row r="53">
      <c r="A53" s="9">
        <f t="shared" si="1"/>
        <v>52</v>
      </c>
      <c r="B53" s="11">
        <v>46230.66774305556</v>
      </c>
      <c r="C53" s="10" t="s">
        <v>442</v>
      </c>
      <c r="D53" s="10" t="s">
        <v>36</v>
      </c>
      <c r="E53" s="10" t="s">
        <v>37</v>
      </c>
      <c r="F53" s="13">
        <v>2.0</v>
      </c>
      <c r="G53" s="14">
        <v>525.27</v>
      </c>
      <c r="H53" s="10" t="s">
        <v>4872</v>
      </c>
      <c r="I53" s="10">
        <v>96.4</v>
      </c>
      <c r="O53" s="15">
        <f>IFERROR(__xludf.DUMMYFUNCTION("IF(ISBLANK($C53), """", GOOGLEFINANCE($C53, ""price""))"),522.46)</f>
        <v>522.46</v>
      </c>
      <c r="P53" s="16">
        <f t="shared" si="2"/>
        <v>-0.005349629714</v>
      </c>
      <c r="Q53" s="16">
        <f>IFERROR(__xludf.DUMMYFUNCTION("IF(OR(ISBLANK($G53), IFERROR(INDEX(GOOGLEFINANCE($C53, ""price"", WORKDAY(INT($B53), 1)), 2, 2), """")=""""), """", IF($D53=""LONG"", (IFERROR(INDEX(GOOGLEFINANCE($C53, ""price"", WORKDAY(INT($B53), 1)), 2, 2), """")-$G53)/$G53, ($G53-IFERROR(INDEX(GOOGLE"&amp;"FINANCE($C53, ""price"", WORKDAY(INT($B53), 1)), 2, 2), """"))/$G53))"),0.04260665943229196)</f>
        <v>0.04260665943</v>
      </c>
      <c r="R53" s="16">
        <f>IFERROR(__xludf.DUMMYFUNCTION("IF(OR(ISBLANK($G53), IFERROR(INDEX(GOOGLEFINANCE($C53, ""price"", WORKDAY(INT($B53), 5)), 2, 2), """")=""""), """", IF($D53=""LONG"", (IFERROR(INDEX(GOOGLEFINANCE($C53, ""price"", WORKDAY(INT($B53), 5)), 2, 2), """")-$G53)/$G53, ($G53-IFERROR(INDEX(GOOGLE"&amp;"FINANCE($C53, ""price"", WORKDAY(INT($B53), 5)), 2, 2), """"))/$G53))"),0.09635044834085331)</f>
        <v>0.09635044834</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4877</v>
      </c>
      <c r="U53" s="10" t="s">
        <v>984</v>
      </c>
      <c r="V53" s="10" t="s">
        <v>985</v>
      </c>
      <c r="W53" s="10" t="s">
        <v>51</v>
      </c>
      <c r="X53" s="10" t="s">
        <v>984</v>
      </c>
    </row>
    <row r="54">
      <c r="A54" s="9">
        <f t="shared" si="1"/>
        <v>53</v>
      </c>
      <c r="B54" s="11">
        <v>46230.66774305556</v>
      </c>
      <c r="C54" s="10" t="s">
        <v>1154</v>
      </c>
      <c r="D54" s="10" t="s">
        <v>36</v>
      </c>
      <c r="E54" s="10" t="s">
        <v>37</v>
      </c>
      <c r="F54" s="13">
        <v>2.0</v>
      </c>
      <c r="G54" s="14">
        <v>1336.54</v>
      </c>
      <c r="H54" s="10" t="s">
        <v>4878</v>
      </c>
      <c r="I54" s="10">
        <v>94.9</v>
      </c>
      <c r="O54" s="15">
        <f>IFERROR(__xludf.DUMMYFUNCTION("IF(ISBLANK($C54), """", GOOGLEFINANCE($C54, ""price""))"),1421.24)</f>
        <v>1421.24</v>
      </c>
      <c r="P54" s="16">
        <f t="shared" si="2"/>
        <v>0.06337258892</v>
      </c>
      <c r="Q54" s="16">
        <f>IFERROR(__xludf.DUMMYFUNCTION("IF(OR(ISBLANK($G54), IFERROR(INDEX(GOOGLEFINANCE($C54, ""price"", WORKDAY(INT($B54), 1)), 2, 2), """")=""""), """", IF($D54=""LONG"", (IFERROR(INDEX(GOOGLEFINANCE($C54, ""price"", WORKDAY(INT($B54), 1)), 2, 2), """")-$G54)/$G54, ($G54-IFERROR(INDEX(GOOGLE"&amp;"FINANCE($C54, ""price"", WORKDAY(INT($B54), 1)), 2, 2), """"))/$G54))"),0.038786717943346365)</f>
        <v>0.03878671794</v>
      </c>
      <c r="R54" s="16">
        <f>IFERROR(__xludf.DUMMYFUNCTION("IF(OR(ISBLANK($G54), IFERROR(INDEX(GOOGLEFINANCE($C54, ""price"", WORKDAY(INT($B54), 5)), 2, 2), """")=""""), """", IF($D54=""LONG"", (IFERROR(INDEX(GOOGLEFINANCE($C54, ""price"", WORKDAY(INT($B54), 5)), 2, 2), """")-$G54)/$G54, ($G54-IFERROR(INDEX(GOOGLE"&amp;"FINANCE($C54, ""price"", WORKDAY(INT($B54), 5)), 2, 2), """"))/$G54))"),0.08114983464767238)</f>
        <v>0.08114983465</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4881</v>
      </c>
      <c r="U54" s="10" t="s">
        <v>984</v>
      </c>
      <c r="V54" s="10" t="s">
        <v>985</v>
      </c>
      <c r="W54" s="10" t="s">
        <v>51</v>
      </c>
      <c r="X54" s="10" t="s">
        <v>984</v>
      </c>
    </row>
    <row r="55">
      <c r="A55" s="9">
        <f t="shared" si="1"/>
        <v>54</v>
      </c>
      <c r="B55" s="11">
        <v>46230.667766203704</v>
      </c>
      <c r="C55" s="10" t="s">
        <v>3690</v>
      </c>
      <c r="D55" s="10" t="s">
        <v>36</v>
      </c>
      <c r="E55" s="10" t="s">
        <v>37</v>
      </c>
      <c r="F55" s="13">
        <v>2.0</v>
      </c>
      <c r="G55" s="14">
        <v>651.45</v>
      </c>
      <c r="H55" s="10" t="s">
        <v>4883</v>
      </c>
      <c r="I55" s="10">
        <v>93.0</v>
      </c>
      <c r="O55" s="15">
        <f>IFERROR(__xludf.DUMMYFUNCTION("IF(ISBLANK($C55), """", GOOGLEFINANCE($C55, ""price""))"),687.52)</f>
        <v>687.52</v>
      </c>
      <c r="P55" s="16">
        <f t="shared" si="2"/>
        <v>0.05536879269</v>
      </c>
      <c r="Q55" s="16">
        <f>IFERROR(__xludf.DUMMYFUNCTION("IF(OR(ISBLANK($G55), IFERROR(INDEX(GOOGLEFINANCE($C55, ""price"", WORKDAY(INT($B55), 1)), 2, 2), """")=""""), """", IF($D55=""LONG"", (IFERROR(INDEX(GOOGLEFINANCE($C55, ""price"", WORKDAY(INT($B55), 1)), 2, 2), """")-$G55)/$G55, ($G55-IFERROR(INDEX(GOOGLE"&amp;"FINANCE($C55, ""price"", WORKDAY(INT($B55), 1)), 2, 2), """"))/$G55))"),-0.0027323662598819345)</f>
        <v>-0.00273236626</v>
      </c>
      <c r="R55" s="16">
        <f>IFERROR(__xludf.DUMMYFUNCTION("IF(OR(ISBLANK($G55), IFERROR(INDEX(GOOGLEFINANCE($C55, ""price"", WORKDAY(INT($B55), 5)), 2, 2), """")=""""), """", IF($D55=""LONG"", (IFERROR(INDEX(GOOGLEFINANCE($C55, ""price"", WORKDAY(INT($B55), 5)), 2, 2), """")-$G55)/$G55, ($G55-IFERROR(INDEX(GOOGLE"&amp;"FINANCE($C55, ""price"", WORKDAY(INT($B55), 5)), 2, 2), """"))/$G55))"),0.0293345613631129)</f>
        <v>0.02933456136</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4884</v>
      </c>
      <c r="U55" s="10" t="s">
        <v>240</v>
      </c>
      <c r="V55" s="10" t="s">
        <v>4885</v>
      </c>
      <c r="W55" s="10" t="s">
        <v>51</v>
      </c>
      <c r="X55" s="10" t="s">
        <v>1905</v>
      </c>
    </row>
    <row r="56">
      <c r="A56" s="9">
        <f t="shared" si="1"/>
        <v>55</v>
      </c>
      <c r="B56" s="11">
        <v>46230.667662037034</v>
      </c>
      <c r="C56" s="10" t="s">
        <v>52</v>
      </c>
      <c r="D56" s="10" t="s">
        <v>36</v>
      </c>
      <c r="E56" s="10" t="s">
        <v>37</v>
      </c>
      <c r="F56" s="13">
        <v>2.0</v>
      </c>
      <c r="G56" s="14">
        <v>118.93</v>
      </c>
      <c r="H56" s="10" t="s">
        <v>4887</v>
      </c>
      <c r="I56" s="10">
        <v>92.0</v>
      </c>
      <c r="O56" s="15">
        <f>IFERROR(__xludf.DUMMYFUNCTION("IF(ISBLANK($C56), """", GOOGLEFINANCE($C56, ""price""))"),118.38)</f>
        <v>118.38</v>
      </c>
      <c r="P56" s="16">
        <f t="shared" si="2"/>
        <v>-0.004624569074</v>
      </c>
      <c r="Q56" s="16">
        <f>IFERROR(__xludf.DUMMYFUNCTION("IF(OR(ISBLANK($G56), IFERROR(INDEX(GOOGLEFINANCE($C56, ""price"", WORKDAY(INT($B56), 1)), 2, 2), """")=""""), """", IF($D56=""LONG"", (IFERROR(INDEX(GOOGLEFINANCE($C56, ""price"", WORKDAY(INT($B56), 1)), 2, 2), """")-$G56)/$G56, ($G56-IFERROR(INDEX(GOOGLE"&amp;"FINANCE($C56, ""price"", WORKDAY(INT($B56), 1)), 2, 2), """"))/$G56))"),0.09249138148490708)</f>
        <v>0.09249138148</v>
      </c>
      <c r="R56" s="16">
        <f>IFERROR(__xludf.DUMMYFUNCTION("IF(OR(ISBLANK($G56), IFERROR(INDEX(GOOGLEFINANCE($C56, ""price"", WORKDAY(INT($B56), 5)), 2, 2), """")=""""), """", IF($D56=""LONG"", (IFERROR(INDEX(GOOGLEFINANCE($C56, ""price"", WORKDAY(INT($B56), 5)), 2, 2), """")-$G56)/$G56, ($G56-IFERROR(INDEX(GOOGLE"&amp;"FINANCE($C56, ""price"", WORKDAY(INT($B56), 5)), 2, 2), """"))/$G56))"),-0.004204153703859413)</f>
        <v>-0.004204153704</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4889</v>
      </c>
      <c r="U56" s="10" t="s">
        <v>984</v>
      </c>
      <c r="V56" s="10" t="s">
        <v>2785</v>
      </c>
      <c r="W56" s="10" t="s">
        <v>51</v>
      </c>
      <c r="X56" s="10" t="s">
        <v>984</v>
      </c>
    </row>
    <row r="57">
      <c r="A57" s="9">
        <f t="shared" si="1"/>
        <v>56</v>
      </c>
      <c r="B57" s="11">
        <v>46230.667719907404</v>
      </c>
      <c r="C57" s="10" t="s">
        <v>351</v>
      </c>
      <c r="D57" s="10" t="s">
        <v>36</v>
      </c>
      <c r="E57" s="10" t="s">
        <v>37</v>
      </c>
      <c r="F57" s="13">
        <v>2.0</v>
      </c>
      <c r="G57" s="14">
        <v>231.64</v>
      </c>
      <c r="H57" s="10" t="s">
        <v>4890</v>
      </c>
      <c r="I57" s="10">
        <v>60.9</v>
      </c>
      <c r="O57" s="15">
        <f>IFERROR(__xludf.DUMMYFUNCTION("IF(ISBLANK($C57), """", GOOGLEFINANCE($C57, ""price""))"),221.83)</f>
        <v>221.83</v>
      </c>
      <c r="P57" s="16">
        <f t="shared" si="2"/>
        <v>-0.04235019858</v>
      </c>
      <c r="Q57" s="16">
        <f>IFERROR(__xludf.DUMMYFUNCTION("IF(OR(ISBLANK($G57), IFERROR(INDEX(GOOGLEFINANCE($C57, ""price"", WORKDAY(INT($B57), 1)), 2, 2), """")=""""), """", IF($D57=""LONG"", (IFERROR(INDEX(GOOGLEFINANCE($C57, ""price"", WORKDAY(INT($B57), 1)), 2, 2), """")-$G57)/$G57, ($G57-IFERROR(INDEX(GOOGLE"&amp;"FINANCE($C57, ""price"", WORKDAY(INT($B57), 1)), 2, 2), """"))/$G57))"),0.021844241063719575)</f>
        <v>0.02184424106</v>
      </c>
      <c r="R57" s="16">
        <f>IFERROR(__xludf.DUMMYFUNCTION("IF(OR(ISBLANK($G57), IFERROR(INDEX(GOOGLEFINANCE($C57, ""price"", WORKDAY(INT($B57), 5)), 2, 2), """")=""""), """", IF($D57=""LONG"", (IFERROR(INDEX(GOOGLEFINANCE($C57, ""price"", WORKDAY(INT($B57), 5)), 2, 2), """")-$G57)/$G57, ($G57-IFERROR(INDEX(GOOGLE"&amp;"FINANCE($C57, ""price"", WORKDAY(INT($B57), 5)), 2, 2), """"))/$G57))"),-0.010706268347435632)</f>
        <v>-0.01070626835</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4894</v>
      </c>
      <c r="U57" s="10" t="s">
        <v>984</v>
      </c>
      <c r="V57" s="10" t="s">
        <v>2714</v>
      </c>
      <c r="W57" s="10" t="s">
        <v>51</v>
      </c>
      <c r="X57" s="10" t="s">
        <v>984</v>
      </c>
    </row>
    <row r="58">
      <c r="A58" s="9">
        <f t="shared" si="1"/>
        <v>57</v>
      </c>
      <c r="B58" s="11">
        <v>46230.667766203704</v>
      </c>
      <c r="C58" s="10" t="s">
        <v>3480</v>
      </c>
      <c r="D58" s="10" t="s">
        <v>36</v>
      </c>
      <c r="E58" s="10" t="s">
        <v>37</v>
      </c>
      <c r="F58" s="13">
        <v>2.0</v>
      </c>
      <c r="G58" s="14">
        <v>26.39</v>
      </c>
      <c r="H58" s="10" t="s">
        <v>4895</v>
      </c>
      <c r="I58" s="10">
        <v>91.7</v>
      </c>
      <c r="O58" s="15">
        <f>IFERROR(__xludf.DUMMYFUNCTION("IF(ISBLANK($C58), """", GOOGLEFINANCE($C58, ""price""))"),24.43)</f>
        <v>24.43</v>
      </c>
      <c r="P58" s="16">
        <f t="shared" si="2"/>
        <v>-0.07427055703</v>
      </c>
      <c r="Q58" s="16">
        <f>IFERROR(__xludf.DUMMYFUNCTION("IF(OR(ISBLANK($G58), IFERROR(INDEX(GOOGLEFINANCE($C58, ""price"", WORKDAY(INT($B58), 1)), 2, 2), """")=""""), """", IF($D58=""LONG"", (IFERROR(INDEX(GOOGLEFINANCE($C58, ""price"", WORKDAY(INT($B58), 1)), 2, 2), """")-$G58)/$G58, ($G58-IFERROR(INDEX(GOOGLE"&amp;"FINANCE($C58, ""price"", WORKDAY(INT($B58), 1)), 2, 2), """"))/$G58))"),-0.0056839712012126615)</f>
        <v>-0.005683971201</v>
      </c>
      <c r="R58" s="16">
        <f>IFERROR(__xludf.DUMMYFUNCTION("IF(OR(ISBLANK($G58), IFERROR(INDEX(GOOGLEFINANCE($C58, ""price"", WORKDAY(INT($B58), 5)), 2, 2), """")=""""), """", IF($D58=""LONG"", (IFERROR(INDEX(GOOGLEFINANCE($C58, ""price"", WORKDAY(INT($B58), 5)), 2, 2), """")-$G58)/$G58, ($G58-IFERROR(INDEX(GOOGLE"&amp;"FINANCE($C58, ""price"", WORKDAY(INT($B58), 5)), 2, 2), """"))/$G58))"),-0.03713527851458887)</f>
        <v>-0.03713527851</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4897</v>
      </c>
      <c r="U58" s="10" t="s">
        <v>984</v>
      </c>
      <c r="V58" s="10" t="s">
        <v>2785</v>
      </c>
      <c r="W58" s="10" t="s">
        <v>51</v>
      </c>
      <c r="X58" s="10" t="s">
        <v>984</v>
      </c>
    </row>
    <row r="59">
      <c r="A59" s="9">
        <f t="shared" si="1"/>
        <v>58</v>
      </c>
      <c r="B59" s="11">
        <v>46230.66774305556</v>
      </c>
      <c r="C59" s="10" t="s">
        <v>332</v>
      </c>
      <c r="D59" s="10" t="s">
        <v>36</v>
      </c>
      <c r="E59" s="10" t="s">
        <v>37</v>
      </c>
      <c r="F59" s="13">
        <v>2.0</v>
      </c>
      <c r="G59" s="14">
        <v>84.56</v>
      </c>
      <c r="H59" s="10" t="s">
        <v>4899</v>
      </c>
      <c r="I59" s="10">
        <v>91.8</v>
      </c>
      <c r="L59" s="10" t="s">
        <v>4900</v>
      </c>
      <c r="M59" s="10" t="s">
        <v>2174</v>
      </c>
      <c r="N59" s="10" t="s">
        <v>4901</v>
      </c>
      <c r="O59" s="15">
        <f>IFERROR(__xludf.DUMMYFUNCTION("IF(ISBLANK($C59), """", GOOGLEFINANCE($C59, ""price""))"),88.23)</f>
        <v>88.23</v>
      </c>
      <c r="P59" s="16">
        <f t="shared" si="2"/>
        <v>0.04340113529</v>
      </c>
      <c r="Q59" s="16">
        <f>IFERROR(__xludf.DUMMYFUNCTION("IF(OR(ISBLANK($G59), IFERROR(INDEX(GOOGLEFINANCE($C59, ""price"", WORKDAY(INT($B59), 1)), 2, 2), """")=""""), """", IF($D59=""LONG"", (IFERROR(INDEX(GOOGLEFINANCE($C59, ""price"", WORKDAY(INT($B59), 1)), 2, 2), """")-$G59)/$G59, ($G59-IFERROR(INDEX(GOOGLE"&amp;"FINANCE($C59, ""price"", WORKDAY(INT($B59), 1)), 2, 2), """"))/$G59))"),0.013599810785241147)</f>
        <v>0.01359981079</v>
      </c>
      <c r="R59" s="16">
        <f>IFERROR(__xludf.DUMMYFUNCTION("IF(OR(ISBLANK($G59), IFERROR(INDEX(GOOGLEFINANCE($C59, ""price"", WORKDAY(INT($B59), 5)), 2, 2), """")=""""), """", IF($D59=""LONG"", (IFERROR(INDEX(GOOGLEFINANCE($C59, ""price"", WORKDAY(INT($B59), 5)), 2, 2), """")-$G59)/$G59, ($G59-IFERROR(INDEX(GOOGLE"&amp;"FINANCE($C59, ""price"", WORKDAY(INT($B59), 5)), 2, 2), """"))/$G59))"),0.02306054872280041)</f>
        <v>0.02306054872</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4902</v>
      </c>
      <c r="U59" s="10" t="s">
        <v>507</v>
      </c>
      <c r="V59" s="10" t="s">
        <v>4903</v>
      </c>
      <c r="W59" s="10" t="s">
        <v>51</v>
      </c>
      <c r="X59" s="10" t="s">
        <v>2228</v>
      </c>
    </row>
    <row r="60">
      <c r="A60" s="9">
        <f t="shared" si="1"/>
        <v>59</v>
      </c>
      <c r="B60" s="11">
        <v>46230.66774305556</v>
      </c>
      <c r="C60" s="10" t="s">
        <v>173</v>
      </c>
      <c r="D60" s="10" t="s">
        <v>36</v>
      </c>
      <c r="E60" s="10" t="s">
        <v>37</v>
      </c>
      <c r="F60" s="13">
        <v>2.0</v>
      </c>
      <c r="G60" s="14">
        <v>87.3</v>
      </c>
      <c r="H60" s="10" t="s">
        <v>4905</v>
      </c>
      <c r="I60" s="10">
        <v>93.1</v>
      </c>
      <c r="O60" s="15">
        <f>IFERROR(__xludf.DUMMYFUNCTION("IF(ISBLANK($C60), """", GOOGLEFINANCE($C60, ""price""))"),87.59)</f>
        <v>87.59</v>
      </c>
      <c r="P60" s="16">
        <f t="shared" si="2"/>
        <v>0.00332187858</v>
      </c>
      <c r="Q60" s="16">
        <f>IFERROR(__xludf.DUMMYFUNCTION("IF(OR(ISBLANK($G60), IFERROR(INDEX(GOOGLEFINANCE($C60, ""price"", WORKDAY(INT($B60), 1)), 2, 2), """")=""""), """", IF($D60=""LONG"", (IFERROR(INDEX(GOOGLEFINANCE($C60, ""price"", WORKDAY(INT($B60), 1)), 2, 2), """")-$G60)/$G60, ($G60-IFERROR(INDEX(GOOGLE"&amp;"FINANCE($C60, ""price"", WORKDAY(INT($B60), 1)), 2, 2), """"))/$G60))"),-0.0049255441008017485)</f>
        <v>-0.004925544101</v>
      </c>
      <c r="R60" s="16">
        <f>IFERROR(__xludf.DUMMYFUNCTION("IF(OR(ISBLANK($G60), IFERROR(INDEX(GOOGLEFINANCE($C60, ""price"", WORKDAY(INT($B60), 5)), 2, 2), """")=""""), """", IF($D60=""LONG"", (IFERROR(INDEX(GOOGLEFINANCE($C60, ""price"", WORKDAY(INT($B60), 5)), 2, 2), """")-$G60)/$G60, ($G60-IFERROR(INDEX(GOOGLE"&amp;"FINANCE($C60, ""price"", WORKDAY(INT($B60), 5)), 2, 2), """"))/$G60))"),0.006758304696449066)</f>
        <v>0.006758304696</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4909</v>
      </c>
      <c r="U60" s="10" t="s">
        <v>240</v>
      </c>
      <c r="V60" s="10" t="s">
        <v>4910</v>
      </c>
      <c r="W60" s="10" t="s">
        <v>51</v>
      </c>
      <c r="X60" s="10" t="s">
        <v>1905</v>
      </c>
    </row>
    <row r="61">
      <c r="A61" s="9">
        <f t="shared" si="1"/>
        <v>60</v>
      </c>
      <c r="B61" s="11">
        <v>46230.66775462963</v>
      </c>
      <c r="C61" s="10" t="s">
        <v>455</v>
      </c>
      <c r="D61" s="10" t="s">
        <v>36</v>
      </c>
      <c r="E61" s="10" t="s">
        <v>37</v>
      </c>
      <c r="F61" s="13">
        <v>2.0</v>
      </c>
      <c r="G61" s="14">
        <v>111.46</v>
      </c>
      <c r="H61" s="10" t="s">
        <v>4911</v>
      </c>
      <c r="I61" s="10">
        <v>91.5</v>
      </c>
      <c r="O61" s="15">
        <f>IFERROR(__xludf.DUMMYFUNCTION("IF(ISBLANK($C61), """", GOOGLEFINANCE($C61, ""price""))"),108.66)</f>
        <v>108.66</v>
      </c>
      <c r="P61" s="16">
        <f t="shared" si="2"/>
        <v>-0.02512111968</v>
      </c>
      <c r="Q61" s="16">
        <f>IFERROR(__xludf.DUMMYFUNCTION("IF(OR(ISBLANK($G61), IFERROR(INDEX(GOOGLEFINANCE($C61, ""price"", WORKDAY(INT($B61), 1)), 2, 2), """")=""""), """", IF($D61=""LONG"", (IFERROR(INDEX(GOOGLEFINANCE($C61, ""price"", WORKDAY(INT($B61), 1)), 2, 2), """")-$G61)/$G61, ($G61-IFERROR(INDEX(GOOGLE"&amp;"FINANCE($C61, ""price"", WORKDAY(INT($B61), 1)), 2, 2), """"))/$G61))"),0.014624080387583076)</f>
        <v>0.01462408039</v>
      </c>
      <c r="R61" s="16">
        <f>IFERROR(__xludf.DUMMYFUNCTION("IF(OR(ISBLANK($G61), IFERROR(INDEX(GOOGLEFINANCE($C61, ""price"", WORKDAY(INT($B61), 5)), 2, 2), """")=""""), """", IF($D61=""LONG"", (IFERROR(INDEX(GOOGLEFINANCE($C61, ""price"", WORKDAY(INT($B61), 5)), 2, 2), """")-$G61)/$G61, ($G61-IFERROR(INDEX(GOOGLE"&amp;"FINANCE($C61, ""price"", WORKDAY(INT($B61), 5)), 2, 2), """"))/$G61))"),-0.03499013098869542)</f>
        <v>-0.03499013099</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4915</v>
      </c>
      <c r="U61" s="10" t="s">
        <v>984</v>
      </c>
      <c r="V61" s="10" t="s">
        <v>2714</v>
      </c>
      <c r="W61" s="10" t="s">
        <v>51</v>
      </c>
      <c r="X61" s="10" t="s">
        <v>984</v>
      </c>
    </row>
    <row r="62">
      <c r="A62" s="9">
        <f t="shared" si="1"/>
        <v>61</v>
      </c>
      <c r="B62" s="11">
        <v>46230.667766203704</v>
      </c>
      <c r="C62" s="10" t="s">
        <v>191</v>
      </c>
      <c r="D62" s="10" t="s">
        <v>36</v>
      </c>
      <c r="E62" s="10" t="s">
        <v>37</v>
      </c>
      <c r="F62" s="13">
        <v>2.0</v>
      </c>
      <c r="G62" s="14">
        <v>23.34</v>
      </c>
      <c r="H62" s="10" t="s">
        <v>4916</v>
      </c>
      <c r="I62" s="10">
        <v>88.3</v>
      </c>
      <c r="O62" s="15">
        <f>IFERROR(__xludf.DUMMYFUNCTION("IF(ISBLANK($C62), """", GOOGLEFINANCE($C62, ""price""))"),27.01)</f>
        <v>27.01</v>
      </c>
      <c r="P62" s="16">
        <f t="shared" si="2"/>
        <v>0.1572407883</v>
      </c>
      <c r="Q62" s="16">
        <f>IFERROR(__xludf.DUMMYFUNCTION("IF(OR(ISBLANK($G62), IFERROR(INDEX(GOOGLEFINANCE($C62, ""price"", WORKDAY(INT($B62), 1)), 2, 2), """")=""""), """", IF($D62=""LONG"", (IFERROR(INDEX(GOOGLEFINANCE($C62, ""price"", WORKDAY(INT($B62), 1)), 2, 2), """")-$G62)/$G62, ($G62-IFERROR(INDEX(GOOGLE"&amp;"FINANCE($C62, ""price"", WORKDAY(INT($B62), 1)), 2, 2), """"))/$G62))"),0.0441302485004285)</f>
        <v>0.0441302485</v>
      </c>
      <c r="R62" s="16">
        <f>IFERROR(__xludf.DUMMYFUNCTION("IF(OR(ISBLANK($G62), IFERROR(INDEX(GOOGLEFINANCE($C62, ""price"", WORKDAY(INT($B62), 5)), 2, 2), """")=""""), """", IF($D62=""LONG"", (IFERROR(INDEX(GOOGLEFINANCE($C62, ""price"", WORKDAY(INT($B62), 5)), 2, 2), """")-$G62)/$G62, ($G62-IFERROR(INDEX(GOOGLE"&amp;"FINANCE($C62, ""price"", WORKDAY(INT($B62), 5)), 2, 2), """"))/$G62))"),0.20394173093401893)</f>
        <v>0.2039417309</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4919</v>
      </c>
      <c r="U62" s="10" t="s">
        <v>932</v>
      </c>
      <c r="V62" s="10" t="s">
        <v>933</v>
      </c>
      <c r="W62" s="10" t="s">
        <v>51</v>
      </c>
      <c r="X62" s="10" t="s">
        <v>3186</v>
      </c>
    </row>
    <row r="63">
      <c r="A63" s="9">
        <f t="shared" si="1"/>
        <v>62</v>
      </c>
      <c r="B63" s="11">
        <v>46230.66775462963</v>
      </c>
      <c r="C63" s="10" t="s">
        <v>826</v>
      </c>
      <c r="D63" s="10" t="s">
        <v>36</v>
      </c>
      <c r="E63" s="10" t="s">
        <v>37</v>
      </c>
      <c r="F63" s="13">
        <v>2.0</v>
      </c>
      <c r="G63" s="14">
        <v>362.31</v>
      </c>
      <c r="H63" s="10" t="s">
        <v>4920</v>
      </c>
      <c r="I63" s="10">
        <v>94.6</v>
      </c>
      <c r="O63" s="15">
        <f>IFERROR(__xludf.DUMMYFUNCTION("IF(ISBLANK($C63), """", GOOGLEFINANCE($C63, ""price""))"),370.47)</f>
        <v>370.47</v>
      </c>
      <c r="P63" s="16">
        <f t="shared" si="2"/>
        <v>0.02252214954</v>
      </c>
      <c r="Q63" s="16">
        <f>IFERROR(__xludf.DUMMYFUNCTION("IF(OR(ISBLANK($G63), IFERROR(INDEX(GOOGLEFINANCE($C63, ""price"", WORKDAY(INT($B63), 1)), 2, 2), """")=""""), """", IF($D63=""LONG"", (IFERROR(INDEX(GOOGLEFINANCE($C63, ""price"", WORKDAY(INT($B63), 1)), 2, 2), """")-$G63)/$G63, ($G63-IFERROR(INDEX(GOOGLE"&amp;"FINANCE($C63, ""price"", WORKDAY(INT($B63), 1)), 2, 2), """"))/$G63))"),0.011813088239352966)</f>
        <v>0.01181308824</v>
      </c>
      <c r="R63" s="16">
        <f>IFERROR(__xludf.DUMMYFUNCTION("IF(OR(ISBLANK($G63), IFERROR(INDEX(GOOGLEFINANCE($C63, ""price"", WORKDAY(INT($B63), 5)), 2, 2), """")=""""), """", IF($D63=""LONG"", (IFERROR(INDEX(GOOGLEFINANCE($C63, ""price"", WORKDAY(INT($B63), 5)), 2, 2), """")-$G63)/$G63, ($G63-IFERROR(INDEX(GOOGLE"&amp;"FINANCE($C63, ""price"", WORKDAY(INT($B63), 5)), 2, 2), """"))/$G63))"),0.009273826281361303)</f>
        <v>0.009273826281</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4923</v>
      </c>
      <c r="U63" s="10" t="s">
        <v>984</v>
      </c>
      <c r="V63" s="10" t="s">
        <v>933</v>
      </c>
      <c r="W63" s="10" t="s">
        <v>51</v>
      </c>
      <c r="X63" s="10" t="s">
        <v>984</v>
      </c>
    </row>
    <row r="64">
      <c r="A64" s="9">
        <f t="shared" si="1"/>
        <v>63</v>
      </c>
      <c r="B64" s="11">
        <v>46230.6678125</v>
      </c>
      <c r="C64" s="10" t="s">
        <v>3364</v>
      </c>
      <c r="D64" s="10" t="s">
        <v>36</v>
      </c>
      <c r="E64" s="10" t="s">
        <v>37</v>
      </c>
      <c r="F64" s="13">
        <v>2.0</v>
      </c>
      <c r="G64" s="14">
        <v>194.44</v>
      </c>
      <c r="H64" s="10" t="s">
        <v>3716</v>
      </c>
      <c r="I64" s="10">
        <v>98.7</v>
      </c>
      <c r="O64" s="15">
        <f>IFERROR(__xludf.DUMMYFUNCTION("IF(ISBLANK($C64), """", GOOGLEFINANCE($C64, ""price""))"),217.8)</f>
        <v>217.8</v>
      </c>
      <c r="P64" s="16">
        <f t="shared" si="2"/>
        <v>0.1201398889</v>
      </c>
      <c r="Q64" s="16">
        <f>IFERROR(__xludf.DUMMYFUNCTION("IF(OR(ISBLANK($G64), IFERROR(INDEX(GOOGLEFINANCE($C64, ""price"", WORKDAY(INT($B64), 1)), 2, 2), """")=""""), """", IF($D64=""LONG"", (IFERROR(INDEX(GOOGLEFINANCE($C64, ""price"", WORKDAY(INT($B64), 1)), 2, 2), """")-$G64)/$G64, ($G64-IFERROR(INDEX(GOOGLE"&amp;"FINANCE($C64, ""price"", WORKDAY(INT($B64), 1)), 2, 2), """"))/$G64))"),0.03476650894877593)</f>
        <v>0.03476650895</v>
      </c>
      <c r="R64" s="16">
        <f>IFERROR(__xludf.DUMMYFUNCTION("IF(OR(ISBLANK($G64), IFERROR(INDEX(GOOGLEFINANCE($C64, ""price"", WORKDAY(INT($B64), 5)), 2, 2), """")=""""), """", IF($D64=""LONG"", (IFERROR(INDEX(GOOGLEFINANCE($C64, ""price"", WORKDAY(INT($B64), 5)), 2, 2), """")-$G64)/$G64, ($G64-IFERROR(INDEX(GOOGLE"&amp;"FINANCE($C64, ""price"", WORKDAY(INT($B64), 5)), 2, 2), """"))/$G64))"),0.060738531166426676)</f>
        <v>0.06073853117</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4925</v>
      </c>
      <c r="U64" s="10" t="s">
        <v>984</v>
      </c>
      <c r="V64" s="10" t="s">
        <v>985</v>
      </c>
      <c r="W64" s="10" t="s">
        <v>51</v>
      </c>
      <c r="X64" s="10" t="s">
        <v>984</v>
      </c>
    </row>
    <row r="65">
      <c r="A65" s="9">
        <f t="shared" si="1"/>
        <v>64</v>
      </c>
      <c r="B65" s="11">
        <v>46230.66782407407</v>
      </c>
      <c r="C65" s="10" t="s">
        <v>800</v>
      </c>
      <c r="D65" s="10" t="s">
        <v>36</v>
      </c>
      <c r="E65" s="10" t="s">
        <v>37</v>
      </c>
      <c r="F65" s="13">
        <v>2.0</v>
      </c>
      <c r="G65" s="14">
        <v>311.24</v>
      </c>
      <c r="H65" s="10" t="s">
        <v>4927</v>
      </c>
      <c r="I65" s="10">
        <v>93.3</v>
      </c>
      <c r="O65" s="15">
        <f>IFERROR(__xludf.DUMMYFUNCTION("IF(ISBLANK($C65), """", GOOGLEFINANCE($C65, ""price""))"),325.01)</f>
        <v>325.01</v>
      </c>
      <c r="P65" s="16">
        <f t="shared" si="2"/>
        <v>0.0442423853</v>
      </c>
      <c r="Q65" s="16">
        <f>IFERROR(__xludf.DUMMYFUNCTION("IF(OR(ISBLANK($G65), IFERROR(INDEX(GOOGLEFINANCE($C65, ""price"", WORKDAY(INT($B65), 1)), 2, 2), """")=""""), """", IF($D65=""LONG"", (IFERROR(INDEX(GOOGLEFINANCE($C65, ""price"", WORKDAY(INT($B65), 1)), 2, 2), """")-$G65)/$G65, ($G65-IFERROR(INDEX(GOOGLE"&amp;"FINANCE($C65, ""price"", WORKDAY(INT($B65), 1)), 2, 2), """"))/$G65))"),0.026796041639891962)</f>
        <v>0.02679604164</v>
      </c>
      <c r="R65" s="16">
        <f>IFERROR(__xludf.DUMMYFUNCTION("IF(OR(ISBLANK($G65), IFERROR(INDEX(GOOGLEFINANCE($C65, ""price"", WORKDAY(INT($B65), 5)), 2, 2), """")=""""), """", IF($D65=""LONG"", (IFERROR(INDEX(GOOGLEFINANCE($C65, ""price"", WORKDAY(INT($B65), 5)), 2, 2), """")-$G65)/$G65, ($G65-IFERROR(INDEX(GOOGLE"&amp;"FINANCE($C65, ""price"", WORKDAY(INT($B65), 5)), 2, 2), """"))/$G65))"),-0.009221179796941282)</f>
        <v>-0.009221179797</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4928</v>
      </c>
      <c r="U65" s="10" t="s">
        <v>984</v>
      </c>
      <c r="V65" s="10" t="s">
        <v>985</v>
      </c>
      <c r="W65" s="10" t="s">
        <v>51</v>
      </c>
      <c r="X65" s="10" t="s">
        <v>984</v>
      </c>
    </row>
    <row r="66">
      <c r="A66" s="9">
        <f t="shared" si="1"/>
        <v>65</v>
      </c>
      <c r="B66" s="11">
        <v>46230.66783564815</v>
      </c>
      <c r="C66" s="10" t="s">
        <v>2692</v>
      </c>
      <c r="D66" s="10" t="s">
        <v>36</v>
      </c>
      <c r="E66" s="10" t="s">
        <v>37</v>
      </c>
      <c r="F66" s="13">
        <v>2.0</v>
      </c>
      <c r="G66" s="14">
        <v>65.51</v>
      </c>
      <c r="H66" s="10" t="s">
        <v>4929</v>
      </c>
      <c r="I66" s="10">
        <v>91.2</v>
      </c>
      <c r="O66" s="15">
        <f>IFERROR(__xludf.DUMMYFUNCTION("IF(ISBLANK($C66), """", GOOGLEFINANCE($C66, ""price""))"),62.36)</f>
        <v>62.36</v>
      </c>
      <c r="P66" s="16">
        <f t="shared" si="2"/>
        <v>-0.04808426194</v>
      </c>
      <c r="Q66" s="16">
        <f>IFERROR(__xludf.DUMMYFUNCTION("IF(OR(ISBLANK($G66), IFERROR(INDEX(GOOGLEFINANCE($C66, ""price"", WORKDAY(INT($B66), 1)), 2, 2), """")=""""), """", IF($D66=""LONG"", (IFERROR(INDEX(GOOGLEFINANCE($C66, ""price"", WORKDAY(INT($B66), 1)), 2, 2), """")-$G66)/$G66, ($G66-IFERROR(INDEX(GOOGLE"&amp;"FINANCE($C66, ""price"", WORKDAY(INT($B66), 1)), 2, 2), """"))/$G66))"),0.0033582659136009592)</f>
        <v>0.003358265914</v>
      </c>
      <c r="R66" s="16">
        <f>IFERROR(__xludf.DUMMYFUNCTION("IF(OR(ISBLANK($G66), IFERROR(INDEX(GOOGLEFINANCE($C66, ""price"", WORKDAY(INT($B66), 5)), 2, 2), """")=""""), """", IF($D66=""LONG"", (IFERROR(INDEX(GOOGLEFINANCE($C66, ""price"", WORKDAY(INT($B66), 5)), 2, 2), """")-$G66)/$G66, ($G66-IFERROR(INDEX(GOOGLE"&amp;"FINANCE($C66, ""price"", WORKDAY(INT($B66), 5)), 2, 2), """"))/$G66))"),-0.03098763547550005)</f>
        <v>-0.03098763548</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4932</v>
      </c>
      <c r="U66" s="10" t="s">
        <v>704</v>
      </c>
      <c r="V66" s="10" t="s">
        <v>4933</v>
      </c>
      <c r="W66" s="10" t="s">
        <v>51</v>
      </c>
      <c r="X66" s="10" t="s">
        <v>1885</v>
      </c>
    </row>
    <row r="67">
      <c r="A67" s="9">
        <f t="shared" si="1"/>
        <v>66</v>
      </c>
      <c r="B67" s="11">
        <v>46230.667858796296</v>
      </c>
      <c r="C67" s="10" t="s">
        <v>641</v>
      </c>
      <c r="D67" s="10" t="s">
        <v>36</v>
      </c>
      <c r="E67" s="10" t="s">
        <v>37</v>
      </c>
      <c r="F67" s="13">
        <v>2.0</v>
      </c>
      <c r="G67" s="14">
        <v>64.67</v>
      </c>
      <c r="H67" s="10" t="s">
        <v>4934</v>
      </c>
      <c r="I67" s="10">
        <v>84.1</v>
      </c>
      <c r="O67" s="15">
        <f>IFERROR(__xludf.DUMMYFUNCTION("IF(ISBLANK($C67), """", GOOGLEFINANCE($C67, ""price""))"),63.13)</f>
        <v>63.13</v>
      </c>
      <c r="P67" s="16">
        <f t="shared" si="2"/>
        <v>-0.0238132055</v>
      </c>
      <c r="Q67" s="16">
        <f>IFERROR(__xludf.DUMMYFUNCTION("IF(OR(ISBLANK($G67), IFERROR(INDEX(GOOGLEFINANCE($C67, ""price"", WORKDAY(INT($B67), 1)), 2, 2), """")=""""), """", IF($D67=""LONG"", (IFERROR(INDEX(GOOGLEFINANCE($C67, ""price"", WORKDAY(INT($B67), 1)), 2, 2), """")-$G67)/$G67, ($G67-IFERROR(INDEX(GOOGLE"&amp;"FINANCE($C67, ""price"", WORKDAY(INT($B67), 1)), 2, 2), """"))/$G67))"),0.034328127416112554)</f>
        <v>0.03432812742</v>
      </c>
      <c r="R67" s="16">
        <f>IFERROR(__xludf.DUMMYFUNCTION("IF(OR(ISBLANK($G67), IFERROR(INDEX(GOOGLEFINANCE($C67, ""price"", WORKDAY(INT($B67), 5)), 2, 2), """")=""""), """", IF($D67=""LONG"", (IFERROR(INDEX(GOOGLEFINANCE($C67, ""price"", WORKDAY(INT($B67), 5)), 2, 2), """")-$G67)/$G67, ($G67-IFERROR(INDEX(GOOGLE"&amp;"FINANCE($C67, ""price"", WORKDAY(INT($B67), 5)), 2, 2), """"))/$G67))"),0.0074222978197000765)</f>
        <v>0.00742229782</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4937</v>
      </c>
      <c r="U67" s="10" t="s">
        <v>984</v>
      </c>
      <c r="V67" s="10" t="s">
        <v>2714</v>
      </c>
      <c r="W67" s="10" t="s">
        <v>51</v>
      </c>
      <c r="X67" s="10" t="s">
        <v>984</v>
      </c>
    </row>
    <row r="68">
      <c r="A68" s="9">
        <f t="shared" si="1"/>
        <v>67</v>
      </c>
      <c r="B68" s="11">
        <v>46230.66784722222</v>
      </c>
      <c r="C68" s="10" t="s">
        <v>440</v>
      </c>
      <c r="D68" s="10" t="s">
        <v>36</v>
      </c>
      <c r="E68" s="10" t="s">
        <v>37</v>
      </c>
      <c r="F68" s="13">
        <v>2.0</v>
      </c>
      <c r="G68" s="14">
        <v>95.2</v>
      </c>
      <c r="H68" s="10" t="s">
        <v>4938</v>
      </c>
      <c r="I68" s="10">
        <v>90.0</v>
      </c>
      <c r="O68" s="15">
        <f>IFERROR(__xludf.DUMMYFUNCTION("IF(ISBLANK($C68), """", GOOGLEFINANCE($C68, ""price""))"),99.95)</f>
        <v>99.95</v>
      </c>
      <c r="P68" s="16">
        <f t="shared" si="2"/>
        <v>0.04989495798</v>
      </c>
      <c r="Q68" s="16">
        <f>IFERROR(__xludf.DUMMYFUNCTION("IF(OR(ISBLANK($G68), IFERROR(INDEX(GOOGLEFINANCE($C68, ""price"", WORKDAY(INT($B68), 1)), 2, 2), """")=""""), """", IF($D68=""LONG"", (IFERROR(INDEX(GOOGLEFINANCE($C68, ""price"", WORKDAY(INT($B68), 1)), 2, 2), """")-$G68)/$G68, ($G68-IFERROR(INDEX(GOOGLE"&amp;"FINANCE($C68, ""price"", WORKDAY(INT($B68), 1)), 2, 2), """"))/$G68))"),0.02405462184873941)</f>
        <v>0.02405462185</v>
      </c>
      <c r="R68" s="16">
        <f>IFERROR(__xludf.DUMMYFUNCTION("IF(OR(ISBLANK($G68), IFERROR(INDEX(GOOGLEFINANCE($C68, ""price"", WORKDAY(INT($B68), 5)), 2, 2), """")=""""), """", IF($D68=""LONG"", (IFERROR(INDEX(GOOGLEFINANCE($C68, ""price"", WORKDAY(INT($B68), 5)), 2, 2), """")-$G68)/$G68, ($G68-IFERROR(INDEX(GOOGLE"&amp;"FINANCE($C68, ""price"", WORKDAY(INT($B68), 5)), 2, 2), """"))/$G68))"),0.011659663865546212)</f>
        <v>0.01165966387</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4943</v>
      </c>
      <c r="U68" s="10" t="s">
        <v>984</v>
      </c>
      <c r="V68" s="10" t="s">
        <v>2714</v>
      </c>
      <c r="W68" s="10" t="s">
        <v>51</v>
      </c>
      <c r="X68" s="10" t="s">
        <v>984</v>
      </c>
    </row>
    <row r="69">
      <c r="A69" s="9">
        <f t="shared" si="1"/>
        <v>68</v>
      </c>
      <c r="B69" s="11">
        <v>46230.66784722222</v>
      </c>
      <c r="C69" s="10" t="s">
        <v>4944</v>
      </c>
      <c r="D69" s="10" t="s">
        <v>36</v>
      </c>
      <c r="E69" s="10" t="s">
        <v>4224</v>
      </c>
      <c r="F69" s="13">
        <v>4.0</v>
      </c>
      <c r="G69" s="14">
        <v>271.31</v>
      </c>
      <c r="H69" s="10" t="s">
        <v>4945</v>
      </c>
      <c r="I69" s="10">
        <v>12.4</v>
      </c>
      <c r="O69" s="15">
        <f>IFERROR(__xludf.DUMMYFUNCTION("IF(ISBLANK($C69), """", GOOGLEFINANCE($C69, ""price""))"),334.22)</f>
        <v>334.22</v>
      </c>
      <c r="P69" s="16">
        <f t="shared" si="2"/>
        <v>0.231874977</v>
      </c>
      <c r="Q69" s="16">
        <f>IFERROR(__xludf.DUMMYFUNCTION("IF(OR(ISBLANK($G69), IFERROR(INDEX(GOOGLEFINANCE($C69, ""price"", WORKDAY(INT($B69), 1)), 2, 2), """")=""""), """", IF($D69=""LONG"", (IFERROR(INDEX(GOOGLEFINANCE($C69, ""price"", WORKDAY(INT($B69), 1)), 2, 2), """")-$G69)/$G69, ($G69-IFERROR(INDEX(GOOGLE"&amp;"FINANCE($C69, ""price"", WORKDAY(INT($B69), 1)), 2, 2), """"))/$G69))"),-0.10312926173012417)</f>
        <v>-0.1031292617</v>
      </c>
      <c r="R69" s="16">
        <f>IFERROR(__xludf.DUMMYFUNCTION("IF(OR(ISBLANK($G69), IFERROR(INDEX(GOOGLEFINANCE($C69, ""price"", WORKDAY(INT($B69), 5)), 2, 2), """")=""""), """", IF($D69=""LONG"", (IFERROR(INDEX(GOOGLEFINANCE($C69, ""price"", WORKDAY(INT($B69), 5)), 2, 2), """")-$G69)/$G69, ($G69-IFERROR(INDEX(GOOGLE"&amp;"FINANCE($C69, ""price"", WORKDAY(INT($B69), 5)), 2, 2), """"))/$G69))"),0.062032361505289096)</f>
        <v>0.06203236151</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4950</v>
      </c>
      <c r="U69" s="10" t="s">
        <v>984</v>
      </c>
      <c r="V69" s="10" t="s">
        <v>1059</v>
      </c>
      <c r="W69" s="10" t="s">
        <v>51</v>
      </c>
      <c r="X69" s="10" t="s">
        <v>984</v>
      </c>
    </row>
    <row r="70">
      <c r="A70" s="9">
        <f t="shared" si="1"/>
        <v>69</v>
      </c>
      <c r="B70" s="11">
        <v>46230.667858796296</v>
      </c>
      <c r="C70" s="10" t="s">
        <v>691</v>
      </c>
      <c r="D70" s="10" t="s">
        <v>36</v>
      </c>
      <c r="E70" s="10" t="s">
        <v>37</v>
      </c>
      <c r="F70" s="13">
        <v>2.0</v>
      </c>
      <c r="G70" s="14">
        <v>30.11</v>
      </c>
      <c r="H70" s="10" t="s">
        <v>4952</v>
      </c>
      <c r="I70" s="10">
        <v>89.0</v>
      </c>
      <c r="O70" s="15">
        <f>IFERROR(__xludf.DUMMYFUNCTION("IF(ISBLANK($C70), """", GOOGLEFINANCE($C70, ""price""))"),31.69)</f>
        <v>31.69</v>
      </c>
      <c r="P70" s="16">
        <f t="shared" si="2"/>
        <v>0.05247426104</v>
      </c>
      <c r="Q70" s="16">
        <f>IFERROR(__xludf.DUMMYFUNCTION("IF(OR(ISBLANK($G70), IFERROR(INDEX(GOOGLEFINANCE($C70, ""price"", WORKDAY(INT($B70), 1)), 2, 2), """")=""""), """", IF($D70=""LONG"", (IFERROR(INDEX(GOOGLEFINANCE($C70, ""price"", WORKDAY(INT($B70), 1)), 2, 2), """")-$G70)/$G70, ($G70-IFERROR(INDEX(GOOGLE"&amp;"FINANCE($C70, ""price"", WORKDAY(INT($B70), 1)), 2, 2), """"))/$G70))"),-0.022583859182995672)</f>
        <v>-0.02258385918</v>
      </c>
      <c r="R70" s="16">
        <f>IFERROR(__xludf.DUMMYFUNCTION("IF(OR(ISBLANK($G70), IFERROR(INDEX(GOOGLEFINANCE($C70, ""price"", WORKDAY(INT($B70), 5)), 2, 2), """")=""""), """", IF($D70=""LONG"", (IFERROR(INDEX(GOOGLEFINANCE($C70, ""price"", WORKDAY(INT($B70), 5)), 2, 2), """")-$G70)/$G70, ($G70-IFERROR(INDEX(GOOGLE"&amp;"FINANCE($C70, ""price"", WORKDAY(INT($B70), 5)), 2, 2), """"))/$G70))"),0.026569246097642003)</f>
        <v>0.0265692461</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4954</v>
      </c>
      <c r="U70" s="10" t="s">
        <v>984</v>
      </c>
      <c r="V70" s="10" t="s">
        <v>933</v>
      </c>
      <c r="W70" s="10" t="s">
        <v>51</v>
      </c>
      <c r="X70" s="10" t="s">
        <v>984</v>
      </c>
    </row>
    <row r="71">
      <c r="A71" s="9">
        <f t="shared" si="1"/>
        <v>70</v>
      </c>
      <c r="B71" s="11">
        <v>46230.667858796296</v>
      </c>
      <c r="C71" s="10" t="s">
        <v>398</v>
      </c>
      <c r="D71" s="10" t="s">
        <v>36</v>
      </c>
      <c r="E71" s="10" t="s">
        <v>37</v>
      </c>
      <c r="F71" s="13">
        <v>2.0</v>
      </c>
      <c r="G71" s="14">
        <v>71.61</v>
      </c>
      <c r="H71" s="10" t="s">
        <v>4955</v>
      </c>
      <c r="I71" s="10">
        <v>95.9</v>
      </c>
      <c r="O71" s="15">
        <f>IFERROR(__xludf.DUMMYFUNCTION("IF(ISBLANK($C71), """", GOOGLEFINANCE($C71, ""price""))"),71.9)</f>
        <v>71.9</v>
      </c>
      <c r="P71" s="16">
        <f t="shared" si="2"/>
        <v>0.004049713727</v>
      </c>
      <c r="Q71" s="16">
        <f>IFERROR(__xludf.DUMMYFUNCTION("IF(OR(ISBLANK($G71), IFERROR(INDEX(GOOGLEFINANCE($C71, ""price"", WORKDAY(INT($B71), 1)), 2, 2), """")=""""), """", IF($D71=""LONG"", (IFERROR(INDEX(GOOGLEFINANCE($C71, ""price"", WORKDAY(INT($B71), 1)), 2, 2), """")-$G71)/$G71, ($G71-IFERROR(INDEX(GOOGLE"&amp;"FINANCE($C71, ""price"", WORKDAY(INT($B71), 1)), 2, 2), """"))/$G71))"),0.006423683843038594)</f>
        <v>0.006423683843</v>
      </c>
      <c r="R71" s="16">
        <f>IFERROR(__xludf.DUMMYFUNCTION("IF(OR(ISBLANK($G71), IFERROR(INDEX(GOOGLEFINANCE($C71, ""price"", WORKDAY(INT($B71), 5)), 2, 2), """")=""""), """", IF($D71=""LONG"", (IFERROR(INDEX(GOOGLEFINANCE($C71, ""price"", WORKDAY(INT($B71), 5)), 2, 2), """")-$G71)/$G71, ($G71-IFERROR(INDEX(GOOGLE"&amp;"FINANCE($C71, ""price"", WORKDAY(INT($B71), 5)), 2, 2), """"))/$G71))"),0.007401200949588062)</f>
        <v>0.00740120095</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4958</v>
      </c>
      <c r="U71" s="10" t="s">
        <v>984</v>
      </c>
      <c r="V71" s="10" t="s">
        <v>2785</v>
      </c>
      <c r="W71" s="10" t="s">
        <v>51</v>
      </c>
      <c r="X71" s="10" t="s">
        <v>984</v>
      </c>
    </row>
    <row r="72">
      <c r="A72" s="9">
        <f t="shared" si="1"/>
        <v>71</v>
      </c>
      <c r="B72" s="11">
        <v>46230.66774305556</v>
      </c>
      <c r="C72" s="10" t="s">
        <v>1672</v>
      </c>
      <c r="D72" s="10" t="s">
        <v>36</v>
      </c>
      <c r="E72" s="10" t="s">
        <v>37</v>
      </c>
      <c r="F72" s="13">
        <v>2.0</v>
      </c>
      <c r="G72" s="14">
        <v>103.88</v>
      </c>
      <c r="H72" s="10" t="s">
        <v>4959</v>
      </c>
      <c r="I72" s="10">
        <v>93.8</v>
      </c>
      <c r="O72" s="15">
        <f>IFERROR(__xludf.DUMMYFUNCTION("IF(ISBLANK($C72), """", GOOGLEFINANCE($C72, ""price""))"),99.29)</f>
        <v>99.29</v>
      </c>
      <c r="P72" s="16">
        <f t="shared" si="2"/>
        <v>-0.04418559877</v>
      </c>
      <c r="Q72" s="16">
        <f>IFERROR(__xludf.DUMMYFUNCTION("IF(OR(ISBLANK($G72), IFERROR(INDEX(GOOGLEFINANCE($C72, ""price"", WORKDAY(INT($B72), 1)), 2, 2), """")=""""), """", IF($D72=""LONG"", (IFERROR(INDEX(GOOGLEFINANCE($C72, ""price"", WORKDAY(INT($B72), 1)), 2, 2), """")-$G72)/$G72, ($G72-IFERROR(INDEX(GOOGLE"&amp;"FINANCE($C72, ""price"", WORKDAY(INT($B72), 1)), 2, 2), """"))/$G72))"),0.025028879476318912)</f>
        <v>0.02502887948</v>
      </c>
      <c r="R72" s="16">
        <f>IFERROR(__xludf.DUMMYFUNCTION("IF(OR(ISBLANK($G72), IFERROR(INDEX(GOOGLEFINANCE($C72, ""price"", WORKDAY(INT($B72), 5)), 2, 2), """")=""""), """", IF($D72=""LONG"", (IFERROR(INDEX(GOOGLEFINANCE($C72, ""price"", WORKDAY(INT($B72), 5)), 2, 2), """")-$G72)/$G72, ($G72-IFERROR(INDEX(GOOGLE"&amp;"FINANCE($C72, ""price"", WORKDAY(INT($B72), 5)), 2, 2), """"))/$G72))"),-0.02656911821332298)</f>
        <v>-0.02656911821</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4963</v>
      </c>
      <c r="U72" s="10" t="s">
        <v>984</v>
      </c>
      <c r="V72" s="10" t="s">
        <v>2714</v>
      </c>
      <c r="W72" s="10" t="s">
        <v>51</v>
      </c>
      <c r="X72" s="10" t="s">
        <v>984</v>
      </c>
    </row>
    <row r="73">
      <c r="A73" s="9">
        <f t="shared" si="1"/>
        <v>72</v>
      </c>
      <c r="B73" s="11">
        <v>46230.66774305556</v>
      </c>
      <c r="C73" s="10" t="s">
        <v>3721</v>
      </c>
      <c r="D73" s="10" t="s">
        <v>36</v>
      </c>
      <c r="E73" s="10" t="s">
        <v>37</v>
      </c>
      <c r="F73" s="13">
        <v>2.0</v>
      </c>
      <c r="G73" s="14">
        <v>104.18</v>
      </c>
      <c r="H73" s="10" t="s">
        <v>4964</v>
      </c>
      <c r="I73" s="10">
        <v>95.8</v>
      </c>
      <c r="O73" s="15">
        <f>IFERROR(__xludf.DUMMYFUNCTION("IF(ISBLANK($C73), """", GOOGLEFINANCE($C73, ""price""))"),107.66)</f>
        <v>107.66</v>
      </c>
      <c r="P73" s="16">
        <f t="shared" si="2"/>
        <v>0.03340372432</v>
      </c>
      <c r="Q73" s="16">
        <f>IFERROR(__xludf.DUMMYFUNCTION("IF(OR(ISBLANK($G73), IFERROR(INDEX(GOOGLEFINANCE($C73, ""price"", WORKDAY(INT($B73), 1)), 2, 2), """")=""""), """", IF($D73=""LONG"", (IFERROR(INDEX(GOOGLEFINANCE($C73, ""price"", WORKDAY(INT($B73), 1)), 2, 2), """")-$G73)/$G73, ($G73-IFERROR(INDEX(GOOGLE"&amp;"FINANCE($C73, ""price"", WORKDAY(INT($B73), 1)), 2, 2), """"))/$G73))"),0.017181800729506546)</f>
        <v>0.01718180073</v>
      </c>
      <c r="R73" s="16">
        <f>IFERROR(__xludf.DUMMYFUNCTION("IF(OR(ISBLANK($G73), IFERROR(INDEX(GOOGLEFINANCE($C73, ""price"", WORKDAY(INT($B73), 5)), 2, 2), """")=""""), """", IF($D73=""LONG"", (IFERROR(INDEX(GOOGLEFINANCE($C73, ""price"", WORKDAY(INT($B73), 5)), 2, 2), """")-$G73)/$G73, ($G73-IFERROR(INDEX(GOOGLE"&amp;"FINANCE($C73, ""price"", WORKDAY(INT($B73), 5)), 2, 2), """"))/$G73))"),0.016221923593779972)</f>
        <v>0.01622192359</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4971</v>
      </c>
      <c r="U73" s="10" t="s">
        <v>984</v>
      </c>
      <c r="V73" s="10" t="s">
        <v>985</v>
      </c>
      <c r="W73" s="10" t="s">
        <v>51</v>
      </c>
      <c r="X73" s="10" t="s">
        <v>984</v>
      </c>
    </row>
    <row r="74">
      <c r="A74" s="9">
        <f t="shared" si="1"/>
        <v>73</v>
      </c>
      <c r="B74" s="11">
        <v>46230.66780092593</v>
      </c>
      <c r="C74" s="10" t="s">
        <v>80</v>
      </c>
      <c r="D74" s="10" t="s">
        <v>36</v>
      </c>
      <c r="E74" s="10" t="s">
        <v>37</v>
      </c>
      <c r="F74" s="13">
        <v>2.0</v>
      </c>
      <c r="G74" s="14">
        <v>256.87</v>
      </c>
      <c r="H74" s="10" t="s">
        <v>4974</v>
      </c>
      <c r="I74" s="10">
        <v>82.2</v>
      </c>
      <c r="L74" s="10" t="s">
        <v>4975</v>
      </c>
      <c r="M74" s="10" t="s">
        <v>2174</v>
      </c>
      <c r="N74" s="10" t="s">
        <v>925</v>
      </c>
      <c r="O74" s="15">
        <f>IFERROR(__xludf.DUMMYFUNCTION("IF(ISBLANK($C74), """", GOOGLEFINANCE($C74, ""price""))"),243.87)</f>
        <v>243.87</v>
      </c>
      <c r="P74" s="16">
        <f t="shared" si="2"/>
        <v>-0.0506092576</v>
      </c>
      <c r="Q74" s="16">
        <f>IFERROR(__xludf.DUMMYFUNCTION("IF(OR(ISBLANK($G74), IFERROR(INDEX(GOOGLEFINANCE($C74, ""price"", WORKDAY(INT($B74), 1)), 2, 2), """")=""""), """", IF($D74=""LONG"", (IFERROR(INDEX(GOOGLEFINANCE($C74, ""price"", WORKDAY(INT($B74), 1)), 2, 2), """")-$G74)/$G74, ($G74-IFERROR(INDEX(GOOGLE"&amp;"FINANCE($C74, ""price"", WORKDAY(INT($B74), 1)), 2, 2), """"))/$G74))"),0.024642815431930486)</f>
        <v>0.02464281543</v>
      </c>
      <c r="R74" s="16">
        <f>IFERROR(__xludf.DUMMYFUNCTION("IF(OR(ISBLANK($G74), IFERROR(INDEX(GOOGLEFINANCE($C74, ""price"", WORKDAY(INT($B74), 5)), 2, 2), """")=""""), """", IF($D74=""LONG"", (IFERROR(INDEX(GOOGLEFINANCE($C74, ""price"", WORKDAY(INT($B74), 5)), 2, 2), """")-$G74)/$G74, ($G74-IFERROR(INDEX(GOOGLE"&amp;"FINANCE($C74, ""price"", WORKDAY(INT($B74), 5)), 2, 2), """"))/$G74))"),-0.04582084322809207)</f>
        <v>-0.04582084323</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4979</v>
      </c>
      <c r="U74" s="10" t="s">
        <v>615</v>
      </c>
      <c r="V74" s="10" t="s">
        <v>4981</v>
      </c>
      <c r="W74" s="10" t="s">
        <v>51</v>
      </c>
      <c r="X74" s="10" t="s">
        <v>2637</v>
      </c>
    </row>
    <row r="75">
      <c r="A75" s="9">
        <f t="shared" si="1"/>
        <v>74</v>
      </c>
      <c r="B75" s="11">
        <v>46230.667719907404</v>
      </c>
      <c r="C75" s="10" t="s">
        <v>104</v>
      </c>
      <c r="D75" s="10" t="s">
        <v>36</v>
      </c>
      <c r="E75" s="10" t="s">
        <v>37</v>
      </c>
      <c r="F75" s="13">
        <v>2.0</v>
      </c>
      <c r="G75" s="14">
        <v>123.23</v>
      </c>
      <c r="H75" s="10" t="s">
        <v>4982</v>
      </c>
      <c r="I75" s="10">
        <v>94.5</v>
      </c>
      <c r="O75" s="15">
        <f>IFERROR(__xludf.DUMMYFUNCTION("IF(ISBLANK($C75), """", GOOGLEFINANCE($C75, ""price""))"),127.45)</f>
        <v>127.45</v>
      </c>
      <c r="P75" s="16">
        <f t="shared" si="2"/>
        <v>0.0342449079</v>
      </c>
      <c r="Q75" s="16">
        <f>IFERROR(__xludf.DUMMYFUNCTION("IF(OR(ISBLANK($G75), IFERROR(INDEX(GOOGLEFINANCE($C75, ""price"", WORKDAY(INT($B75), 1)), 2, 2), """")=""""), """", IF($D75=""LONG"", (IFERROR(INDEX(GOOGLEFINANCE($C75, ""price"", WORKDAY(INT($B75), 1)), 2, 2), """")-$G75)/$G75, ($G75-IFERROR(INDEX(GOOGLE"&amp;"FINANCE($C75, ""price"", WORKDAY(INT($B75), 1)), 2, 2), """"))/$G75))"),0.022234845411020002)</f>
        <v>0.02223484541</v>
      </c>
      <c r="R75" s="16">
        <f>IFERROR(__xludf.DUMMYFUNCTION("IF(OR(ISBLANK($G75), IFERROR(INDEX(GOOGLEFINANCE($C75, ""price"", WORKDAY(INT($B75), 5)), 2, 2), """")=""""), """", IF($D75=""LONG"", (IFERROR(INDEX(GOOGLEFINANCE($C75, ""price"", WORKDAY(INT($B75), 5)), 2, 2), """")-$G75)/$G75, ($G75-IFERROR(INDEX(GOOGLE"&amp;"FINANCE($C75, ""price"", WORKDAY(INT($B75), 5)), 2, 2), """"))/$G75))"),0.0364359328085693)</f>
        <v>0.03643593281</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4988</v>
      </c>
      <c r="U75" s="10" t="s">
        <v>984</v>
      </c>
      <c r="V75" s="10" t="s">
        <v>985</v>
      </c>
      <c r="W75" s="10" t="s">
        <v>51</v>
      </c>
      <c r="X75" s="10" t="s">
        <v>984</v>
      </c>
    </row>
    <row r="76">
      <c r="A76" s="9">
        <f t="shared" si="1"/>
        <v>75</v>
      </c>
      <c r="B76" s="11">
        <v>46230.66784722222</v>
      </c>
      <c r="C76" s="10" t="s">
        <v>170</v>
      </c>
      <c r="D76" s="10" t="s">
        <v>36</v>
      </c>
      <c r="E76" s="10" t="s">
        <v>37</v>
      </c>
      <c r="F76" s="13">
        <v>2.0</v>
      </c>
      <c r="G76" s="14">
        <v>70.26</v>
      </c>
      <c r="H76" s="10" t="s">
        <v>4100</v>
      </c>
      <c r="I76" s="10">
        <v>93.2</v>
      </c>
      <c r="O76" s="15">
        <f>IFERROR(__xludf.DUMMYFUNCTION("IF(ISBLANK($C76), """", GOOGLEFINANCE($C76, ""price""))"),66.8)</f>
        <v>66.8</v>
      </c>
      <c r="P76" s="16">
        <f t="shared" si="2"/>
        <v>-0.04924565898</v>
      </c>
      <c r="Q76" s="16">
        <f>IFERROR(__xludf.DUMMYFUNCTION("IF(OR(ISBLANK($G76), IFERROR(INDEX(GOOGLEFINANCE($C76, ""price"", WORKDAY(INT($B76), 1)), 2, 2), """")=""""), """", IF($D76=""LONG"", (IFERROR(INDEX(GOOGLEFINANCE($C76, ""price"", WORKDAY(INT($B76), 1)), 2, 2), """")-$G76)/$G76, ($G76-IFERROR(INDEX(GOOGLE"&amp;"FINANCE($C76, ""price"", WORKDAY(INT($B76), 1)), 2, 2), """"))/$G76))"),0.005123825789923134)</f>
        <v>0.00512382579</v>
      </c>
      <c r="R76" s="16">
        <f>IFERROR(__xludf.DUMMYFUNCTION("IF(OR(ISBLANK($G76), IFERROR(INDEX(GOOGLEFINANCE($C76, ""price"", WORKDAY(INT($B76), 5)), 2, 2), """")=""""), """", IF($D76=""LONG"", (IFERROR(INDEX(GOOGLEFINANCE($C76, ""price"", WORKDAY(INT($B76), 5)), 2, 2), """")-$G76)/$G76, ($G76-IFERROR(INDEX(GOOGLE"&amp;"FINANCE($C76, ""price"", WORKDAY(INT($B76), 5)), 2, 2), """"))/$G76))"),-0.021491602618844363)</f>
        <v>-0.02149160262</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4996</v>
      </c>
      <c r="U76" s="10" t="s">
        <v>984</v>
      </c>
      <c r="V76" s="10" t="s">
        <v>933</v>
      </c>
      <c r="W76" s="10" t="s">
        <v>51</v>
      </c>
      <c r="X76" s="10" t="s">
        <v>984</v>
      </c>
    </row>
    <row r="77">
      <c r="A77" s="9">
        <f t="shared" si="1"/>
        <v>76</v>
      </c>
      <c r="B77" s="11">
        <v>46230.66774305556</v>
      </c>
      <c r="C77" s="10" t="s">
        <v>94</v>
      </c>
      <c r="D77" s="10" t="s">
        <v>36</v>
      </c>
      <c r="E77" s="10" t="s">
        <v>37</v>
      </c>
      <c r="F77" s="13">
        <v>2.0</v>
      </c>
      <c r="G77" s="14">
        <v>57.0</v>
      </c>
      <c r="H77" s="10" t="s">
        <v>4997</v>
      </c>
      <c r="I77" s="10">
        <v>91.4</v>
      </c>
      <c r="O77" s="15">
        <f>IFERROR(__xludf.DUMMYFUNCTION("IF(ISBLANK($C77), """", GOOGLEFINANCE($C77, ""price""))"),56.96)</f>
        <v>56.96</v>
      </c>
      <c r="P77" s="16">
        <f t="shared" si="2"/>
        <v>-0.000701754386</v>
      </c>
      <c r="Q77" s="16">
        <f>IFERROR(__xludf.DUMMYFUNCTION("IF(OR(ISBLANK($G77), IFERROR(INDEX(GOOGLEFINANCE($C77, ""price"", WORKDAY(INT($B77), 1)), 2, 2), """")=""""), """", IF($D77=""LONG"", (IFERROR(INDEX(GOOGLEFINANCE($C77, ""price"", WORKDAY(INT($B77), 1)), 2, 2), """")-$G77)/$G77, ($G77-IFERROR(INDEX(GOOGLE"&amp;"FINANCE($C77, ""price"", WORKDAY(INT($B77), 1)), 2, 2), """"))/$G77))"),0.014035087719298196)</f>
        <v>0.01403508772</v>
      </c>
      <c r="R77" s="16">
        <f>IFERROR(__xludf.DUMMYFUNCTION("IF(OR(ISBLANK($G77), IFERROR(INDEX(GOOGLEFINANCE($C77, ""price"", WORKDAY(INT($B77), 5)), 2, 2), """")=""""), """", IF($D77=""LONG"", (IFERROR(INDEX(GOOGLEFINANCE($C77, ""price"", WORKDAY(INT($B77), 5)), 2, 2), """")-$G77)/$G77, ($G77-IFERROR(INDEX(GOOGLE"&amp;"FINANCE($C77, ""price"", WORKDAY(INT($B77), 5)), 2, 2), """"))/$G77))"),-0.0017543859649123057)</f>
        <v>-0.001754385965</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5000</v>
      </c>
      <c r="U77" s="10" t="s">
        <v>240</v>
      </c>
      <c r="V77" s="10" t="s">
        <v>5001</v>
      </c>
      <c r="W77" s="10" t="s">
        <v>51</v>
      </c>
      <c r="X77" s="10" t="s">
        <v>1905</v>
      </c>
    </row>
    <row r="78">
      <c r="A78" s="9">
        <f t="shared" si="1"/>
        <v>77</v>
      </c>
      <c r="B78" s="11">
        <v>46230.66777777778</v>
      </c>
      <c r="C78" s="10" t="s">
        <v>4135</v>
      </c>
      <c r="D78" s="10" t="s">
        <v>36</v>
      </c>
      <c r="E78" s="10" t="s">
        <v>37</v>
      </c>
      <c r="F78" s="13">
        <v>2.0</v>
      </c>
      <c r="G78" s="14">
        <v>376.21</v>
      </c>
      <c r="H78" s="10" t="s">
        <v>5004</v>
      </c>
      <c r="I78" s="10">
        <v>85.5</v>
      </c>
      <c r="O78" s="15">
        <f>IFERROR(__xludf.DUMMYFUNCTION("IF(ISBLANK($C78), """", GOOGLEFINANCE($C78, ""price""))"),404.85)</f>
        <v>404.85</v>
      </c>
      <c r="P78" s="16">
        <f t="shared" si="2"/>
        <v>0.07612769464</v>
      </c>
      <c r="Q78" s="16">
        <f>IFERROR(__xludf.DUMMYFUNCTION("IF(OR(ISBLANK($G78), IFERROR(INDEX(GOOGLEFINANCE($C78, ""price"", WORKDAY(INT($B78), 1)), 2, 2), """")=""""), """", IF($D78=""LONG"", (IFERROR(INDEX(GOOGLEFINANCE($C78, ""price"", WORKDAY(INT($B78), 1)), 2, 2), """")-$G78)/$G78, ($G78-IFERROR(INDEX(GOOGLE"&amp;"FINANCE($C78, ""price"", WORKDAY(INT($B78), 1)), 2, 2), """"))/$G78))"),0.044895138353579236)</f>
        <v>0.04489513835</v>
      </c>
      <c r="R78" s="16">
        <f>IFERROR(__xludf.DUMMYFUNCTION("IF(OR(ISBLANK($G78), IFERROR(INDEX(GOOGLEFINANCE($C78, ""price"", WORKDAY(INT($B78), 5)), 2, 2), """")=""""), """", IF($D78=""LONG"", (IFERROR(INDEX(GOOGLEFINANCE($C78, ""price"", WORKDAY(INT($B78), 5)), 2, 2), """")-$G78)/$G78, ($G78-IFERROR(INDEX(GOOGLE"&amp;"FINANCE($C78, ""price"", WORKDAY(INT($B78), 5)), 2, 2), """"))/$G78))"),0.007070519124956873)</f>
        <v>0.007070519125</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5008</v>
      </c>
      <c r="U78" s="10" t="s">
        <v>507</v>
      </c>
      <c r="V78" s="10" t="s">
        <v>5009</v>
      </c>
      <c r="W78" s="10" t="s">
        <v>51</v>
      </c>
      <c r="X78" s="10" t="s">
        <v>2228</v>
      </c>
    </row>
    <row r="79">
      <c r="A79" s="9">
        <f t="shared" si="1"/>
        <v>78</v>
      </c>
      <c r="B79" s="11">
        <v>46230.66773148148</v>
      </c>
      <c r="C79" s="10" t="s">
        <v>342</v>
      </c>
      <c r="D79" s="10" t="s">
        <v>36</v>
      </c>
      <c r="E79" s="10" t="s">
        <v>37</v>
      </c>
      <c r="F79" s="13">
        <v>2.0</v>
      </c>
      <c r="G79" s="14">
        <v>62.17</v>
      </c>
      <c r="H79" s="10" t="s">
        <v>5013</v>
      </c>
      <c r="I79" s="10">
        <v>89.2</v>
      </c>
      <c r="O79" s="15">
        <f>IFERROR(__xludf.DUMMYFUNCTION("IF(ISBLANK($C79), """", GOOGLEFINANCE($C79, ""price""))"),63.0)</f>
        <v>63</v>
      </c>
      <c r="P79" s="16">
        <f t="shared" si="2"/>
        <v>0.01335049059</v>
      </c>
      <c r="Q79" s="16">
        <f>IFERROR(__xludf.DUMMYFUNCTION("IF(OR(ISBLANK($G79), IFERROR(INDEX(GOOGLEFINANCE($C79, ""price"", WORKDAY(INT($B79), 1)), 2, 2), """")=""""), """", IF($D79=""LONG"", (IFERROR(INDEX(GOOGLEFINANCE($C79, ""price"", WORKDAY(INT($B79), 1)), 2, 2), """")-$G79)/$G79, ($G79-IFERROR(INDEX(GOOGLE"&amp;"FINANCE($C79, ""price"", WORKDAY(INT($B79), 1)), 2, 2), """"))/$G79))"),0.007238217789930766)</f>
        <v>0.00723821779</v>
      </c>
      <c r="R79" s="16">
        <f>IFERROR(__xludf.DUMMYFUNCTION("IF(OR(ISBLANK($G79), IFERROR(INDEX(GOOGLEFINANCE($C79, ""price"", WORKDAY(INT($B79), 5)), 2, 2), """")=""""), """", IF($D79=""LONG"", (IFERROR(INDEX(GOOGLEFINANCE($C79, ""price"", WORKDAY(INT($B79), 5)), 2, 2), """")-$G79)/$G79, ($G79-IFERROR(INDEX(GOOGLE"&amp;"FINANCE($C79, ""price"", WORKDAY(INT($B79), 5)), 2, 2), """"))/$G79))"),0.004986327810841164)</f>
        <v>0.004986327811</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5018</v>
      </c>
      <c r="U79" s="10" t="s">
        <v>984</v>
      </c>
      <c r="V79" s="10" t="s">
        <v>2785</v>
      </c>
      <c r="W79" s="10" t="s">
        <v>51</v>
      </c>
      <c r="X79" s="10" t="s">
        <v>984</v>
      </c>
    </row>
    <row r="80">
      <c r="A80" s="9">
        <f t="shared" si="1"/>
        <v>79</v>
      </c>
      <c r="B80" s="11">
        <v>46230.667858796296</v>
      </c>
      <c r="C80" s="10" t="s">
        <v>69</v>
      </c>
      <c r="D80" s="10" t="s">
        <v>36</v>
      </c>
      <c r="E80" s="10" t="s">
        <v>37</v>
      </c>
      <c r="F80" s="13">
        <v>2.0</v>
      </c>
      <c r="G80" s="14">
        <v>265.98</v>
      </c>
      <c r="H80" s="10" t="s">
        <v>5019</v>
      </c>
      <c r="I80" s="10">
        <v>90.8</v>
      </c>
      <c r="O80" s="15">
        <f>IFERROR(__xludf.DUMMYFUNCTION("IF(ISBLANK($C80), """", GOOGLEFINANCE($C80, ""price""))"),256.98)</f>
        <v>256.98</v>
      </c>
      <c r="P80" s="16">
        <f t="shared" si="2"/>
        <v>-0.03383713061</v>
      </c>
      <c r="Q80" s="16">
        <f>IFERROR(__xludf.DUMMYFUNCTION("IF(OR(ISBLANK($G80), IFERROR(INDEX(GOOGLEFINANCE($C80, ""price"", WORKDAY(INT($B80), 1)), 2, 2), """")=""""), """", IF($D80=""LONG"", (IFERROR(INDEX(GOOGLEFINANCE($C80, ""price"", WORKDAY(INT($B80), 1)), 2, 2), """")-$G80)/$G80, ($G80-IFERROR(INDEX(GOOGLE"&amp;"FINANCE($C80, ""price"", WORKDAY(INT($B80), 1)), 2, 2), """"))/$G80))"),0.0028197608842770133)</f>
        <v>0.002819760884</v>
      </c>
      <c r="R80" s="16">
        <f>IFERROR(__xludf.DUMMYFUNCTION("IF(OR(ISBLANK($G80), IFERROR(INDEX(GOOGLEFINANCE($C80, ""price"", WORKDAY(INT($B80), 5)), 2, 2), """")=""""), """", IF($D80=""LONG"", (IFERROR(INDEX(GOOGLEFINANCE($C80, ""price"", WORKDAY(INT($B80), 5)), 2, 2), """")-$G80)/$G80, ($G80-IFERROR(INDEX(GOOGLE"&amp;"FINANCE($C80, ""price"", WORKDAY(INT($B80), 5)), 2, 2), """"))/$G80))"),-0.043499511241446805)</f>
        <v>-0.04349951124</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5025</v>
      </c>
      <c r="U80" s="10" t="s">
        <v>984</v>
      </c>
      <c r="V80" s="10" t="s">
        <v>933</v>
      </c>
      <c r="W80" s="10" t="s">
        <v>51</v>
      </c>
      <c r="X80" s="10" t="s">
        <v>984</v>
      </c>
    </row>
    <row r="81">
      <c r="A81" s="9">
        <f t="shared" si="1"/>
        <v>80</v>
      </c>
      <c r="B81" s="11">
        <v>46230.66782407407</v>
      </c>
      <c r="C81" s="10" t="s">
        <v>108</v>
      </c>
      <c r="D81" s="10" t="s">
        <v>36</v>
      </c>
      <c r="E81" s="10" t="s">
        <v>37</v>
      </c>
      <c r="F81" s="13">
        <v>2.0</v>
      </c>
      <c r="G81" s="14">
        <v>125.57</v>
      </c>
      <c r="H81" s="10" t="s">
        <v>5026</v>
      </c>
      <c r="I81" s="10">
        <v>95.6</v>
      </c>
      <c r="O81" s="15">
        <f>IFERROR(__xludf.DUMMYFUNCTION("IF(ISBLANK($C81), """", GOOGLEFINANCE($C81, ""price""))"),129.68)</f>
        <v>129.68</v>
      </c>
      <c r="P81" s="16">
        <f t="shared" si="2"/>
        <v>0.03273074779</v>
      </c>
      <c r="Q81" s="16">
        <f>IFERROR(__xludf.DUMMYFUNCTION("IF(OR(ISBLANK($G81), IFERROR(INDEX(GOOGLEFINANCE($C81, ""price"", WORKDAY(INT($B81), 1)), 2, 2), """")=""""), """", IF($D81=""LONG"", (IFERROR(INDEX(GOOGLEFINANCE($C81, ""price"", WORKDAY(INT($B81), 1)), 2, 2), """")-$G81)/$G81, ($G81-IFERROR(INDEX(GOOGLE"&amp;"FINANCE($C81, ""price"", WORKDAY(INT($B81), 1)), 2, 2), """"))/$G81))"),0.009476785856494481)</f>
        <v>0.009476785856</v>
      </c>
      <c r="R81" s="16">
        <f>IFERROR(__xludf.DUMMYFUNCTION("IF(OR(ISBLANK($G81), IFERROR(INDEX(GOOGLEFINANCE($C81, ""price"", WORKDAY(INT($B81), 5)), 2, 2), """")=""""), """", IF($D81=""LONG"", (IFERROR(INDEX(GOOGLEFINANCE($C81, ""price"", WORKDAY(INT($B81), 5)), 2, 2), """")-$G81)/$G81, ($G81-IFERROR(INDEX(GOOGLE"&amp;"FINANCE($C81, ""price"", WORKDAY(INT($B81), 5)), 2, 2), """"))/$G81))"),0.030102731544158646)</f>
        <v>0.03010273154</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5029</v>
      </c>
      <c r="U81" s="10" t="s">
        <v>984</v>
      </c>
      <c r="V81" s="10" t="s">
        <v>933</v>
      </c>
      <c r="W81" s="10" t="s">
        <v>51</v>
      </c>
      <c r="X81" s="10" t="s">
        <v>984</v>
      </c>
    </row>
    <row r="82">
      <c r="A82" s="9">
        <f t="shared" si="1"/>
        <v>81</v>
      </c>
      <c r="B82" s="11">
        <v>46230.667766203704</v>
      </c>
      <c r="C82" s="10" t="s">
        <v>2250</v>
      </c>
      <c r="D82" s="10" t="s">
        <v>36</v>
      </c>
      <c r="E82" s="10" t="s">
        <v>37</v>
      </c>
      <c r="F82" s="13">
        <v>2.0</v>
      </c>
      <c r="G82" s="14">
        <v>253.32</v>
      </c>
      <c r="H82" s="10" t="s">
        <v>5033</v>
      </c>
      <c r="I82" s="10">
        <v>97.8</v>
      </c>
      <c r="O82" s="15">
        <f>IFERROR(__xludf.DUMMYFUNCTION("IF(ISBLANK($C82), """", GOOGLEFINANCE($C82, ""price""))"),251.74)</f>
        <v>251.74</v>
      </c>
      <c r="P82" s="16">
        <f t="shared" si="2"/>
        <v>-0.006237170377</v>
      </c>
      <c r="Q82" s="16">
        <f>IFERROR(__xludf.DUMMYFUNCTION("IF(OR(ISBLANK($G82), IFERROR(INDEX(GOOGLEFINANCE($C82, ""price"", WORKDAY(INT($B82), 1)), 2, 2), """")=""""), """", IF($D82=""LONG"", (IFERROR(INDEX(GOOGLEFINANCE($C82, ""price"", WORKDAY(INT($B82), 1)), 2, 2), """")-$G82)/$G82, ($G82-IFERROR(INDEX(GOOGLE"&amp;"FINANCE($C82, ""price"", WORKDAY(INT($B82), 1)), 2, 2), """"))/$G82))"),0.04733143849676302)</f>
        <v>0.0473314385</v>
      </c>
      <c r="R82" s="16">
        <f>IFERROR(__xludf.DUMMYFUNCTION("IF(OR(ISBLANK($G82), IFERROR(INDEX(GOOGLEFINANCE($C82, ""price"", WORKDAY(INT($B82), 5)), 2, 2), """")=""""), """", IF($D82=""LONG"", (IFERROR(INDEX(GOOGLEFINANCE($C82, ""price"", WORKDAY(INT($B82), 5)), 2, 2), """")-$G82)/$G82, ($G82-IFERROR(INDEX(GOOGLE"&amp;"FINANCE($C82, ""price"", WORKDAY(INT($B82), 5)), 2, 2), """"))/$G82))"),-0.021830096320859)</f>
        <v>-0.02183009632</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5036</v>
      </c>
      <c r="U82" s="10" t="s">
        <v>984</v>
      </c>
      <c r="V82" s="10" t="s">
        <v>985</v>
      </c>
      <c r="W82" s="10" t="s">
        <v>51</v>
      </c>
      <c r="X82" s="10" t="s">
        <v>984</v>
      </c>
    </row>
    <row r="83">
      <c r="A83" s="9">
        <f t="shared" si="1"/>
        <v>82</v>
      </c>
      <c r="B83" s="11">
        <v>46230.66775462963</v>
      </c>
      <c r="C83" s="10" t="s">
        <v>77</v>
      </c>
      <c r="D83" s="10" t="s">
        <v>36</v>
      </c>
      <c r="E83" s="10" t="s">
        <v>37</v>
      </c>
      <c r="F83" s="13">
        <v>2.0</v>
      </c>
      <c r="G83" s="14">
        <v>112.12</v>
      </c>
      <c r="H83" s="10" t="s">
        <v>5040</v>
      </c>
      <c r="I83" s="10">
        <v>71.8</v>
      </c>
      <c r="L83" s="10" t="s">
        <v>5041</v>
      </c>
      <c r="M83" s="10" t="s">
        <v>2174</v>
      </c>
      <c r="N83" s="10" t="s">
        <v>925</v>
      </c>
      <c r="O83" s="15">
        <f>IFERROR(__xludf.DUMMYFUNCTION("IF(ISBLANK($C83), """", GOOGLEFINANCE($C83, ""price""))"),108.27)</f>
        <v>108.27</v>
      </c>
      <c r="P83" s="16">
        <f t="shared" si="2"/>
        <v>-0.03433820906</v>
      </c>
      <c r="Q83" s="16">
        <f>IFERROR(__xludf.DUMMYFUNCTION("IF(OR(ISBLANK($G83), IFERROR(INDEX(GOOGLEFINANCE($C83, ""price"", WORKDAY(INT($B83), 1)), 2, 2), """")=""""), """", IF($D83=""LONG"", (IFERROR(INDEX(GOOGLEFINANCE($C83, ""price"", WORKDAY(INT($B83), 1)), 2, 2), """")-$G83)/$G83, ($G83-IFERROR(INDEX(GOOGLE"&amp;"FINANCE($C83, ""price"", WORKDAY(INT($B83), 1)), 2, 2), """"))/$G83))"),0.0034784159828754953)</f>
        <v>0.003478415983</v>
      </c>
      <c r="R83" s="16">
        <f>IFERROR(__xludf.DUMMYFUNCTION("IF(OR(ISBLANK($G83), IFERROR(INDEX(GOOGLEFINANCE($C83, ""price"", WORKDAY(INT($B83), 5)), 2, 2), """")=""""), """", IF($D83=""LONG"", (IFERROR(INDEX(GOOGLEFINANCE($C83, ""price"", WORKDAY(INT($B83), 5)), 2, 2), """")-$G83)/$G83, ($G83-IFERROR(INDEX(GOOGLE"&amp;"FINANCE($C83, ""price"", WORKDAY(INT($B83), 5)), 2, 2), """"))/$G83))"),-0.02336782019265077)</f>
        <v>-0.02336782019</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5045</v>
      </c>
      <c r="U83" s="10" t="s">
        <v>722</v>
      </c>
      <c r="V83" s="10" t="s">
        <v>5046</v>
      </c>
      <c r="W83" s="10" t="s">
        <v>51</v>
      </c>
      <c r="X83" s="10" t="s">
        <v>3433</v>
      </c>
    </row>
    <row r="84">
      <c r="A84" s="9">
        <f t="shared" si="1"/>
        <v>83</v>
      </c>
      <c r="B84" s="11">
        <v>46230.66782407407</v>
      </c>
      <c r="C84" s="10" t="s">
        <v>66</v>
      </c>
      <c r="D84" s="10" t="s">
        <v>36</v>
      </c>
      <c r="E84" s="10" t="s">
        <v>37</v>
      </c>
      <c r="F84" s="13">
        <v>2.0</v>
      </c>
      <c r="G84" s="14">
        <v>276.88</v>
      </c>
      <c r="H84" s="10" t="s">
        <v>5048</v>
      </c>
      <c r="I84" s="10">
        <v>83.5</v>
      </c>
      <c r="O84" s="15">
        <f>IFERROR(__xludf.DUMMYFUNCTION("IF(ISBLANK($C84), """", GOOGLEFINANCE($C84, ""price""))"),296.4)</f>
        <v>296.4</v>
      </c>
      <c r="P84" s="16">
        <f t="shared" si="2"/>
        <v>0.07049985553</v>
      </c>
      <c r="Q84" s="16">
        <f>IFERROR(__xludf.DUMMYFUNCTION("IF(OR(ISBLANK($G84), IFERROR(INDEX(GOOGLEFINANCE($C84, ""price"", WORKDAY(INT($B84), 1)), 2, 2), """")=""""), """", IF($D84=""LONG"", (IFERROR(INDEX(GOOGLEFINANCE($C84, ""price"", WORKDAY(INT($B84), 1)), 2, 2), """")-$G84)/$G84, ($G84-IFERROR(INDEX(GOOGLE"&amp;"FINANCE($C84, ""price"", WORKDAY(INT($B84), 1)), 2, 2), """"))/$G84))"),0.022392372146778347)</f>
        <v>0.02239237215</v>
      </c>
      <c r="R84" s="16">
        <f>IFERROR(__xludf.DUMMYFUNCTION("IF(OR(ISBLANK($G84), IFERROR(INDEX(GOOGLEFINANCE($C84, ""price"", WORKDAY(INT($B84), 5)), 2, 2), """")=""""), """", IF($D84=""LONG"", (IFERROR(INDEX(GOOGLEFINANCE($C84, ""price"", WORKDAY(INT($B84), 5)), 2, 2), """")-$G84)/$G84, ($G84-IFERROR(INDEX(GOOGLE"&amp;"FINANCE($C84, ""price"", WORKDAY(INT($B84), 5)), 2, 2), """"))/$G84))"),0.019900317827217535)</f>
        <v>0.01990031783</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5051</v>
      </c>
      <c r="U84" s="10" t="s">
        <v>984</v>
      </c>
      <c r="V84" s="10" t="s">
        <v>933</v>
      </c>
      <c r="W84" s="10" t="s">
        <v>51</v>
      </c>
      <c r="X84" s="10" t="s">
        <v>984</v>
      </c>
    </row>
    <row r="85">
      <c r="A85" s="9">
        <f t="shared" si="1"/>
        <v>84</v>
      </c>
      <c r="B85" s="11">
        <v>46230.66784722222</v>
      </c>
      <c r="C85" s="10" t="s">
        <v>3828</v>
      </c>
      <c r="D85" s="10" t="s">
        <v>36</v>
      </c>
      <c r="E85" s="10" t="s">
        <v>37</v>
      </c>
      <c r="F85" s="13">
        <v>2.0</v>
      </c>
      <c r="G85" s="14">
        <v>153.02</v>
      </c>
      <c r="H85" s="10" t="s">
        <v>1846</v>
      </c>
      <c r="I85" s="10">
        <v>98.4</v>
      </c>
      <c r="O85" s="15">
        <f>IFERROR(__xludf.DUMMYFUNCTION("IF(ISBLANK($C85), """", GOOGLEFINANCE($C85, ""price""))"),156.94)</f>
        <v>156.94</v>
      </c>
      <c r="P85" s="16">
        <f t="shared" si="2"/>
        <v>0.02561756633</v>
      </c>
      <c r="Q85" s="16">
        <f>IFERROR(__xludf.DUMMYFUNCTION("IF(OR(ISBLANK($G85), IFERROR(INDEX(GOOGLEFINANCE($C85, ""price"", WORKDAY(INT($B85), 1)), 2, 2), """")=""""), """", IF($D85=""LONG"", (IFERROR(INDEX(GOOGLEFINANCE($C85, ""price"", WORKDAY(INT($B85), 1)), 2, 2), """")-$G85)/$G85, ($G85-IFERROR(INDEX(GOOGLE"&amp;"FINANCE($C85, ""price"", WORKDAY(INT($B85), 1)), 2, 2), """"))/$G85))"),0.02881976212259833)</f>
        <v>0.02881976212</v>
      </c>
      <c r="R85" s="16">
        <f>IFERROR(__xludf.DUMMYFUNCTION("IF(OR(ISBLANK($G85), IFERROR(INDEX(GOOGLEFINANCE($C85, ""price"", WORKDAY(INT($B85), 5)), 2, 2), """")=""""), """", IF($D85=""LONG"", (IFERROR(INDEX(GOOGLEFINANCE($C85, ""price"", WORKDAY(INT($B85), 5)), 2, 2), """")-$G85)/$G85, ($G85-IFERROR(INDEX(GOOGLE"&amp;"FINANCE($C85, ""price"", WORKDAY(INT($B85), 5)), 2, 2), """"))/$G85))"),0.022938178015945568)</f>
        <v>0.02293817802</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5055</v>
      </c>
      <c r="U85" s="10" t="s">
        <v>984</v>
      </c>
      <c r="V85" s="10" t="s">
        <v>985</v>
      </c>
      <c r="W85" s="10" t="s">
        <v>51</v>
      </c>
      <c r="X85" s="10" t="s">
        <v>984</v>
      </c>
    </row>
    <row r="86">
      <c r="A86" s="9">
        <f t="shared" si="1"/>
        <v>85</v>
      </c>
      <c r="B86" s="11">
        <v>46230.66777777778</v>
      </c>
      <c r="C86" s="10" t="s">
        <v>60</v>
      </c>
      <c r="D86" s="10" t="s">
        <v>36</v>
      </c>
      <c r="E86" s="10" t="s">
        <v>37</v>
      </c>
      <c r="F86" s="13">
        <v>2.0</v>
      </c>
      <c r="G86" s="14">
        <v>45.25</v>
      </c>
      <c r="H86" s="10" t="s">
        <v>5057</v>
      </c>
      <c r="I86" s="10">
        <v>83.4</v>
      </c>
      <c r="O86" s="15">
        <f>IFERROR(__xludf.DUMMYFUNCTION("IF(ISBLANK($C86), """", GOOGLEFINANCE($C86, ""price""))"),47.06)</f>
        <v>47.06</v>
      </c>
      <c r="P86" s="16">
        <f t="shared" si="2"/>
        <v>0.04</v>
      </c>
      <c r="Q86" s="16">
        <f>IFERROR(__xludf.DUMMYFUNCTION("IF(OR(ISBLANK($G86), IFERROR(INDEX(GOOGLEFINANCE($C86, ""price"", WORKDAY(INT($B86), 1)), 2, 2), """")=""""), """", IF($D86=""LONG"", (IFERROR(INDEX(GOOGLEFINANCE($C86, ""price"", WORKDAY(INT($B86), 1)), 2, 2), """")-$G86)/$G86, ($G86-IFERROR(INDEX(GOOGLE"&amp;"FINANCE($C86, ""price"", WORKDAY(INT($B86), 1)), 2, 2), """"))/$G86))"),0.03182320441988945)</f>
        <v>0.03182320442</v>
      </c>
      <c r="R86" s="16">
        <f>IFERROR(__xludf.DUMMYFUNCTION("IF(OR(ISBLANK($G86), IFERROR(INDEX(GOOGLEFINANCE($C86, ""price"", WORKDAY(INT($B86), 5)), 2, 2), """")=""""), """", IF($D86=""LONG"", (IFERROR(INDEX(GOOGLEFINANCE($C86, ""price"", WORKDAY(INT($B86), 5)), 2, 2), """")-$G86)/$G86, ($G86-IFERROR(INDEX(GOOGLE"&amp;"FINANCE($C86, ""price"", WORKDAY(INT($B86), 5)), 2, 2), """"))/$G86))"),0.01701657458563543)</f>
        <v>0.01701657459</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5064</v>
      </c>
      <c r="U86" s="10" t="s">
        <v>984</v>
      </c>
      <c r="V86" s="10" t="s">
        <v>2714</v>
      </c>
      <c r="W86" s="10" t="s">
        <v>51</v>
      </c>
      <c r="X86" s="10" t="s">
        <v>984</v>
      </c>
    </row>
    <row r="87">
      <c r="A87" s="9">
        <f t="shared" si="1"/>
        <v>86</v>
      </c>
      <c r="B87" s="11">
        <v>46230.66784722222</v>
      </c>
      <c r="C87" s="10" t="s">
        <v>63</v>
      </c>
      <c r="D87" s="10" t="s">
        <v>36</v>
      </c>
      <c r="E87" s="10" t="s">
        <v>37</v>
      </c>
      <c r="F87" s="13">
        <v>2.0</v>
      </c>
      <c r="G87" s="14">
        <v>157.75</v>
      </c>
      <c r="H87" s="10" t="s">
        <v>5067</v>
      </c>
      <c r="I87" s="10">
        <v>85.9</v>
      </c>
      <c r="L87" s="10" t="s">
        <v>5068</v>
      </c>
      <c r="M87" s="34" t="s">
        <v>3374</v>
      </c>
      <c r="N87" s="10" t="s">
        <v>925</v>
      </c>
      <c r="O87" s="15">
        <f>IFERROR(__xludf.DUMMYFUNCTION("IF(ISBLANK($C87), """", GOOGLEFINANCE($C87, ""price""))"),158.82)</f>
        <v>158.82</v>
      </c>
      <c r="P87" s="16">
        <f t="shared" si="2"/>
        <v>0.006782884311</v>
      </c>
      <c r="Q87" s="16">
        <f>IFERROR(__xludf.DUMMYFUNCTION("IF(OR(ISBLANK($G87), IFERROR(INDEX(GOOGLEFINANCE($C87, ""price"", WORKDAY(INT($B87), 1)), 2, 2), """")=""""), """", IF($D87=""LONG"", (IFERROR(INDEX(GOOGLEFINANCE($C87, ""price"", WORKDAY(INT($B87), 1)), 2, 2), """")-$G87)/$G87, ($G87-IFERROR(INDEX(GOOGLE"&amp;"FINANCE($C87, ""price"", WORKDAY(INT($B87), 1)), 2, 2), """"))/$G87))"),-0.00798732171156888)</f>
        <v>-0.007987321712</v>
      </c>
      <c r="R87" s="16">
        <f>IFERROR(__xludf.DUMMYFUNCTION("IF(OR(ISBLANK($G87), IFERROR(INDEX(GOOGLEFINANCE($C87, ""price"", WORKDAY(INT($B87), 5)), 2, 2), """")=""""), """", IF($D87=""LONG"", (IFERROR(INDEX(GOOGLEFINANCE($C87, ""price"", WORKDAY(INT($B87), 5)), 2, 2), """")-$G87)/$G87, ($G87-IFERROR(INDEX(GOOGLE"&amp;"FINANCE($C87, ""price"", WORKDAY(INT($B87), 5)), 2, 2), """"))/$G87))"),-0.009825673534072972)</f>
        <v>-0.009825673534</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5072</v>
      </c>
      <c r="U87" s="10" t="s">
        <v>240</v>
      </c>
      <c r="V87" s="10" t="s">
        <v>5073</v>
      </c>
      <c r="W87" s="10" t="s">
        <v>51</v>
      </c>
      <c r="X87" s="10" t="s">
        <v>1905</v>
      </c>
    </row>
    <row r="88">
      <c r="A88" s="9">
        <f t="shared" si="1"/>
        <v>87</v>
      </c>
      <c r="B88" s="11">
        <v>46230.66782407407</v>
      </c>
      <c r="C88" s="10" t="s">
        <v>424</v>
      </c>
      <c r="D88" s="10" t="s">
        <v>36</v>
      </c>
      <c r="E88" s="10" t="s">
        <v>37</v>
      </c>
      <c r="F88" s="13">
        <v>2.0</v>
      </c>
      <c r="G88" s="14">
        <v>84.08</v>
      </c>
      <c r="H88" s="10" t="s">
        <v>5077</v>
      </c>
      <c r="I88" s="10">
        <v>86.2</v>
      </c>
      <c r="O88" s="15">
        <f>IFERROR(__xludf.DUMMYFUNCTION("IF(ISBLANK($C88), """", GOOGLEFINANCE($C88, ""price""))"),84.35)</f>
        <v>84.35</v>
      </c>
      <c r="P88" s="16">
        <f t="shared" si="2"/>
        <v>0.003211227402</v>
      </c>
      <c r="Q88" s="16">
        <f>IFERROR(__xludf.DUMMYFUNCTION("IF(OR(ISBLANK($G88), IFERROR(INDEX(GOOGLEFINANCE($C88, ""price"", WORKDAY(INT($B88), 1)), 2, 2), """")=""""), """", IF($D88=""LONG"", (IFERROR(INDEX(GOOGLEFINANCE($C88, ""price"", WORKDAY(INT($B88), 1)), 2, 2), """")-$G88)/$G88, ($G88-IFERROR(INDEX(GOOGLE"&amp;"FINANCE($C88, ""price"", WORKDAY(INT($B88), 1)), 2, 2), """"))/$G88))"),0.013320647002854479)</f>
        <v>0.013320647</v>
      </c>
      <c r="R88" s="16">
        <f>IFERROR(__xludf.DUMMYFUNCTION("IF(OR(ISBLANK($G88), IFERROR(INDEX(GOOGLEFINANCE($C88, ""price"", WORKDAY(INT($B88), 5)), 2, 2), """")=""""), """", IF($D88=""LONG"", (IFERROR(INDEX(GOOGLEFINANCE($C88, ""price"", WORKDAY(INT($B88), 5)), 2, 2), """")-$G88)/$G88, ($G88-IFERROR(INDEX(GOOGLE"&amp;"FINANCE($C88, ""price"", WORKDAY(INT($B88), 5)), 2, 2), """"))/$G88))"),0.010704091341579515)</f>
        <v>0.01070409134</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5080</v>
      </c>
      <c r="U88" s="10" t="s">
        <v>984</v>
      </c>
      <c r="V88" s="10" t="s">
        <v>2785</v>
      </c>
      <c r="W88" s="10" t="s">
        <v>51</v>
      </c>
      <c r="X88" s="10" t="s">
        <v>984</v>
      </c>
    </row>
    <row r="89">
      <c r="A89" s="9">
        <f t="shared" si="1"/>
        <v>88</v>
      </c>
      <c r="B89" s="11">
        <v>46230.66783564815</v>
      </c>
      <c r="C89" s="10" t="s">
        <v>408</v>
      </c>
      <c r="D89" s="10" t="s">
        <v>36</v>
      </c>
      <c r="E89" s="10" t="s">
        <v>37</v>
      </c>
      <c r="F89" s="13">
        <v>2.0</v>
      </c>
      <c r="G89" s="14">
        <v>248.39</v>
      </c>
      <c r="H89" s="10" t="s">
        <v>5083</v>
      </c>
      <c r="I89" s="10">
        <v>94.3</v>
      </c>
      <c r="O89" s="15">
        <f>IFERROR(__xludf.DUMMYFUNCTION("IF(ISBLANK($C89), """", GOOGLEFINANCE($C89, ""price""))"),250.14)</f>
        <v>250.14</v>
      </c>
      <c r="P89" s="16">
        <f t="shared" si="2"/>
        <v>0.007045372197</v>
      </c>
      <c r="Q89" s="16">
        <f>IFERROR(__xludf.DUMMYFUNCTION("IF(OR(ISBLANK($G89), IFERROR(INDEX(GOOGLEFINANCE($C89, ""price"", WORKDAY(INT($B89), 1)), 2, 2), """")=""""), """", IF($D89=""LONG"", (IFERROR(INDEX(GOOGLEFINANCE($C89, ""price"", WORKDAY(INT($B89), 1)), 2, 2), """")-$G89)/$G89, ($G89-IFERROR(INDEX(GOOGLE"&amp;"FINANCE($C89, ""price"", WORKDAY(INT($B89), 1)), 2, 2), """"))/$G89))"),0.01698941181206984)</f>
        <v>0.01698941181</v>
      </c>
      <c r="R89" s="16">
        <f>IFERROR(__xludf.DUMMYFUNCTION("IF(OR(ISBLANK($G89), IFERROR(INDEX(GOOGLEFINANCE($C89, ""price"", WORKDAY(INT($B89), 5)), 2, 2), """")=""""), """", IF($D89=""LONG"", (IFERROR(INDEX(GOOGLEFINANCE($C89, ""price"", WORKDAY(INT($B89), 5)), 2, 2), """")-$G89)/$G89, ($G89-IFERROR(INDEX(GOOGLE"&amp;"FINANCE($C89, ""price"", WORKDAY(INT($B89), 5)), 2, 2), """"))/$G89))"),0.004388260396956413)</f>
        <v>0.004388260397</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5087</v>
      </c>
      <c r="U89" s="10" t="s">
        <v>240</v>
      </c>
      <c r="V89" s="10" t="s">
        <v>5088</v>
      </c>
      <c r="W89" s="10" t="s">
        <v>51</v>
      </c>
      <c r="X89" s="10" t="s">
        <v>1905</v>
      </c>
    </row>
    <row r="90">
      <c r="A90" s="9">
        <f t="shared" si="1"/>
        <v>89</v>
      </c>
      <c r="B90" s="11">
        <v>46230.66778935185</v>
      </c>
      <c r="C90" s="10" t="s">
        <v>1739</v>
      </c>
      <c r="D90" s="10" t="s">
        <v>36</v>
      </c>
      <c r="E90" s="10" t="s">
        <v>37</v>
      </c>
      <c r="F90" s="13">
        <v>2.0</v>
      </c>
      <c r="G90" s="14">
        <v>261.27</v>
      </c>
      <c r="H90" s="10" t="s">
        <v>5089</v>
      </c>
      <c r="I90" s="10">
        <v>88.8</v>
      </c>
      <c r="O90" s="15">
        <f>IFERROR(__xludf.DUMMYFUNCTION("IF(ISBLANK($C90), """", GOOGLEFINANCE($C90, ""price""))"),275.11)</f>
        <v>275.11</v>
      </c>
      <c r="P90" s="16">
        <f t="shared" si="2"/>
        <v>0.05297202128</v>
      </c>
      <c r="Q90" s="16">
        <f>IFERROR(__xludf.DUMMYFUNCTION("IF(OR(ISBLANK($G90), IFERROR(INDEX(GOOGLEFINANCE($C90, ""price"", WORKDAY(INT($B90), 1)), 2, 2), """")=""""), """", IF($D90=""LONG"", (IFERROR(INDEX(GOOGLEFINANCE($C90, ""price"", WORKDAY(INT($B90), 1)), 2, 2), """")-$G90)/$G90, ($G90-IFERROR(INDEX(GOOGLE"&amp;"FINANCE($C90, ""price"", WORKDAY(INT($B90), 1)), 2, 2), """"))/$G90))"),0.04267615876296565)</f>
        <v>0.04267615876</v>
      </c>
      <c r="R90" s="16">
        <f>IFERROR(__xludf.DUMMYFUNCTION("IF(OR(ISBLANK($G90), IFERROR(INDEX(GOOGLEFINANCE($C90, ""price"", WORKDAY(INT($B90), 5)), 2, 2), """")=""""), """", IF($D90=""LONG"", (IFERROR(INDEX(GOOGLEFINANCE($C90, ""price"", WORKDAY(INT($B90), 5)), 2, 2), """")-$G90)/$G90, ($G90-IFERROR(INDEX(GOOGLE"&amp;"FINANCE($C90, ""price"", WORKDAY(INT($B90), 5)), 2, 2), """"))/$G90))"),0.0053967160408773494)</f>
        <v>0.005396716041</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5093</v>
      </c>
      <c r="U90" s="10" t="s">
        <v>984</v>
      </c>
      <c r="V90" s="10" t="s">
        <v>933</v>
      </c>
      <c r="W90" s="10" t="s">
        <v>51</v>
      </c>
      <c r="X90" s="10" t="s">
        <v>984</v>
      </c>
    </row>
    <row r="91">
      <c r="B91" s="43"/>
      <c r="G91" s="15"/>
      <c r="O91" s="15"/>
      <c r="P91" s="16"/>
      <c r="Q91" s="16"/>
      <c r="R91" s="16"/>
      <c r="S91" s="16"/>
    </row>
    <row r="92">
      <c r="B92" s="43"/>
      <c r="G92" s="15"/>
      <c r="O92" s="15"/>
      <c r="P92" s="16"/>
      <c r="Q92" s="16"/>
      <c r="R92" s="16"/>
      <c r="S92" s="16"/>
    </row>
    <row r="93">
      <c r="B93" s="43"/>
      <c r="G93" s="15"/>
      <c r="O93" s="15"/>
      <c r="P93" s="16"/>
      <c r="Q93" s="16"/>
      <c r="R93" s="16"/>
      <c r="S93" s="16"/>
    </row>
    <row r="94">
      <c r="B94" s="43"/>
      <c r="G94" s="15"/>
      <c r="O94" s="15"/>
      <c r="P94" s="16"/>
      <c r="Q94" s="16"/>
      <c r="R94" s="16"/>
      <c r="S94" s="16"/>
    </row>
    <row r="95">
      <c r="B95" s="43"/>
      <c r="G95" s="15"/>
      <c r="O95" s="15"/>
      <c r="P95" s="16"/>
      <c r="Q95" s="16"/>
      <c r="R95" s="16"/>
      <c r="S95" s="16"/>
    </row>
    <row r="96">
      <c r="B96" s="43"/>
      <c r="G96" s="15"/>
      <c r="O96" s="15"/>
      <c r="P96" s="16"/>
      <c r="Q96" s="16"/>
      <c r="R96" s="16"/>
      <c r="S96" s="16"/>
    </row>
    <row r="97">
      <c r="B97" s="43"/>
      <c r="G97" s="15"/>
      <c r="O97" s="15"/>
      <c r="P97" s="16"/>
      <c r="Q97" s="16"/>
      <c r="R97" s="16"/>
      <c r="S97" s="16"/>
    </row>
    <row r="98">
      <c r="B98" s="43"/>
      <c r="G98" s="15"/>
      <c r="O98" s="15"/>
      <c r="P98" s="16"/>
      <c r="Q98" s="16"/>
      <c r="R98" s="16"/>
      <c r="S98" s="16"/>
    </row>
    <row r="99">
      <c r="B99" s="43"/>
      <c r="G99" s="15"/>
      <c r="O99" s="15"/>
      <c r="P99" s="16"/>
      <c r="Q99" s="16"/>
      <c r="R99" s="16"/>
      <c r="S99" s="16"/>
    </row>
    <row r="100">
      <c r="B100" s="43"/>
      <c r="G100" s="15"/>
      <c r="O100" s="15"/>
      <c r="P100" s="16"/>
      <c r="Q100" s="16"/>
      <c r="R100" s="16"/>
      <c r="S100" s="16"/>
    </row>
    <row r="101">
      <c r="B101" s="43"/>
      <c r="G101" s="15"/>
      <c r="O101" s="15"/>
      <c r="P101" s="16"/>
      <c r="Q101" s="16"/>
      <c r="R101" s="16"/>
      <c r="S101" s="16"/>
    </row>
    <row r="102">
      <c r="B102" s="43"/>
      <c r="G102" s="15"/>
      <c r="O102" s="15"/>
      <c r="P102" s="16"/>
      <c r="Q102" s="16"/>
      <c r="R102" s="16"/>
      <c r="S102" s="16"/>
    </row>
    <row r="103">
      <c r="B103" s="43"/>
      <c r="G103" s="15"/>
      <c r="O103" s="15"/>
      <c r="P103" s="16"/>
      <c r="Q103" s="16"/>
      <c r="R103" s="16"/>
      <c r="S103" s="16"/>
    </row>
    <row r="104">
      <c r="B104" s="43"/>
      <c r="G104" s="15"/>
      <c r="O104" s="15"/>
      <c r="P104" s="16"/>
      <c r="Q104" s="16"/>
      <c r="R104" s="16"/>
      <c r="S104" s="16"/>
    </row>
    <row r="105">
      <c r="B105" s="43"/>
      <c r="G105" s="15"/>
      <c r="O105" s="15"/>
      <c r="P105" s="16"/>
      <c r="Q105" s="16"/>
      <c r="R105" s="16"/>
      <c r="S105" s="16"/>
    </row>
    <row r="106">
      <c r="B106" s="43"/>
      <c r="G106" s="15"/>
      <c r="O106" s="15"/>
      <c r="P106" s="16"/>
      <c r="Q106" s="16"/>
      <c r="R106" s="16"/>
      <c r="S106" s="16"/>
    </row>
    <row r="107">
      <c r="B107" s="43"/>
      <c r="G107" s="15"/>
      <c r="O107" s="15"/>
      <c r="P107" s="16"/>
      <c r="Q107" s="16"/>
      <c r="R107" s="16"/>
      <c r="S107" s="16"/>
    </row>
    <row r="108">
      <c r="B108" s="43"/>
      <c r="G108" s="15"/>
      <c r="O108" s="15"/>
      <c r="P108" s="16"/>
      <c r="Q108" s="16"/>
      <c r="R108" s="16"/>
      <c r="S108" s="16"/>
    </row>
    <row r="109">
      <c r="B109" s="43"/>
      <c r="G109" s="15"/>
      <c r="O109" s="15"/>
      <c r="P109" s="16"/>
      <c r="Q109" s="16"/>
      <c r="R109" s="16"/>
      <c r="S109" s="16"/>
    </row>
    <row r="110">
      <c r="B110" s="43"/>
      <c r="G110" s="15"/>
      <c r="O110" s="15"/>
      <c r="P110" s="16"/>
      <c r="Q110" s="16"/>
      <c r="R110" s="16"/>
      <c r="S110" s="16"/>
    </row>
    <row r="111">
      <c r="B111" s="43"/>
      <c r="G111" s="15"/>
      <c r="O111" s="15"/>
      <c r="P111" s="16"/>
      <c r="Q111" s="16"/>
      <c r="R111" s="16"/>
      <c r="S111" s="16"/>
    </row>
    <row r="112">
      <c r="B112" s="43"/>
      <c r="G112" s="15"/>
      <c r="O112" s="15"/>
      <c r="P112" s="16"/>
      <c r="Q112" s="16"/>
      <c r="R112" s="16"/>
      <c r="S112" s="16"/>
    </row>
    <row r="113">
      <c r="B113" s="43"/>
      <c r="G113" s="15"/>
      <c r="O113" s="15"/>
      <c r="P113" s="16"/>
      <c r="Q113" s="16"/>
      <c r="R113" s="16"/>
      <c r="S113" s="16"/>
    </row>
    <row r="114">
      <c r="B114" s="43"/>
      <c r="G114" s="15"/>
      <c r="O114" s="15"/>
      <c r="P114" s="16"/>
      <c r="Q114" s="16"/>
      <c r="R114" s="16"/>
      <c r="S114" s="16"/>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114" si="1">ROW()-1</f>
        <v>1</v>
      </c>
      <c r="B2" s="11">
        <v>46231.66743055556</v>
      </c>
      <c r="C2" s="10" t="s">
        <v>2229</v>
      </c>
      <c r="D2" s="10" t="s">
        <v>36</v>
      </c>
      <c r="E2" s="10" t="s">
        <v>1892</v>
      </c>
      <c r="F2" s="13">
        <v>2.0</v>
      </c>
      <c r="G2" s="14">
        <v>125.08</v>
      </c>
      <c r="H2" s="10" t="s">
        <v>4857</v>
      </c>
      <c r="I2" s="10">
        <v>89.9</v>
      </c>
      <c r="O2" s="15">
        <f>IFERROR(__xludf.DUMMYFUNCTION("IF(ISBLANK($C2), """", GOOGLEFINANCE($C2, ""price""))"),120.76)</f>
        <v>120.76</v>
      </c>
      <c r="P2" s="16">
        <f t="shared" ref="P2:P114" si="2">IF(OR(ISBLANK($G2), ISBLANK($O2)), "", IF($D2="LONG", ($O2-$G2)/$G2, ($G2-$O2)/$G2))</f>
        <v>-0.03453789575</v>
      </c>
      <c r="Q2" s="16">
        <f>IFERROR(__xludf.DUMMYFUNCTION("IF(OR(ISBLANK($G2), IFERROR(INDEX(GOOGLEFINANCE($C2, ""price"", WORKDAY(INT($B2), 1)), 2, 2), """")=""""), """", IF($D2=""LONG"", (IFERROR(INDEX(GOOGLEFINANCE($C2, ""price"", WORKDAY(INT($B2), 1)), 2, 2), """")-$G2)/$G2, ($G2-IFERROR(INDEX(GOOGLEFINANCE($"&amp;"C2, ""price"", WORKDAY(INT($B2), 1)), 2, 2), """"))/$G2))"),-0.02358490566037738)</f>
        <v>-0.02358490566</v>
      </c>
      <c r="R2" s="16">
        <f>IFERROR(__xludf.DUMMYFUNCTION("IF(OR(ISBLANK($G2), IFERROR(INDEX(GOOGLEFINANCE($C2, ""price"", WORKDAY(INT($B2), 5)), 2, 2), """")=""""), """", IF($D2=""LONG"", (IFERROR(INDEX(GOOGLEFINANCE($C2, ""price"", WORKDAY(INT($B2), 5)), 2, 2), """")-$G2)/$G2, ($G2-IFERROR(INDEX(GOOGLEFINANCE($"&amp;"C2, ""price"", WORKDAY(INT($B2), 5)), 2, 2), """"))/$G2))"),-0.023265110329389164)</f>
        <v>-0.02326511033</v>
      </c>
      <c r="S2" s="16" t="str">
        <f>IFERROR(__xludf.DUMMYFUNCTION("IF(OR(ISBLANK($G2), IFERROR(INDEX(GOOGLEFINANCE($C2, ""price"", WORKDAY(INT($B2), 20)), 2, 2), """")=""""), """", IF($D2=""LONG"", (IFERROR(INDEX(GOOGLEFINANCE($C2, ""price"", WORKDAY(INT($B2), 20)), 2, 2), """")-$G2)/$G2, ($G2-IFERROR(INDEX(GOOGLEFINANCE"&amp;"($C2, ""price"", WORKDAY(INT($B2), 20)), 2, 2), """"))/$G2))"),"")</f>
        <v/>
      </c>
      <c r="T2" s="10" t="s">
        <v>4861</v>
      </c>
      <c r="U2" s="10" t="s">
        <v>984</v>
      </c>
      <c r="V2" s="10" t="s">
        <v>933</v>
      </c>
      <c r="W2" s="10" t="s">
        <v>51</v>
      </c>
      <c r="X2" s="10" t="s">
        <v>984</v>
      </c>
    </row>
    <row r="3">
      <c r="A3" s="9">
        <f t="shared" si="1"/>
        <v>2</v>
      </c>
      <c r="B3" s="11">
        <v>46231.66736111111</v>
      </c>
      <c r="C3" s="10" t="s">
        <v>94</v>
      </c>
      <c r="D3" s="10" t="s">
        <v>36</v>
      </c>
      <c r="E3" s="10" t="s">
        <v>37</v>
      </c>
      <c r="F3" s="13">
        <v>2.0</v>
      </c>
      <c r="G3" s="14">
        <v>57.8</v>
      </c>
      <c r="H3" s="10" t="s">
        <v>4863</v>
      </c>
      <c r="I3" s="10">
        <v>90.6</v>
      </c>
      <c r="O3" s="15">
        <f>IFERROR(__xludf.DUMMYFUNCTION("IF(ISBLANK($C3), """", GOOGLEFINANCE($C3, ""price""))"),56.96)</f>
        <v>56.96</v>
      </c>
      <c r="P3" s="16">
        <f t="shared" si="2"/>
        <v>-0.01453287197</v>
      </c>
      <c r="Q3" s="16">
        <f>IFERROR(__xludf.DUMMYFUNCTION("IF(OR(ISBLANK($G3), IFERROR(INDEX(GOOGLEFINANCE($C3, ""price"", WORKDAY(INT($B3), 1)), 2, 2), """")=""""), """", IF($D3=""LONG"", (IFERROR(INDEX(GOOGLEFINANCE($C3, ""price"", WORKDAY(INT($B3), 1)), 2, 2), """")-$G3)/$G3, ($G3-IFERROR(INDEX(GOOGLEFINANCE($"&amp;"C3, ""price"", WORKDAY(INT($B3), 1)), 2, 2), """"))/$G3))"),-0.021280276816608944)</f>
        <v>-0.02128027682</v>
      </c>
      <c r="R3" s="16">
        <f>IFERROR(__xludf.DUMMYFUNCTION("IF(OR(ISBLANK($G3), IFERROR(INDEX(GOOGLEFINANCE($C3, ""price"", WORKDAY(INT($B3), 5)), 2, 2), """")=""""), """", IF($D3=""LONG"", (IFERROR(INDEX(GOOGLEFINANCE($C3, ""price"", WORKDAY(INT($B3), 5)), 2, 2), """")-$G3)/$G3, ($G3-IFERROR(INDEX(GOOGLEFINANCE($"&amp;"C3, ""price"", WORKDAY(INT($B3), 5)), 2, 2), """"))/$G3))"),-5.190311418684088E-4)</f>
        <v>-0.0005190311419</v>
      </c>
      <c r="S3" s="16" t="str">
        <f>IFERROR(__xludf.DUMMYFUNCTION("IF(OR(ISBLANK($G3), IFERROR(INDEX(GOOGLEFINANCE($C3, ""price"", WORKDAY(INT($B3), 20)), 2, 2), """")=""""), """", IF($D3=""LONG"", (IFERROR(INDEX(GOOGLEFINANCE($C3, ""price"", WORKDAY(INT($B3), 20)), 2, 2), """")-$G3)/$G3, ($G3-IFERROR(INDEX(GOOGLEFINANCE"&amp;"($C3, ""price"", WORKDAY(INT($B3), 20)), 2, 2), """"))/$G3))"),"")</f>
        <v/>
      </c>
      <c r="T3" s="10" t="s">
        <v>4865</v>
      </c>
      <c r="U3" s="10" t="s">
        <v>984</v>
      </c>
      <c r="V3" s="10" t="s">
        <v>2785</v>
      </c>
      <c r="W3" s="10" t="s">
        <v>51</v>
      </c>
      <c r="X3" s="10" t="s">
        <v>984</v>
      </c>
    </row>
    <row r="4">
      <c r="A4" s="9">
        <f t="shared" si="1"/>
        <v>3</v>
      </c>
      <c r="B4" s="11">
        <v>46231.66736111111</v>
      </c>
      <c r="C4" s="10" t="s">
        <v>332</v>
      </c>
      <c r="D4" s="10" t="s">
        <v>36</v>
      </c>
      <c r="E4" s="10" t="s">
        <v>37</v>
      </c>
      <c r="F4" s="13">
        <v>2.0</v>
      </c>
      <c r="G4" s="14">
        <v>85.74</v>
      </c>
      <c r="H4" s="10" t="s">
        <v>4866</v>
      </c>
      <c r="I4" s="10">
        <v>92.2</v>
      </c>
      <c r="O4" s="15">
        <f>IFERROR(__xludf.DUMMYFUNCTION("IF(ISBLANK($C4), """", GOOGLEFINANCE($C4, ""price""))"),88.23)</f>
        <v>88.23</v>
      </c>
      <c r="P4" s="16">
        <f t="shared" si="2"/>
        <v>0.02904128761</v>
      </c>
      <c r="Q4" s="16">
        <f>IFERROR(__xludf.DUMMYFUNCTION("IF(OR(ISBLANK($G4), IFERROR(INDEX(GOOGLEFINANCE($C4, ""price"", WORKDAY(INT($B4), 1)), 2, 2), """")=""""), """", IF($D4=""LONG"", (IFERROR(INDEX(GOOGLEFINANCE($C4, ""price"", WORKDAY(INT($B4), 1)), 2, 2), """")-$G4)/$G4, ($G4-IFERROR(INDEX(GOOGLEFINANCE($"&amp;"C4, ""price"", WORKDAY(INT($B4), 1)), 2, 2), """"))/$G4))"),0.0010496850944716983)</f>
        <v>0.001049685094</v>
      </c>
      <c r="R4" s="16">
        <f>IFERROR(__xludf.DUMMYFUNCTION("IF(OR(ISBLANK($G4), IFERROR(INDEX(GOOGLEFINANCE($C4, ""price"", WORKDAY(INT($B4), 5)), 2, 2), """")=""""), """", IF($D4=""LONG"", (IFERROR(INDEX(GOOGLEFINANCE($C4, ""price"", WORKDAY(INT($B4), 5)), 2, 2), """")-$G4)/$G4, ($G4-IFERROR(INDEX(GOOGLEFINANCE($"&amp;"C4, ""price"", WORKDAY(INT($B4), 5)), 2, 2), """"))/$G4))"),0.03930487520410549)</f>
        <v>0.0393048752</v>
      </c>
      <c r="S4" s="16" t="str">
        <f>IFERROR(__xludf.DUMMYFUNCTION("IF(OR(ISBLANK($G4), IFERROR(INDEX(GOOGLEFINANCE($C4, ""price"", WORKDAY(INT($B4), 20)), 2, 2), """")=""""), """", IF($D4=""LONG"", (IFERROR(INDEX(GOOGLEFINANCE($C4, ""price"", WORKDAY(INT($B4), 20)), 2, 2), """")-$G4)/$G4, ($G4-IFERROR(INDEX(GOOGLEFINANCE"&amp;"($C4, ""price"", WORKDAY(INT($B4), 20)), 2, 2), """"))/$G4))"),"")</f>
        <v/>
      </c>
      <c r="T4" s="10" t="s">
        <v>4869</v>
      </c>
      <c r="U4" s="10" t="s">
        <v>984</v>
      </c>
      <c r="V4" s="10" t="s">
        <v>933</v>
      </c>
      <c r="W4" s="10" t="s">
        <v>51</v>
      </c>
      <c r="X4" s="10" t="s">
        <v>984</v>
      </c>
    </row>
    <row r="5">
      <c r="A5" s="9">
        <f t="shared" si="1"/>
        <v>4</v>
      </c>
      <c r="B5" s="11">
        <v>46231.66738425926</v>
      </c>
      <c r="C5" s="10" t="s">
        <v>2387</v>
      </c>
      <c r="D5" s="10" t="s">
        <v>36</v>
      </c>
      <c r="E5" s="10" t="s">
        <v>1892</v>
      </c>
      <c r="F5" s="13">
        <v>2.0</v>
      </c>
      <c r="G5" s="14">
        <v>50.82</v>
      </c>
      <c r="H5" s="10" t="s">
        <v>4870</v>
      </c>
      <c r="I5" s="10">
        <v>59.6</v>
      </c>
      <c r="O5" s="15">
        <f>IFERROR(__xludf.DUMMYFUNCTION("IF(ISBLANK($C5), """", GOOGLEFINANCE($C5, ""price""))"),46.93)</f>
        <v>46.93</v>
      </c>
      <c r="P5" s="16">
        <f t="shared" si="2"/>
        <v>-0.07654466745</v>
      </c>
      <c r="Q5" s="16">
        <f>IFERROR(__xludf.DUMMYFUNCTION("IF(OR(ISBLANK($G5), IFERROR(INDEX(GOOGLEFINANCE($C5, ""price"", WORKDAY(INT($B5), 1)), 2, 2), """")=""""), """", IF($D5=""LONG"", (IFERROR(INDEX(GOOGLEFINANCE($C5, ""price"", WORKDAY(INT($B5), 1)), 2, 2), """")-$G5)/$G5, ($G5-IFERROR(INDEX(GOOGLEFINANCE($"&amp;"C5, ""price"", WORKDAY(INT($B5), 1)), 2, 2), """"))/$G5))"),-0.050373868555686784)</f>
        <v>-0.05037386856</v>
      </c>
      <c r="R5" s="16">
        <f>IFERROR(__xludf.DUMMYFUNCTION("IF(OR(ISBLANK($G5), IFERROR(INDEX(GOOGLEFINANCE($C5, ""price"", WORKDAY(INT($B5), 5)), 2, 2), """")=""""), """", IF($D5=""LONG"", (IFERROR(INDEX(GOOGLEFINANCE($C5, ""price"", WORKDAY(INT($B5), 5)), 2, 2), """")-$G5)/$G5, ($G5-IFERROR(INDEX(GOOGLEFINANCE($"&amp;"C5, ""price"", WORKDAY(INT($B5), 5)), 2, 2), """"))/$G5))"),-0.04525777253049975)</f>
        <v>-0.04525777253</v>
      </c>
      <c r="S5" s="16" t="str">
        <f>IFERROR(__xludf.DUMMYFUNCTION("IF(OR(ISBLANK($G5), IFERROR(INDEX(GOOGLEFINANCE($C5, ""price"", WORKDAY(INT($B5), 20)), 2, 2), """")=""""), """", IF($D5=""LONG"", (IFERROR(INDEX(GOOGLEFINANCE($C5, ""price"", WORKDAY(INT($B5), 20)), 2, 2), """")-$G5)/$G5, ($G5-IFERROR(INDEX(GOOGLEFINANCE"&amp;"($C5, ""price"", WORKDAY(INT($B5), 20)), 2, 2), """"))/$G5))"),"")</f>
        <v/>
      </c>
      <c r="T5" s="10" t="s">
        <v>4873</v>
      </c>
      <c r="U5" s="10" t="s">
        <v>492</v>
      </c>
      <c r="V5" s="10" t="s">
        <v>493</v>
      </c>
      <c r="W5" s="10" t="s">
        <v>51</v>
      </c>
      <c r="X5" s="10" t="s">
        <v>492</v>
      </c>
    </row>
    <row r="6">
      <c r="A6" s="9">
        <f t="shared" si="1"/>
        <v>5</v>
      </c>
      <c r="B6" s="11">
        <v>46231.66741898148</v>
      </c>
      <c r="C6" s="10" t="s">
        <v>4874</v>
      </c>
      <c r="D6" s="10" t="s">
        <v>36</v>
      </c>
      <c r="E6" s="10" t="s">
        <v>4224</v>
      </c>
      <c r="F6" s="13">
        <v>4.0</v>
      </c>
      <c r="G6" s="14">
        <v>70.17</v>
      </c>
      <c r="H6" s="10" t="s">
        <v>4875</v>
      </c>
      <c r="I6" s="10">
        <v>54.2</v>
      </c>
      <c r="L6" s="10" t="s">
        <v>4876</v>
      </c>
      <c r="M6" s="34" t="s">
        <v>921</v>
      </c>
      <c r="N6" s="10" t="s">
        <v>925</v>
      </c>
      <c r="O6" s="15">
        <f>IFERROR(__xludf.DUMMYFUNCTION("IF(ISBLANK($C6), """", GOOGLEFINANCE($C6, ""price""))"),71.76)</f>
        <v>71.76</v>
      </c>
      <c r="P6" s="16">
        <f t="shared" si="2"/>
        <v>0.02265925609</v>
      </c>
      <c r="Q6" s="16">
        <f>IFERROR(__xludf.DUMMYFUNCTION("IF(OR(ISBLANK($G6), IFERROR(INDEX(GOOGLEFINANCE($C6, ""price"", WORKDAY(INT($B6), 1)), 2, 2), """")=""""), """", IF($D6=""LONG"", (IFERROR(INDEX(GOOGLEFINANCE($C6, ""price"", WORKDAY(INT($B6), 1)), 2, 2), """")-$G6)/$G6, ($G6-IFERROR(INDEX(GOOGLEFINANCE($"&amp;"C6, ""price"", WORKDAY(INT($B6), 1)), 2, 2), """"))/$G6))"),-5.700441784239169E-4)</f>
        <v>-0.0005700441784</v>
      </c>
      <c r="R6" s="16">
        <f>IFERROR(__xludf.DUMMYFUNCTION("IF(OR(ISBLANK($G6), IFERROR(INDEX(GOOGLEFINANCE($C6, ""price"", WORKDAY(INT($B6), 5)), 2, 2), """")=""""), """", IF($D6=""LONG"", (IFERROR(INDEX(GOOGLEFINANCE($C6, ""price"", WORKDAY(INT($B6), 5)), 2, 2), """")-$G6)/$G6, ($G6-IFERROR(INDEX(GOOGLEFINANCE($"&amp;"C6, ""price"", WORKDAY(INT($B6), 5)), 2, 2), """"))/$G6))"),0.01909647997719828)</f>
        <v>0.01909647998</v>
      </c>
      <c r="S6" s="16" t="str">
        <f>IFERROR(__xludf.DUMMYFUNCTION("IF(OR(ISBLANK($G6), IFERROR(INDEX(GOOGLEFINANCE($C6, ""price"", WORKDAY(INT($B6), 20)), 2, 2), """")=""""), """", IF($D6=""LONG"", (IFERROR(INDEX(GOOGLEFINANCE($C6, ""price"", WORKDAY(INT($B6), 20)), 2, 2), """")-$G6)/$G6, ($G6-IFERROR(INDEX(GOOGLEFINANCE"&amp;"($C6, ""price"", WORKDAY(INT($B6), 20)), 2, 2), """"))/$G6))"),"")</f>
        <v/>
      </c>
      <c r="T6" s="10" t="s">
        <v>4879</v>
      </c>
      <c r="U6" s="10" t="s">
        <v>507</v>
      </c>
      <c r="V6" s="10" t="s">
        <v>4880</v>
      </c>
      <c r="W6" s="10" t="s">
        <v>51</v>
      </c>
      <c r="X6" s="10" t="s">
        <v>2228</v>
      </c>
    </row>
    <row r="7">
      <c r="A7" s="9">
        <f t="shared" si="1"/>
        <v>6</v>
      </c>
      <c r="B7" s="11">
        <v>46231.66738425926</v>
      </c>
      <c r="C7" s="10" t="s">
        <v>201</v>
      </c>
      <c r="D7" s="10" t="s">
        <v>36</v>
      </c>
      <c r="E7" s="10" t="s">
        <v>1892</v>
      </c>
      <c r="F7" s="13">
        <v>2.0</v>
      </c>
      <c r="G7" s="14">
        <v>138.07</v>
      </c>
      <c r="H7" s="10" t="s">
        <v>4882</v>
      </c>
      <c r="I7" s="10">
        <v>85.8</v>
      </c>
      <c r="O7" s="15">
        <f>IFERROR(__xludf.DUMMYFUNCTION("IF(ISBLANK($C7), """", GOOGLEFINANCE($C7, ""price""))"),134.82)</f>
        <v>134.82</v>
      </c>
      <c r="P7" s="16">
        <f t="shared" si="2"/>
        <v>-0.02353878467</v>
      </c>
      <c r="Q7" s="16">
        <f>IFERROR(__xludf.DUMMYFUNCTION("IF(OR(ISBLANK($G7), IFERROR(INDEX(GOOGLEFINANCE($C7, ""price"", WORKDAY(INT($B7), 1)), 2, 2), """")=""""), """", IF($D7=""LONG"", (IFERROR(INDEX(GOOGLEFINANCE($C7, ""price"", WORKDAY(INT($B7), 1)), 2, 2), """")-$G7)/$G7, ($G7-IFERROR(INDEX(GOOGLEFINANCE($"&amp;"C7, ""price"", WORKDAY(INT($B7), 1)), 2, 2), """"))/$G7))"),1.4485405953509257E-4)</f>
        <v>0.0001448540595</v>
      </c>
      <c r="R7" s="16">
        <f>IFERROR(__xludf.DUMMYFUNCTION("IF(OR(ISBLANK($G7), IFERROR(INDEX(GOOGLEFINANCE($C7, ""price"", WORKDAY(INT($B7), 5)), 2, 2), """")=""""), """", IF($D7=""LONG"", (IFERROR(INDEX(GOOGLEFINANCE($C7, ""price"", WORKDAY(INT($B7), 5)), 2, 2), """")-$G7)/$G7, ($G7-IFERROR(INDEX(GOOGLEFINANCE($"&amp;"C7, ""price"", WORKDAY(INT($B7), 5)), 2, 2), """"))/$G7))"),-0.029405374085608768)</f>
        <v>-0.02940537409</v>
      </c>
      <c r="S7" s="16" t="str">
        <f>IFERROR(__xludf.DUMMYFUNCTION("IF(OR(ISBLANK($G7), IFERROR(INDEX(GOOGLEFINANCE($C7, ""price"", WORKDAY(INT($B7), 20)), 2, 2), """")=""""), """", IF($D7=""LONG"", (IFERROR(INDEX(GOOGLEFINANCE($C7, ""price"", WORKDAY(INT($B7), 20)), 2, 2), """")-$G7)/$G7, ($G7-IFERROR(INDEX(GOOGLEFINANCE"&amp;"($C7, ""price"", WORKDAY(INT($B7), 20)), 2, 2), """"))/$G7))"),"")</f>
        <v/>
      </c>
      <c r="T7" s="10" t="s">
        <v>4886</v>
      </c>
      <c r="U7" s="10" t="s">
        <v>984</v>
      </c>
      <c r="V7" s="10" t="s">
        <v>933</v>
      </c>
      <c r="W7" s="10" t="s">
        <v>51</v>
      </c>
      <c r="X7" s="10" t="s">
        <v>984</v>
      </c>
    </row>
    <row r="8">
      <c r="A8" s="9">
        <f t="shared" si="1"/>
        <v>7</v>
      </c>
      <c r="B8" s="11">
        <v>46231.66737268519</v>
      </c>
      <c r="C8" s="10" t="s">
        <v>312</v>
      </c>
      <c r="D8" s="10" t="s">
        <v>36</v>
      </c>
      <c r="E8" s="10" t="s">
        <v>37</v>
      </c>
      <c r="F8" s="13">
        <v>2.0</v>
      </c>
      <c r="G8" s="14">
        <v>14.84</v>
      </c>
      <c r="H8" s="10" t="s">
        <v>4888</v>
      </c>
      <c r="I8" s="10">
        <v>90.6</v>
      </c>
      <c r="O8" s="15">
        <f>IFERROR(__xludf.DUMMYFUNCTION("IF(ISBLANK($C8), """", GOOGLEFINANCE($C8, ""price""))"),14.7)</f>
        <v>14.7</v>
      </c>
      <c r="P8" s="16">
        <f t="shared" si="2"/>
        <v>-0.009433962264</v>
      </c>
      <c r="Q8" s="16">
        <f>IFERROR(__xludf.DUMMYFUNCTION("IF(OR(ISBLANK($G8), IFERROR(INDEX(GOOGLEFINANCE($C8, ""price"", WORKDAY(INT($B8), 1)), 2, 2), """")=""""), """", IF($D8=""LONG"", (IFERROR(INDEX(GOOGLEFINANCE($C8, ""price"", WORKDAY(INT($B8), 1)), 2, 2), """")-$G8)/$G8, ($G8-IFERROR(INDEX(GOOGLEFINANCE($"&amp;"C8, ""price"", WORKDAY(INT($B8), 1)), 2, 2), """"))/$G8))"),-0.0013477088948786774)</f>
        <v>-0.001347708895</v>
      </c>
      <c r="R8" s="16">
        <f>IFERROR(__xludf.DUMMYFUNCTION("IF(OR(ISBLANK($G8), IFERROR(INDEX(GOOGLEFINANCE($C8, ""price"", WORKDAY(INT($B8), 5)), 2, 2), """")=""""), """", IF($D8=""LONG"", (IFERROR(INDEX(GOOGLEFINANCE($C8, ""price"", WORKDAY(INT($B8), 5)), 2, 2), """")-$G8)/$G8, ($G8-IFERROR(INDEX(GOOGLEFINANCE($"&amp;"C8, ""price"", WORKDAY(INT($B8), 5)), 2, 2), """"))/$G8))"),-0.010781671159029659)</f>
        <v>-0.01078167116</v>
      </c>
      <c r="S8" s="16" t="str">
        <f>IFERROR(__xludf.DUMMYFUNCTION("IF(OR(ISBLANK($G8), IFERROR(INDEX(GOOGLEFINANCE($C8, ""price"", WORKDAY(INT($B8), 20)), 2, 2), """")=""""), """", IF($D8=""LONG"", (IFERROR(INDEX(GOOGLEFINANCE($C8, ""price"", WORKDAY(INT($B8), 20)), 2, 2), """")-$G8)/$G8, ($G8-IFERROR(INDEX(GOOGLEFINANCE"&amp;"($C8, ""price"", WORKDAY(INT($B8), 20)), 2, 2), """"))/$G8))"),"")</f>
        <v/>
      </c>
      <c r="T8" s="10" t="s">
        <v>4891</v>
      </c>
      <c r="U8" s="10" t="s">
        <v>984</v>
      </c>
      <c r="V8" s="10" t="s">
        <v>998</v>
      </c>
      <c r="W8" s="10" t="s">
        <v>51</v>
      </c>
      <c r="X8" s="10" t="s">
        <v>984</v>
      </c>
    </row>
    <row r="9">
      <c r="A9" s="9">
        <f t="shared" si="1"/>
        <v>8</v>
      </c>
      <c r="B9" s="11">
        <v>46231.66738425926</v>
      </c>
      <c r="C9" s="10" t="s">
        <v>4892</v>
      </c>
      <c r="D9" s="10" t="s">
        <v>36</v>
      </c>
      <c r="E9" s="10" t="s">
        <v>87</v>
      </c>
      <c r="F9" s="13">
        <v>2.0</v>
      </c>
      <c r="G9" s="14">
        <v>53.0</v>
      </c>
      <c r="H9" s="10" t="s">
        <v>4893</v>
      </c>
      <c r="I9" s="10">
        <v>92.6</v>
      </c>
      <c r="O9" s="15">
        <f>IFERROR(__xludf.DUMMYFUNCTION("IF(ISBLANK($C9), """", GOOGLEFINANCE($C9, ""price""))"),52.59)</f>
        <v>52.59</v>
      </c>
      <c r="P9" s="16">
        <f t="shared" si="2"/>
        <v>-0.007735849057</v>
      </c>
      <c r="Q9" s="16">
        <f>IFERROR(__xludf.DUMMYFUNCTION("IF(OR(ISBLANK($G9), IFERROR(INDEX(GOOGLEFINANCE($C9, ""price"", WORKDAY(INT($B9), 1)), 2, 2), """")=""""), """", IF($D9=""LONG"", (IFERROR(INDEX(GOOGLEFINANCE($C9, ""price"", WORKDAY(INT($B9), 1)), 2, 2), """")-$G9)/$G9, ($G9-IFERROR(INDEX(GOOGLEFINANCE($"&amp;"C9, ""price"", WORKDAY(INT($B9), 1)), 2, 2), """"))/$G9))"),-0.01301886792452826)</f>
        <v>-0.01301886792</v>
      </c>
      <c r="R9" s="16">
        <f>IFERROR(__xludf.DUMMYFUNCTION("IF(OR(ISBLANK($G9), IFERROR(INDEX(GOOGLEFINANCE($C9, ""price"", WORKDAY(INT($B9), 5)), 2, 2), """")=""""), """", IF($D9=""LONG"", (IFERROR(INDEX(GOOGLEFINANCE($C9, ""price"", WORKDAY(INT($B9), 5)), 2, 2), """")-$G9)/$G9, ($G9-IFERROR(INDEX(GOOGLEFINANCE($"&amp;"C9, ""price"", WORKDAY(INT($B9), 5)), 2, 2), """"))/$G9))"),-0.0064150943396227055)</f>
        <v>-0.00641509434</v>
      </c>
      <c r="S9" s="16" t="str">
        <f>IFERROR(__xludf.DUMMYFUNCTION("IF(OR(ISBLANK($G9), IFERROR(INDEX(GOOGLEFINANCE($C9, ""price"", WORKDAY(INT($B9), 20)), 2, 2), """")=""""), """", IF($D9=""LONG"", (IFERROR(INDEX(GOOGLEFINANCE($C9, ""price"", WORKDAY(INT($B9), 20)), 2, 2), """")-$G9)/$G9, ($G9-IFERROR(INDEX(GOOGLEFINANCE"&amp;"($C9, ""price"", WORKDAY(INT($B9), 20)), 2, 2), """"))/$G9))"),"")</f>
        <v/>
      </c>
      <c r="T9" s="10" t="s">
        <v>4896</v>
      </c>
      <c r="U9" s="10" t="s">
        <v>492</v>
      </c>
      <c r="V9" s="10" t="s">
        <v>493</v>
      </c>
      <c r="W9" s="10" t="s">
        <v>51</v>
      </c>
      <c r="X9" s="10" t="s">
        <v>492</v>
      </c>
    </row>
    <row r="10">
      <c r="A10" s="9">
        <f t="shared" si="1"/>
        <v>9</v>
      </c>
      <c r="B10" s="11">
        <v>46231.66777777778</v>
      </c>
      <c r="C10" s="10" t="s">
        <v>434</v>
      </c>
      <c r="D10" s="10" t="s">
        <v>36</v>
      </c>
      <c r="E10" s="10" t="s">
        <v>37</v>
      </c>
      <c r="F10" s="13">
        <v>2.0</v>
      </c>
      <c r="G10" s="14">
        <v>111.5</v>
      </c>
      <c r="H10" s="10" t="s">
        <v>4898</v>
      </c>
      <c r="I10" s="10">
        <v>91.7</v>
      </c>
      <c r="O10" s="15">
        <f>IFERROR(__xludf.DUMMYFUNCTION("IF(ISBLANK($C10), """", GOOGLEFINANCE($C10, ""price""))"),114.24)</f>
        <v>114.24</v>
      </c>
      <c r="P10" s="16">
        <f t="shared" si="2"/>
        <v>0.02457399103</v>
      </c>
      <c r="Q10" s="16">
        <f>IFERROR(__xludf.DUMMYFUNCTION("IF(OR(ISBLANK($G10), IFERROR(INDEX(GOOGLEFINANCE($C10, ""price"", WORKDAY(INT($B10), 1)), 2, 2), """")=""""), """", IF($D10=""LONG"", (IFERROR(INDEX(GOOGLEFINANCE($C10, ""price"", WORKDAY(INT($B10), 1)), 2, 2), """")-$G10)/$G10, ($G10-IFERROR(INDEX(GOOGLE"&amp;"FINANCE($C10, ""price"", WORKDAY(INT($B10), 1)), 2, 2), """"))/$G10))"),0.016771300448430535)</f>
        <v>0.01677130045</v>
      </c>
      <c r="R10" s="16">
        <f>IFERROR(__xludf.DUMMYFUNCTION("IF(OR(ISBLANK($G10), IFERROR(INDEX(GOOGLEFINANCE($C10, ""price"", WORKDAY(INT($B10), 5)), 2, 2), """")=""""), """", IF($D10=""LONG"", (IFERROR(INDEX(GOOGLEFINANCE($C10, ""price"", WORKDAY(INT($B10), 5)), 2, 2), """")-$G10)/$G10, ($G10-IFERROR(INDEX(GOOGLE"&amp;"FINANCE($C10, ""price"", WORKDAY(INT($B10), 5)), 2, 2), """"))/$G10))"),-9.865470852017887E-4)</f>
        <v>-0.0009865470852</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4904</v>
      </c>
      <c r="U10" s="10" t="s">
        <v>492</v>
      </c>
      <c r="V10" s="10" t="s">
        <v>493</v>
      </c>
      <c r="W10" s="10" t="s">
        <v>51</v>
      </c>
      <c r="X10" s="10" t="s">
        <v>492</v>
      </c>
    </row>
    <row r="11">
      <c r="A11" s="9">
        <f t="shared" si="1"/>
        <v>10</v>
      </c>
      <c r="B11" s="11">
        <v>46231.66737268519</v>
      </c>
      <c r="C11" s="10" t="s">
        <v>303</v>
      </c>
      <c r="D11" s="10" t="s">
        <v>36</v>
      </c>
      <c r="E11" s="10" t="s">
        <v>37</v>
      </c>
      <c r="F11" s="13">
        <v>2.0</v>
      </c>
      <c r="G11" s="14">
        <v>109.33</v>
      </c>
      <c r="H11" s="10" t="s">
        <v>4906</v>
      </c>
      <c r="I11" s="10">
        <v>88.5</v>
      </c>
      <c r="L11" s="10" t="s">
        <v>4907</v>
      </c>
      <c r="M11" s="34" t="s">
        <v>921</v>
      </c>
      <c r="N11" s="10" t="s">
        <v>4908</v>
      </c>
      <c r="O11" s="15">
        <f>IFERROR(__xludf.DUMMYFUNCTION("IF(ISBLANK($C11), """", GOOGLEFINANCE($C11, ""price""))"),96.22)</f>
        <v>96.22</v>
      </c>
      <c r="P11" s="16">
        <f t="shared" si="2"/>
        <v>-0.1199121924</v>
      </c>
      <c r="Q11" s="16">
        <f>IFERROR(__xludf.DUMMYFUNCTION("IF(OR(ISBLANK($G11), IFERROR(INDEX(GOOGLEFINANCE($C11, ""price"", WORKDAY(INT($B11), 1)), 2, 2), """")=""""), """", IF($D11=""LONG"", (IFERROR(INDEX(GOOGLEFINANCE($C11, ""price"", WORKDAY(INT($B11), 1)), 2, 2), """")-$G11)/$G11, ($G11-IFERROR(INDEX(GOOGLE"&amp;"FINANCE($C11, ""price"", WORKDAY(INT($B11), 1)), 2, 2), """"))/$G11))"),-0.031189975304125095)</f>
        <v>-0.0311899753</v>
      </c>
      <c r="R11" s="16">
        <f>IFERROR(__xludf.DUMMYFUNCTION("IF(OR(ISBLANK($G11), IFERROR(INDEX(GOOGLEFINANCE($C11, ""price"", WORKDAY(INT($B11), 5)), 2, 2), """")=""""), """", IF($D11=""LONG"", (IFERROR(INDEX(GOOGLEFINANCE($C11, ""price"", WORKDAY(INT($B11), 5)), 2, 2), """")-$G11)/$G11, ($G11-IFERROR(INDEX(GOOGLE"&amp;"FINANCE($C11, ""price"", WORKDAY(INT($B11), 5)), 2, 2), """"))/$G11))"),-0.044909905789810634)</f>
        <v>-0.04490990579</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4912</v>
      </c>
      <c r="U11" s="10" t="s">
        <v>507</v>
      </c>
      <c r="V11" s="10" t="s">
        <v>4913</v>
      </c>
      <c r="W11" s="10" t="s">
        <v>51</v>
      </c>
      <c r="X11" s="10" t="s">
        <v>2228</v>
      </c>
    </row>
    <row r="12">
      <c r="A12" s="9">
        <f t="shared" si="1"/>
        <v>11</v>
      </c>
      <c r="B12" s="11">
        <v>46231.667395833334</v>
      </c>
      <c r="C12" s="10" t="s">
        <v>499</v>
      </c>
      <c r="D12" s="10" t="s">
        <v>36</v>
      </c>
      <c r="E12" s="10" t="s">
        <v>87</v>
      </c>
      <c r="F12" s="13">
        <v>2.0</v>
      </c>
      <c r="G12" s="14">
        <v>119.37</v>
      </c>
      <c r="H12" s="10" t="s">
        <v>4914</v>
      </c>
      <c r="I12" s="10">
        <v>78.6</v>
      </c>
      <c r="O12" s="15">
        <f>IFERROR(__xludf.DUMMYFUNCTION("IF(ISBLANK($C12), """", GOOGLEFINANCE($C12, ""price""))"),115.98)</f>
        <v>115.98</v>
      </c>
      <c r="P12" s="16">
        <f t="shared" si="2"/>
        <v>-0.02839909525</v>
      </c>
      <c r="Q12" s="16">
        <f>IFERROR(__xludf.DUMMYFUNCTION("IF(OR(ISBLANK($G12), IFERROR(INDEX(GOOGLEFINANCE($C12, ""price"", WORKDAY(INT($B12), 1)), 2, 2), """")=""""), """", IF($D12=""LONG"", (IFERROR(INDEX(GOOGLEFINANCE($C12, ""price"", WORKDAY(INT($B12), 1)), 2, 2), """")-$G12)/$G12, ($G12-IFERROR(INDEX(GOOGLE"&amp;"FINANCE($C12, ""price"", WORKDAY(INT($B12), 1)), 2, 2), """"))/$G12))"),-0.0036022451202145163)</f>
        <v>-0.00360224512</v>
      </c>
      <c r="R12" s="16">
        <f>IFERROR(__xludf.DUMMYFUNCTION("IF(OR(ISBLANK($G12), IFERROR(INDEX(GOOGLEFINANCE($C12, ""price"", WORKDAY(INT($B12), 5)), 2, 2), """")=""""), """", IF($D12=""LONG"", (IFERROR(INDEX(GOOGLEFINANCE($C12, ""price"", WORKDAY(INT($B12), 5)), 2, 2), """")-$G12)/$G12, ($G12-IFERROR(INDEX(GOOGLE"&amp;"FINANCE($C12, ""price"", WORKDAY(INT($B12), 5)), 2, 2), """"))/$G12))"),-0.028399095250062834)</f>
        <v>-0.02839909525</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4917</v>
      </c>
      <c r="U12" s="10" t="s">
        <v>984</v>
      </c>
      <c r="V12" s="10" t="s">
        <v>985</v>
      </c>
      <c r="W12" s="10" t="s">
        <v>51</v>
      </c>
      <c r="X12" s="10" t="s">
        <v>984</v>
      </c>
    </row>
    <row r="13">
      <c r="A13" s="9">
        <f t="shared" si="1"/>
        <v>12</v>
      </c>
      <c r="B13" s="11">
        <v>46231.66740740741</v>
      </c>
      <c r="C13" s="10" t="s">
        <v>600</v>
      </c>
      <c r="D13" s="10" t="s">
        <v>36</v>
      </c>
      <c r="E13" s="10" t="s">
        <v>37</v>
      </c>
      <c r="F13" s="13">
        <v>2.0</v>
      </c>
      <c r="G13" s="14">
        <v>240.29</v>
      </c>
      <c r="H13" s="10" t="s">
        <v>4918</v>
      </c>
      <c r="I13" s="10">
        <v>85.4</v>
      </c>
      <c r="O13" s="15">
        <f>IFERROR(__xludf.DUMMYFUNCTION("IF(ISBLANK($C13), """", GOOGLEFINANCE($C13, ""price""))"),265.51)</f>
        <v>265.51</v>
      </c>
      <c r="P13" s="16">
        <f t="shared" si="2"/>
        <v>0.1049565109</v>
      </c>
      <c r="Q13" s="16">
        <f>IFERROR(__xludf.DUMMYFUNCTION("IF(OR(ISBLANK($G13), IFERROR(INDEX(GOOGLEFINANCE($C13, ""price"", WORKDAY(INT($B13), 1)), 2, 2), """")=""""), """", IF($D13=""LONG"", (IFERROR(INDEX(GOOGLEFINANCE($C13, ""price"", WORKDAY(INT($B13), 1)), 2, 2), """")-$G13)/$G13, ($G13-IFERROR(INDEX(GOOGLE"&amp;"FINANCE($C13, ""price"", WORKDAY(INT($B13), 1)), 2, 2), """"))/$G13))"),-0.022847392733779937)</f>
        <v>-0.02284739273</v>
      </c>
      <c r="R13" s="16">
        <f>IFERROR(__xludf.DUMMYFUNCTION("IF(OR(ISBLANK($G13), IFERROR(INDEX(GOOGLEFINANCE($C13, ""price"", WORKDAY(INT($B13), 5)), 2, 2), """")=""""), """", IF($D13=""LONG"", (IFERROR(INDEX(GOOGLEFINANCE($C13, ""price"", WORKDAY(INT($B13), 5)), 2, 2), """")-$G13)/$G13, ($G13-IFERROR(INDEX(GOOGLE"&amp;"FINANCE($C13, ""price"", WORKDAY(INT($B13), 5)), 2, 2), """"))/$G13))"),-0.025677306587872935)</f>
        <v>-0.02567730659</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4921</v>
      </c>
      <c r="U13" s="10" t="s">
        <v>984</v>
      </c>
      <c r="V13" s="10" t="s">
        <v>2714</v>
      </c>
      <c r="W13" s="10" t="s">
        <v>51</v>
      </c>
      <c r="X13" s="10" t="s">
        <v>984</v>
      </c>
    </row>
    <row r="14">
      <c r="A14" s="9">
        <f t="shared" si="1"/>
        <v>13</v>
      </c>
      <c r="B14" s="11">
        <v>46231.6675</v>
      </c>
      <c r="C14" s="10" t="s">
        <v>374</v>
      </c>
      <c r="D14" s="10" t="s">
        <v>36</v>
      </c>
      <c r="E14" s="10" t="s">
        <v>37</v>
      </c>
      <c r="F14" s="13">
        <v>2.0</v>
      </c>
      <c r="G14" s="14">
        <v>72.1</v>
      </c>
      <c r="H14" s="10" t="s">
        <v>4922</v>
      </c>
      <c r="I14" s="10">
        <v>86.0</v>
      </c>
      <c r="O14" s="15">
        <f>IFERROR(__xludf.DUMMYFUNCTION("IF(ISBLANK($C14), """", GOOGLEFINANCE($C14, ""price""))"),73.32)</f>
        <v>73.32</v>
      </c>
      <c r="P14" s="16">
        <f t="shared" si="2"/>
        <v>0.01692094313</v>
      </c>
      <c r="Q14" s="16">
        <f>IFERROR(__xludf.DUMMYFUNCTION("IF(OR(ISBLANK($G14), IFERROR(INDEX(GOOGLEFINANCE($C14, ""price"", WORKDAY(INT($B14), 1)), 2, 2), """")=""""), """", IF($D14=""LONG"", (IFERROR(INDEX(GOOGLEFINANCE($C14, ""price"", WORKDAY(INT($B14), 1)), 2, 2), """")-$G14)/$G14, ($G14-IFERROR(INDEX(GOOGLE"&amp;"FINANCE($C14, ""price"", WORKDAY(INT($B14), 1)), 2, 2), """"))/$G14))"),0.01331484049930663)</f>
        <v>0.0133148405</v>
      </c>
      <c r="R14" s="16">
        <f>IFERROR(__xludf.DUMMYFUNCTION("IF(OR(ISBLANK($G14), IFERROR(INDEX(GOOGLEFINANCE($C14, ""price"", WORKDAY(INT($B14), 5)), 2, 2), """")=""""), """", IF($D14=""LONG"", (IFERROR(INDEX(GOOGLEFINANCE($C14, ""price"", WORKDAY(INT($B14), 5)), 2, 2), """")-$G14)/$G14, ($G14-IFERROR(INDEX(GOOGLE"&amp;"FINANCE($C14, ""price"", WORKDAY(INT($B14), 5)), 2, 2), """"))/$G14))"),0.03592233009708743)</f>
        <v>0.0359223301</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4924</v>
      </c>
      <c r="U14" s="10" t="s">
        <v>984</v>
      </c>
      <c r="V14" s="10" t="s">
        <v>985</v>
      </c>
      <c r="W14" s="10" t="s">
        <v>51</v>
      </c>
      <c r="X14" s="10" t="s">
        <v>984</v>
      </c>
    </row>
    <row r="15">
      <c r="A15" s="9">
        <f t="shared" si="1"/>
        <v>14</v>
      </c>
      <c r="B15" s="11">
        <v>46231.66746527778</v>
      </c>
      <c r="C15" s="10" t="s">
        <v>134</v>
      </c>
      <c r="D15" s="10" t="s">
        <v>36</v>
      </c>
      <c r="E15" s="10" t="s">
        <v>1892</v>
      </c>
      <c r="F15" s="13">
        <v>2.0</v>
      </c>
      <c r="G15" s="14">
        <v>282.95</v>
      </c>
      <c r="H15" s="10" t="s">
        <v>4926</v>
      </c>
      <c r="I15" s="10">
        <v>79.7</v>
      </c>
      <c r="O15" s="15">
        <f>IFERROR(__xludf.DUMMYFUNCTION("IF(ISBLANK($C15), """", GOOGLEFINANCE($C15, ""price""))"),283.46)</f>
        <v>283.46</v>
      </c>
      <c r="P15" s="16">
        <f t="shared" si="2"/>
        <v>0.001802438593</v>
      </c>
      <c r="Q15" s="16">
        <f>IFERROR(__xludf.DUMMYFUNCTION("IF(OR(ISBLANK($G15), IFERROR(INDEX(GOOGLEFINANCE($C15, ""price"", WORKDAY(INT($B15), 1)), 2, 2), """")=""""), """", IF($D15=""LONG"", (IFERROR(INDEX(GOOGLEFINANCE($C15, ""price"", WORKDAY(INT($B15), 1)), 2, 2), """")-$G15)/$G15, ($G15-IFERROR(INDEX(GOOGLE"&amp;"FINANCE($C15, ""price"", WORKDAY(INT($B15), 1)), 2, 2), """"))/$G15))"),0.0026506449902809685)</f>
        <v>0.00265064499</v>
      </c>
      <c r="R15" s="16">
        <f>IFERROR(__xludf.DUMMYFUNCTION("IF(OR(ISBLANK($G15), IFERROR(INDEX(GOOGLEFINANCE($C15, ""price"", WORKDAY(INT($B15), 5)), 2, 2), """")=""""), """", IF($D15=""LONG"", (IFERROR(INDEX(GOOGLEFINANCE($C15, ""price"", WORKDAY(INT($B15), 5)), 2, 2), """")-$G15)/$G15, ($G15-IFERROR(INDEX(GOOGLE"&amp;"FINANCE($C15, ""price"", WORKDAY(INT($B15), 5)), 2, 2), """"))/$G15))"),6.714967308711706E-4)</f>
        <v>0.0006714967309</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4930</v>
      </c>
      <c r="U15" s="10" t="s">
        <v>492</v>
      </c>
      <c r="V15" s="10" t="s">
        <v>493</v>
      </c>
      <c r="W15" s="10" t="s">
        <v>51</v>
      </c>
      <c r="X15" s="10" t="s">
        <v>492</v>
      </c>
    </row>
    <row r="16">
      <c r="A16" s="9">
        <f t="shared" si="1"/>
        <v>15</v>
      </c>
      <c r="B16" s="11">
        <v>46231.66740740741</v>
      </c>
      <c r="C16" s="10" t="s">
        <v>191</v>
      </c>
      <c r="D16" s="10" t="s">
        <v>36</v>
      </c>
      <c r="E16" s="10" t="s">
        <v>87</v>
      </c>
      <c r="F16" s="13">
        <v>2.0</v>
      </c>
      <c r="G16" s="14">
        <v>24.37</v>
      </c>
      <c r="H16" s="10" t="s">
        <v>4931</v>
      </c>
      <c r="I16" s="10">
        <v>80.5</v>
      </c>
      <c r="O16" s="15">
        <f>IFERROR(__xludf.DUMMYFUNCTION("IF(ISBLANK($C16), """", GOOGLEFINANCE($C16, ""price""))"),27.01)</f>
        <v>27.01</v>
      </c>
      <c r="P16" s="16">
        <f t="shared" si="2"/>
        <v>0.1083299138</v>
      </c>
      <c r="Q16" s="16">
        <f>IFERROR(__xludf.DUMMYFUNCTION("IF(OR(ISBLANK($G16), IFERROR(INDEX(GOOGLEFINANCE($C16, ""price"", WORKDAY(INT($B16), 1)), 2, 2), """")=""""), """", IF($D16=""LONG"", (IFERROR(INDEX(GOOGLEFINANCE($C16, ""price"", WORKDAY(INT($B16), 1)), 2, 2), """")-$G16)/$G16, ($G16-IFERROR(INDEX(GOOGLE"&amp;"FINANCE($C16, ""price"", WORKDAY(INT($B16), 1)), 2, 2), """"))/$G16))"),0.016413623307345037)</f>
        <v>0.01641362331</v>
      </c>
      <c r="R16" s="16">
        <f>IFERROR(__xludf.DUMMYFUNCTION("IF(OR(ISBLANK($G16), IFERROR(INDEX(GOOGLEFINANCE($C16, ""price"", WORKDAY(INT($B16), 5)), 2, 2), """")=""""), """", IF($D16=""LONG"", (IFERROR(INDEX(GOOGLEFINANCE($C16, ""price"", WORKDAY(INT($B16), 5)), 2, 2), """")-$G16)/$G16, ($G16-IFERROR(INDEX(GOOGLE"&amp;"FINANCE($C16, ""price"", WORKDAY(INT($B16), 5)), 2, 2), """"))/$G16))"),0.16331555190808372)</f>
        <v>0.1633155519</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4935</v>
      </c>
      <c r="U16" s="10" t="s">
        <v>984</v>
      </c>
      <c r="V16" s="10" t="s">
        <v>1059</v>
      </c>
      <c r="W16" s="10" t="s">
        <v>51</v>
      </c>
      <c r="X16" s="10" t="s">
        <v>984</v>
      </c>
    </row>
    <row r="17">
      <c r="A17" s="9">
        <f t="shared" si="1"/>
        <v>16</v>
      </c>
      <c r="B17" s="11">
        <v>46231.66751157407</v>
      </c>
      <c r="C17" s="10" t="s">
        <v>691</v>
      </c>
      <c r="D17" s="10" t="s">
        <v>36</v>
      </c>
      <c r="E17" s="10" t="s">
        <v>37</v>
      </c>
      <c r="F17" s="13">
        <v>2.0</v>
      </c>
      <c r="G17" s="14">
        <v>29.43</v>
      </c>
      <c r="H17" s="10" t="s">
        <v>4936</v>
      </c>
      <c r="I17" s="10">
        <v>88.9</v>
      </c>
      <c r="O17" s="15">
        <f>IFERROR(__xludf.DUMMYFUNCTION("IF(ISBLANK($C17), """", GOOGLEFINANCE($C17, ""price""))"),31.69)</f>
        <v>31.69</v>
      </c>
      <c r="P17" s="16">
        <f t="shared" si="2"/>
        <v>0.07679238872</v>
      </c>
      <c r="Q17" s="16">
        <f>IFERROR(__xludf.DUMMYFUNCTION("IF(OR(ISBLANK($G17), IFERROR(INDEX(GOOGLEFINANCE($C17, ""price"", WORKDAY(INT($B17), 1)), 2, 2), """")=""""), """", IF($D17=""LONG"", (IFERROR(INDEX(GOOGLEFINANCE($C17, ""price"", WORKDAY(INT($B17), 1)), 2, 2), """")-$G17)/$G17, ($G17-IFERROR(INDEX(GOOGLE"&amp;"FINANCE($C17, ""price"", WORKDAY(INT($B17), 1)), 2, 2), """"))/$G17))"),-0.046211348963642526)</f>
        <v>-0.04621134896</v>
      </c>
      <c r="R17" s="16">
        <f>IFERROR(__xludf.DUMMYFUNCTION("IF(OR(ISBLANK($G17), IFERROR(INDEX(GOOGLEFINANCE($C17, ""price"", WORKDAY(INT($B17), 5)), 2, 2), """")=""""), """", IF($D17=""LONG"", (IFERROR(INDEX(GOOGLEFINANCE($C17, ""price"", WORKDAY(INT($B17), 5)), 2, 2), """")-$G17)/$G17, ($G17-IFERROR(INDEX(GOOGLE"&amp;"FINANCE($C17, ""price"", WORKDAY(INT($B17), 5)), 2, 2), """"))/$G17))"),0.08732585796805982)</f>
        <v>0.08732585797</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4939</v>
      </c>
      <c r="U17" s="10" t="s">
        <v>492</v>
      </c>
      <c r="V17" s="10" t="s">
        <v>493</v>
      </c>
      <c r="W17" s="10" t="s">
        <v>51</v>
      </c>
      <c r="X17" s="10" t="s">
        <v>492</v>
      </c>
    </row>
    <row r="18">
      <c r="A18" s="9">
        <f t="shared" si="1"/>
        <v>17</v>
      </c>
      <c r="B18" s="11">
        <v>46231.66740740741</v>
      </c>
      <c r="C18" s="10" t="s">
        <v>331</v>
      </c>
      <c r="D18" s="10" t="s">
        <v>36</v>
      </c>
      <c r="E18" s="10" t="s">
        <v>37</v>
      </c>
      <c r="F18" s="13">
        <v>2.0</v>
      </c>
      <c r="G18" s="14">
        <v>251.63</v>
      </c>
      <c r="H18" s="10" t="s">
        <v>4940</v>
      </c>
      <c r="I18" s="10">
        <v>93.1</v>
      </c>
      <c r="L18" s="10" t="s">
        <v>4941</v>
      </c>
      <c r="M18" s="34" t="s">
        <v>951</v>
      </c>
      <c r="N18" s="10" t="s">
        <v>4942</v>
      </c>
      <c r="O18" s="15">
        <f>IFERROR(__xludf.DUMMYFUNCTION("IF(ISBLANK($C18), """", GOOGLEFINANCE($C18, ""price""))"),252.76)</f>
        <v>252.76</v>
      </c>
      <c r="P18" s="16">
        <f t="shared" si="2"/>
        <v>0.004490720502</v>
      </c>
      <c r="Q18" s="16">
        <f>IFERROR(__xludf.DUMMYFUNCTION("IF(OR(ISBLANK($G18), IFERROR(INDEX(GOOGLEFINANCE($C18, ""price"", WORKDAY(INT($B18), 1)), 2, 2), """")=""""), """", IF($D18=""LONG"", (IFERROR(INDEX(GOOGLEFINANCE($C18, ""price"", WORKDAY(INT($B18), 1)), 2, 2), """")-$G18)/$G18, ($G18-IFERROR(INDEX(GOOGLE"&amp;"FINANCE($C18, ""price"", WORKDAY(INT($B18), 1)), 2, 2), """"))/$G18))"),-0.012478639271946852)</f>
        <v>-0.01247863927</v>
      </c>
      <c r="R18" s="16">
        <f>IFERROR(__xludf.DUMMYFUNCTION("IF(OR(ISBLANK($G18), IFERROR(INDEX(GOOGLEFINANCE($C18, ""price"", WORKDAY(INT($B18), 5)), 2, 2), """")=""""), """", IF($D18=""LONG"", (IFERROR(INDEX(GOOGLEFINANCE($C18, ""price"", WORKDAY(INT($B18), 5)), 2, 2), """")-$G18)/$G18, ($G18-IFERROR(INDEX(GOOGLE"&amp;"FINANCE($C18, ""price"", WORKDAY(INT($B18), 5)), 2, 2), """"))/$G18))"),0.009974963239677268)</f>
        <v>0.00997496324</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4946</v>
      </c>
      <c r="U18" s="10" t="s">
        <v>507</v>
      </c>
      <c r="V18" s="10" t="s">
        <v>4947</v>
      </c>
      <c r="W18" s="10" t="s">
        <v>51</v>
      </c>
      <c r="X18" s="10" t="s">
        <v>2228</v>
      </c>
    </row>
    <row r="19">
      <c r="A19" s="9">
        <f t="shared" si="1"/>
        <v>18</v>
      </c>
      <c r="B19" s="11">
        <v>46231.66746527778</v>
      </c>
      <c r="C19" s="10" t="s">
        <v>4948</v>
      </c>
      <c r="D19" s="10" t="s">
        <v>36</v>
      </c>
      <c r="E19" s="10" t="s">
        <v>4224</v>
      </c>
      <c r="F19" s="13">
        <v>4.0</v>
      </c>
      <c r="G19" s="14">
        <v>174.41</v>
      </c>
      <c r="H19" s="10" t="s">
        <v>4949</v>
      </c>
      <c r="I19" s="10">
        <v>35.0</v>
      </c>
      <c r="O19" s="15">
        <f>IFERROR(__xludf.DUMMYFUNCTION("IF(ISBLANK($C19), """", GOOGLEFINANCE($C19, ""price""))"),210.54)</f>
        <v>210.54</v>
      </c>
      <c r="P19" s="16">
        <f t="shared" si="2"/>
        <v>0.207155553</v>
      </c>
      <c r="Q19" s="16">
        <f>IFERROR(__xludf.DUMMYFUNCTION("IF(OR(ISBLANK($G19), IFERROR(INDEX(GOOGLEFINANCE($C19, ""price"", WORKDAY(INT($B19), 1)), 2, 2), """")=""""), """", IF($D19=""LONG"", (IFERROR(INDEX(GOOGLEFINANCE($C19, ""price"", WORKDAY(INT($B19), 1)), 2, 2), """")-$G19)/$G19, ($G19-IFERROR(INDEX(GOOGLE"&amp;"FINANCE($C19, ""price"", WORKDAY(INT($B19), 1)), 2, 2), """"))/$G19))"),-0.06312711427097065)</f>
        <v>-0.06312711427</v>
      </c>
      <c r="R19" s="16">
        <f>IFERROR(__xludf.DUMMYFUNCTION("IF(OR(ISBLANK($G19), IFERROR(INDEX(GOOGLEFINANCE($C19, ""price"", WORKDAY(INT($B19), 5)), 2, 2), """")=""""), """", IF($D19=""LONG"", (IFERROR(INDEX(GOOGLEFINANCE($C19, ""price"", WORKDAY(INT($B19), 5)), 2, 2), """")-$G19)/$G19, ($G19-IFERROR(INDEX(GOOGLE"&amp;"FINANCE($C19, ""price"", WORKDAY(INT($B19), 5)), 2, 2), """"))/$G19))"),0.25331116335072534)</f>
        <v>0.2533111634</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4951</v>
      </c>
      <c r="U19" s="10" t="s">
        <v>492</v>
      </c>
      <c r="V19" s="10" t="s">
        <v>493</v>
      </c>
      <c r="W19" s="10" t="s">
        <v>51</v>
      </c>
      <c r="X19" s="10" t="s">
        <v>492</v>
      </c>
    </row>
    <row r="20">
      <c r="A20" s="9">
        <f t="shared" si="1"/>
        <v>19</v>
      </c>
      <c r="B20" s="11">
        <v>46231.66741898148</v>
      </c>
      <c r="C20" s="10" t="s">
        <v>397</v>
      </c>
      <c r="D20" s="10" t="s">
        <v>36</v>
      </c>
      <c r="E20" s="10" t="s">
        <v>87</v>
      </c>
      <c r="F20" s="13">
        <v>2.0</v>
      </c>
      <c r="G20" s="14">
        <v>296.0</v>
      </c>
      <c r="H20" s="10" t="s">
        <v>4953</v>
      </c>
      <c r="I20" s="10">
        <v>56.8</v>
      </c>
      <c r="O20" s="15">
        <f>IFERROR(__xludf.DUMMYFUNCTION("IF(ISBLANK($C20), """", GOOGLEFINANCE($C20, ""price""))"),306.57)</f>
        <v>306.57</v>
      </c>
      <c r="P20" s="16">
        <f t="shared" si="2"/>
        <v>0.03570945946</v>
      </c>
      <c r="Q20" s="16">
        <f>IFERROR(__xludf.DUMMYFUNCTION("IF(OR(ISBLANK($G20), IFERROR(INDEX(GOOGLEFINANCE($C20, ""price"", WORKDAY(INT($B20), 1)), 2, 2), """")=""""), """", IF($D20=""LONG"", (IFERROR(INDEX(GOOGLEFINANCE($C20, ""price"", WORKDAY(INT($B20), 1)), 2, 2), """")-$G20)/$G20, ($G20-IFERROR(INDEX(GOOGLE"&amp;"FINANCE($C20, ""price"", WORKDAY(INT($B20), 1)), 2, 2), """"))/$G20))"),0.02793918918918913)</f>
        <v>0.02793918919</v>
      </c>
      <c r="R20" s="16">
        <f>IFERROR(__xludf.DUMMYFUNCTION("IF(OR(ISBLANK($G20), IFERROR(INDEX(GOOGLEFINANCE($C20, ""price"", WORKDAY(INT($B20), 5)), 2, 2), """")=""""), """", IF($D20=""LONG"", (IFERROR(INDEX(GOOGLEFINANCE($C20, ""price"", WORKDAY(INT($B20), 5)), 2, 2), """")-$G20)/$G20, ($G20-IFERROR(INDEX(GOOGLE"&amp;"FINANCE($C20, ""price"", WORKDAY(INT($B20), 5)), 2, 2), """"))/$G20))"),0.054256756756756765)</f>
        <v>0.05425675676</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4956</v>
      </c>
      <c r="U20" s="10" t="s">
        <v>492</v>
      </c>
      <c r="V20" s="10" t="s">
        <v>493</v>
      </c>
      <c r="W20" s="10" t="s">
        <v>51</v>
      </c>
      <c r="X20" s="10" t="s">
        <v>492</v>
      </c>
    </row>
    <row r="21">
      <c r="A21" s="9">
        <f t="shared" si="1"/>
        <v>20</v>
      </c>
      <c r="B21" s="11">
        <v>46231.6674537037</v>
      </c>
      <c r="C21" s="10" t="s">
        <v>455</v>
      </c>
      <c r="D21" s="10" t="s">
        <v>36</v>
      </c>
      <c r="E21" s="10" t="s">
        <v>37</v>
      </c>
      <c r="F21" s="13">
        <v>2.0</v>
      </c>
      <c r="G21" s="14">
        <v>113.13</v>
      </c>
      <c r="H21" s="10" t="s">
        <v>4957</v>
      </c>
      <c r="I21" s="10">
        <v>87.8</v>
      </c>
      <c r="O21" s="15">
        <f>IFERROR(__xludf.DUMMYFUNCTION("IF(ISBLANK($C21), """", GOOGLEFINANCE($C21, ""price""))"),108.66)</f>
        <v>108.66</v>
      </c>
      <c r="P21" s="16">
        <f t="shared" si="2"/>
        <v>-0.03951206577</v>
      </c>
      <c r="Q21" s="16">
        <f>IFERROR(__xludf.DUMMYFUNCTION("IF(OR(ISBLANK($G21), IFERROR(INDEX(GOOGLEFINANCE($C21, ""price"", WORKDAY(INT($B21), 1)), 2, 2), """")=""""), """", IF($D21=""LONG"", (IFERROR(INDEX(GOOGLEFINANCE($C21, ""price"", WORKDAY(INT($B21), 1)), 2, 2), """")-$G21)/$G21, ($G21-IFERROR(INDEX(GOOGLE"&amp;"FINANCE($C21, ""price"", WORKDAY(INT($B21), 1)), 2, 2), """"))/$G21))"),7.071510651462769E-4)</f>
        <v>0.0007071510651</v>
      </c>
      <c r="R21" s="16">
        <f>IFERROR(__xludf.DUMMYFUNCTION("IF(OR(ISBLANK($G21), IFERROR(INDEX(GOOGLEFINANCE($C21, ""price"", WORKDAY(INT($B21), 5)), 2, 2), """")=""""), """", IF($D21=""LONG"", (IFERROR(INDEX(GOOGLEFINANCE($C21, ""price"", WORKDAY(INT($B21), 5)), 2, 2), """")-$G21)/$G21, ($G21-IFERROR(INDEX(GOOGLE"&amp;"FINANCE($C21, ""price"", WORKDAY(INT($B21), 5)), 2, 2), """"))/$G21))"),-0.013789445770352713)</f>
        <v>-0.01378944577</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4960</v>
      </c>
      <c r="U21" s="10" t="s">
        <v>507</v>
      </c>
      <c r="V21" s="10" t="s">
        <v>4961</v>
      </c>
      <c r="W21" s="10" t="s">
        <v>51</v>
      </c>
      <c r="X21" s="10" t="s">
        <v>2228</v>
      </c>
    </row>
    <row r="22">
      <c r="A22" s="9">
        <f t="shared" si="1"/>
        <v>21</v>
      </c>
      <c r="B22" s="11">
        <v>46231.667546296296</v>
      </c>
      <c r="C22" s="10" t="s">
        <v>104</v>
      </c>
      <c r="D22" s="10" t="s">
        <v>36</v>
      </c>
      <c r="E22" s="10" t="s">
        <v>37</v>
      </c>
      <c r="F22" s="13">
        <v>2.0</v>
      </c>
      <c r="G22" s="14">
        <v>126.0</v>
      </c>
      <c r="H22" s="10" t="s">
        <v>4962</v>
      </c>
      <c r="I22" s="10">
        <v>95.4</v>
      </c>
      <c r="O22" s="15">
        <f>IFERROR(__xludf.DUMMYFUNCTION("IF(ISBLANK($C22), """", GOOGLEFINANCE($C22, ""price""))"),127.45)</f>
        <v>127.45</v>
      </c>
      <c r="P22" s="16">
        <f t="shared" si="2"/>
        <v>0.01150793651</v>
      </c>
      <c r="Q22" s="16">
        <f>IFERROR(__xludf.DUMMYFUNCTION("IF(OR(ISBLANK($G22), IFERROR(INDEX(GOOGLEFINANCE($C22, ""price"", WORKDAY(INT($B22), 1)), 2, 2), """")=""""), """", IF($D22=""LONG"", (IFERROR(INDEX(GOOGLEFINANCE($C22, ""price"", WORKDAY(INT($B22), 1)), 2, 2), """")-$G22)/$G22, ($G22-IFERROR(INDEX(GOOGLE"&amp;"FINANCE($C22, ""price"", WORKDAY(INT($B22), 1)), 2, 2), """"))/$G22))"),0.021269841269841324)</f>
        <v>0.02126984127</v>
      </c>
      <c r="R22" s="16">
        <f>IFERROR(__xludf.DUMMYFUNCTION("IF(OR(ISBLANK($G22), IFERROR(INDEX(GOOGLEFINANCE($C22, ""price"", WORKDAY(INT($B22), 5)), 2, 2), """")=""""), """", IF($D22=""LONG"", (IFERROR(INDEX(GOOGLEFINANCE($C22, ""price"", WORKDAY(INT($B22), 5)), 2, 2), """")-$G22)/$G22, ($G22-IFERROR(INDEX(GOOGLE"&amp;"FINANCE($C22, ""price"", WORKDAY(INT($B22), 5)), 2, 2), """"))/$G22))"),0.01000000000000004)</f>
        <v>0.01</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4966</v>
      </c>
      <c r="U22" s="10" t="s">
        <v>984</v>
      </c>
      <c r="V22" s="10" t="s">
        <v>985</v>
      </c>
      <c r="W22" s="10" t="s">
        <v>51</v>
      </c>
      <c r="X22" s="10" t="s">
        <v>984</v>
      </c>
    </row>
    <row r="23">
      <c r="A23" s="9">
        <f t="shared" si="1"/>
        <v>22</v>
      </c>
      <c r="B23" s="11">
        <v>46231.667546296296</v>
      </c>
      <c r="C23" s="10" t="s">
        <v>1778</v>
      </c>
      <c r="D23" s="10" t="s">
        <v>36</v>
      </c>
      <c r="E23" s="10" t="s">
        <v>37</v>
      </c>
      <c r="F23" s="13">
        <v>2.0</v>
      </c>
      <c r="G23" s="14">
        <v>88.98</v>
      </c>
      <c r="H23" s="10" t="s">
        <v>4968</v>
      </c>
      <c r="I23" s="10">
        <v>92.4</v>
      </c>
      <c r="O23" s="15">
        <f>IFERROR(__xludf.DUMMYFUNCTION("IF(ISBLANK($C23), """", GOOGLEFINANCE($C23, ""price""))"),76.86)</f>
        <v>76.86</v>
      </c>
      <c r="P23" s="16">
        <f t="shared" si="2"/>
        <v>-0.1362103844</v>
      </c>
      <c r="Q23" s="16">
        <f>IFERROR(__xludf.DUMMYFUNCTION("IF(OR(ISBLANK($G23), IFERROR(INDEX(GOOGLEFINANCE($C23, ""price"", WORKDAY(INT($B23), 1)), 2, 2), """")=""""), """", IF($D23=""LONG"", (IFERROR(INDEX(GOOGLEFINANCE($C23, ""price"", WORKDAY(INT($B23), 1)), 2, 2), """")-$G23)/$G23, ($G23-IFERROR(INDEX(GOOGLE"&amp;"FINANCE($C23, ""price"", WORKDAY(INT($B23), 1)), 2, 2), """"))/$G23))"),0.017194875252865824)</f>
        <v>0.01719487525</v>
      </c>
      <c r="R23" s="16">
        <f>IFERROR(__xludf.DUMMYFUNCTION("IF(OR(ISBLANK($G23), IFERROR(INDEX(GOOGLEFINANCE($C23, ""price"", WORKDAY(INT($B23), 5)), 2, 2), """")=""""), """", IF($D23=""LONG"", (IFERROR(INDEX(GOOGLEFINANCE($C23, ""price"", WORKDAY(INT($B23), 5)), 2, 2), """")-$G23)/$G23, ($G23-IFERROR(INDEX(GOOGLE"&amp;"FINANCE($C23, ""price"", WORKDAY(INT($B23), 5)), 2, 2), """"))/$G23))"),-0.11991458754776356)</f>
        <v>-0.1199145875</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4970</v>
      </c>
      <c r="U23" s="10" t="s">
        <v>984</v>
      </c>
      <c r="V23" s="10" t="s">
        <v>2714</v>
      </c>
      <c r="W23" s="10" t="s">
        <v>51</v>
      </c>
      <c r="X23" s="10" t="s">
        <v>984</v>
      </c>
    </row>
    <row r="24">
      <c r="A24" s="9">
        <f t="shared" si="1"/>
        <v>23</v>
      </c>
      <c r="B24" s="11">
        <v>46231.6675</v>
      </c>
      <c r="C24" s="10" t="s">
        <v>442</v>
      </c>
      <c r="D24" s="10" t="s">
        <v>36</v>
      </c>
      <c r="E24" s="10" t="s">
        <v>37</v>
      </c>
      <c r="F24" s="13">
        <v>2.0</v>
      </c>
      <c r="G24" s="14">
        <v>547.5</v>
      </c>
      <c r="H24" s="10" t="s">
        <v>4973</v>
      </c>
      <c r="I24" s="10">
        <v>95.5</v>
      </c>
      <c r="O24" s="15">
        <f>IFERROR(__xludf.DUMMYFUNCTION("IF(ISBLANK($C24), """", GOOGLEFINANCE($C24, ""price""))"),522.46)</f>
        <v>522.46</v>
      </c>
      <c r="P24" s="16">
        <f t="shared" si="2"/>
        <v>-0.04573515982</v>
      </c>
      <c r="Q24" s="16">
        <f>IFERROR(__xludf.DUMMYFUNCTION("IF(OR(ISBLANK($G24), IFERROR(INDEX(GOOGLEFINANCE($C24, ""price"", WORKDAY(INT($B24), 1)), 2, 2), """")=""""), """", IF($D24=""LONG"", (IFERROR(INDEX(GOOGLEFINANCE($C24, ""price"", WORKDAY(INT($B24), 1)), 2, 2), """")-$G24)/$G24, ($G24-IFERROR(INDEX(GOOGLE"&amp;"FINANCE($C24, ""price"", WORKDAY(INT($B24), 1)), 2, 2), """"))/$G24))"),-0.029771689497716813)</f>
        <v>-0.0297716895</v>
      </c>
      <c r="R24" s="16">
        <f>IFERROR(__xludf.DUMMYFUNCTION("IF(OR(ISBLANK($G24), IFERROR(INDEX(GOOGLEFINANCE($C24, ""price"", WORKDAY(INT($B24), 5)), 2, 2), """")=""""), """", IF($D24=""LONG"", (IFERROR(INDEX(GOOGLEFINANCE($C24, ""price"", WORKDAY(INT($B24), 5)), 2, 2), """")-$G24)/$G24, ($G24-IFERROR(INDEX(GOOGLE"&amp;"FINANCE($C24, ""price"", WORKDAY(INT($B24), 5)), 2, 2), """"))/$G24))"),0.10904109589041104)</f>
        <v>0.1090410959</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4976</v>
      </c>
      <c r="U24" s="10" t="s">
        <v>984</v>
      </c>
      <c r="V24" s="10" t="s">
        <v>985</v>
      </c>
      <c r="W24" s="10" t="s">
        <v>51</v>
      </c>
      <c r="X24" s="10" t="s">
        <v>984</v>
      </c>
    </row>
    <row r="25">
      <c r="A25" s="9">
        <f t="shared" si="1"/>
        <v>24</v>
      </c>
      <c r="B25" s="11">
        <v>46231.66746527778</v>
      </c>
      <c r="C25" s="10" t="s">
        <v>258</v>
      </c>
      <c r="D25" s="10" t="s">
        <v>36</v>
      </c>
      <c r="E25" s="10" t="s">
        <v>37</v>
      </c>
      <c r="F25" s="13">
        <v>2.0</v>
      </c>
      <c r="G25" s="14">
        <v>121.66</v>
      </c>
      <c r="H25" s="10" t="s">
        <v>4980</v>
      </c>
      <c r="I25" s="10">
        <v>91.9</v>
      </c>
      <c r="O25" s="15">
        <f>IFERROR(__xludf.DUMMYFUNCTION("IF(ISBLANK($C25), """", GOOGLEFINANCE($C25, ""price""))"),113.62)</f>
        <v>113.62</v>
      </c>
      <c r="P25" s="16">
        <f t="shared" si="2"/>
        <v>-0.06608581292</v>
      </c>
      <c r="Q25" s="16">
        <f>IFERROR(__xludf.DUMMYFUNCTION("IF(OR(ISBLANK($G25), IFERROR(INDEX(GOOGLEFINANCE($C25, ""price"", WORKDAY(INT($B25), 1)), 2, 2), """")=""""), """", IF($D25=""LONG"", (IFERROR(INDEX(GOOGLEFINANCE($C25, ""price"", WORKDAY(INT($B25), 1)), 2, 2), """")-$G25)/$G25, ($G25-IFERROR(INDEX(GOOGLE"&amp;"FINANCE($C25, ""price"", WORKDAY(INT($B25), 1)), 2, 2), """"))/$G25))"),-0.02293276343909249)</f>
        <v>-0.02293276344</v>
      </c>
      <c r="R25" s="16">
        <f>IFERROR(__xludf.DUMMYFUNCTION("IF(OR(ISBLANK($G25), IFERROR(INDEX(GOOGLEFINANCE($C25, ""price"", WORKDAY(INT($B25), 5)), 2, 2), """")=""""), """", IF($D25=""LONG"", (IFERROR(INDEX(GOOGLEFINANCE($C25, ""price"", WORKDAY(INT($B25), 5)), 2, 2), """")-$G25)/$G25, ($G25-IFERROR(INDEX(GOOGLE"&amp;"FINANCE($C25, ""price"", WORKDAY(INT($B25), 5)), 2, 2), """"))/$G25))"),-0.04824921913529501)</f>
        <v>-0.04824921914</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4986</v>
      </c>
      <c r="U25" s="10" t="s">
        <v>984</v>
      </c>
      <c r="V25" s="10" t="s">
        <v>2714</v>
      </c>
      <c r="W25" s="10" t="s">
        <v>51</v>
      </c>
      <c r="X25" s="10" t="s">
        <v>984</v>
      </c>
    </row>
    <row r="26">
      <c r="A26" s="9">
        <f t="shared" si="1"/>
        <v>25</v>
      </c>
      <c r="B26" s="11">
        <v>46231.6674537037</v>
      </c>
      <c r="C26" s="10" t="s">
        <v>4463</v>
      </c>
      <c r="D26" s="10" t="s">
        <v>36</v>
      </c>
      <c r="E26" s="10" t="s">
        <v>1892</v>
      </c>
      <c r="F26" s="13">
        <v>2.0</v>
      </c>
      <c r="G26" s="14">
        <v>27.31</v>
      </c>
      <c r="H26" s="10" t="s">
        <v>4987</v>
      </c>
      <c r="I26" s="10">
        <v>56.6</v>
      </c>
      <c r="O26" s="15">
        <f>IFERROR(__xludf.DUMMYFUNCTION("IF(ISBLANK($C26), """", GOOGLEFINANCE($C26, ""price""))"),24.96)</f>
        <v>24.96</v>
      </c>
      <c r="P26" s="16">
        <f t="shared" si="2"/>
        <v>-0.08604906628</v>
      </c>
      <c r="Q26" s="16">
        <f>IFERROR(__xludf.DUMMYFUNCTION("IF(OR(ISBLANK($G26), IFERROR(INDEX(GOOGLEFINANCE($C26, ""price"", WORKDAY(INT($B26), 1)), 2, 2), """")=""""), """", IF($D26=""LONG"", (IFERROR(INDEX(GOOGLEFINANCE($C26, ""price"", WORKDAY(INT($B26), 1)), 2, 2), """")-$G26)/$G26, ($G26-IFERROR(INDEX(GOOGLE"&amp;"FINANCE($C26, ""price"", WORKDAY(INT($B26), 1)), 2, 2), """"))/$G26))"),0.011351153423654423)</f>
        <v>0.01135115342</v>
      </c>
      <c r="R26" s="16">
        <f>IFERROR(__xludf.DUMMYFUNCTION("IF(OR(ISBLANK($G26), IFERROR(INDEX(GOOGLEFINANCE($C26, ""price"", WORKDAY(INT($B26), 5)), 2, 2), """")=""""), """", IF($D26=""LONG"", (IFERROR(INDEX(GOOGLEFINANCE($C26, ""price"", WORKDAY(INT($B26), 5)), 2, 2), """")-$G26)/$G26, ($G26-IFERROR(INDEX(GOOGLE"&amp;"FINANCE($C26, ""price"", WORKDAY(INT($B26), 5)), 2, 2), """"))/$G26))"),-0.024533138044672213)</f>
        <v>-0.02453313804</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4991</v>
      </c>
      <c r="U26" s="10" t="s">
        <v>984</v>
      </c>
      <c r="V26" s="10" t="s">
        <v>933</v>
      </c>
      <c r="W26" s="10" t="s">
        <v>51</v>
      </c>
      <c r="X26" s="10" t="s">
        <v>984</v>
      </c>
    </row>
    <row r="27">
      <c r="A27" s="9">
        <f t="shared" si="1"/>
        <v>26</v>
      </c>
      <c r="B27" s="11">
        <v>46231.6674537037</v>
      </c>
      <c r="C27" s="10" t="s">
        <v>406</v>
      </c>
      <c r="D27" s="10" t="s">
        <v>36</v>
      </c>
      <c r="E27" s="10" t="s">
        <v>37</v>
      </c>
      <c r="F27" s="13">
        <v>2.0</v>
      </c>
      <c r="G27" s="14">
        <v>182.53</v>
      </c>
      <c r="H27" s="10" t="s">
        <v>4994</v>
      </c>
      <c r="I27" s="10">
        <v>76.7</v>
      </c>
      <c r="O27" s="15">
        <f>IFERROR(__xludf.DUMMYFUNCTION("IF(ISBLANK($C27), """", GOOGLEFINANCE($C27, ""price""))"),179.04)</f>
        <v>179.04</v>
      </c>
      <c r="P27" s="16">
        <f t="shared" si="2"/>
        <v>-0.01912014463</v>
      </c>
      <c r="Q27" s="16">
        <f>IFERROR(__xludf.DUMMYFUNCTION("IF(OR(ISBLANK($G27), IFERROR(INDEX(GOOGLEFINANCE($C27, ""price"", WORKDAY(INT($B27), 1)), 2, 2), """")=""""), """", IF($D27=""LONG"", (IFERROR(INDEX(GOOGLEFINANCE($C27, ""price"", WORKDAY(INT($B27), 1)), 2, 2), """")-$G27)/$G27, ($G27-IFERROR(INDEX(GOOGLE"&amp;"FINANCE($C27, ""price"", WORKDAY(INT($B27), 1)), 2, 2), """"))/$G27))"),-0.0065742617651892215)</f>
        <v>-0.006574261765</v>
      </c>
      <c r="R27" s="16">
        <f>IFERROR(__xludf.DUMMYFUNCTION("IF(OR(ISBLANK($G27), IFERROR(INDEX(GOOGLEFINANCE($C27, ""price"", WORKDAY(INT($B27), 5)), 2, 2), """")=""""), """", IF($D27=""LONG"", (IFERROR(INDEX(GOOGLEFINANCE($C27, ""price"", WORKDAY(INT($B27), 5)), 2, 2), """")-$G27)/$G27, ($G27-IFERROR(INDEX(GOOGLE"&amp;"FINANCE($C27, ""price"", WORKDAY(INT($B27), 5)), 2, 2), """"))/$G27))"),-0.017038295074782304)</f>
        <v>-0.01703829507</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5002</v>
      </c>
      <c r="U27" s="10" t="s">
        <v>984</v>
      </c>
      <c r="V27" s="10" t="s">
        <v>933</v>
      </c>
      <c r="W27" s="10" t="s">
        <v>51</v>
      </c>
      <c r="X27" s="10" t="s">
        <v>984</v>
      </c>
    </row>
    <row r="28">
      <c r="A28" s="9">
        <f t="shared" si="1"/>
        <v>27</v>
      </c>
      <c r="B28" s="11">
        <v>46231.66800925926</v>
      </c>
      <c r="C28" s="10" t="s">
        <v>5003</v>
      </c>
      <c r="D28" s="10" t="s">
        <v>36</v>
      </c>
      <c r="E28" s="10" t="s">
        <v>4224</v>
      </c>
      <c r="F28" s="13">
        <v>4.0</v>
      </c>
      <c r="G28" s="14">
        <v>190.84</v>
      </c>
      <c r="H28" s="10" t="s">
        <v>5005</v>
      </c>
      <c r="I28" s="10">
        <v>36.6</v>
      </c>
      <c r="O28" s="15">
        <f>IFERROR(__xludf.DUMMYFUNCTION("IF(ISBLANK($C28), """", GOOGLEFINANCE($C28, ""price""))"),193.22)</f>
        <v>193.22</v>
      </c>
      <c r="P28" s="16">
        <f t="shared" si="2"/>
        <v>0.01247118005</v>
      </c>
      <c r="Q28" s="16">
        <f>IFERROR(__xludf.DUMMYFUNCTION("IF(OR(ISBLANK($G28), IFERROR(INDEX(GOOGLEFINANCE($C28, ""price"", WORKDAY(INT($B28), 1)), 2, 2), """")=""""), """", IF($D28=""LONG"", (IFERROR(INDEX(GOOGLEFINANCE($C28, ""price"", WORKDAY(INT($B28), 1)), 2, 2), """")-$G28)/$G28, ($G28-IFERROR(INDEX(GOOGLE"&amp;"FINANCE($C28, ""price"", WORKDAY(INT($B28), 1)), 2, 2), """"))/$G28))"),-0.10820582687067704)</f>
        <v>-0.1082058269</v>
      </c>
      <c r="R28" s="16">
        <f>IFERROR(__xludf.DUMMYFUNCTION("IF(OR(ISBLANK($G28), IFERROR(INDEX(GOOGLEFINANCE($C28, ""price"", WORKDAY(INT($B28), 5)), 2, 2), """")=""""), """", IF($D28=""LONG"", (IFERROR(INDEX(GOOGLEFINANCE($C28, ""price"", WORKDAY(INT($B28), 5)), 2, 2), """")-$G28)/$G28, ($G28-IFERROR(INDEX(GOOGLE"&amp;"FINANCE($C28, ""price"", WORKDAY(INT($B28), 5)), 2, 2), """"))/$G28))"),0.024156361349821763)</f>
        <v>0.02415636135</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5012</v>
      </c>
      <c r="U28" s="10" t="s">
        <v>984</v>
      </c>
      <c r="V28" s="10" t="s">
        <v>1059</v>
      </c>
      <c r="W28" s="10" t="s">
        <v>51</v>
      </c>
      <c r="X28" s="10" t="s">
        <v>984</v>
      </c>
    </row>
    <row r="29">
      <c r="A29" s="9">
        <f t="shared" si="1"/>
        <v>28</v>
      </c>
      <c r="B29" s="11">
        <v>46231.66744212963</v>
      </c>
      <c r="C29" s="10" t="s">
        <v>707</v>
      </c>
      <c r="D29" s="10" t="s">
        <v>36</v>
      </c>
      <c r="E29" s="10" t="s">
        <v>37</v>
      </c>
      <c r="F29" s="13">
        <v>2.0</v>
      </c>
      <c r="G29" s="14">
        <v>112.01</v>
      </c>
      <c r="H29" s="10" t="s">
        <v>5014</v>
      </c>
      <c r="I29" s="10">
        <v>93.4</v>
      </c>
      <c r="L29" s="10" t="s">
        <v>5015</v>
      </c>
      <c r="M29" s="34" t="s">
        <v>2106</v>
      </c>
      <c r="N29" s="10" t="s">
        <v>925</v>
      </c>
      <c r="O29" s="15">
        <f>IFERROR(__xludf.DUMMYFUNCTION("IF(ISBLANK($C29), """", GOOGLEFINANCE($C29, ""price""))"),108.95)</f>
        <v>108.95</v>
      </c>
      <c r="P29" s="16">
        <f t="shared" si="2"/>
        <v>-0.02731898938</v>
      </c>
      <c r="Q29" s="16">
        <f>IFERROR(__xludf.DUMMYFUNCTION("IF(OR(ISBLANK($G29), IFERROR(INDEX(GOOGLEFINANCE($C29, ""price"", WORKDAY(INT($B29), 1)), 2, 2), """")=""""), """", IF($D29=""LONG"", (IFERROR(INDEX(GOOGLEFINANCE($C29, ""price"", WORKDAY(INT($B29), 1)), 2, 2), """")-$G29)/$G29, ($G29-IFERROR(INDEX(GOOGLE"&amp;"FINANCE($C29, ""price"", WORKDAY(INT($B29), 1)), 2, 2), """"))/$G29))"),0.0021426658334076855)</f>
        <v>0.002142665833</v>
      </c>
      <c r="R29" s="16">
        <f>IFERROR(__xludf.DUMMYFUNCTION("IF(OR(ISBLANK($G29), IFERROR(INDEX(GOOGLEFINANCE($C29, ""price"", WORKDAY(INT($B29), 5)), 2, 2), """")=""""), """", IF($D29=""LONG"", (IFERROR(INDEX(GOOGLEFINANCE($C29, ""price"", WORKDAY(INT($B29), 5)), 2, 2), """")-$G29)/$G29, ($G29-IFERROR(INDEX(GOOGLE"&amp;"FINANCE($C29, ""price"", WORKDAY(INT($B29), 5)), 2, 2), """"))/$G29))"),-0.032139987501116046)</f>
        <v>-0.0321399875</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5020</v>
      </c>
      <c r="U29" s="10" t="s">
        <v>240</v>
      </c>
      <c r="V29" s="10" t="s">
        <v>5021</v>
      </c>
      <c r="W29" s="10" t="s">
        <v>51</v>
      </c>
      <c r="X29" s="10" t="s">
        <v>1905</v>
      </c>
    </row>
    <row r="30">
      <c r="A30" s="9">
        <f t="shared" si="1"/>
        <v>29</v>
      </c>
      <c r="B30" s="11">
        <v>46231.66744212963</v>
      </c>
      <c r="C30" s="10" t="s">
        <v>1216</v>
      </c>
      <c r="D30" s="10" t="s">
        <v>36</v>
      </c>
      <c r="E30" s="10" t="s">
        <v>37</v>
      </c>
      <c r="F30" s="13">
        <v>2.0</v>
      </c>
      <c r="G30" s="14">
        <v>83.14</v>
      </c>
      <c r="H30" s="10" t="s">
        <v>5022</v>
      </c>
      <c r="I30" s="10">
        <v>87.8</v>
      </c>
      <c r="O30" s="15">
        <f>IFERROR(__xludf.DUMMYFUNCTION("IF(ISBLANK($C30), """", GOOGLEFINANCE($C30, ""price""))"),79.02)</f>
        <v>79.02</v>
      </c>
      <c r="P30" s="16">
        <f t="shared" si="2"/>
        <v>-0.04955496752</v>
      </c>
      <c r="Q30" s="16">
        <f>IFERROR(__xludf.DUMMYFUNCTION("IF(OR(ISBLANK($G30), IFERROR(INDEX(GOOGLEFINANCE($C30, ""price"", WORKDAY(INT($B30), 1)), 2, 2), """")=""""), """", IF($D30=""LONG"", (IFERROR(INDEX(GOOGLEFINANCE($C30, ""price"", WORKDAY(INT($B30), 1)), 2, 2), """")-$G30)/$G30, ($G30-IFERROR(INDEX(GOOGLE"&amp;"FINANCE($C30, ""price"", WORKDAY(INT($B30), 1)), 2, 2), """"))/$G30))"),-0.011546788549434613)</f>
        <v>-0.01154678855</v>
      </c>
      <c r="R30" s="16">
        <f>IFERROR(__xludf.DUMMYFUNCTION("IF(OR(ISBLANK($G30), IFERROR(INDEX(GOOGLEFINANCE($C30, ""price"", WORKDAY(INT($B30), 5)), 2, 2), """")=""""), """", IF($D30=""LONG"", (IFERROR(INDEX(GOOGLEFINANCE($C30, ""price"", WORKDAY(INT($B30), 5)), 2, 2), """")-$G30)/$G30, ($G30-IFERROR(INDEX(GOOGLE"&amp;"FINANCE($C30, ""price"", WORKDAY(INT($B30), 5)), 2, 2), """"))/$G30))"),0.0180418571084917)</f>
        <v>0.01804185711</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5027</v>
      </c>
      <c r="U30" s="10" t="s">
        <v>984</v>
      </c>
      <c r="V30" s="10" t="s">
        <v>2714</v>
      </c>
      <c r="W30" s="10" t="s">
        <v>51</v>
      </c>
      <c r="X30" s="10" t="s">
        <v>984</v>
      </c>
    </row>
    <row r="31">
      <c r="A31" s="9">
        <f t="shared" si="1"/>
        <v>30</v>
      </c>
      <c r="B31" s="11">
        <v>46231.667395833334</v>
      </c>
      <c r="C31" s="10" t="s">
        <v>2048</v>
      </c>
      <c r="D31" s="10" t="s">
        <v>36</v>
      </c>
      <c r="E31" s="10" t="s">
        <v>37</v>
      </c>
      <c r="F31" s="13">
        <v>2.0</v>
      </c>
      <c r="G31" s="14">
        <v>294.46</v>
      </c>
      <c r="H31" s="10" t="s">
        <v>5030</v>
      </c>
      <c r="I31" s="10">
        <v>92.7</v>
      </c>
      <c r="L31" s="10" t="s">
        <v>5032</v>
      </c>
      <c r="M31" s="34" t="s">
        <v>1789</v>
      </c>
      <c r="N31" s="10" t="s">
        <v>925</v>
      </c>
      <c r="O31" s="15">
        <f>IFERROR(__xludf.DUMMYFUNCTION("IF(ISBLANK($C31), """", GOOGLEFINANCE($C31, ""price""))"),295.38)</f>
        <v>295.38</v>
      </c>
      <c r="P31" s="16">
        <f t="shared" si="2"/>
        <v>0.003124363241</v>
      </c>
      <c r="Q31" s="16">
        <f>IFERROR(__xludf.DUMMYFUNCTION("IF(OR(ISBLANK($G31), IFERROR(INDEX(GOOGLEFINANCE($C31, ""price"", WORKDAY(INT($B31), 1)), 2, 2), """")=""""), """", IF($D31=""LONG"", (IFERROR(INDEX(GOOGLEFINANCE($C31, ""price"", WORKDAY(INT($B31), 1)), 2, 2), """")-$G31)/$G31, ($G31-IFERROR(INDEX(GOOGLE"&amp;"FINANCE($C31, ""price"", WORKDAY(INT($B31), 1)), 2, 2), """"))/$G31))"),-0.007709026692929369)</f>
        <v>-0.007709026693</v>
      </c>
      <c r="R31" s="16">
        <f>IFERROR(__xludf.DUMMYFUNCTION("IF(OR(ISBLANK($G31), IFERROR(INDEX(GOOGLEFINANCE($C31, ""price"", WORKDAY(INT($B31), 5)), 2, 2), """")=""""), """", IF($D31=""LONG"", (IFERROR(INDEX(GOOGLEFINANCE($C31, ""price"", WORKDAY(INT($B31), 5)), 2, 2), """")-$G31)/$G31, ($G31-IFERROR(INDEX(GOOGLE"&amp;"FINANCE($C31, ""price"", WORKDAY(INT($B31), 5)), 2, 2), """"))/$G31))"),0.0064185288324391885)</f>
        <v>0.006418528832</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5035</v>
      </c>
      <c r="U31" s="10" t="s">
        <v>402</v>
      </c>
      <c r="V31" s="10" t="s">
        <v>5037</v>
      </c>
      <c r="W31" s="10" t="s">
        <v>51</v>
      </c>
      <c r="X31" s="10" t="s">
        <v>4834</v>
      </c>
    </row>
    <row r="32">
      <c r="A32" s="9">
        <f t="shared" si="1"/>
        <v>31</v>
      </c>
      <c r="B32" s="11">
        <v>46231.66751157407</v>
      </c>
      <c r="C32" s="10" t="s">
        <v>2311</v>
      </c>
      <c r="D32" s="10" t="s">
        <v>36</v>
      </c>
      <c r="E32" s="10" t="s">
        <v>37</v>
      </c>
      <c r="F32" s="13">
        <v>2.0</v>
      </c>
      <c r="G32" s="14">
        <v>239.56</v>
      </c>
      <c r="H32" s="10" t="s">
        <v>5042</v>
      </c>
      <c r="I32" s="10">
        <v>93.7</v>
      </c>
      <c r="O32" s="15">
        <f>IFERROR(__xludf.DUMMYFUNCTION("IF(ISBLANK($C32), """", GOOGLEFINANCE($C32, ""price""))"),229.01)</f>
        <v>229.01</v>
      </c>
      <c r="P32" s="16">
        <f t="shared" si="2"/>
        <v>-0.04403907163</v>
      </c>
      <c r="Q32" s="16">
        <f>IFERROR(__xludf.DUMMYFUNCTION("IF(OR(ISBLANK($G32), IFERROR(INDEX(GOOGLEFINANCE($C32, ""price"", WORKDAY(INT($B32), 1)), 2, 2), """")=""""), """", IF($D32=""LONG"", (IFERROR(INDEX(GOOGLEFINANCE($C32, ""price"", WORKDAY(INT($B32), 1)), 2, 2), """")-$G32)/$G32, ($G32-IFERROR(INDEX(GOOGLE"&amp;"FINANCE($C32, ""price"", WORKDAY(INT($B32), 1)), 2, 2), """"))/$G32))"),-0.012355985974286224)</f>
        <v>-0.01235598597</v>
      </c>
      <c r="R32" s="16">
        <f>IFERROR(__xludf.DUMMYFUNCTION("IF(OR(ISBLANK($G32), IFERROR(INDEX(GOOGLEFINANCE($C32, ""price"", WORKDAY(INT($B32), 5)), 2, 2), """")=""""), """", IF($D32=""LONG"", (IFERROR(INDEX(GOOGLEFINANCE($C32, ""price"", WORKDAY(INT($B32), 5)), 2, 2), """")-$G32)/$G32, ($G32-IFERROR(INDEX(GOOGLE"&amp;"FINANCE($C32, ""price"", WORKDAY(INT($B32), 5)), 2, 2), """"))/$G32))"),-0.05973451327433629)</f>
        <v>-0.05973451327</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5043</v>
      </c>
      <c r="U32" s="10" t="s">
        <v>984</v>
      </c>
      <c r="V32" s="10" t="s">
        <v>933</v>
      </c>
      <c r="W32" s="10" t="s">
        <v>51</v>
      </c>
      <c r="X32" s="10" t="s">
        <v>984</v>
      </c>
    </row>
    <row r="33">
      <c r="A33" s="9">
        <f t="shared" si="1"/>
        <v>32</v>
      </c>
      <c r="B33" s="11">
        <v>46231.66758101852</v>
      </c>
      <c r="C33" s="10" t="s">
        <v>3533</v>
      </c>
      <c r="D33" s="10" t="s">
        <v>36</v>
      </c>
      <c r="E33" s="10" t="s">
        <v>37</v>
      </c>
      <c r="F33" s="13">
        <v>2.0</v>
      </c>
      <c r="G33" s="14">
        <v>80.96</v>
      </c>
      <c r="H33" s="10" t="s">
        <v>5049</v>
      </c>
      <c r="I33" s="10">
        <v>94.8</v>
      </c>
      <c r="O33" s="15">
        <f>IFERROR(__xludf.DUMMYFUNCTION("IF(ISBLANK($C33), """", GOOGLEFINANCE($C33, ""price""))"),76.96)</f>
        <v>76.96</v>
      </c>
      <c r="P33" s="16">
        <f t="shared" si="2"/>
        <v>-0.04940711462</v>
      </c>
      <c r="Q33" s="16">
        <f>IFERROR(__xludf.DUMMYFUNCTION("IF(OR(ISBLANK($G33), IFERROR(INDEX(GOOGLEFINANCE($C33, ""price"", WORKDAY(INT($B33), 1)), 2, 2), """")=""""), """", IF($D33=""LONG"", (IFERROR(INDEX(GOOGLEFINANCE($C33, ""price"", WORKDAY(INT($B33), 1)), 2, 2), """")-$G33)/$G33, ($G33-IFERROR(INDEX(GOOGLE"&amp;"FINANCE($C33, ""price"", WORKDAY(INT($B33), 1)), 2, 2), """"))/$G33))"),0.0018527667984190427)</f>
        <v>0.001852766798</v>
      </c>
      <c r="R33" s="16">
        <f>IFERROR(__xludf.DUMMYFUNCTION("IF(OR(ISBLANK($G33), IFERROR(INDEX(GOOGLEFINANCE($C33, ""price"", WORKDAY(INT($B33), 5)), 2, 2), """")=""""), """", IF($D33=""LONG"", (IFERROR(INDEX(GOOGLEFINANCE($C33, ""price"", WORKDAY(INT($B33), 5)), 2, 2), """")-$G33)/$G33, ($G33-IFERROR(INDEX(GOOGLE"&amp;"FINANCE($C33, ""price"", WORKDAY(INT($B33), 5)), 2, 2), """"))/$G33))"),-0.018898221343873357)</f>
        <v>-0.01889822134</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5053</v>
      </c>
      <c r="U33" s="10" t="s">
        <v>984</v>
      </c>
      <c r="V33" s="10" t="s">
        <v>933</v>
      </c>
      <c r="W33" s="10" t="s">
        <v>51</v>
      </c>
      <c r="X33" s="10" t="s">
        <v>984</v>
      </c>
    </row>
    <row r="34">
      <c r="A34" s="9">
        <f t="shared" si="1"/>
        <v>33</v>
      </c>
      <c r="B34" s="11">
        <v>46231.667604166665</v>
      </c>
      <c r="C34" s="10" t="s">
        <v>141</v>
      </c>
      <c r="D34" s="10" t="s">
        <v>36</v>
      </c>
      <c r="E34" s="10" t="s">
        <v>37</v>
      </c>
      <c r="F34" s="13">
        <v>2.0</v>
      </c>
      <c r="G34" s="14">
        <v>131.83</v>
      </c>
      <c r="H34" s="10" t="s">
        <v>5054</v>
      </c>
      <c r="I34" s="10">
        <v>86.1</v>
      </c>
      <c r="O34" s="15">
        <f>IFERROR(__xludf.DUMMYFUNCTION("IF(ISBLANK($C34), """", GOOGLEFINANCE($C34, ""price""))"),128.37)</f>
        <v>128.37</v>
      </c>
      <c r="P34" s="16">
        <f t="shared" si="2"/>
        <v>-0.02624592278</v>
      </c>
      <c r="Q34" s="16">
        <f>IFERROR(__xludf.DUMMYFUNCTION("IF(OR(ISBLANK($G34), IFERROR(INDEX(GOOGLEFINANCE($C34, ""price"", WORKDAY(INT($B34), 1)), 2, 2), """")=""""), """", IF($D34=""LONG"", (IFERROR(INDEX(GOOGLEFINANCE($C34, ""price"", WORKDAY(INT($B34), 1)), 2, 2), """")-$G34)/$G34, ($G34-IFERROR(INDEX(GOOGLE"&amp;"FINANCE($C34, ""price"", WORKDAY(INT($B34), 1)), 2, 2), """"))/$G34))"),-0.011150724417810808)</f>
        <v>-0.01115072442</v>
      </c>
      <c r="R34" s="16">
        <f>IFERROR(__xludf.DUMMYFUNCTION("IF(OR(ISBLANK($G34), IFERROR(INDEX(GOOGLEFINANCE($C34, ""price"", WORKDAY(INT($B34), 5)), 2, 2), """")=""""), """", IF($D34=""LONG"", (IFERROR(INDEX(GOOGLEFINANCE($C34, ""price"", WORKDAY(INT($B34), 5)), 2, 2), """")-$G34)/$G34, ($G34-IFERROR(INDEX(GOOGLE"&amp;"FINANCE($C34, ""price"", WORKDAY(INT($B34), 5)), 2, 2), """"))/$G34))"),-0.029052567700826915)</f>
        <v>-0.0290525677</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5059</v>
      </c>
      <c r="U34" s="10" t="s">
        <v>984</v>
      </c>
      <c r="V34" s="10" t="s">
        <v>2714</v>
      </c>
      <c r="W34" s="10" t="s">
        <v>51</v>
      </c>
      <c r="X34" s="10" t="s">
        <v>984</v>
      </c>
    </row>
    <row r="35">
      <c r="A35" s="9">
        <f t="shared" si="1"/>
        <v>34</v>
      </c>
      <c r="B35" s="11">
        <v>46231.667546296296</v>
      </c>
      <c r="C35" s="10" t="s">
        <v>5038</v>
      </c>
      <c r="D35" s="10" t="s">
        <v>36</v>
      </c>
      <c r="E35" s="10" t="s">
        <v>1892</v>
      </c>
      <c r="F35" s="13">
        <v>2.0</v>
      </c>
      <c r="G35" s="14">
        <v>1335.55</v>
      </c>
      <c r="H35" s="10" t="s">
        <v>5060</v>
      </c>
      <c r="I35" s="10">
        <v>84.7</v>
      </c>
      <c r="O35" s="15">
        <f>IFERROR(__xludf.DUMMYFUNCTION("IF(ISBLANK($C35), """", GOOGLEFINANCE($C35, ""price""))"),1031.89)</f>
        <v>1031.89</v>
      </c>
      <c r="P35" s="16">
        <f t="shared" si="2"/>
        <v>-0.2273670024</v>
      </c>
      <c r="Q35" s="16">
        <f>IFERROR(__xludf.DUMMYFUNCTION("IF(OR(ISBLANK($G35), IFERROR(INDEX(GOOGLEFINANCE($C35, ""price"", WORKDAY(INT($B35), 1)), 2, 2), """")=""""), """", IF($D35=""LONG"", (IFERROR(INDEX(GOOGLEFINANCE($C35, ""price"", WORKDAY(INT($B35), 1)), 2, 2), """")-$G35)/$G35, ($G35-IFERROR(INDEX(GOOGLE"&amp;"FINANCE($C35, ""price"", WORKDAY(INT($B35), 1)), 2, 2), """"))/$G35))"),0.02810078244917822)</f>
        <v>0.02810078245</v>
      </c>
      <c r="R35" s="16">
        <f>IFERROR(__xludf.DUMMYFUNCTION("IF(OR(ISBLANK($G35), IFERROR(INDEX(GOOGLEFINANCE($C35, ""price"", WORKDAY(INT($B35), 5)), 2, 2), """")=""""), """", IF($D35=""LONG"", (IFERROR(INDEX(GOOGLEFINANCE($C35, ""price"", WORKDAY(INT($B35), 5)), 2, 2), """")-$G35)/$G35, ($G35-IFERROR(INDEX(GOOGLE"&amp;"FINANCE($C35, ""price"", WORKDAY(INT($B35), 5)), 2, 2), """"))/$G35))"),-0.21606079892179247)</f>
        <v>-0.2160607989</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5062</v>
      </c>
      <c r="U35" s="10" t="s">
        <v>984</v>
      </c>
      <c r="V35" s="10" t="s">
        <v>2785</v>
      </c>
      <c r="W35" s="10" t="s">
        <v>51</v>
      </c>
      <c r="X35" s="10" t="s">
        <v>984</v>
      </c>
    </row>
    <row r="36">
      <c r="A36" s="9">
        <f t="shared" si="1"/>
        <v>35</v>
      </c>
      <c r="B36" s="11">
        <v>46231.66756944444</v>
      </c>
      <c r="C36" s="10" t="s">
        <v>5065</v>
      </c>
      <c r="D36" s="10" t="s">
        <v>36</v>
      </c>
      <c r="E36" s="10" t="s">
        <v>4224</v>
      </c>
      <c r="F36" s="13">
        <v>4.0</v>
      </c>
      <c r="G36" s="14">
        <v>651.94</v>
      </c>
      <c r="H36" s="10" t="s">
        <v>5066</v>
      </c>
      <c r="I36" s="10">
        <v>20.7</v>
      </c>
      <c r="O36" s="15">
        <f>IFERROR(__xludf.DUMMYFUNCTION("IF(ISBLANK($C36), """", GOOGLEFINANCE($C36, ""price""))"),838.06)</f>
        <v>838.06</v>
      </c>
      <c r="P36" s="16">
        <f t="shared" si="2"/>
        <v>0.2854863945</v>
      </c>
      <c r="Q36" s="16">
        <f>IFERROR(__xludf.DUMMYFUNCTION("IF(OR(ISBLANK($G36), IFERROR(INDEX(GOOGLEFINANCE($C36, ""price"", WORKDAY(INT($B36), 1)), 2, 2), """")=""""), """", IF($D36=""LONG"", (IFERROR(INDEX(GOOGLEFINANCE($C36, ""price"", WORKDAY(INT($B36), 1)), 2, 2), """")-$G36)/$G36, ($G36-IFERROR(INDEX(GOOGLE"&amp;"FINANCE($C36, ""price"", WORKDAY(INT($B36), 1)), 2, 2), """"))/$G36))"),-0.07606528208117316)</f>
        <v>-0.07606528208</v>
      </c>
      <c r="R36" s="16">
        <f>IFERROR(__xludf.DUMMYFUNCTION("IF(OR(ISBLANK($G36), IFERROR(INDEX(GOOGLEFINANCE($C36, ""price"", WORKDAY(INT($B36), 5)), 2, 2), """")=""""), """", IF($D36=""LONG"", (IFERROR(INDEX(GOOGLEFINANCE($C36, ""price"", WORKDAY(INT($B36), 5)), 2, 2), """")-$G36)/$G36, ($G36-IFERROR(INDEX(GOOGLE"&amp;"FINANCE($C36, ""price"", WORKDAY(INT($B36), 5)), 2, 2), """"))/$G36))"),0.30298800503113776)</f>
        <v>0.302988005</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5070</v>
      </c>
      <c r="U36" s="10" t="s">
        <v>984</v>
      </c>
      <c r="V36" s="10" t="s">
        <v>933</v>
      </c>
      <c r="W36" s="10" t="s">
        <v>51</v>
      </c>
      <c r="X36" s="10" t="s">
        <v>984</v>
      </c>
    </row>
    <row r="37">
      <c r="A37" s="9">
        <f t="shared" si="1"/>
        <v>36</v>
      </c>
      <c r="B37" s="11">
        <v>46231.667592592596</v>
      </c>
      <c r="C37" s="10" t="s">
        <v>170</v>
      </c>
      <c r="D37" s="10" t="s">
        <v>36</v>
      </c>
      <c r="E37" s="10" t="s">
        <v>37</v>
      </c>
      <c r="F37" s="13">
        <v>2.0</v>
      </c>
      <c r="G37" s="14">
        <v>70.64</v>
      </c>
      <c r="H37" s="10" t="s">
        <v>5074</v>
      </c>
      <c r="I37" s="10">
        <v>92.9</v>
      </c>
      <c r="L37" s="10" t="s">
        <v>5075</v>
      </c>
      <c r="M37" s="34" t="s">
        <v>5076</v>
      </c>
      <c r="N37" s="10" t="s">
        <v>925</v>
      </c>
      <c r="O37" s="15">
        <f>IFERROR(__xludf.DUMMYFUNCTION("IF(ISBLANK($C37), """", GOOGLEFINANCE($C37, ""price""))"),66.8)</f>
        <v>66.8</v>
      </c>
      <c r="P37" s="16">
        <f t="shared" si="2"/>
        <v>-0.0543601359</v>
      </c>
      <c r="Q37" s="16">
        <f>IFERROR(__xludf.DUMMYFUNCTION("IF(OR(ISBLANK($G37), IFERROR(INDEX(GOOGLEFINANCE($C37, ""price"", WORKDAY(INT($B37), 1)), 2, 2), """")=""""), """", IF($D37=""LONG"", (IFERROR(INDEX(GOOGLEFINANCE($C37, ""price"", WORKDAY(INT($B37), 1)), 2, 2), """")-$G37)/$G37, ($G37-IFERROR(INDEX(GOOGLE"&amp;"FINANCE($C37, ""price"", WORKDAY(INT($B37), 1)), 2, 2), """"))/$G37))"),-0.0012740656851642613)</f>
        <v>-0.001274065685</v>
      </c>
      <c r="R37" s="16">
        <f>IFERROR(__xludf.DUMMYFUNCTION("IF(OR(ISBLANK($G37), IFERROR(INDEX(GOOGLEFINANCE($C37, ""price"", WORKDAY(INT($B37), 5)), 2, 2), """")=""""), """", IF($D37=""LONG"", (IFERROR(INDEX(GOOGLEFINANCE($C37, ""price"", WORKDAY(INT($B37), 5)), 2, 2), """")-$G37)/$G37, ($G37-IFERROR(INDEX(GOOGLE"&amp;"FINANCE($C37, ""price"", WORKDAY(INT($B37), 5)), 2, 2), """"))/$G37))"),-0.02010192525481316)</f>
        <v>-0.02010192525</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5081</v>
      </c>
      <c r="U37" s="10" t="s">
        <v>722</v>
      </c>
      <c r="V37" s="10" t="s">
        <v>5082</v>
      </c>
      <c r="W37" s="10" t="s">
        <v>51</v>
      </c>
      <c r="X37" s="10" t="s">
        <v>3433</v>
      </c>
    </row>
    <row r="38">
      <c r="A38" s="9">
        <f t="shared" si="1"/>
        <v>37</v>
      </c>
      <c r="B38" s="11">
        <v>46231.66753472222</v>
      </c>
      <c r="C38" s="10" t="s">
        <v>354</v>
      </c>
      <c r="D38" s="10" t="s">
        <v>36</v>
      </c>
      <c r="E38" s="10" t="s">
        <v>1892</v>
      </c>
      <c r="F38" s="13">
        <v>2.0</v>
      </c>
      <c r="G38" s="14">
        <v>118.91</v>
      </c>
      <c r="H38" s="10" t="s">
        <v>5084</v>
      </c>
      <c r="I38" s="10">
        <v>71.0</v>
      </c>
      <c r="O38" s="15">
        <f>IFERROR(__xludf.DUMMYFUNCTION("IF(ISBLANK($C38), """", GOOGLEFINANCE($C38, ""price""))"),117.16)</f>
        <v>117.16</v>
      </c>
      <c r="P38" s="16">
        <f t="shared" si="2"/>
        <v>-0.01471701287</v>
      </c>
      <c r="Q38" s="16">
        <f>IFERROR(__xludf.DUMMYFUNCTION("IF(OR(ISBLANK($G38), IFERROR(INDEX(GOOGLEFINANCE($C38, ""price"", WORKDAY(INT($B38), 1)), 2, 2), """")=""""), """", IF($D38=""LONG"", (IFERROR(INDEX(GOOGLEFINANCE($C38, ""price"", WORKDAY(INT($B38), 1)), 2, 2), """")-$G38)/$G38, ($G38-IFERROR(INDEX(GOOGLE"&amp;"FINANCE($C38, ""price"", WORKDAY(INT($B38), 1)), 2, 2), """"))/$G38))"),-0.05954082919855352)</f>
        <v>-0.0595408292</v>
      </c>
      <c r="R38" s="16">
        <f>IFERROR(__xludf.DUMMYFUNCTION("IF(OR(ISBLANK($G38), IFERROR(INDEX(GOOGLEFINANCE($C38, ""price"", WORKDAY(INT($B38), 5)), 2, 2), """")=""""), """", IF($D38=""LONG"", (IFERROR(INDEX(GOOGLEFINANCE($C38, ""price"", WORKDAY(INT($B38), 5)), 2, 2), """")-$G38)/$G38, ($G38-IFERROR(INDEX(GOOGLE"&amp;"FINANCE($C38, ""price"", WORKDAY(INT($B38), 5)), 2, 2), """"))/$G38))"),-0.009334791018417285)</f>
        <v>-0.009334791018</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5090</v>
      </c>
      <c r="U38" s="10" t="s">
        <v>984</v>
      </c>
      <c r="V38" s="10" t="s">
        <v>933</v>
      </c>
      <c r="W38" s="10" t="s">
        <v>51</v>
      </c>
      <c r="X38" s="10" t="s">
        <v>984</v>
      </c>
    </row>
    <row r="39">
      <c r="A39" s="9">
        <f t="shared" si="1"/>
        <v>38</v>
      </c>
      <c r="B39" s="11">
        <v>46231.66762731481</v>
      </c>
      <c r="C39" s="10" t="s">
        <v>4984</v>
      </c>
      <c r="D39" s="10" t="s">
        <v>36</v>
      </c>
      <c r="E39" s="10" t="s">
        <v>1892</v>
      </c>
      <c r="F39" s="13">
        <v>2.0</v>
      </c>
      <c r="G39" s="14">
        <v>94.28</v>
      </c>
      <c r="H39" s="10" t="s">
        <v>5091</v>
      </c>
      <c r="I39" s="10">
        <v>72.6</v>
      </c>
      <c r="O39" s="15">
        <f>IFERROR(__xludf.DUMMYFUNCTION("IF(ISBLANK($C39), """", GOOGLEFINANCE($C39, ""price""))"),101.04)</f>
        <v>101.04</v>
      </c>
      <c r="P39" s="16">
        <f t="shared" si="2"/>
        <v>0.07170131523</v>
      </c>
      <c r="Q39" s="16">
        <f>IFERROR(__xludf.DUMMYFUNCTION("IF(OR(ISBLANK($G39), IFERROR(INDEX(GOOGLEFINANCE($C39, ""price"", WORKDAY(INT($B39), 1)), 2, 2), """")=""""), """", IF($D39=""LONG"", (IFERROR(INDEX(GOOGLEFINANCE($C39, ""price"", WORKDAY(INT($B39), 1)), 2, 2), """")-$G39)/$G39, ($G39-IFERROR(INDEX(GOOGLE"&amp;"FINANCE($C39, ""price"", WORKDAY(INT($B39), 1)), 2, 2), """"))/$G39))"),-0.013046245226983496)</f>
        <v>-0.01304624523</v>
      </c>
      <c r="R39" s="16">
        <f>IFERROR(__xludf.DUMMYFUNCTION("IF(OR(ISBLANK($G39), IFERROR(INDEX(GOOGLEFINANCE($C39, ""price"", WORKDAY(INT($B39), 5)), 2, 2), """")=""""), """", IF($D39=""LONG"", (IFERROR(INDEX(GOOGLEFINANCE($C39, ""price"", WORKDAY(INT($B39), 5)), 2, 2), """")-$G39)/$G39, ($G39-IFERROR(INDEX(GOOGLE"&amp;"FINANCE($C39, ""price"", WORKDAY(INT($B39), 5)), 2, 2), """"))/$G39))"),0.08612643190496398)</f>
        <v>0.0861264319</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5095</v>
      </c>
      <c r="U39" s="10" t="s">
        <v>984</v>
      </c>
      <c r="V39" s="10" t="s">
        <v>933</v>
      </c>
      <c r="W39" s="10" t="s">
        <v>51</v>
      </c>
      <c r="X39" s="10" t="s">
        <v>984</v>
      </c>
    </row>
    <row r="40">
      <c r="A40" s="9">
        <f t="shared" si="1"/>
        <v>39</v>
      </c>
      <c r="B40" s="11">
        <v>46231.66761574074</v>
      </c>
      <c r="C40" s="10" t="s">
        <v>5096</v>
      </c>
      <c r="D40" s="10" t="s">
        <v>36</v>
      </c>
      <c r="E40" s="10" t="s">
        <v>4224</v>
      </c>
      <c r="F40" s="13">
        <v>4.0</v>
      </c>
      <c r="G40" s="14">
        <v>943.28</v>
      </c>
      <c r="H40" s="10" t="s">
        <v>5098</v>
      </c>
      <c r="I40" s="10">
        <v>47.2</v>
      </c>
      <c r="O40" s="15">
        <f>IFERROR(__xludf.DUMMYFUNCTION("IF(ISBLANK($C40), """", GOOGLEFINANCE($C40, ""price""))"),1000.3)</f>
        <v>1000.3</v>
      </c>
      <c r="P40" s="16">
        <f t="shared" si="2"/>
        <v>0.06044864727</v>
      </c>
      <c r="Q40" s="16">
        <f>IFERROR(__xludf.DUMMYFUNCTION("IF(OR(ISBLANK($G40), IFERROR(INDEX(GOOGLEFINANCE($C40, ""price"", WORKDAY(INT($B40), 1)), 2, 2), """")=""""), """", IF($D40=""LONG"", (IFERROR(INDEX(GOOGLEFINANCE($C40, ""price"", WORKDAY(INT($B40), 1)), 2, 2), """")-$G40)/$G40, ($G40-IFERROR(INDEX(GOOGLE"&amp;"FINANCE($C40, ""price"", WORKDAY(INT($B40), 1)), 2, 2), """"))/$G40))"),-0.04558561614790942)</f>
        <v>-0.04558561615</v>
      </c>
      <c r="R40" s="16">
        <f>IFERROR(__xludf.DUMMYFUNCTION("IF(OR(ISBLANK($G40), IFERROR(INDEX(GOOGLEFINANCE($C40, ""price"", WORKDAY(INT($B40), 5)), 2, 2), """")=""""), """", IF($D40=""LONG"", (IFERROR(INDEX(GOOGLEFINANCE($C40, ""price"", WORKDAY(INT($B40), 5)), 2, 2), """")-$G40)/$G40, ($G40-IFERROR(INDEX(GOOGLE"&amp;"FINANCE($C40, ""price"", WORKDAY(INT($B40), 5)), 2, 2), """"))/$G40))"),0.0797748282588415)</f>
        <v>0.07977482826</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5101</v>
      </c>
      <c r="U40" s="10" t="s">
        <v>984</v>
      </c>
      <c r="V40" s="10" t="s">
        <v>1059</v>
      </c>
      <c r="W40" s="10" t="s">
        <v>51</v>
      </c>
      <c r="X40" s="10" t="s">
        <v>984</v>
      </c>
    </row>
    <row r="41">
      <c r="A41" s="9">
        <f t="shared" si="1"/>
        <v>40</v>
      </c>
      <c r="B41" s="11">
        <v>46231.66756944444</v>
      </c>
      <c r="C41" s="10" t="s">
        <v>310</v>
      </c>
      <c r="D41" s="10" t="s">
        <v>36</v>
      </c>
      <c r="E41" s="10" t="s">
        <v>87</v>
      </c>
      <c r="F41" s="13">
        <v>2.0</v>
      </c>
      <c r="G41" s="14">
        <v>243.36</v>
      </c>
      <c r="H41" s="10" t="s">
        <v>5103</v>
      </c>
      <c r="I41" s="10">
        <v>15.5</v>
      </c>
      <c r="O41" s="15">
        <f>IFERROR(__xludf.DUMMYFUNCTION("IF(ISBLANK($C41), """", GOOGLEFINANCE($C41, ""price""))"),232.43)</f>
        <v>232.43</v>
      </c>
      <c r="P41" s="16">
        <f t="shared" si="2"/>
        <v>-0.04491288626</v>
      </c>
      <c r="Q41" s="16">
        <f>IFERROR(__xludf.DUMMYFUNCTION("IF(OR(ISBLANK($G41), IFERROR(INDEX(GOOGLEFINANCE($C41, ""price"", WORKDAY(INT($B41), 1)), 2, 2), """")=""""), """", IF($D41=""LONG"", (IFERROR(INDEX(GOOGLEFINANCE($C41, ""price"", WORKDAY(INT($B41), 1)), 2, 2), """")-$G41)/$G41, ($G41-IFERROR(INDEX(GOOGLE"&amp;"FINANCE($C41, ""price"", WORKDAY(INT($B41), 1)), 2, 2), """"))/$G41))"),0.01725838264299798)</f>
        <v>0.01725838264</v>
      </c>
      <c r="R41" s="16">
        <f>IFERROR(__xludf.DUMMYFUNCTION("IF(OR(ISBLANK($G41), IFERROR(INDEX(GOOGLEFINANCE($C41, ""price"", WORKDAY(INT($B41), 5)), 2, 2), """")=""""), """", IF($D41=""LONG"", (IFERROR(INDEX(GOOGLEFINANCE($C41, ""price"", WORKDAY(INT($B41), 5)), 2, 2), """")-$G41)/$G41, ($G41-IFERROR(INDEX(GOOGLE"&amp;"FINANCE($C41, ""price"", WORKDAY(INT($B41), 5)), 2, 2), """"))/$G41))"),-0.06229454306377393)</f>
        <v>-0.06229454306</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5104</v>
      </c>
      <c r="U41" s="10" t="s">
        <v>984</v>
      </c>
      <c r="V41" s="10" t="s">
        <v>933</v>
      </c>
      <c r="W41" s="10" t="s">
        <v>51</v>
      </c>
      <c r="X41" s="10" t="s">
        <v>984</v>
      </c>
    </row>
    <row r="42">
      <c r="A42" s="9">
        <f t="shared" si="1"/>
        <v>41</v>
      </c>
      <c r="B42" s="11">
        <v>46231.66747685185</v>
      </c>
      <c r="C42" s="10" t="s">
        <v>3688</v>
      </c>
      <c r="D42" s="10" t="s">
        <v>36</v>
      </c>
      <c r="E42" s="10" t="s">
        <v>37</v>
      </c>
      <c r="F42" s="13">
        <v>2.0</v>
      </c>
      <c r="G42" s="14">
        <v>28.19</v>
      </c>
      <c r="H42" s="10" t="s">
        <v>5105</v>
      </c>
      <c r="I42" s="10">
        <v>90.5</v>
      </c>
      <c r="L42" s="10" t="s">
        <v>5107</v>
      </c>
      <c r="M42" s="34" t="s">
        <v>951</v>
      </c>
      <c r="N42" s="10" t="s">
        <v>925</v>
      </c>
      <c r="O42" s="15">
        <f>IFERROR(__xludf.DUMMYFUNCTION("IF(ISBLANK($C42), """", GOOGLEFINANCE($C42, ""price""))"),29.67)</f>
        <v>29.67</v>
      </c>
      <c r="P42" s="16">
        <f t="shared" si="2"/>
        <v>0.05250088684</v>
      </c>
      <c r="Q42" s="16">
        <f>IFERROR(__xludf.DUMMYFUNCTION("IF(OR(ISBLANK($G42), IFERROR(INDEX(GOOGLEFINANCE($C42, ""price"", WORKDAY(INT($B42), 1)), 2, 2), """")=""""), """", IF($D42=""LONG"", (IFERROR(INDEX(GOOGLEFINANCE($C42, ""price"", WORKDAY(INT($B42), 1)), 2, 2), """")-$G42)/$G42, ($G42-IFERROR(INDEX(GOOGLE"&amp;"FINANCE($C42, ""price"", WORKDAY(INT($B42), 1)), 2, 2), """"))/$G42))"),0.02234835047889319)</f>
        <v>0.02234835048</v>
      </c>
      <c r="R42" s="16">
        <f>IFERROR(__xludf.DUMMYFUNCTION("IF(OR(ISBLANK($G42), IFERROR(INDEX(GOOGLEFINANCE($C42, ""price"", WORKDAY(INT($B42), 5)), 2, 2), """")=""""), """", IF($D42=""LONG"", (IFERROR(INDEX(GOOGLEFINANCE($C42, ""price"", WORKDAY(INT($B42), 5)), 2, 2), """")-$G42)/$G42, ($G42-IFERROR(INDEX(GOOGLE"&amp;"FINANCE($C42, ""price"", WORKDAY(INT($B42), 5)), 2, 2), """"))/$G42))"),0.01418942887548771)</f>
        <v>0.01418942888</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5109</v>
      </c>
      <c r="U42" s="10" t="s">
        <v>507</v>
      </c>
      <c r="V42" s="10" t="s">
        <v>5110</v>
      </c>
      <c r="W42" s="10" t="s">
        <v>51</v>
      </c>
      <c r="X42" s="10" t="s">
        <v>2228</v>
      </c>
    </row>
    <row r="43">
      <c r="A43" s="9">
        <f t="shared" si="1"/>
        <v>42</v>
      </c>
      <c r="B43" s="11">
        <v>46231.66762731481</v>
      </c>
      <c r="C43" s="10" t="s">
        <v>5111</v>
      </c>
      <c r="D43" s="10" t="s">
        <v>36</v>
      </c>
      <c r="E43" s="10" t="s">
        <v>1892</v>
      </c>
      <c r="F43" s="13">
        <v>2.0</v>
      </c>
      <c r="G43" s="14">
        <v>21.22</v>
      </c>
      <c r="H43" s="10" t="s">
        <v>5113</v>
      </c>
      <c r="I43" s="10">
        <v>66.7</v>
      </c>
      <c r="O43" s="15">
        <f>IFERROR(__xludf.DUMMYFUNCTION("IF(ISBLANK($C43), """", GOOGLEFINANCE($C43, ""price""))"),19.37)</f>
        <v>19.37</v>
      </c>
      <c r="P43" s="16">
        <f t="shared" si="2"/>
        <v>-0.08718190386</v>
      </c>
      <c r="Q43" s="16">
        <f>IFERROR(__xludf.DUMMYFUNCTION("IF(OR(ISBLANK($G43), IFERROR(INDEX(GOOGLEFINANCE($C43, ""price"", WORKDAY(INT($B43), 1)), 2, 2), """")=""""), """", IF($D43=""LONG"", (IFERROR(INDEX(GOOGLEFINANCE($C43, ""price"", WORKDAY(INT($B43), 1)), 2, 2), """")-$G43)/$G43, ($G43-IFERROR(INDEX(GOOGLE"&amp;"FINANCE($C43, ""price"", WORKDAY(INT($B43), 1)), 2, 2), """"))/$G43))"),-0.022148916116870823)</f>
        <v>-0.02214891612</v>
      </c>
      <c r="R43" s="16">
        <f>IFERROR(__xludf.DUMMYFUNCTION("IF(OR(ISBLANK($G43), IFERROR(INDEX(GOOGLEFINANCE($C43, ""price"", WORKDAY(INT($B43), 5)), 2, 2), """")=""""), """", IF($D43=""LONG"", (IFERROR(INDEX(GOOGLEFINANCE($C43, ""price"", WORKDAY(INT($B43), 5)), 2, 2), """")-$G43)/$G43, ($G43-IFERROR(INDEX(GOOGLE"&amp;"FINANCE($C43, ""price"", WORKDAY(INT($B43), 5)), 2, 2), """"))/$G43))"),-0.054194156456173356)</f>
        <v>-0.05419415646</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5115</v>
      </c>
      <c r="U43" s="10" t="s">
        <v>984</v>
      </c>
      <c r="V43" s="10" t="s">
        <v>2714</v>
      </c>
      <c r="W43" s="10" t="s">
        <v>51</v>
      </c>
      <c r="X43" s="10" t="s">
        <v>984</v>
      </c>
    </row>
    <row r="44">
      <c r="A44" s="9">
        <f t="shared" si="1"/>
        <v>43</v>
      </c>
      <c r="B44" s="11">
        <v>46231.66751157407</v>
      </c>
      <c r="C44" s="10" t="s">
        <v>1603</v>
      </c>
      <c r="D44" s="10" t="s">
        <v>36</v>
      </c>
      <c r="E44" s="10" t="s">
        <v>37</v>
      </c>
      <c r="F44" s="13">
        <v>2.0</v>
      </c>
      <c r="G44" s="14">
        <v>143.38</v>
      </c>
      <c r="H44" s="10" t="s">
        <v>5116</v>
      </c>
      <c r="I44" s="10">
        <v>92.9</v>
      </c>
      <c r="O44" s="15">
        <f>IFERROR(__xludf.DUMMYFUNCTION("IF(ISBLANK($C44), """", GOOGLEFINANCE($C44, ""price""))"),144.51)</f>
        <v>144.51</v>
      </c>
      <c r="P44" s="16">
        <f t="shared" si="2"/>
        <v>0.007881154973</v>
      </c>
      <c r="Q44" s="16">
        <f>IFERROR(__xludf.DUMMYFUNCTION("IF(OR(ISBLANK($G44), IFERROR(INDEX(GOOGLEFINANCE($C44, ""price"", WORKDAY(INT($B44), 1)), 2, 2), """")=""""), """", IF($D44=""LONG"", (IFERROR(INDEX(GOOGLEFINANCE($C44, ""price"", WORKDAY(INT($B44), 1)), 2, 2), """")-$G44)/$G44, ($G44-IFERROR(INDEX(GOOGLE"&amp;"FINANCE($C44, ""price"", WORKDAY(INT($B44), 1)), 2, 2), """"))/$G44))"),0.016041288882689436)</f>
        <v>0.01604128888</v>
      </c>
      <c r="R44" s="16">
        <f>IFERROR(__xludf.DUMMYFUNCTION("IF(OR(ISBLANK($G44), IFERROR(INDEX(GOOGLEFINANCE($C44, ""price"", WORKDAY(INT($B44), 5)), 2, 2), """")=""""), """", IF($D44=""LONG"", (IFERROR(INDEX(GOOGLEFINANCE($C44, ""price"", WORKDAY(INT($B44), 5)), 2, 2), """")-$G44)/$G44, ($G44-IFERROR(INDEX(GOOGLE"&amp;"FINANCE($C44, ""price"", WORKDAY(INT($B44), 5)), 2, 2), """"))/$G44))"),-0.009276049658250692)</f>
        <v>-0.009276049658</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5119</v>
      </c>
      <c r="U44" s="10" t="s">
        <v>984</v>
      </c>
      <c r="V44" s="10" t="s">
        <v>2714</v>
      </c>
      <c r="W44" s="10" t="s">
        <v>51</v>
      </c>
      <c r="X44" s="10" t="s">
        <v>984</v>
      </c>
    </row>
    <row r="45">
      <c r="A45" s="9">
        <f t="shared" si="1"/>
        <v>44</v>
      </c>
      <c r="B45" s="11">
        <v>46231.667650462965</v>
      </c>
      <c r="C45" s="10" t="s">
        <v>3081</v>
      </c>
      <c r="D45" s="10" t="s">
        <v>36</v>
      </c>
      <c r="E45" s="10" t="s">
        <v>37</v>
      </c>
      <c r="F45" s="13">
        <v>2.0</v>
      </c>
      <c r="G45" s="14">
        <v>17.78</v>
      </c>
      <c r="H45" s="10" t="s">
        <v>5121</v>
      </c>
      <c r="I45" s="10">
        <v>92.6</v>
      </c>
      <c r="O45" s="15">
        <f>IFERROR(__xludf.DUMMYFUNCTION("IF(ISBLANK($C45), """", GOOGLEFINANCE($C45, ""price""))"),17.0)</f>
        <v>17</v>
      </c>
      <c r="P45" s="16">
        <f t="shared" si="2"/>
        <v>-0.04386951631</v>
      </c>
      <c r="Q45" s="16">
        <f>IFERROR(__xludf.DUMMYFUNCTION("IF(OR(ISBLANK($G45), IFERROR(INDEX(GOOGLEFINANCE($C45, ""price"", WORKDAY(INT($B45), 1)), 2, 2), """")=""""), """", IF($D45=""LONG"", (IFERROR(INDEX(GOOGLEFINANCE($C45, ""price"", WORKDAY(INT($B45), 1)), 2, 2), """")-$G45)/$G45, ($G45-IFERROR(INDEX(GOOGLE"&amp;"FINANCE($C45, ""price"", WORKDAY(INT($B45), 1)), 2, 2), """"))/$G45))"),-0.003937007874015764)</f>
        <v>-0.003937007874</v>
      </c>
      <c r="R45" s="16">
        <f>IFERROR(__xludf.DUMMYFUNCTION("IF(OR(ISBLANK($G45), IFERROR(INDEX(GOOGLEFINANCE($C45, ""price"", WORKDAY(INT($B45), 5)), 2, 2), """")=""""), """", IF($D45=""LONG"", (IFERROR(INDEX(GOOGLEFINANCE($C45, ""price"", WORKDAY(INT($B45), 5)), 2, 2), """")-$G45)/$G45, ($G45-IFERROR(INDEX(GOOGLE"&amp;"FINANCE($C45, ""price"", WORKDAY(INT($B45), 5)), 2, 2), """"))/$G45))"),-0.018560179977502915)</f>
        <v>-0.01856017998</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5123</v>
      </c>
      <c r="U45" s="10" t="s">
        <v>984</v>
      </c>
      <c r="V45" s="10" t="s">
        <v>933</v>
      </c>
      <c r="W45" s="10" t="s">
        <v>51</v>
      </c>
      <c r="X45" s="10" t="s">
        <v>984</v>
      </c>
    </row>
    <row r="46">
      <c r="A46" s="9">
        <f t="shared" si="1"/>
        <v>45</v>
      </c>
      <c r="B46" s="11">
        <v>46231.66767361111</v>
      </c>
      <c r="C46" s="10" t="s">
        <v>248</v>
      </c>
      <c r="D46" s="10" t="s">
        <v>36</v>
      </c>
      <c r="E46" s="10" t="s">
        <v>37</v>
      </c>
      <c r="F46" s="13">
        <v>2.0</v>
      </c>
      <c r="G46" s="14">
        <v>72.93</v>
      </c>
      <c r="H46" s="10" t="s">
        <v>5125</v>
      </c>
      <c r="I46" s="10">
        <v>88.1</v>
      </c>
      <c r="O46" s="15">
        <f>IFERROR(__xludf.DUMMYFUNCTION("IF(ISBLANK($C46), """", GOOGLEFINANCE($C46, ""price""))"),72.43)</f>
        <v>72.43</v>
      </c>
      <c r="P46" s="16">
        <f t="shared" si="2"/>
        <v>-0.006855889209</v>
      </c>
      <c r="Q46" s="16">
        <f>IFERROR(__xludf.DUMMYFUNCTION("IF(OR(ISBLANK($G46), IFERROR(INDEX(GOOGLEFINANCE($C46, ""price"", WORKDAY(INT($B46), 1)), 2, 2), """")=""""), """", IF($D46=""LONG"", (IFERROR(INDEX(GOOGLEFINANCE($C46, ""price"", WORKDAY(INT($B46), 1)), 2, 2), """")-$G46)/$G46, ($G46-IFERROR(INDEX(GOOGLE"&amp;"FINANCE($C46, ""price"", WORKDAY(INT($B46), 1)), 2, 2), """"))/$G46))"),-0.02221308103661051)</f>
        <v>-0.02221308104</v>
      </c>
      <c r="R46" s="16">
        <f>IFERROR(__xludf.DUMMYFUNCTION("IF(OR(ISBLANK($G46), IFERROR(INDEX(GOOGLEFINANCE($C46, ""price"", WORKDAY(INT($B46), 5)), 2, 2), """")=""""), """", IF($D46=""LONG"", (IFERROR(INDEX(GOOGLEFINANCE($C46, ""price"", WORKDAY(INT($B46), 5)), 2, 2), """")-$G46)/$G46, ($G46-IFERROR(INDEX(GOOGLE"&amp;"FINANCE($C46, ""price"", WORKDAY(INT($B46), 5)), 2, 2), """"))/$G46))"),0.010283833813245578)</f>
        <v>0.01028383381</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5127</v>
      </c>
      <c r="U46" s="10" t="s">
        <v>984</v>
      </c>
      <c r="V46" s="10" t="s">
        <v>2785</v>
      </c>
      <c r="W46" s="10" t="s">
        <v>51</v>
      </c>
      <c r="X46" s="10" t="s">
        <v>984</v>
      </c>
    </row>
    <row r="47">
      <c r="A47" s="9">
        <f t="shared" si="1"/>
        <v>46</v>
      </c>
      <c r="B47" s="11">
        <v>46231.66762731481</v>
      </c>
      <c r="C47" s="10" t="s">
        <v>1255</v>
      </c>
      <c r="D47" s="10" t="s">
        <v>36</v>
      </c>
      <c r="E47" s="10" t="s">
        <v>37</v>
      </c>
      <c r="F47" s="13">
        <v>2.0</v>
      </c>
      <c r="G47" s="14">
        <v>79.79</v>
      </c>
      <c r="H47" s="10" t="s">
        <v>5129</v>
      </c>
      <c r="I47" s="10">
        <v>88.6</v>
      </c>
      <c r="O47" s="15">
        <f>IFERROR(__xludf.DUMMYFUNCTION("IF(ISBLANK($C47), """", GOOGLEFINANCE($C47, ""price""))"),67.23)</f>
        <v>67.23</v>
      </c>
      <c r="P47" s="16">
        <f t="shared" si="2"/>
        <v>-0.1574132097</v>
      </c>
      <c r="Q47" s="16">
        <f>IFERROR(__xludf.DUMMYFUNCTION("IF(OR(ISBLANK($G47), IFERROR(INDEX(GOOGLEFINANCE($C47, ""price"", WORKDAY(INT($B47), 1)), 2, 2), """")=""""), """", IF($D47=""LONG"", (IFERROR(INDEX(GOOGLEFINANCE($C47, ""price"", WORKDAY(INT($B47), 1)), 2, 2), """")-$G47)/$G47, ($G47-IFERROR(INDEX(GOOGLE"&amp;"FINANCE($C47, ""price"", WORKDAY(INT($B47), 1)), 2, 2), """"))/$G47))"),-0.01453816267702733)</f>
        <v>-0.01453816268</v>
      </c>
      <c r="R47" s="16">
        <f>IFERROR(__xludf.DUMMYFUNCTION("IF(OR(ISBLANK($G47), IFERROR(INDEX(GOOGLEFINANCE($C47, ""price"", WORKDAY(INT($B47), 5)), 2, 2), """")=""""), """", IF($D47=""LONG"", (IFERROR(INDEX(GOOGLEFINANCE($C47, ""price"", WORKDAY(INT($B47), 5)), 2, 2), """")-$G47)/$G47, ($G47-IFERROR(INDEX(GOOGLE"&amp;"FINANCE($C47, ""price"", WORKDAY(INT($B47), 5)), 2, 2), """"))/$G47))"),-0.11404937962150655)</f>
        <v>-0.1140493796</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5131</v>
      </c>
      <c r="U47" s="10" t="s">
        <v>984</v>
      </c>
      <c r="V47" s="10" t="s">
        <v>2785</v>
      </c>
      <c r="W47" s="10" t="s">
        <v>51</v>
      </c>
      <c r="X47" s="10" t="s">
        <v>984</v>
      </c>
    </row>
    <row r="48">
      <c r="A48" s="9">
        <f t="shared" si="1"/>
        <v>47</v>
      </c>
      <c r="B48" s="11">
        <v>46231.667604166665</v>
      </c>
      <c r="C48" s="10" t="s">
        <v>158</v>
      </c>
      <c r="D48" s="10" t="s">
        <v>36</v>
      </c>
      <c r="E48" s="10" t="s">
        <v>37</v>
      </c>
      <c r="F48" s="13">
        <v>2.0</v>
      </c>
      <c r="G48" s="14">
        <v>75.39</v>
      </c>
      <c r="H48" s="10" t="s">
        <v>5133</v>
      </c>
      <c r="I48" s="10">
        <v>91.8</v>
      </c>
      <c r="O48" s="15">
        <f>IFERROR(__xludf.DUMMYFUNCTION("IF(ISBLANK($C48), """", GOOGLEFINANCE($C48, ""price""))"),72.06)</f>
        <v>72.06</v>
      </c>
      <c r="P48" s="16">
        <f t="shared" si="2"/>
        <v>-0.04417031437</v>
      </c>
      <c r="Q48" s="16">
        <f>IFERROR(__xludf.DUMMYFUNCTION("IF(OR(ISBLANK($G48), IFERROR(INDEX(GOOGLEFINANCE($C48, ""price"", WORKDAY(INT($B48), 1)), 2, 2), """")=""""), """", IF($D48=""LONG"", (IFERROR(INDEX(GOOGLEFINANCE($C48, ""price"", WORKDAY(INT($B48), 1)), 2, 2), """")-$G48)/$G48, ($G48-IFERROR(INDEX(GOOGLE"&amp;"FINANCE($C48, ""price"", WORKDAY(INT($B48), 1)), 2, 2), """"))/$G48))"),-0.008356545961002725)</f>
        <v>-0.008356545961</v>
      </c>
      <c r="R48" s="16">
        <f>IFERROR(__xludf.DUMMYFUNCTION("IF(OR(ISBLANK($G48), IFERROR(INDEX(GOOGLEFINANCE($C48, ""price"", WORKDAY(INT($B48), 5)), 2, 2), """")=""""), """", IF($D48=""LONG"", (IFERROR(INDEX(GOOGLEFINANCE($C48, ""price"", WORKDAY(INT($B48), 5)), 2, 2), """")-$G48)/$G48, ($G48-IFERROR(INDEX(GOOGLE"&amp;"FINANCE($C48, ""price"", WORKDAY(INT($B48), 5)), 2, 2), """"))/$G48))"),-0.03568112481761504)</f>
        <v>-0.03568112482</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5136</v>
      </c>
      <c r="U48" s="10" t="s">
        <v>984</v>
      </c>
      <c r="V48" s="10" t="s">
        <v>2785</v>
      </c>
      <c r="W48" s="10" t="s">
        <v>51</v>
      </c>
      <c r="X48" s="10" t="s">
        <v>984</v>
      </c>
    </row>
    <row r="49">
      <c r="A49" s="9">
        <f t="shared" si="1"/>
        <v>48</v>
      </c>
      <c r="B49" s="11">
        <v>46231.66767361111</v>
      </c>
      <c r="C49" s="10" t="s">
        <v>69</v>
      </c>
      <c r="D49" s="10" t="s">
        <v>36</v>
      </c>
      <c r="E49" s="10" t="s">
        <v>37</v>
      </c>
      <c r="F49" s="13">
        <v>2.0</v>
      </c>
      <c r="G49" s="14">
        <v>266.68</v>
      </c>
      <c r="H49" s="10" t="s">
        <v>5137</v>
      </c>
      <c r="I49" s="10">
        <v>89.2</v>
      </c>
      <c r="O49" s="15">
        <f>IFERROR(__xludf.DUMMYFUNCTION("IF(ISBLANK($C49), """", GOOGLEFINANCE($C49, ""price""))"),256.98)</f>
        <v>256.98</v>
      </c>
      <c r="P49" s="16">
        <f t="shared" si="2"/>
        <v>-0.03637318134</v>
      </c>
      <c r="Q49" s="16">
        <f>IFERROR(__xludf.DUMMYFUNCTION("IF(OR(ISBLANK($G49), IFERROR(INDEX(GOOGLEFINANCE($C49, ""price"", WORKDAY(INT($B49), 1)), 2, 2), """")=""""), """", IF($D49=""LONG"", (IFERROR(INDEX(GOOGLEFINANCE($C49, ""price"", WORKDAY(INT($B49), 1)), 2, 2), """")-$G49)/$G49, ($G49-IFERROR(INDEX(GOOGLE"&amp;"FINANCE($C49, ""price"", WORKDAY(INT($B49), 1)), 2, 2), """"))/$G49))"),-0.004312284385780839)</f>
        <v>-0.004312284386</v>
      </c>
      <c r="R49" s="16">
        <f>IFERROR(__xludf.DUMMYFUNCTION("IF(OR(ISBLANK($G49), IFERROR(INDEX(GOOGLEFINANCE($C49, ""price"", WORKDAY(INT($B49), 5)), 2, 2), """")=""""), """", IF($D49=""LONG"", (IFERROR(INDEX(GOOGLEFINANCE($C49, ""price"", WORKDAY(INT($B49), 5)), 2, 2), """")-$G49)/$G49, ($G49-IFERROR(INDEX(GOOGLE"&amp;"FINANCE($C49, ""price"", WORKDAY(INT($B49), 5)), 2, 2), """"))/$G49))"),-0.044060296985150744)</f>
        <v>-0.04406029699</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5139</v>
      </c>
      <c r="U49" s="10" t="s">
        <v>984</v>
      </c>
      <c r="V49" s="10" t="s">
        <v>933</v>
      </c>
      <c r="W49" s="10" t="s">
        <v>51</v>
      </c>
      <c r="X49" s="10" t="s">
        <v>984</v>
      </c>
    </row>
    <row r="50">
      <c r="A50" s="9">
        <f t="shared" si="1"/>
        <v>49</v>
      </c>
      <c r="B50" s="11">
        <v>46231.66761574074</v>
      </c>
      <c r="C50" s="10" t="s">
        <v>5140</v>
      </c>
      <c r="D50" s="10" t="s">
        <v>36</v>
      </c>
      <c r="E50" s="10" t="s">
        <v>87</v>
      </c>
      <c r="F50" s="13">
        <v>2.0</v>
      </c>
      <c r="G50" s="14">
        <v>286.04</v>
      </c>
      <c r="H50" s="10" t="s">
        <v>5141</v>
      </c>
      <c r="I50" s="10">
        <v>87.9</v>
      </c>
      <c r="O50" s="15">
        <f>IFERROR(__xludf.DUMMYFUNCTION("IF(ISBLANK($C50), """", GOOGLEFINANCE($C50, ""price""))"),289.72)</f>
        <v>289.72</v>
      </c>
      <c r="P50" s="16">
        <f t="shared" si="2"/>
        <v>0.01286533352</v>
      </c>
      <c r="Q50" s="16">
        <f>IFERROR(__xludf.DUMMYFUNCTION("IF(OR(ISBLANK($G50), IFERROR(INDEX(GOOGLEFINANCE($C50, ""price"", WORKDAY(INT($B50), 1)), 2, 2), """")=""""), """", IF($D50=""LONG"", (IFERROR(INDEX(GOOGLEFINANCE($C50, ""price"", WORKDAY(INT($B50), 1)), 2, 2), """")-$G50)/$G50, ($G50-IFERROR(INDEX(GOOGLE"&amp;"FINANCE($C50, ""price"", WORKDAY(INT($B50), 1)), 2, 2), """"))/$G50))"),-0.04632219270032163)</f>
        <v>-0.0463221927</v>
      </c>
      <c r="R50" s="16">
        <f>IFERROR(__xludf.DUMMYFUNCTION("IF(OR(ISBLANK($G50), IFERROR(INDEX(GOOGLEFINANCE($C50, ""price"", WORKDAY(INT($B50), 5)), 2, 2), """")=""""), """", IF($D50=""LONG"", (IFERROR(INDEX(GOOGLEFINANCE($C50, ""price"", WORKDAY(INT($B50), 5)), 2, 2), """")-$G50)/$G50, ($G50-IFERROR(INDEX(GOOGLE"&amp;"FINANCE($C50, ""price"", WORKDAY(INT($B50), 5)), 2, 2), """"))/$G50))"),0.00755139141378817)</f>
        <v>0.007551391414</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5144</v>
      </c>
      <c r="U50" s="10" t="s">
        <v>984</v>
      </c>
      <c r="V50" s="10" t="s">
        <v>2714</v>
      </c>
      <c r="W50" s="10" t="s">
        <v>51</v>
      </c>
      <c r="X50" s="10" t="s">
        <v>984</v>
      </c>
    </row>
    <row r="51">
      <c r="A51" s="9">
        <f t="shared" si="1"/>
        <v>50</v>
      </c>
      <c r="B51" s="11">
        <v>46231.667604166665</v>
      </c>
      <c r="C51" s="10" t="s">
        <v>207</v>
      </c>
      <c r="D51" s="10" t="s">
        <v>36</v>
      </c>
      <c r="E51" s="10" t="s">
        <v>1892</v>
      </c>
      <c r="F51" s="13">
        <v>2.0</v>
      </c>
      <c r="G51" s="14">
        <v>354.16</v>
      </c>
      <c r="H51" s="10" t="s">
        <v>5145</v>
      </c>
      <c r="I51" s="10">
        <v>62.5</v>
      </c>
      <c r="O51" s="15">
        <f>IFERROR(__xludf.DUMMYFUNCTION("IF(ISBLANK($C51), """", GOOGLEFINANCE($C51, ""price""))"),363.42)</f>
        <v>363.42</v>
      </c>
      <c r="P51" s="16">
        <f t="shared" si="2"/>
        <v>0.02614637452</v>
      </c>
      <c r="Q51" s="16">
        <f>IFERROR(__xludf.DUMMYFUNCTION("IF(OR(ISBLANK($G51), IFERROR(INDEX(GOOGLEFINANCE($C51, ""price"", WORKDAY(INT($B51), 1)), 2, 2), """")=""""), """", IF($D51=""LONG"", (IFERROR(INDEX(GOOGLEFINANCE($C51, ""price"", WORKDAY(INT($B51), 1)), 2, 2), """")-$G51)/$G51, ($G51-IFERROR(INDEX(GOOGLE"&amp;"FINANCE($C51, ""price"", WORKDAY(INT($B51), 1)), 2, 2), """"))/$G51))"),-0.02902642873277623)</f>
        <v>-0.02902642873</v>
      </c>
      <c r="R51" s="16">
        <f>IFERROR(__xludf.DUMMYFUNCTION("IF(OR(ISBLANK($G51), IFERROR(INDEX(GOOGLEFINANCE($C51, ""price"", WORKDAY(INT($B51), 5)), 2, 2), """")=""""), """", IF($D51=""LONG"", (IFERROR(INDEX(GOOGLEFINANCE($C51, ""price"", WORKDAY(INT($B51), 5)), 2, 2), """")-$G51)/$G51, ($G51-IFERROR(INDEX(GOOGLE"&amp;"FINANCE($C51, ""price"", WORKDAY(INT($B51), 5)), 2, 2), """"))/$G51))"),0.02092274678111579)</f>
        <v>0.02092274678</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5148</v>
      </c>
      <c r="U51" s="10" t="s">
        <v>492</v>
      </c>
      <c r="V51" s="10" t="s">
        <v>2701</v>
      </c>
      <c r="W51" s="10" t="s">
        <v>51</v>
      </c>
      <c r="X51" s="10" t="s">
        <v>492</v>
      </c>
    </row>
    <row r="52">
      <c r="A52" s="9">
        <f t="shared" si="1"/>
        <v>51</v>
      </c>
      <c r="B52" s="11">
        <v>46231.667708333334</v>
      </c>
      <c r="C52" s="10" t="s">
        <v>2066</v>
      </c>
      <c r="D52" s="10" t="s">
        <v>36</v>
      </c>
      <c r="E52" s="10" t="s">
        <v>87</v>
      </c>
      <c r="F52" s="13">
        <v>2.0</v>
      </c>
      <c r="G52" s="14">
        <v>98.43</v>
      </c>
      <c r="H52" s="10" t="s">
        <v>5149</v>
      </c>
      <c r="I52" s="10">
        <v>71.6</v>
      </c>
      <c r="O52" s="15">
        <f>IFERROR(__xludf.DUMMYFUNCTION("IF(ISBLANK($C52), """", GOOGLEFINANCE($C52, ""price""))"),98.02)</f>
        <v>98.02</v>
      </c>
      <c r="P52" s="16">
        <f t="shared" si="2"/>
        <v>-0.004165396729</v>
      </c>
      <c r="Q52" s="16">
        <f>IFERROR(__xludf.DUMMYFUNCTION("IF(OR(ISBLANK($G52), IFERROR(INDEX(GOOGLEFINANCE($C52, ""price"", WORKDAY(INT($B52), 1)), 2, 2), """")=""""), """", IF($D52=""LONG"", (IFERROR(INDEX(GOOGLEFINANCE($C52, ""price"", WORKDAY(INT($B52), 1)), 2, 2), """")-$G52)/$G52, ($G52-IFERROR(INDEX(GOOGLE"&amp;"FINANCE($C52, ""price"", WORKDAY(INT($B52), 1)), 2, 2), """"))/$G52))"),0.004063801686477613)</f>
        <v>0.004063801686</v>
      </c>
      <c r="R52" s="16">
        <f>IFERROR(__xludf.DUMMYFUNCTION("IF(OR(ISBLANK($G52), IFERROR(INDEX(GOOGLEFINANCE($C52, ""price"", WORKDAY(INT($B52), 5)), 2, 2), """")=""""), """", IF($D52=""LONG"", (IFERROR(INDEX(GOOGLEFINANCE($C52, ""price"", WORKDAY(INT($B52), 5)), 2, 2), """")-$G52)/$G52, ($G52-IFERROR(INDEX(GOOGLE"&amp;"FINANCE($C52, ""price"", WORKDAY(INT($B52), 5)), 2, 2), """"))/$G52))"),-0.020115818348064654)</f>
        <v>-0.02011581835</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5152</v>
      </c>
      <c r="U52" s="10" t="s">
        <v>492</v>
      </c>
      <c r="V52" s="10" t="s">
        <v>2701</v>
      </c>
      <c r="W52" s="10" t="s">
        <v>51</v>
      </c>
      <c r="X52" s="10" t="s">
        <v>492</v>
      </c>
    </row>
    <row r="53">
      <c r="A53" s="9">
        <f t="shared" si="1"/>
        <v>52</v>
      </c>
      <c r="B53" s="11">
        <v>46231.667719907404</v>
      </c>
      <c r="C53" s="10" t="s">
        <v>234</v>
      </c>
      <c r="D53" s="10" t="s">
        <v>36</v>
      </c>
      <c r="E53" s="10" t="s">
        <v>37</v>
      </c>
      <c r="F53" s="13">
        <v>2.0</v>
      </c>
      <c r="G53" s="14">
        <v>64.44</v>
      </c>
      <c r="H53" s="10" t="s">
        <v>5153</v>
      </c>
      <c r="I53" s="10">
        <v>91.6</v>
      </c>
      <c r="O53" s="15">
        <f>IFERROR(__xludf.DUMMYFUNCTION("IF(ISBLANK($C53), """", GOOGLEFINANCE($C53, ""price""))"),63.81)</f>
        <v>63.81</v>
      </c>
      <c r="P53" s="16">
        <f t="shared" si="2"/>
        <v>-0.009776536313</v>
      </c>
      <c r="Q53" s="16">
        <f>IFERROR(__xludf.DUMMYFUNCTION("IF(OR(ISBLANK($G53), IFERROR(INDEX(GOOGLEFINANCE($C53, ""price"", WORKDAY(INT($B53), 1)), 2, 2), """")=""""), """", IF($D53=""LONG"", (IFERROR(INDEX(GOOGLEFINANCE($C53, ""price"", WORKDAY(INT($B53), 1)), 2, 2), """")-$G53)/$G53, ($G53-IFERROR(INDEX(GOOGLE"&amp;"FINANCE($C53, ""price"", WORKDAY(INT($B53), 1)), 2, 2), """"))/$G53))"),-0.025139664804469233)</f>
        <v>-0.0251396648</v>
      </c>
      <c r="R53" s="16">
        <f>IFERROR(__xludf.DUMMYFUNCTION("IF(OR(ISBLANK($G53), IFERROR(INDEX(GOOGLEFINANCE($C53, ""price"", WORKDAY(INT($B53), 5)), 2, 2), """")=""""), """", IF($D53=""LONG"", (IFERROR(INDEX(GOOGLEFINANCE($C53, ""price"", WORKDAY(INT($B53), 5)), 2, 2), """")-$G53)/$G53, ($G53-IFERROR(INDEX(GOOGLE"&amp;"FINANCE($C53, ""price"", WORKDAY(INT($B53), 5)), 2, 2), """"))/$G53))"),-0.0032588454376162902)</f>
        <v>-0.003258845438</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5156</v>
      </c>
      <c r="U53" s="10" t="s">
        <v>984</v>
      </c>
      <c r="V53" s="10" t="s">
        <v>2785</v>
      </c>
      <c r="W53" s="10" t="s">
        <v>51</v>
      </c>
      <c r="X53" s="10" t="s">
        <v>984</v>
      </c>
    </row>
    <row r="54">
      <c r="A54" s="9">
        <f t="shared" si="1"/>
        <v>53</v>
      </c>
      <c r="B54" s="11">
        <v>46231.66768518519</v>
      </c>
      <c r="C54" s="10" t="s">
        <v>2692</v>
      </c>
      <c r="D54" s="10" t="s">
        <v>36</v>
      </c>
      <c r="E54" s="10" t="s">
        <v>37</v>
      </c>
      <c r="F54" s="13">
        <v>2.0</v>
      </c>
      <c r="G54" s="14">
        <v>65.74</v>
      </c>
      <c r="H54" s="10" t="s">
        <v>5158</v>
      </c>
      <c r="I54" s="10">
        <v>90.2</v>
      </c>
      <c r="O54" s="15">
        <f>IFERROR(__xludf.DUMMYFUNCTION("IF(ISBLANK($C54), """", GOOGLEFINANCE($C54, ""price""))"),62.36)</f>
        <v>62.36</v>
      </c>
      <c r="P54" s="16">
        <f t="shared" si="2"/>
        <v>-0.05141466383</v>
      </c>
      <c r="Q54" s="16">
        <f>IFERROR(__xludf.DUMMYFUNCTION("IF(OR(ISBLANK($G54), IFERROR(INDEX(GOOGLEFINANCE($C54, ""price"", WORKDAY(INT($B54), 1)), 2, 2), """")=""""), """", IF($D54=""LONG"", (IFERROR(INDEX(GOOGLEFINANCE($C54, ""price"", WORKDAY(INT($B54), 1)), 2, 2), """")-$G54)/$G54, ($G54-IFERROR(INDEX(GOOGLE"&amp;"FINANCE($C54, ""price"", WORKDAY(INT($B54), 1)), 2, 2), """"))/$G54))"),-0.0030422878004257477)</f>
        <v>-0.0030422878</v>
      </c>
      <c r="R54" s="16">
        <f>IFERROR(__xludf.DUMMYFUNCTION("IF(OR(ISBLANK($G54), IFERROR(INDEX(GOOGLEFINANCE($C54, ""price"", WORKDAY(INT($B54), 5)), 2, 2), """")=""""), """", IF($D54=""LONG"", (IFERROR(INDEX(GOOGLEFINANCE($C54, ""price"", WORKDAY(INT($B54), 5)), 2, 2), """")-$G54)/$G54, ($G54-IFERROR(INDEX(GOOGLE"&amp;"FINANCE($C54, ""price"", WORKDAY(INT($B54), 5)), 2, 2), """"))/$G54))"),-0.04320048676604801)</f>
        <v>-0.04320048677</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5160</v>
      </c>
      <c r="U54" s="10" t="s">
        <v>984</v>
      </c>
      <c r="V54" s="10" t="s">
        <v>2785</v>
      </c>
      <c r="W54" s="10" t="s">
        <v>51</v>
      </c>
      <c r="X54" s="10" t="s">
        <v>984</v>
      </c>
    </row>
    <row r="55">
      <c r="A55" s="9">
        <f t="shared" si="1"/>
        <v>54</v>
      </c>
      <c r="B55" s="11">
        <v>46231.66774305556</v>
      </c>
      <c r="C55" s="10" t="s">
        <v>5099</v>
      </c>
      <c r="D55" s="10" t="s">
        <v>36</v>
      </c>
      <c r="E55" s="10" t="s">
        <v>37</v>
      </c>
      <c r="F55" s="13">
        <v>2.0</v>
      </c>
      <c r="G55" s="14">
        <v>205.85</v>
      </c>
      <c r="H55" s="10" t="s">
        <v>1794</v>
      </c>
      <c r="I55" s="10">
        <v>94.0</v>
      </c>
      <c r="L55" s="10" t="s">
        <v>5163</v>
      </c>
      <c r="M55" s="34" t="s">
        <v>2106</v>
      </c>
      <c r="N55" s="10" t="s">
        <v>925</v>
      </c>
      <c r="O55" s="15">
        <f>IFERROR(__xludf.DUMMYFUNCTION("IF(ISBLANK($C55), """", GOOGLEFINANCE($C55, ""price""))"),205.52)</f>
        <v>205.52</v>
      </c>
      <c r="P55" s="16">
        <f t="shared" si="2"/>
        <v>-0.00160310906</v>
      </c>
      <c r="Q55" s="16">
        <f>IFERROR(__xludf.DUMMYFUNCTION("IF(OR(ISBLANK($G55), IFERROR(INDEX(GOOGLEFINANCE($C55, ""price"", WORKDAY(INT($B55), 1)), 2, 2), """")=""""), """", IF($D55=""LONG"", (IFERROR(INDEX(GOOGLEFINANCE($C55, ""price"", WORKDAY(INT($B55), 1)), 2, 2), """")-$G55)/$G55, ($G55-IFERROR(INDEX(GOOGLE"&amp;"FINANCE($C55, ""price"", WORKDAY(INT($B55), 1)), 2, 2), """"))/$G55))"),0.004663589992713179)</f>
        <v>0.004663589993</v>
      </c>
      <c r="R55" s="16">
        <f>IFERROR(__xludf.DUMMYFUNCTION("IF(OR(ISBLANK($G55), IFERROR(INDEX(GOOGLEFINANCE($C55, ""price"", WORKDAY(INT($B55), 5)), 2, 2), """")=""""), """", IF($D55=""LONG"", (IFERROR(INDEX(GOOGLEFINANCE($C55, ""price"", WORKDAY(INT($B55), 5)), 2, 2), """")-$G55)/$G55, ($G55-IFERROR(INDEX(GOOGLE"&amp;"FINANCE($C55, ""price"", WORKDAY(INT($B55), 5)), 2, 2), """"))/$G55))"),1.943162496963422E-4)</f>
        <v>0.0001943162497</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5166</v>
      </c>
      <c r="U55" s="10" t="s">
        <v>704</v>
      </c>
      <c r="V55" s="10" t="s">
        <v>5167</v>
      </c>
      <c r="W55" s="10" t="s">
        <v>51</v>
      </c>
      <c r="X55" s="10" t="s">
        <v>1885</v>
      </c>
    </row>
    <row r="56">
      <c r="A56" s="9">
        <f t="shared" si="1"/>
        <v>55</v>
      </c>
      <c r="B56" s="11">
        <v>46231.66756944444</v>
      </c>
      <c r="C56" s="10" t="s">
        <v>1060</v>
      </c>
      <c r="D56" s="10" t="s">
        <v>36</v>
      </c>
      <c r="E56" s="10" t="s">
        <v>1892</v>
      </c>
      <c r="F56" s="13">
        <v>2.0</v>
      </c>
      <c r="G56" s="14">
        <v>86.92</v>
      </c>
      <c r="H56" s="10" t="s">
        <v>5168</v>
      </c>
      <c r="I56" s="10">
        <v>72.2</v>
      </c>
      <c r="L56" s="10" t="s">
        <v>5169</v>
      </c>
      <c r="M56" s="34" t="s">
        <v>921</v>
      </c>
      <c r="N56" s="10" t="s">
        <v>5170</v>
      </c>
      <c r="O56" s="15">
        <f>IFERROR(__xludf.DUMMYFUNCTION("IF(ISBLANK($C56), """", GOOGLEFINANCE($C56, ""price""))"),85.92)</f>
        <v>85.92</v>
      </c>
      <c r="P56" s="16">
        <f t="shared" si="2"/>
        <v>-0.01150483203</v>
      </c>
      <c r="Q56" s="16">
        <f>IFERROR(__xludf.DUMMYFUNCTION("IF(OR(ISBLANK($G56), IFERROR(INDEX(GOOGLEFINANCE($C56, ""price"", WORKDAY(INT($B56), 1)), 2, 2), """")=""""), """", IF($D56=""LONG"", (IFERROR(INDEX(GOOGLEFINANCE($C56, ""price"", WORKDAY(INT($B56), 1)), 2, 2), """")-$G56)/$G56, ($G56-IFERROR(INDEX(GOOGLE"&amp;"FINANCE($C56, ""price"", WORKDAY(INT($B56), 1)), 2, 2), """"))/$G56))"),0.007132995858260521)</f>
        <v>0.007132995858</v>
      </c>
      <c r="R56" s="16">
        <f>IFERROR(__xludf.DUMMYFUNCTION("IF(OR(ISBLANK($G56), IFERROR(INDEX(GOOGLEFINANCE($C56, ""price"", WORKDAY(INT($B56), 5)), 2, 2), """")=""""), """", IF($D56=""LONG"", (IFERROR(INDEX(GOOGLEFINANCE($C56, ""price"", WORKDAY(INT($B56), 5)), 2, 2), """")-$G56)/$G56, ($G56-IFERROR(INDEX(GOOGLE"&amp;"FINANCE($C56, ""price"", WORKDAY(INT($B56), 5)), 2, 2), """"))/$G56))"),-0.008283479061205693)</f>
        <v>-0.008283479061</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5173</v>
      </c>
      <c r="U56" s="10" t="s">
        <v>84</v>
      </c>
      <c r="V56" s="10" t="s">
        <v>5174</v>
      </c>
      <c r="W56" s="10" t="s">
        <v>51</v>
      </c>
      <c r="X56" s="10" t="s">
        <v>2309</v>
      </c>
    </row>
    <row r="57">
      <c r="A57" s="9">
        <f t="shared" si="1"/>
        <v>56</v>
      </c>
      <c r="B57" s="11">
        <v>46231.66769675926</v>
      </c>
      <c r="C57" s="10" t="s">
        <v>5175</v>
      </c>
      <c r="D57" s="10" t="s">
        <v>36</v>
      </c>
      <c r="E57" s="10" t="s">
        <v>4224</v>
      </c>
      <c r="F57" s="13">
        <v>4.0</v>
      </c>
      <c r="G57" s="14">
        <v>1096.09</v>
      </c>
      <c r="H57" s="10" t="s">
        <v>5176</v>
      </c>
      <c r="I57" s="10">
        <v>23.6</v>
      </c>
      <c r="O57" s="15">
        <f>IFERROR(__xludf.DUMMYFUNCTION("IF(ISBLANK($C57), """", GOOGLEFINANCE($C57, ""price""))"),1258.58)</f>
        <v>1258.58</v>
      </c>
      <c r="P57" s="16">
        <f t="shared" si="2"/>
        <v>0.1482451259</v>
      </c>
      <c r="Q57" s="16">
        <f>IFERROR(__xludf.DUMMYFUNCTION("IF(OR(ISBLANK($G57), IFERROR(INDEX(GOOGLEFINANCE($C57, ""price"", WORKDAY(INT($B57), 1)), 2, 2), """")=""""), """", IF($D57=""LONG"", (IFERROR(INDEX(GOOGLEFINANCE($C57, ""price"", WORKDAY(INT($B57), 1)), 2, 2), """")-$G57)/$G57, ($G57-IFERROR(INDEX(GOOGLE"&amp;"FINANCE($C57, ""price"", WORKDAY(INT($B57), 1)), 2, 2), """"))/$G57))"),-0.0731691740641735)</f>
        <v>-0.07316917406</v>
      </c>
      <c r="R57" s="16">
        <f>IFERROR(__xludf.DUMMYFUNCTION("IF(OR(ISBLANK($G57), IFERROR(INDEX(GOOGLEFINANCE($C57, ""price"", WORKDAY(INT($B57), 5)), 2, 2), """")=""""), """", IF($D57=""LONG"", (IFERROR(INDEX(GOOGLEFINANCE($C57, ""price"", WORKDAY(INT($B57), 5)), 2, 2), """")-$G57)/$G57, ($G57-IFERROR(INDEX(GOOGLE"&amp;"FINANCE($C57, ""price"", WORKDAY(INT($B57), 5)), 2, 2), """"))/$G57))"),0.30246603837276137)</f>
        <v>0.3024660384</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5179</v>
      </c>
      <c r="U57" s="10" t="s">
        <v>492</v>
      </c>
      <c r="V57" s="10" t="s">
        <v>493</v>
      </c>
      <c r="W57" s="10" t="s">
        <v>51</v>
      </c>
      <c r="X57" s="10" t="s">
        <v>492</v>
      </c>
    </row>
    <row r="58">
      <c r="A58" s="9">
        <f t="shared" si="1"/>
        <v>57</v>
      </c>
      <c r="B58" s="11">
        <v>46231.66763888889</v>
      </c>
      <c r="C58" s="10" t="s">
        <v>5182</v>
      </c>
      <c r="D58" s="10" t="s">
        <v>36</v>
      </c>
      <c r="E58" s="10" t="s">
        <v>4224</v>
      </c>
      <c r="F58" s="13">
        <v>4.0</v>
      </c>
      <c r="G58" s="14">
        <v>840.81</v>
      </c>
      <c r="H58" s="10" t="s">
        <v>5183</v>
      </c>
      <c r="I58" s="10">
        <v>21.5</v>
      </c>
      <c r="O58" s="15">
        <f>IFERROR(__xludf.DUMMYFUNCTION("IF(ISBLANK($C58), """", GOOGLEFINANCE($C58, ""price""))"),856.96)</f>
        <v>856.96</v>
      </c>
      <c r="P58" s="16">
        <f t="shared" si="2"/>
        <v>0.0192076688</v>
      </c>
      <c r="Q58" s="16">
        <f>IFERROR(__xludf.DUMMYFUNCTION("IF(OR(ISBLANK($G58), IFERROR(INDEX(GOOGLEFINANCE($C58, ""price"", WORKDAY(INT($B58), 1)), 2, 2), """")=""""), """", IF($D58=""LONG"", (IFERROR(INDEX(GOOGLEFINANCE($C58, ""price"", WORKDAY(INT($B58), 1)), 2, 2), """")-$G58)/$G58, ($G58-IFERROR(INDEX(GOOGLE"&amp;"FINANCE($C58, ""price"", WORKDAY(INT($B58), 1)), 2, 2), """"))/$G58))"),-0.06910003449055067)</f>
        <v>-0.06910003449</v>
      </c>
      <c r="R58" s="16">
        <f>IFERROR(__xludf.DUMMYFUNCTION("IF(OR(ISBLANK($G58), IFERROR(INDEX(GOOGLEFINANCE($C58, ""price"", WORKDAY(INT($B58), 5)), 2, 2), """")=""""), """", IF($D58=""LONG"", (IFERROR(INDEX(GOOGLEFINANCE($C58, ""price"", WORKDAY(INT($B58), 5)), 2, 2), """")-$G58)/$G58, ($G58-IFERROR(INDEX(GOOGLE"&amp;"FINANCE($C58, ""price"", WORKDAY(INT($B58), 5)), 2, 2), """"))/$G58))"),0.042494737217682974)</f>
        <v>0.04249473722</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5185</v>
      </c>
      <c r="U58" s="10" t="s">
        <v>984</v>
      </c>
      <c r="V58" s="10" t="s">
        <v>1059</v>
      </c>
      <c r="W58" s="10" t="s">
        <v>51</v>
      </c>
      <c r="X58" s="10" t="s">
        <v>984</v>
      </c>
    </row>
    <row r="59">
      <c r="A59" s="9">
        <f t="shared" si="1"/>
        <v>58</v>
      </c>
      <c r="B59" s="11">
        <v>46231.66773148148</v>
      </c>
      <c r="C59" s="10" t="s">
        <v>226</v>
      </c>
      <c r="D59" s="10" t="s">
        <v>36</v>
      </c>
      <c r="E59" s="10" t="s">
        <v>37</v>
      </c>
      <c r="F59" s="13">
        <v>2.0</v>
      </c>
      <c r="G59" s="14">
        <v>22.83</v>
      </c>
      <c r="H59" s="10" t="s">
        <v>5187</v>
      </c>
      <c r="I59" s="10">
        <v>91.4</v>
      </c>
      <c r="O59" s="15">
        <f>IFERROR(__xludf.DUMMYFUNCTION("IF(ISBLANK($C59), """", GOOGLEFINANCE($C59, ""price""))"),21.1)</f>
        <v>21.1</v>
      </c>
      <c r="P59" s="16">
        <f t="shared" si="2"/>
        <v>-0.07577748576</v>
      </c>
      <c r="Q59" s="16">
        <f>IFERROR(__xludf.DUMMYFUNCTION("IF(OR(ISBLANK($G59), IFERROR(INDEX(GOOGLEFINANCE($C59, ""price"", WORKDAY(INT($B59), 1)), 2, 2), """")=""""), """", IF($D59=""LONG"", (IFERROR(INDEX(GOOGLEFINANCE($C59, ""price"", WORKDAY(INT($B59), 1)), 2, 2), """")-$G59)/$G59, ($G59-IFERROR(INDEX(GOOGLE"&amp;"FINANCE($C59, ""price"", WORKDAY(INT($B59), 1)), 2, 2), """"))/$G59))"),-0.01533070521243968)</f>
        <v>-0.01533070521</v>
      </c>
      <c r="R59" s="16">
        <f>IFERROR(__xludf.DUMMYFUNCTION("IF(OR(ISBLANK($G59), IFERROR(INDEX(GOOGLEFINANCE($C59, ""price"", WORKDAY(INT($B59), 5)), 2, 2), """")=""""), """", IF($D59=""LONG"", (IFERROR(INDEX(GOOGLEFINANCE($C59, ""price"", WORKDAY(INT($B59), 5)), 2, 2), """")-$G59)/$G59, ($G59-IFERROR(INDEX(GOOGLE"&amp;"FINANCE($C59, ""price"", WORKDAY(INT($B59), 5)), 2, 2), """"))/$G59))"),-0.05300043802014881)</f>
        <v>-0.05300043802</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5190</v>
      </c>
      <c r="U59" s="10" t="s">
        <v>492</v>
      </c>
      <c r="V59" s="10" t="s">
        <v>493</v>
      </c>
      <c r="W59" s="10" t="s">
        <v>51</v>
      </c>
      <c r="X59" s="10" t="s">
        <v>492</v>
      </c>
    </row>
    <row r="60">
      <c r="A60" s="9">
        <f t="shared" si="1"/>
        <v>59</v>
      </c>
      <c r="B60" s="11">
        <v>46231.667650462965</v>
      </c>
      <c r="C60" s="10" t="s">
        <v>408</v>
      </c>
      <c r="D60" s="10" t="s">
        <v>36</v>
      </c>
      <c r="E60" s="10" t="s">
        <v>37</v>
      </c>
      <c r="F60" s="13">
        <v>2.0</v>
      </c>
      <c r="G60" s="14">
        <v>252.61</v>
      </c>
      <c r="H60" s="10" t="s">
        <v>5191</v>
      </c>
      <c r="I60" s="10">
        <v>94.0</v>
      </c>
      <c r="O60" s="15">
        <f>IFERROR(__xludf.DUMMYFUNCTION("IF(ISBLANK($C60), """", GOOGLEFINANCE($C60, ""price""))"),250.14)</f>
        <v>250.14</v>
      </c>
      <c r="P60" s="16">
        <f t="shared" si="2"/>
        <v>-0.009777918531</v>
      </c>
      <c r="Q60" s="16">
        <f>IFERROR(__xludf.DUMMYFUNCTION("IF(OR(ISBLANK($G60), IFERROR(INDEX(GOOGLEFINANCE($C60, ""price"", WORKDAY(INT($B60), 1)), 2, 2), """")=""""), """", IF($D60=""LONG"", (IFERROR(INDEX(GOOGLEFINANCE($C60, ""price"", WORKDAY(INT($B60), 1)), 2, 2), """")-$G60)/$G60, ($G60-IFERROR(INDEX(GOOGLE"&amp;"FINANCE($C60, ""price"", WORKDAY(INT($B60), 1)), 2, 2), """"))/$G60))"),-0.009025770951268759)</f>
        <v>-0.009025770951</v>
      </c>
      <c r="R60" s="16">
        <f>IFERROR(__xludf.DUMMYFUNCTION("IF(OR(ISBLANK($G60), IFERROR(INDEX(GOOGLEFINANCE($C60, ""price"", WORKDAY(INT($B60), 5)), 2, 2), """")=""""), """", IF($D60=""LONG"", (IFERROR(INDEX(GOOGLEFINANCE($C60, ""price"", WORKDAY(INT($B60), 5)), 2, 2), """")-$G60)/$G60, ($G60-IFERROR(INDEX(GOOGLE"&amp;"FINANCE($C60, ""price"", WORKDAY(INT($B60), 5)), 2, 2), """"))/$G60))"),0.0017814021614345774)</f>
        <v>0.001781402161</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5194</v>
      </c>
      <c r="U60" s="10" t="s">
        <v>984</v>
      </c>
      <c r="V60" s="10" t="s">
        <v>2785</v>
      </c>
      <c r="W60" s="10" t="s">
        <v>51</v>
      </c>
      <c r="X60" s="10" t="s">
        <v>984</v>
      </c>
    </row>
    <row r="61">
      <c r="A61" s="9">
        <f t="shared" si="1"/>
        <v>60</v>
      </c>
      <c r="B61" s="11">
        <v>46231.66773148148</v>
      </c>
      <c r="C61" s="10" t="s">
        <v>1262</v>
      </c>
      <c r="D61" s="10" t="s">
        <v>36</v>
      </c>
      <c r="E61" s="10" t="s">
        <v>87</v>
      </c>
      <c r="F61" s="13">
        <v>2.0</v>
      </c>
      <c r="G61" s="14">
        <v>230.35</v>
      </c>
      <c r="H61" s="10" t="s">
        <v>5196</v>
      </c>
      <c r="I61" s="10">
        <v>59.3</v>
      </c>
      <c r="O61" s="15">
        <f>IFERROR(__xludf.DUMMYFUNCTION("IF(ISBLANK($C61), """", GOOGLEFINANCE($C61, ""price""))"),231.78)</f>
        <v>231.78</v>
      </c>
      <c r="P61" s="16">
        <f t="shared" si="2"/>
        <v>0.006207944432</v>
      </c>
      <c r="Q61" s="16">
        <f>IFERROR(__xludf.DUMMYFUNCTION("IF(OR(ISBLANK($G61), IFERROR(INDEX(GOOGLEFINANCE($C61, ""price"", WORKDAY(INT($B61), 1)), 2, 2), """")=""""), """", IF($D61=""LONG"", (IFERROR(INDEX(GOOGLEFINANCE($C61, ""price"", WORKDAY(INT($B61), 1)), 2, 2), """")-$G61)/$G61, ($G61-IFERROR(INDEX(GOOGLE"&amp;"FINANCE($C61, ""price"", WORKDAY(INT($B61), 1)), 2, 2), """"))/$G61))"),0.019448665074886122)</f>
        <v>0.01944866507</v>
      </c>
      <c r="R61" s="16">
        <f>IFERROR(__xludf.DUMMYFUNCTION("IF(OR(ISBLANK($G61), IFERROR(INDEX(GOOGLEFINANCE($C61, ""price"", WORKDAY(INT($B61), 5)), 2, 2), """")=""""), """", IF($D61=""LONG"", (IFERROR(INDEX(GOOGLEFINANCE($C61, ""price"", WORKDAY(INT($B61), 5)), 2, 2), """")-$G61)/$G61, ($G61-IFERROR(INDEX(GOOGLE"&amp;"FINANCE($C61, ""price"", WORKDAY(INT($B61), 5)), 2, 2), """"))/$G61))"),0.010853049706967658)</f>
        <v>0.01085304971</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5198</v>
      </c>
      <c r="U61" s="10" t="s">
        <v>492</v>
      </c>
      <c r="V61" s="10" t="s">
        <v>493</v>
      </c>
      <c r="W61" s="10" t="s">
        <v>51</v>
      </c>
      <c r="X61" s="10" t="s">
        <v>492</v>
      </c>
    </row>
    <row r="62">
      <c r="A62" s="9">
        <f t="shared" si="1"/>
        <v>61</v>
      </c>
      <c r="B62" s="11">
        <v>46231.66775462963</v>
      </c>
      <c r="C62" s="10" t="s">
        <v>4993</v>
      </c>
      <c r="D62" s="10" t="s">
        <v>36</v>
      </c>
      <c r="E62" s="10" t="s">
        <v>1892</v>
      </c>
      <c r="F62" s="13">
        <v>2.0</v>
      </c>
      <c r="G62" s="14">
        <v>333.37</v>
      </c>
      <c r="H62" s="10" t="s">
        <v>5201</v>
      </c>
      <c r="I62" s="10">
        <v>92.2</v>
      </c>
      <c r="O62" s="15">
        <f>IFERROR(__xludf.DUMMYFUNCTION("IF(ISBLANK($C62), """", GOOGLEFINANCE($C62, ""price""))"),306.33)</f>
        <v>306.33</v>
      </c>
      <c r="P62" s="16">
        <f t="shared" si="2"/>
        <v>-0.08111107778</v>
      </c>
      <c r="Q62" s="16">
        <f>IFERROR(__xludf.DUMMYFUNCTION("IF(OR(ISBLANK($G62), IFERROR(INDEX(GOOGLEFINANCE($C62, ""price"", WORKDAY(INT($B62), 1)), 2, 2), """")=""""), """", IF($D62=""LONG"", (IFERROR(INDEX(GOOGLEFINANCE($C62, ""price"", WORKDAY(INT($B62), 1)), 2, 2), """")-$G62)/$G62, ($G62-IFERROR(INDEX(GOOGLE"&amp;"FINANCE($C62, ""price"", WORKDAY(INT($B62), 1)), 2, 2), """"))/$G62))"),3.899571047184673E-4)</f>
        <v>0.0003899571047</v>
      </c>
      <c r="R62" s="16">
        <f>IFERROR(__xludf.DUMMYFUNCTION("IF(OR(ISBLANK($G62), IFERROR(INDEX(GOOGLEFINANCE($C62, ""price"", WORKDAY(INT($B62), 5)), 2, 2), """")=""""), """", IF($D62=""LONG"", (IFERROR(INDEX(GOOGLEFINANCE($C62, ""price"", WORKDAY(INT($B62), 5)), 2, 2), """")-$G62)/$G62, ($G62-IFERROR(INDEX(GOOGLE"&amp;"FINANCE($C62, ""price"", WORKDAY(INT($B62), 5)), 2, 2), """"))/$G62))"),-0.06011338752737205)</f>
        <v>-0.06011338753</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5204</v>
      </c>
      <c r="U62" s="10" t="s">
        <v>492</v>
      </c>
      <c r="V62" s="10" t="s">
        <v>2701</v>
      </c>
      <c r="W62" s="10" t="s">
        <v>51</v>
      </c>
      <c r="X62" s="10" t="s">
        <v>492</v>
      </c>
    </row>
    <row r="63">
      <c r="A63" s="9">
        <f t="shared" si="1"/>
        <v>62</v>
      </c>
      <c r="B63" s="11">
        <v>46231.66767361111</v>
      </c>
      <c r="C63" s="10" t="s">
        <v>995</v>
      </c>
      <c r="D63" s="10" t="s">
        <v>36</v>
      </c>
      <c r="E63" s="10" t="s">
        <v>4224</v>
      </c>
      <c r="F63" s="13">
        <v>4.0</v>
      </c>
      <c r="G63" s="14">
        <v>350.18</v>
      </c>
      <c r="H63" s="10" t="s">
        <v>5205</v>
      </c>
      <c r="I63" s="10">
        <v>23.5</v>
      </c>
      <c r="O63" s="15">
        <f>IFERROR(__xludf.DUMMYFUNCTION("IF(ISBLANK($C63), """", GOOGLEFINANCE($C63, ""price""))"),403.76)</f>
        <v>403.76</v>
      </c>
      <c r="P63" s="16">
        <f t="shared" si="2"/>
        <v>0.153007025</v>
      </c>
      <c r="Q63" s="16">
        <f>IFERROR(__xludf.DUMMYFUNCTION("IF(OR(ISBLANK($G63), IFERROR(INDEX(GOOGLEFINANCE($C63, ""price"", WORKDAY(INT($B63), 1)), 2, 2), """")=""""), """", IF($D63=""LONG"", (IFERROR(INDEX(GOOGLEFINANCE($C63, ""price"", WORKDAY(INT($B63), 1)), 2, 2), """")-$G63)/$G63, ($G63-IFERROR(INDEX(GOOGLE"&amp;"FINANCE($C63, ""price"", WORKDAY(INT($B63), 1)), 2, 2), """"))/$G63))"),-0.05657090639099892)</f>
        <v>-0.05657090639</v>
      </c>
      <c r="R63" s="16">
        <f>IFERROR(__xludf.DUMMYFUNCTION("IF(OR(ISBLANK($G63), IFERROR(INDEX(GOOGLEFINANCE($C63, ""price"", WORKDAY(INT($B63), 5)), 2, 2), """")=""""), """", IF($D63=""LONG"", (IFERROR(INDEX(GOOGLEFINANCE($C63, ""price"", WORKDAY(INT($B63), 5)), 2, 2), """")-$G63)/$G63, ($G63-IFERROR(INDEX(GOOGLE"&amp;"FINANCE($C63, ""price"", WORKDAY(INT($B63), 5)), 2, 2), """"))/$G63))"),0.17405334399451708)</f>
        <v>0.174053344</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5208</v>
      </c>
      <c r="U63" s="10" t="s">
        <v>984</v>
      </c>
      <c r="V63" s="10" t="s">
        <v>933</v>
      </c>
      <c r="W63" s="10" t="s">
        <v>51</v>
      </c>
      <c r="X63" s="10" t="s">
        <v>984</v>
      </c>
    </row>
    <row r="64">
      <c r="A64" s="9">
        <f t="shared" si="1"/>
        <v>63</v>
      </c>
      <c r="B64" s="11">
        <v>46231.66773148148</v>
      </c>
      <c r="C64" s="10" t="s">
        <v>5209</v>
      </c>
      <c r="D64" s="10" t="s">
        <v>36</v>
      </c>
      <c r="E64" s="10" t="s">
        <v>4224</v>
      </c>
      <c r="F64" s="13">
        <v>4.0</v>
      </c>
      <c r="G64" s="14">
        <v>269.5</v>
      </c>
      <c r="H64" s="10" t="s">
        <v>5210</v>
      </c>
      <c r="I64" s="10">
        <v>40.5</v>
      </c>
      <c r="O64" s="15">
        <f>IFERROR(__xludf.DUMMYFUNCTION("IF(ISBLANK($C64), """", GOOGLEFINANCE($C64, ""price""))"),275.17)</f>
        <v>275.17</v>
      </c>
      <c r="P64" s="16">
        <f t="shared" si="2"/>
        <v>0.02103896104</v>
      </c>
      <c r="Q64" s="16">
        <f>IFERROR(__xludf.DUMMYFUNCTION("IF(OR(ISBLANK($G64), IFERROR(INDEX(GOOGLEFINANCE($C64, ""price"", WORKDAY(INT($B64), 1)), 2, 2), """")=""""), """", IF($D64=""LONG"", (IFERROR(INDEX(GOOGLEFINANCE($C64, ""price"", WORKDAY(INT($B64), 1)), 2, 2), """")-$G64)/$G64, ($G64-IFERROR(INDEX(GOOGLE"&amp;"FINANCE($C64, ""price"", WORKDAY(INT($B64), 1)), 2, 2), """"))/$G64))"),-0.17239332096474957)</f>
        <v>-0.172393321</v>
      </c>
      <c r="R64" s="16">
        <f>IFERROR(__xludf.DUMMYFUNCTION("IF(OR(ISBLANK($G64), IFERROR(INDEX(GOOGLEFINANCE($C64, ""price"", WORKDAY(INT($B64), 5)), 2, 2), """")=""""), """", IF($D64=""LONG"", (IFERROR(INDEX(GOOGLEFINANCE($C64, ""price"", WORKDAY(INT($B64), 5)), 2, 2), """")-$G64)/$G64, ($G64-IFERROR(INDEX(GOOGLE"&amp;"FINANCE($C64, ""price"", WORKDAY(INT($B64), 5)), 2, 2), """"))/$G64))"),0.0015955473098330495)</f>
        <v>0.00159554731</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5214</v>
      </c>
      <c r="U64" s="10" t="s">
        <v>984</v>
      </c>
      <c r="V64" s="10" t="s">
        <v>1059</v>
      </c>
      <c r="W64" s="10" t="s">
        <v>51</v>
      </c>
      <c r="X64" s="10" t="s">
        <v>984</v>
      </c>
    </row>
    <row r="65">
      <c r="A65" s="9">
        <f t="shared" si="1"/>
        <v>64</v>
      </c>
      <c r="B65" s="11">
        <v>46231.66777777778</v>
      </c>
      <c r="C65" s="10" t="s">
        <v>98</v>
      </c>
      <c r="D65" s="10" t="s">
        <v>36</v>
      </c>
      <c r="E65" s="10" t="s">
        <v>37</v>
      </c>
      <c r="F65" s="13">
        <v>2.0</v>
      </c>
      <c r="G65" s="14">
        <v>31.27</v>
      </c>
      <c r="H65" s="10" t="s">
        <v>5216</v>
      </c>
      <c r="I65" s="10">
        <v>85.7</v>
      </c>
      <c r="L65" s="10" t="s">
        <v>5217</v>
      </c>
      <c r="M65" s="34" t="s">
        <v>951</v>
      </c>
      <c r="N65" s="10" t="s">
        <v>925</v>
      </c>
      <c r="O65" s="15">
        <f>IFERROR(__xludf.DUMMYFUNCTION("IF(ISBLANK($C65), """", GOOGLEFINANCE($C65, ""price""))"),31.39)</f>
        <v>31.39</v>
      </c>
      <c r="P65" s="16">
        <f t="shared" si="2"/>
        <v>0.003837543972</v>
      </c>
      <c r="Q65" s="16">
        <f>IFERROR(__xludf.DUMMYFUNCTION("IF(OR(ISBLANK($G65), IFERROR(INDEX(GOOGLEFINANCE($C65, ""price"", WORKDAY(INT($B65), 1)), 2, 2), """")=""""), """", IF($D65=""LONG"", (IFERROR(INDEX(GOOGLEFINANCE($C65, ""price"", WORKDAY(INT($B65), 1)), 2, 2), """")-$G65)/$G65, ($G65-IFERROR(INDEX(GOOGLE"&amp;"FINANCE($C65, ""price"", WORKDAY(INT($B65), 1)), 2, 2), """"))/$G65))"),-0.010553245922609476)</f>
        <v>-0.01055324592</v>
      </c>
      <c r="R65" s="16">
        <f>IFERROR(__xludf.DUMMYFUNCTION("IF(OR(ISBLANK($G65), IFERROR(INDEX(GOOGLEFINANCE($C65, ""price"", WORKDAY(INT($B65), 5)), 2, 2), """")=""""), """", IF($D65=""LONG"", (IFERROR(INDEX(GOOGLEFINANCE($C65, ""price"", WORKDAY(INT($B65), 5)), 2, 2), """")-$G65)/$G65, ($G65-IFERROR(INDEX(GOOGLE"&amp;"FINANCE($C65, ""price"", WORKDAY(INT($B65), 5)), 2, 2), """"))/$G65))"),0.021746082507195386)</f>
        <v>0.02174608251</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5221</v>
      </c>
      <c r="U65" s="10" t="s">
        <v>507</v>
      </c>
      <c r="V65" s="10" t="s">
        <v>5222</v>
      </c>
      <c r="W65" s="10" t="s">
        <v>51</v>
      </c>
      <c r="X65" s="10" t="s">
        <v>2228</v>
      </c>
    </row>
    <row r="66">
      <c r="A66" s="9">
        <f t="shared" si="1"/>
        <v>65</v>
      </c>
      <c r="B66" s="11">
        <v>46231.667766203704</v>
      </c>
      <c r="C66" s="10" t="s">
        <v>114</v>
      </c>
      <c r="D66" s="10" t="s">
        <v>36</v>
      </c>
      <c r="E66" s="10" t="s">
        <v>37</v>
      </c>
      <c r="F66" s="13">
        <v>2.0</v>
      </c>
      <c r="G66" s="14">
        <v>232.46</v>
      </c>
      <c r="H66" s="10" t="s">
        <v>5223</v>
      </c>
      <c r="I66" s="10">
        <v>84.0</v>
      </c>
      <c r="O66" s="15">
        <f>IFERROR(__xludf.DUMMYFUNCTION("IF(ISBLANK($C66), """", GOOGLEFINANCE($C66, ""price""))"),237.66)</f>
        <v>237.66</v>
      </c>
      <c r="P66" s="16">
        <f t="shared" si="2"/>
        <v>0.0223694399</v>
      </c>
      <c r="Q66" s="16">
        <f>IFERROR(__xludf.DUMMYFUNCTION("IF(OR(ISBLANK($G66), IFERROR(INDEX(GOOGLEFINANCE($C66, ""price"", WORKDAY(INT($B66), 1)), 2, 2), """")=""""), """", IF($D66=""LONG"", (IFERROR(INDEX(GOOGLEFINANCE($C66, ""price"", WORKDAY(INT($B66), 1)), 2, 2), """")-$G66)/$G66, ($G66-IFERROR(INDEX(GOOGLE"&amp;"FINANCE($C66, ""price"", WORKDAY(INT($B66), 1)), 2, 2), """"))/$G66))"),-0.014368063322722203)</f>
        <v>-0.01436806332</v>
      </c>
      <c r="R66" s="16">
        <f>IFERROR(__xludf.DUMMYFUNCTION("IF(OR(ISBLANK($G66), IFERROR(INDEX(GOOGLEFINANCE($C66, ""price"", WORKDAY(INT($B66), 5)), 2, 2), """")=""""), """", IF($D66=""LONG"", (IFERROR(INDEX(GOOGLEFINANCE($C66, ""price"", WORKDAY(INT($B66), 5)), 2, 2), """")-$G66)/$G66, ($G66-IFERROR(INDEX(GOOGLE"&amp;"FINANCE($C66, ""price"", WORKDAY(INT($B66), 5)), 2, 2), """"))/$G66))"),0.004688978749032106)</f>
        <v>0.004688978749</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5226</v>
      </c>
      <c r="U66" s="10" t="s">
        <v>984</v>
      </c>
      <c r="V66" s="10" t="s">
        <v>2785</v>
      </c>
      <c r="W66" s="10" t="s">
        <v>51</v>
      </c>
      <c r="X66" s="10" t="s">
        <v>984</v>
      </c>
    </row>
    <row r="67">
      <c r="A67" s="9">
        <f t="shared" si="1"/>
        <v>66</v>
      </c>
      <c r="B67" s="11">
        <v>46231.667719907404</v>
      </c>
      <c r="C67" s="10" t="s">
        <v>810</v>
      </c>
      <c r="D67" s="10" t="s">
        <v>36</v>
      </c>
      <c r="E67" s="10" t="s">
        <v>87</v>
      </c>
      <c r="F67" s="13">
        <v>2.0</v>
      </c>
      <c r="G67" s="14">
        <v>147.1</v>
      </c>
      <c r="H67" s="10" t="s">
        <v>5230</v>
      </c>
      <c r="I67" s="10">
        <v>86.2</v>
      </c>
      <c r="O67" s="15">
        <f>IFERROR(__xludf.DUMMYFUNCTION("IF(ISBLANK($C67), """", GOOGLEFINANCE($C67, ""price""))"),147.45)</f>
        <v>147.45</v>
      </c>
      <c r="P67" s="16">
        <f t="shared" si="2"/>
        <v>0.002379333787</v>
      </c>
      <c r="Q67" s="16">
        <f>IFERROR(__xludf.DUMMYFUNCTION("IF(OR(ISBLANK($G67), IFERROR(INDEX(GOOGLEFINANCE($C67, ""price"", WORKDAY(INT($B67), 1)), 2, 2), """")=""""), """", IF($D67=""LONG"", (IFERROR(INDEX(GOOGLEFINANCE($C67, ""price"", WORKDAY(INT($B67), 1)), 2, 2), """")-$G67)/$G67, ($G67-IFERROR(INDEX(GOOGLE"&amp;"FINANCE($C67, ""price"", WORKDAY(INT($B67), 1)), 2, 2), """"))/$G67))"),0.004622705642420169)</f>
        <v>0.004622705642</v>
      </c>
      <c r="R67" s="16">
        <f>IFERROR(__xludf.DUMMYFUNCTION("IF(OR(ISBLANK($G67), IFERROR(INDEX(GOOGLEFINANCE($C67, ""price"", WORKDAY(INT($B67), 5)), 2, 2), """")=""""), """", IF($D67=""LONG"", (IFERROR(INDEX(GOOGLEFINANCE($C67, ""price"", WORKDAY(INT($B67), 5)), 2, 2), """")-$G67)/$G67, ($G67-IFERROR(INDEX(GOOGLE"&amp;"FINANCE($C67, ""price"", WORKDAY(INT($B67), 5)), 2, 2), """"))/$G67))"),0.02685248130523465)</f>
        <v>0.02685248131</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5233</v>
      </c>
      <c r="U67" s="10" t="s">
        <v>984</v>
      </c>
      <c r="V67" s="10" t="s">
        <v>933</v>
      </c>
      <c r="W67" s="10" t="s">
        <v>51</v>
      </c>
      <c r="X67" s="10" t="s">
        <v>984</v>
      </c>
    </row>
    <row r="68">
      <c r="A68" s="9">
        <f t="shared" si="1"/>
        <v>67</v>
      </c>
      <c r="B68" s="11">
        <v>46231.66774305556</v>
      </c>
      <c r="C68" s="10" t="s">
        <v>392</v>
      </c>
      <c r="D68" s="10" t="s">
        <v>36</v>
      </c>
      <c r="E68" s="10" t="s">
        <v>37</v>
      </c>
      <c r="F68" s="13">
        <v>2.0</v>
      </c>
      <c r="G68" s="14">
        <v>239.43</v>
      </c>
      <c r="H68" s="10" t="s">
        <v>5234</v>
      </c>
      <c r="I68" s="10">
        <v>93.7</v>
      </c>
      <c r="O68" s="15">
        <f>IFERROR(__xludf.DUMMYFUNCTION("IF(ISBLANK($C68), """", GOOGLEFINANCE($C68, ""price""))"),180.67)</f>
        <v>180.67</v>
      </c>
      <c r="P68" s="16">
        <f t="shared" si="2"/>
        <v>-0.2454161968</v>
      </c>
      <c r="Q68" s="16">
        <f>IFERROR(__xludf.DUMMYFUNCTION("IF(OR(ISBLANK($G68), IFERROR(INDEX(GOOGLEFINANCE($C68, ""price"", WORKDAY(INT($B68), 1)), 2, 2), """")=""""), """", IF($D68=""LONG"", (IFERROR(INDEX(GOOGLEFINANCE($C68, ""price"", WORKDAY(INT($B68), 1)), 2, 2), """")-$G68)/$G68, ($G68-IFERROR(INDEX(GOOGLE"&amp;"FINANCE($C68, ""price"", WORKDAY(INT($B68), 1)), 2, 2), """"))/$G68))"),0.006390176669590282)</f>
        <v>0.00639017667</v>
      </c>
      <c r="R68" s="16">
        <f>IFERROR(__xludf.DUMMYFUNCTION("IF(OR(ISBLANK($G68), IFERROR(INDEX(GOOGLEFINANCE($C68, ""price"", WORKDAY(INT($B68), 5)), 2, 2), """")=""""), """", IF($D68=""LONG"", (IFERROR(INDEX(GOOGLEFINANCE($C68, ""price"", WORKDAY(INT($B68), 5)), 2, 2), """")-$G68)/$G68, ($G68-IFERROR(INDEX(GOOGLE"&amp;"FINANCE($C68, ""price"", WORKDAY(INT($B68), 5)), 2, 2), """"))/$G68))"),-0.047780144509877616)</f>
        <v>-0.04778014451</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5237</v>
      </c>
      <c r="U68" s="10" t="s">
        <v>984</v>
      </c>
      <c r="V68" s="10" t="s">
        <v>933</v>
      </c>
      <c r="W68" s="10" t="s">
        <v>51</v>
      </c>
      <c r="X68" s="10" t="s">
        <v>984</v>
      </c>
    </row>
    <row r="69">
      <c r="A69" s="9">
        <f t="shared" si="1"/>
        <v>68</v>
      </c>
      <c r="B69" s="11">
        <v>46231.66775462963</v>
      </c>
      <c r="C69" s="10" t="s">
        <v>424</v>
      </c>
      <c r="D69" s="10" t="s">
        <v>36</v>
      </c>
      <c r="E69" s="10" t="s">
        <v>37</v>
      </c>
      <c r="F69" s="13">
        <v>2.0</v>
      </c>
      <c r="G69" s="14">
        <v>85.19</v>
      </c>
      <c r="H69" s="10" t="s">
        <v>5238</v>
      </c>
      <c r="I69" s="10">
        <v>82.1</v>
      </c>
      <c r="L69" s="10" t="s">
        <v>5239</v>
      </c>
      <c r="M69" s="34" t="s">
        <v>921</v>
      </c>
      <c r="N69" s="10" t="s">
        <v>925</v>
      </c>
      <c r="O69" s="15">
        <f>IFERROR(__xludf.DUMMYFUNCTION("IF(ISBLANK($C69), """", GOOGLEFINANCE($C69, ""price""))"),84.35)</f>
        <v>84.35</v>
      </c>
      <c r="P69" s="16">
        <f t="shared" si="2"/>
        <v>-0.009860312243</v>
      </c>
      <c r="Q69" s="16">
        <f>IFERROR(__xludf.DUMMYFUNCTION("IF(OR(ISBLANK($G69), IFERROR(INDEX(GOOGLEFINANCE($C69, ""price"", WORKDAY(INT($B69), 1)), 2, 2), """")=""""), """", IF($D69=""LONG"", (IFERROR(INDEX(GOOGLEFINANCE($C69, ""price"", WORKDAY(INT($B69), 1)), 2, 2), """")-$G69)/$G69, ($G69-IFERROR(INDEX(GOOGLE"&amp;"FINANCE($C69, ""price"", WORKDAY(INT($B69), 1)), 2, 2), """"))/$G69))"),0.001526000704307964)</f>
        <v>0.001526000704</v>
      </c>
      <c r="R69" s="16">
        <f>IFERROR(__xludf.DUMMYFUNCTION("IF(OR(ISBLANK($G69), IFERROR(INDEX(GOOGLEFINANCE($C69, ""price"", WORKDAY(INT($B69), 5)), 2, 2), """")=""""), """", IF($D69=""LONG"", (IFERROR(INDEX(GOOGLEFINANCE($C69, ""price"", WORKDAY(INT($B69), 5)), 2, 2), """")-$G69)/$G69, ($G69-IFERROR(INDEX(GOOGLE"&amp;"FINANCE($C69, ""price"", WORKDAY(INT($B69), 5)), 2, 2), """"))/$G69))"),-0.028172320694917145)</f>
        <v>-0.02817232069</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5242</v>
      </c>
      <c r="U69" s="10" t="s">
        <v>507</v>
      </c>
      <c r="V69" s="10" t="s">
        <v>5244</v>
      </c>
      <c r="W69" s="10" t="s">
        <v>51</v>
      </c>
      <c r="X69" s="10" t="s">
        <v>2228</v>
      </c>
    </row>
    <row r="70">
      <c r="A70" s="9">
        <f t="shared" si="1"/>
        <v>69</v>
      </c>
      <c r="B70" s="11">
        <v>46231.6678125</v>
      </c>
      <c r="C70" s="10" t="s">
        <v>3480</v>
      </c>
      <c r="D70" s="10" t="s">
        <v>36</v>
      </c>
      <c r="E70" s="10" t="s">
        <v>37</v>
      </c>
      <c r="F70" s="13">
        <v>2.0</v>
      </c>
      <c r="G70" s="14">
        <v>26.25</v>
      </c>
      <c r="H70" s="10" t="s">
        <v>5246</v>
      </c>
      <c r="I70" s="10">
        <v>92.1</v>
      </c>
      <c r="L70" s="10" t="s">
        <v>5247</v>
      </c>
      <c r="M70" s="34" t="s">
        <v>921</v>
      </c>
      <c r="N70" s="10" t="s">
        <v>5248</v>
      </c>
      <c r="O70" s="15">
        <f>IFERROR(__xludf.DUMMYFUNCTION("IF(ISBLANK($C70), """", GOOGLEFINANCE($C70, ""price""))"),24.43)</f>
        <v>24.43</v>
      </c>
      <c r="P70" s="16">
        <f t="shared" si="2"/>
        <v>-0.06933333333</v>
      </c>
      <c r="Q70" s="16">
        <f>IFERROR(__xludf.DUMMYFUNCTION("IF(OR(ISBLANK($G70), IFERROR(INDEX(GOOGLEFINANCE($C70, ""price"", WORKDAY(INT($B70), 1)), 2, 2), """")=""""), """", IF($D70=""LONG"", (IFERROR(INDEX(GOOGLEFINANCE($C70, ""price"", WORKDAY(INT($B70), 1)), 2, 2), """")-$G70)/$G70, ($G70-IFERROR(INDEX(GOOGLE"&amp;"FINANCE($C70, ""price"", WORKDAY(INT($B70), 1)), 2, 2), """"))/$G70))"),-0.009142857142857083)</f>
        <v>-0.009142857143</v>
      </c>
      <c r="R70" s="16">
        <f>IFERROR(__xludf.DUMMYFUNCTION("IF(OR(ISBLANK($G70), IFERROR(INDEX(GOOGLEFINANCE($C70, ""price"", WORKDAY(INT($B70), 5)), 2, 2), """")=""""), """", IF($D70=""LONG"", (IFERROR(INDEX(GOOGLEFINANCE($C70, ""price"", WORKDAY(INT($B70), 5)), 2, 2), """")-$G70)/$G70, ($G70-IFERROR(INDEX(GOOGLE"&amp;"FINANCE($C70, ""price"", WORKDAY(INT($B70), 5)), 2, 2), """"))/$G70))"),-0.047238095238095176)</f>
        <v>-0.04723809524</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5251</v>
      </c>
      <c r="U70" s="10" t="s">
        <v>507</v>
      </c>
      <c r="V70" s="10" t="s">
        <v>5252</v>
      </c>
      <c r="W70" s="10" t="s">
        <v>51</v>
      </c>
      <c r="X70" s="10" t="s">
        <v>2228</v>
      </c>
    </row>
    <row r="71">
      <c r="A71" s="9">
        <f t="shared" si="1"/>
        <v>70</v>
      </c>
      <c r="B71" s="11">
        <v>46231.66782407407</v>
      </c>
      <c r="C71" s="10" t="s">
        <v>5253</v>
      </c>
      <c r="D71" s="10" t="s">
        <v>36</v>
      </c>
      <c r="E71" s="10" t="s">
        <v>87</v>
      </c>
      <c r="F71" s="13">
        <v>2.0</v>
      </c>
      <c r="G71" s="14">
        <v>166.33</v>
      </c>
      <c r="H71" s="10" t="s">
        <v>5254</v>
      </c>
      <c r="I71" s="10">
        <v>54.1</v>
      </c>
      <c r="O71" s="15">
        <f>IFERROR(__xludf.DUMMYFUNCTION("IF(ISBLANK($C71), """", GOOGLEFINANCE($C71, ""price""))"),177.07)</f>
        <v>177.07</v>
      </c>
      <c r="P71" s="16">
        <f t="shared" si="2"/>
        <v>0.06457043227</v>
      </c>
      <c r="Q71" s="16">
        <f>IFERROR(__xludf.DUMMYFUNCTION("IF(OR(ISBLANK($G71), IFERROR(INDEX(GOOGLEFINANCE($C71, ""price"", WORKDAY(INT($B71), 1)), 2, 2), """")=""""), """", IF($D71=""LONG"", (IFERROR(INDEX(GOOGLEFINANCE($C71, ""price"", WORKDAY(INT($B71), 1)), 2, 2), """")-$G71)/$G71, ($G71-IFERROR(INDEX(GOOGLE"&amp;"FINANCE($C71, ""price"", WORKDAY(INT($B71), 1)), 2, 2), """"))/$G71))"),0.012445139181145874)</f>
        <v>0.01244513918</v>
      </c>
      <c r="R71" s="16">
        <f>IFERROR(__xludf.DUMMYFUNCTION("IF(OR(ISBLANK($G71), IFERROR(INDEX(GOOGLEFINANCE($C71, ""price"", WORKDAY(INT($B71), 5)), 2, 2), """")=""""), """", IF($D71=""LONG"", (IFERROR(INDEX(GOOGLEFINANCE($C71, ""price"", WORKDAY(INT($B71), 5)), 2, 2), """")-$G71)/$G71, ($G71-IFERROR(INDEX(GOOGLE"&amp;"FINANCE($C71, ""price"", WORKDAY(INT($B71), 5)), 2, 2), """"))/$G71))"),0.02278602777610769)</f>
        <v>0.02278602778</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5258</v>
      </c>
      <c r="U71" s="10" t="s">
        <v>984</v>
      </c>
      <c r="V71" s="10" t="s">
        <v>1059</v>
      </c>
      <c r="W71" s="10" t="s">
        <v>51</v>
      </c>
      <c r="X71" s="10" t="s">
        <v>984</v>
      </c>
    </row>
    <row r="72">
      <c r="A72" s="9">
        <f t="shared" si="1"/>
        <v>71</v>
      </c>
      <c r="B72" s="11">
        <v>46231.667766203704</v>
      </c>
      <c r="C72" s="10" t="s">
        <v>52</v>
      </c>
      <c r="D72" s="10" t="s">
        <v>36</v>
      </c>
      <c r="E72" s="10" t="s">
        <v>87</v>
      </c>
      <c r="F72" s="13">
        <v>2.0</v>
      </c>
      <c r="G72" s="14">
        <v>129.83</v>
      </c>
      <c r="H72" s="10" t="s">
        <v>5259</v>
      </c>
      <c r="I72" s="10">
        <v>30.0</v>
      </c>
      <c r="O72" s="15">
        <f>IFERROR(__xludf.DUMMYFUNCTION("IF(ISBLANK($C72), """", GOOGLEFINANCE($C72, ""price""))"),118.38)</f>
        <v>118.38</v>
      </c>
      <c r="P72" s="16">
        <f t="shared" si="2"/>
        <v>-0.08819225141</v>
      </c>
      <c r="Q72" s="16">
        <f>IFERROR(__xludf.DUMMYFUNCTION("IF(OR(ISBLANK($G72), IFERROR(INDEX(GOOGLEFINANCE($C72, ""price"", WORKDAY(INT($B72), 1)), 2, 2), """")=""""), """", IF($D72=""LONG"", (IFERROR(INDEX(GOOGLEFINANCE($C72, ""price"", WORKDAY(INT($B72), 1)), 2, 2), """")-$G72)/$G72, ($G72-IFERROR(INDEX(GOOGLE"&amp;"FINANCE($C72, ""price"", WORKDAY(INT($B72), 1)), 2, 2), """"))/$G72))"),-0.021027497496726628)</f>
        <v>-0.0210274975</v>
      </c>
      <c r="R72" s="16">
        <f>IFERROR(__xludf.DUMMYFUNCTION("IF(OR(ISBLANK($G72), IFERROR(INDEX(GOOGLEFINANCE($C72, ""price"", WORKDAY(INT($B72), 5)), 2, 2), """")=""""), """", IF($D72=""LONG"", (IFERROR(INDEX(GOOGLEFINANCE($C72, ""price"", WORKDAY(INT($B72), 5)), 2, 2), """")-$G72)/$G72, ($G72-IFERROR(INDEX(GOOGLE"&amp;"FINANCE($C72, ""price"", WORKDAY(INT($B72), 5)), 2, 2), """"))/$G72))"),-0.07109296772702778)</f>
        <v>-0.07109296773</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5262</v>
      </c>
      <c r="U72" s="10" t="s">
        <v>492</v>
      </c>
      <c r="V72" s="10" t="s">
        <v>493</v>
      </c>
      <c r="W72" s="10" t="s">
        <v>51</v>
      </c>
      <c r="X72" s="10" t="s">
        <v>492</v>
      </c>
    </row>
    <row r="73">
      <c r="A73" s="9">
        <f t="shared" si="1"/>
        <v>72</v>
      </c>
      <c r="B73" s="11">
        <v>46231.66774305556</v>
      </c>
      <c r="C73" s="10" t="s">
        <v>269</v>
      </c>
      <c r="D73" s="10" t="s">
        <v>36</v>
      </c>
      <c r="E73" s="10" t="s">
        <v>37</v>
      </c>
      <c r="F73" s="13">
        <v>2.0</v>
      </c>
      <c r="G73" s="14">
        <v>182.57</v>
      </c>
      <c r="H73" s="10" t="s">
        <v>5263</v>
      </c>
      <c r="I73" s="10">
        <v>92.5</v>
      </c>
      <c r="O73" s="15">
        <f>IFERROR(__xludf.DUMMYFUNCTION("IF(ISBLANK($C73), """", GOOGLEFINANCE($C73, ""price""))"),184.92)</f>
        <v>184.92</v>
      </c>
      <c r="P73" s="16">
        <f t="shared" si="2"/>
        <v>0.01287177521</v>
      </c>
      <c r="Q73" s="16">
        <f>IFERROR(__xludf.DUMMYFUNCTION("IF(OR(ISBLANK($G73), IFERROR(INDEX(GOOGLEFINANCE($C73, ""price"", WORKDAY(INT($B73), 1)), 2, 2), """")=""""), """", IF($D73=""LONG"", (IFERROR(INDEX(GOOGLEFINANCE($C73, ""price"", WORKDAY(INT($B73), 1)), 2, 2), """")-$G73)/$G73, ($G73-IFERROR(INDEX(GOOGLE"&amp;"FINANCE($C73, ""price"", WORKDAY(INT($B73), 1)), 2, 2), """"))/$G73))"),-0.03576710302897519)</f>
        <v>-0.03576710303</v>
      </c>
      <c r="R73" s="16">
        <f>IFERROR(__xludf.DUMMYFUNCTION("IF(OR(ISBLANK($G73), IFERROR(INDEX(GOOGLEFINANCE($C73, ""price"", WORKDAY(INT($B73), 5)), 2, 2), """")=""""), """", IF($D73=""LONG"", (IFERROR(INDEX(GOOGLEFINANCE($C73, ""price"", WORKDAY(INT($B73), 5)), 2, 2), """")-$G73)/$G73, ($G73-IFERROR(INDEX(GOOGLE"&amp;"FINANCE($C73, ""price"", WORKDAY(INT($B73), 5)), 2, 2), """"))/$G73))"),0.014569754066933213)</f>
        <v>0.01456975407</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5266</v>
      </c>
      <c r="U73" s="10" t="s">
        <v>492</v>
      </c>
      <c r="V73" s="10" t="s">
        <v>493</v>
      </c>
      <c r="W73" s="10" t="s">
        <v>51</v>
      </c>
      <c r="X73" s="10" t="s">
        <v>492</v>
      </c>
    </row>
    <row r="74">
      <c r="A74" s="9">
        <f t="shared" si="1"/>
        <v>73</v>
      </c>
      <c r="B74" s="11">
        <v>46231.66774305556</v>
      </c>
      <c r="C74" s="10" t="s">
        <v>5267</v>
      </c>
      <c r="D74" s="10" t="s">
        <v>36</v>
      </c>
      <c r="E74" s="10" t="s">
        <v>1892</v>
      </c>
      <c r="F74" s="13">
        <v>2.0</v>
      </c>
      <c r="G74" s="14">
        <v>152.12</v>
      </c>
      <c r="H74" s="10" t="s">
        <v>5268</v>
      </c>
      <c r="I74" s="10">
        <v>74.7</v>
      </c>
      <c r="O74" s="15">
        <f>IFERROR(__xludf.DUMMYFUNCTION("IF(ISBLANK($C74), """", GOOGLEFINANCE($C74, ""price""))"),149.54)</f>
        <v>149.54</v>
      </c>
      <c r="P74" s="16">
        <f t="shared" si="2"/>
        <v>-0.0169602945</v>
      </c>
      <c r="Q74" s="16">
        <f>IFERROR(__xludf.DUMMYFUNCTION("IF(OR(ISBLANK($G74), IFERROR(INDEX(GOOGLEFINANCE($C74, ""price"", WORKDAY(INT($B74), 1)), 2, 2), """")=""""), """", IF($D74=""LONG"", (IFERROR(INDEX(GOOGLEFINANCE($C74, ""price"", WORKDAY(INT($B74), 1)), 2, 2), """")-$G74)/$G74, ($G74-IFERROR(INDEX(GOOGLE"&amp;"FINANCE($C74, ""price"", WORKDAY(INT($B74), 1)), 2, 2), """"))/$G74))"),0.004798843018669404)</f>
        <v>0.004798843019</v>
      </c>
      <c r="R74" s="16">
        <f>IFERROR(__xludf.DUMMYFUNCTION("IF(OR(ISBLANK($G74), IFERROR(INDEX(GOOGLEFINANCE($C74, ""price"", WORKDAY(INT($B74), 5)), 2, 2), """")=""""), """", IF($D74=""LONG"", (IFERROR(INDEX(GOOGLEFINANCE($C74, ""price"", WORKDAY(INT($B74), 5)), 2, 2), """")-$G74)/$G74, ($G74-IFERROR(INDEX(GOOGLE"&amp;"FINANCE($C74, ""price"", WORKDAY(INT($B74), 5)), 2, 2), """"))/$G74))"),-0.014856692085195838)</f>
        <v>-0.01485669209</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5271</v>
      </c>
      <c r="U74" s="10" t="s">
        <v>492</v>
      </c>
      <c r="V74" s="10" t="s">
        <v>493</v>
      </c>
      <c r="W74" s="10" t="s">
        <v>51</v>
      </c>
      <c r="X74" s="10" t="s">
        <v>492</v>
      </c>
    </row>
    <row r="75">
      <c r="A75" s="9">
        <f t="shared" si="1"/>
        <v>74</v>
      </c>
      <c r="B75" s="11">
        <v>46231.66780092593</v>
      </c>
      <c r="C75" s="10" t="s">
        <v>641</v>
      </c>
      <c r="D75" s="10" t="s">
        <v>36</v>
      </c>
      <c r="E75" s="10" t="s">
        <v>87</v>
      </c>
      <c r="F75" s="13">
        <v>2.0</v>
      </c>
      <c r="G75" s="14">
        <v>66.88</v>
      </c>
      <c r="H75" s="10" t="s">
        <v>5272</v>
      </c>
      <c r="I75" s="10">
        <v>65.3</v>
      </c>
      <c r="O75" s="15">
        <f>IFERROR(__xludf.DUMMYFUNCTION("IF(ISBLANK($C75), """", GOOGLEFINANCE($C75, ""price""))"),63.13)</f>
        <v>63.13</v>
      </c>
      <c r="P75" s="16">
        <f t="shared" si="2"/>
        <v>-0.05607057416</v>
      </c>
      <c r="Q75" s="16">
        <f>IFERROR(__xludf.DUMMYFUNCTION("IF(OR(ISBLANK($G75), IFERROR(INDEX(GOOGLEFINANCE($C75, ""price"", WORKDAY(INT($B75), 1)), 2, 2), """")=""""), """", IF($D75=""LONG"", (IFERROR(INDEX(GOOGLEFINANCE($C75, ""price"", WORKDAY(INT($B75), 1)), 2, 2), """")-$G75)/$G75, ($G75-IFERROR(INDEX(GOOGLE"&amp;"FINANCE($C75, ""price"", WORKDAY(INT($B75), 1)), 2, 2), """"))/$G75))"),-0.015550239234449642)</f>
        <v>-0.01555023923</v>
      </c>
      <c r="R75" s="16">
        <f>IFERROR(__xludf.DUMMYFUNCTION("IF(OR(ISBLANK($G75), IFERROR(INDEX(GOOGLEFINANCE($C75, ""price"", WORKDAY(INT($B75), 5)), 2, 2), """")=""""), """", IF($D75=""LONG"", (IFERROR(INDEX(GOOGLEFINANCE($C75, ""price"", WORKDAY(INT($B75), 5)), 2, 2), """")-$G75)/$G75, ($G75-IFERROR(INDEX(GOOGLE"&amp;"FINANCE($C75, ""price"", WORKDAY(INT($B75), 5)), 2, 2), """"))/$G75))"),-0.046800239234449696)</f>
        <v>-0.04680023923</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5275</v>
      </c>
      <c r="U75" s="10" t="s">
        <v>492</v>
      </c>
      <c r="V75" s="10" t="s">
        <v>493</v>
      </c>
      <c r="W75" s="10" t="s">
        <v>51</v>
      </c>
      <c r="X75" s="10" t="s">
        <v>492</v>
      </c>
    </row>
    <row r="76">
      <c r="A76" s="9">
        <f t="shared" si="1"/>
        <v>75</v>
      </c>
      <c r="B76" s="11">
        <v>46231.667766203704</v>
      </c>
      <c r="C76" s="10" t="s">
        <v>4394</v>
      </c>
      <c r="D76" s="10" t="s">
        <v>36</v>
      </c>
      <c r="E76" s="10" t="s">
        <v>37</v>
      </c>
      <c r="F76" s="13">
        <v>2.0</v>
      </c>
      <c r="G76" s="14">
        <v>299.0</v>
      </c>
      <c r="H76" s="10" t="s">
        <v>5277</v>
      </c>
      <c r="I76" s="10">
        <v>94.6</v>
      </c>
      <c r="O76" s="15">
        <f>IFERROR(__xludf.DUMMYFUNCTION("IF(ISBLANK($C76), """", GOOGLEFINANCE($C76, ""price""))"),302.99)</f>
        <v>302.99</v>
      </c>
      <c r="P76" s="16">
        <f t="shared" si="2"/>
        <v>0.01334448161</v>
      </c>
      <c r="Q76" s="16">
        <f>IFERROR(__xludf.DUMMYFUNCTION("IF(OR(ISBLANK($G76), IFERROR(INDEX(GOOGLEFINANCE($C76, ""price"", WORKDAY(INT($B76), 1)), 2, 2), """")=""""), """", IF($D76=""LONG"", (IFERROR(INDEX(GOOGLEFINANCE($C76, ""price"", WORKDAY(INT($B76), 1)), 2, 2), """")-$G76)/$G76, ($G76-IFERROR(INDEX(GOOGLE"&amp;"FINANCE($C76, ""price"", WORKDAY(INT($B76), 1)), 2, 2), """"))/$G76))"),0.007759197324414693)</f>
        <v>0.007759197324</v>
      </c>
      <c r="R76" s="16">
        <f>IFERROR(__xludf.DUMMYFUNCTION("IF(OR(ISBLANK($G76), IFERROR(INDEX(GOOGLEFINANCE($C76, ""price"", WORKDAY(INT($B76), 5)), 2, 2), """")=""""), """", IF($D76=""LONG"", (IFERROR(INDEX(GOOGLEFINANCE($C76, ""price"", WORKDAY(INT($B76), 5)), 2, 2), """")-$G76)/$G76, ($G76-IFERROR(INDEX(GOOGLE"&amp;"FINANCE($C76, ""price"", WORKDAY(INT($B76), 5)), 2, 2), """"))/$G76))"),0.03254180602006695)</f>
        <v>0.03254180602</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5279</v>
      </c>
      <c r="U76" s="10" t="s">
        <v>492</v>
      </c>
      <c r="V76" s="10" t="s">
        <v>493</v>
      </c>
      <c r="W76" s="10" t="s">
        <v>51</v>
      </c>
      <c r="X76" s="10" t="s">
        <v>492</v>
      </c>
    </row>
    <row r="77">
      <c r="A77" s="9">
        <f t="shared" si="1"/>
        <v>76</v>
      </c>
      <c r="B77" s="11">
        <v>46231.66784722222</v>
      </c>
      <c r="C77" s="10" t="s">
        <v>4738</v>
      </c>
      <c r="D77" s="10" t="s">
        <v>36</v>
      </c>
      <c r="E77" s="10" t="s">
        <v>37</v>
      </c>
      <c r="F77" s="13">
        <v>2.0</v>
      </c>
      <c r="G77" s="14">
        <v>96.84</v>
      </c>
      <c r="H77" s="10" t="s">
        <v>5281</v>
      </c>
      <c r="I77" s="10">
        <v>89.2</v>
      </c>
      <c r="O77" s="15">
        <f>IFERROR(__xludf.DUMMYFUNCTION("IF(ISBLANK($C77), """", GOOGLEFINANCE($C77, ""price""))"),92.9)</f>
        <v>92.9</v>
      </c>
      <c r="P77" s="16">
        <f t="shared" si="2"/>
        <v>-0.04068566708</v>
      </c>
      <c r="Q77" s="16">
        <f>IFERROR(__xludf.DUMMYFUNCTION("IF(OR(ISBLANK($G77), IFERROR(INDEX(GOOGLEFINANCE($C77, ""price"", WORKDAY(INT($B77), 1)), 2, 2), """")=""""), """", IF($D77=""LONG"", (IFERROR(INDEX(GOOGLEFINANCE($C77, ""price"", WORKDAY(INT($B77), 1)), 2, 2), """")-$G77)/$G77, ($G77-IFERROR(INDEX(GOOGLE"&amp;"FINANCE($C77, ""price"", WORKDAY(INT($B77), 1)), 2, 2), """"))/$G77))"),-0.008157786038826996)</f>
        <v>-0.008157786039</v>
      </c>
      <c r="R77" s="16">
        <f>IFERROR(__xludf.DUMMYFUNCTION("IF(OR(ISBLANK($G77), IFERROR(INDEX(GOOGLEFINANCE($C77, ""price"", WORKDAY(INT($B77), 5)), 2, 2), """")=""""), """", IF($D77=""LONG"", (IFERROR(INDEX(GOOGLEFINANCE($C77, ""price"", WORKDAY(INT($B77), 5)), 2, 2), """")-$G77)/$G77, ($G77-IFERROR(INDEX(GOOGLE"&amp;"FINANCE($C77, ""price"", WORKDAY(INT($B77), 5)), 2, 2), """"))/$G77))"),-0.03707145807517558)</f>
        <v>-0.03707145808</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5283</v>
      </c>
      <c r="U77" s="10" t="s">
        <v>492</v>
      </c>
      <c r="V77" s="10" t="s">
        <v>493</v>
      </c>
      <c r="W77" s="10" t="s">
        <v>51</v>
      </c>
      <c r="X77" s="10" t="s">
        <v>492</v>
      </c>
    </row>
    <row r="78">
      <c r="A78" s="9">
        <f t="shared" si="1"/>
        <v>77</v>
      </c>
      <c r="B78" s="11">
        <v>46231.66778935185</v>
      </c>
      <c r="C78" s="10" t="s">
        <v>4586</v>
      </c>
      <c r="D78" s="10" t="s">
        <v>36</v>
      </c>
      <c r="E78" s="10" t="s">
        <v>37</v>
      </c>
      <c r="F78" s="13">
        <v>2.0</v>
      </c>
      <c r="G78" s="14">
        <v>306.06</v>
      </c>
      <c r="H78" s="10" t="s">
        <v>5285</v>
      </c>
      <c r="I78" s="10">
        <v>94.7</v>
      </c>
      <c r="O78" s="15">
        <f>IFERROR(__xludf.DUMMYFUNCTION("IF(ISBLANK($C78), """", GOOGLEFINANCE($C78, ""price""))"),299.25)</f>
        <v>299.25</v>
      </c>
      <c r="P78" s="16">
        <f t="shared" si="2"/>
        <v>-0.02225053911</v>
      </c>
      <c r="Q78" s="16">
        <f>IFERROR(__xludf.DUMMYFUNCTION("IF(OR(ISBLANK($G78), IFERROR(INDEX(GOOGLEFINANCE($C78, ""price"", WORKDAY(INT($B78), 1)), 2, 2), """")=""""), """", IF($D78=""LONG"", (IFERROR(INDEX(GOOGLEFINANCE($C78, ""price"", WORKDAY(INT($B78), 1)), 2, 2), """")-$G78)/$G78, ($G78-IFERROR(INDEX(GOOGLE"&amp;"FINANCE($C78, ""price"", WORKDAY(INT($B78), 1)), 2, 2), """"))/$G78))"),0.008691106319022495)</f>
        <v>0.008691106319</v>
      </c>
      <c r="R78" s="16">
        <f>IFERROR(__xludf.DUMMYFUNCTION("IF(OR(ISBLANK($G78), IFERROR(INDEX(GOOGLEFINANCE($C78, ""price"", WORKDAY(INT($B78), 5)), 2, 2), """")=""""), """", IF($D78=""LONG"", (IFERROR(INDEX(GOOGLEFINANCE($C78, ""price"", WORKDAY(INT($B78), 5)), 2, 2), """")-$G78)/$G78, ($G78-IFERROR(INDEX(GOOGLE"&amp;"FINANCE($C78, ""price"", WORKDAY(INT($B78), 5)), 2, 2), """"))/$G78))"),0.02140103247729207)</f>
        <v>0.02140103248</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5289</v>
      </c>
      <c r="U78" s="10" t="s">
        <v>492</v>
      </c>
      <c r="V78" s="10" t="s">
        <v>493</v>
      </c>
      <c r="W78" s="10" t="s">
        <v>51</v>
      </c>
      <c r="X78" s="10" t="s">
        <v>492</v>
      </c>
    </row>
    <row r="79">
      <c r="A79" s="9">
        <f t="shared" si="1"/>
        <v>78</v>
      </c>
      <c r="B79" s="11">
        <v>46231.66787037037</v>
      </c>
      <c r="C79" s="10" t="s">
        <v>80</v>
      </c>
      <c r="D79" s="10" t="s">
        <v>36</v>
      </c>
      <c r="E79" s="10" t="s">
        <v>87</v>
      </c>
      <c r="F79" s="13">
        <v>2.0</v>
      </c>
      <c r="G79" s="14">
        <v>263.34</v>
      </c>
      <c r="H79" s="10" t="s">
        <v>5290</v>
      </c>
      <c r="I79" s="10">
        <v>76.7</v>
      </c>
      <c r="O79" s="15">
        <f>IFERROR(__xludf.DUMMYFUNCTION("IF(ISBLANK($C79), """", GOOGLEFINANCE($C79, ""price""))"),243.87)</f>
        <v>243.87</v>
      </c>
      <c r="P79" s="16">
        <f t="shared" si="2"/>
        <v>-0.07393483709</v>
      </c>
      <c r="Q79" s="16">
        <f>IFERROR(__xludf.DUMMYFUNCTION("IF(OR(ISBLANK($G79), IFERROR(INDEX(GOOGLEFINANCE($C79, ""price"", WORKDAY(INT($B79), 1)), 2, 2), """")=""""), """", IF($D79=""LONG"", (IFERROR(INDEX(GOOGLEFINANCE($C79, ""price"", WORKDAY(INT($B79), 1)), 2, 2), """")-$G79)/$G79, ($G79-IFERROR(INDEX(GOOGLE"&amp;"FINANCE($C79, ""price"", WORKDAY(INT($B79), 1)), 2, 2), """"))/$G79))"),-1.5189488873685586E-4)</f>
        <v>-0.0001518948887</v>
      </c>
      <c r="R79" s="16">
        <f>IFERROR(__xludf.DUMMYFUNCTION("IF(OR(ISBLANK($G79), IFERROR(INDEX(GOOGLEFINANCE($C79, ""price"", WORKDAY(INT($B79), 5)), 2, 2), """")=""""), """", IF($D79=""LONG"", (IFERROR(INDEX(GOOGLEFINANCE($C79, ""price"", WORKDAY(INT($B79), 5)), 2, 2), """")-$G79)/$G79, ($G79-IFERROR(INDEX(GOOGLE"&amp;"FINANCE($C79, ""price"", WORKDAY(INT($B79), 5)), 2, 2), """"))/$G79))"),-0.07420065314802143)</f>
        <v>-0.07420065315</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5293</v>
      </c>
      <c r="U79" s="10" t="s">
        <v>492</v>
      </c>
      <c r="V79" s="10" t="s">
        <v>493</v>
      </c>
      <c r="W79" s="10" t="s">
        <v>51</v>
      </c>
      <c r="X79" s="10" t="s">
        <v>492</v>
      </c>
    </row>
    <row r="80">
      <c r="A80" s="9">
        <f t="shared" si="1"/>
        <v>79</v>
      </c>
      <c r="B80" s="11">
        <v>46231.66780092593</v>
      </c>
      <c r="C80" s="10" t="s">
        <v>379</v>
      </c>
      <c r="D80" s="10" t="s">
        <v>36</v>
      </c>
      <c r="E80" s="10" t="s">
        <v>37</v>
      </c>
      <c r="F80" s="13">
        <v>2.0</v>
      </c>
      <c r="G80" s="14">
        <v>50.85</v>
      </c>
      <c r="H80" s="10" t="s">
        <v>5294</v>
      </c>
      <c r="I80" s="10">
        <v>89.6</v>
      </c>
      <c r="O80" s="15">
        <f>IFERROR(__xludf.DUMMYFUNCTION("IF(ISBLANK($C80), """", GOOGLEFINANCE($C80, ""price""))"),50.7)</f>
        <v>50.7</v>
      </c>
      <c r="P80" s="16">
        <f t="shared" si="2"/>
        <v>-0.002949852507</v>
      </c>
      <c r="Q80" s="16">
        <f>IFERROR(__xludf.DUMMYFUNCTION("IF(OR(ISBLANK($G80), IFERROR(INDEX(GOOGLEFINANCE($C80, ""price"", WORKDAY(INT($B80), 1)), 2, 2), """")=""""), """", IF($D80=""LONG"", (IFERROR(INDEX(GOOGLEFINANCE($C80, ""price"", WORKDAY(INT($B80), 1)), 2, 2), """")-$G80)/$G80, ($G80-IFERROR(INDEX(GOOGLE"&amp;"FINANCE($C80, ""price"", WORKDAY(INT($B80), 1)), 2, 2), """"))/$G80))"),-0.002163225172074718)</f>
        <v>-0.002163225172</v>
      </c>
      <c r="R80" s="16">
        <f>IFERROR(__xludf.DUMMYFUNCTION("IF(OR(ISBLANK($G80), IFERROR(INDEX(GOOGLEFINANCE($C80, ""price"", WORKDAY(INT($B80), 5)), 2, 2), """")=""""), """", IF($D80=""LONG"", (IFERROR(INDEX(GOOGLEFINANCE($C80, ""price"", WORKDAY(INT($B80), 5)), 2, 2), """")-$G80)/$G80, ($G80-IFERROR(INDEX(GOOGLE"&amp;"FINANCE($C80, ""price"", WORKDAY(INT($B80), 5)), 2, 2), """"))/$G80))"),0.003539823008849552)</f>
        <v>0.003539823009</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5297</v>
      </c>
      <c r="U80" s="10" t="s">
        <v>492</v>
      </c>
      <c r="V80" s="10" t="s">
        <v>493</v>
      </c>
      <c r="W80" s="10" t="s">
        <v>51</v>
      </c>
      <c r="X80" s="10" t="s">
        <v>492</v>
      </c>
    </row>
    <row r="81">
      <c r="A81" s="9">
        <f t="shared" si="1"/>
        <v>80</v>
      </c>
      <c r="B81" s="11">
        <v>46231.66787037037</v>
      </c>
      <c r="C81" s="10" t="s">
        <v>60</v>
      </c>
      <c r="D81" s="10" t="s">
        <v>36</v>
      </c>
      <c r="E81" s="10" t="s">
        <v>87</v>
      </c>
      <c r="F81" s="13">
        <v>2.0</v>
      </c>
      <c r="G81" s="14">
        <v>46.7</v>
      </c>
      <c r="H81" s="10" t="s">
        <v>5300</v>
      </c>
      <c r="I81" s="10">
        <v>70.1</v>
      </c>
      <c r="O81" s="15">
        <f>IFERROR(__xludf.DUMMYFUNCTION("IF(ISBLANK($C81), """", GOOGLEFINANCE($C81, ""price""))"),47.06)</f>
        <v>47.06</v>
      </c>
      <c r="P81" s="16">
        <f t="shared" si="2"/>
        <v>0.007708779443</v>
      </c>
      <c r="Q81" s="16">
        <f>IFERROR(__xludf.DUMMYFUNCTION("IF(OR(ISBLANK($G81), IFERROR(INDEX(GOOGLEFINANCE($C81, ""price"", WORKDAY(INT($B81), 1)), 2, 2), """")=""""), """", IF($D81=""LONG"", (IFERROR(INDEX(GOOGLEFINANCE($C81, ""price"", WORKDAY(INT($B81), 1)), 2, 2), """")-$G81)/$G81, ($G81-IFERROR(INDEX(GOOGLE"&amp;"FINANCE($C81, ""price"", WORKDAY(INT($B81), 1)), 2, 2), """"))/$G81))"),-0.018415417558886496)</f>
        <v>-0.01841541756</v>
      </c>
      <c r="R81" s="16">
        <f>IFERROR(__xludf.DUMMYFUNCTION("IF(OR(ISBLANK($G81), IFERROR(INDEX(GOOGLEFINANCE($C81, ""price"", WORKDAY(INT($B81), 5)), 2, 2), """")=""""), """", IF($D81=""LONG"", (IFERROR(INDEX(GOOGLEFINANCE($C81, ""price"", WORKDAY(INT($B81), 5)), 2, 2), """")-$G81)/$G81, ($G81-IFERROR(INDEX(GOOGLE"&amp;"FINANCE($C81, ""price"", WORKDAY(INT($B81), 5)), 2, 2), """"))/$G81))"),0.00942184154175584)</f>
        <v>0.009421841542</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5303</v>
      </c>
      <c r="U81" s="10" t="s">
        <v>492</v>
      </c>
      <c r="V81" s="10" t="s">
        <v>493</v>
      </c>
      <c r="W81" s="10" t="s">
        <v>51</v>
      </c>
      <c r="X81" s="10" t="s">
        <v>492</v>
      </c>
    </row>
    <row r="82">
      <c r="A82" s="9">
        <f t="shared" si="1"/>
        <v>81</v>
      </c>
      <c r="B82" s="11">
        <v>46231.66783564815</v>
      </c>
      <c r="C82" s="10" t="s">
        <v>3690</v>
      </c>
      <c r="D82" s="10" t="s">
        <v>36</v>
      </c>
      <c r="E82" s="10" t="s">
        <v>37</v>
      </c>
      <c r="F82" s="13">
        <v>2.0</v>
      </c>
      <c r="G82" s="14">
        <v>649.71</v>
      </c>
      <c r="H82" s="10" t="s">
        <v>5306</v>
      </c>
      <c r="I82" s="10">
        <v>94.0</v>
      </c>
      <c r="O82" s="15">
        <f>IFERROR(__xludf.DUMMYFUNCTION("IF(ISBLANK($C82), """", GOOGLEFINANCE($C82, ""price""))"),687.52)</f>
        <v>687.52</v>
      </c>
      <c r="P82" s="16">
        <f t="shared" si="2"/>
        <v>0.05819519478</v>
      </c>
      <c r="Q82" s="16">
        <f>IFERROR(__xludf.DUMMYFUNCTION("IF(OR(ISBLANK($G82), IFERROR(INDEX(GOOGLEFINANCE($C82, ""price"", WORKDAY(INT($B82), 1)), 2, 2), """")=""""), """", IF($D82=""LONG"", (IFERROR(INDEX(GOOGLEFINANCE($C82, ""price"", WORKDAY(INT($B82), 1)), 2, 2), """")-$G82)/$G82, ($G82-IFERROR(INDEX(GOOGLE"&amp;"FINANCE($C82, ""price"", WORKDAY(INT($B82), 1)), 2, 2), """"))/$G82))"),-0.028258761601329844)</f>
        <v>-0.0282587616</v>
      </c>
      <c r="R82" s="16">
        <f>IFERROR(__xludf.DUMMYFUNCTION("IF(OR(ISBLANK($G82), IFERROR(INDEX(GOOGLEFINANCE($C82, ""price"", WORKDAY(INT($B82), 5)), 2, 2), """")=""""), """", IF($D82=""LONG"", (IFERROR(INDEX(GOOGLEFINANCE($C82, ""price"", WORKDAY(INT($B82), 5)), 2, 2), """")-$G82)/$G82, ($G82-IFERROR(INDEX(GOOGLE"&amp;"FINANCE($C82, ""price"", WORKDAY(INT($B82), 5)), 2, 2), """"))/$G82))"),0.05394714564959744)</f>
        <v>0.05394714565</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5309</v>
      </c>
      <c r="U82" s="10" t="s">
        <v>492</v>
      </c>
      <c r="V82" s="10" t="s">
        <v>493</v>
      </c>
      <c r="W82" s="10" t="s">
        <v>51</v>
      </c>
      <c r="X82" s="10" t="s">
        <v>492</v>
      </c>
    </row>
    <row r="83">
      <c r="A83" s="9">
        <f t="shared" si="1"/>
        <v>82</v>
      </c>
      <c r="B83" s="11">
        <v>46231.66778935185</v>
      </c>
      <c r="C83" s="10" t="s">
        <v>3574</v>
      </c>
      <c r="D83" s="10" t="s">
        <v>36</v>
      </c>
      <c r="E83" s="10" t="s">
        <v>37</v>
      </c>
      <c r="F83" s="13">
        <v>2.0</v>
      </c>
      <c r="G83" s="14">
        <v>338.71</v>
      </c>
      <c r="H83" s="10" t="s">
        <v>5310</v>
      </c>
      <c r="I83" s="10">
        <v>94.1</v>
      </c>
      <c r="O83" s="15">
        <f>IFERROR(__xludf.DUMMYFUNCTION("IF(ISBLANK($C83), """", GOOGLEFINANCE($C83, ""price""))"),342.46)</f>
        <v>342.46</v>
      </c>
      <c r="P83" s="16">
        <f t="shared" si="2"/>
        <v>0.01107141803</v>
      </c>
      <c r="Q83" s="16">
        <f>IFERROR(__xludf.DUMMYFUNCTION("IF(OR(ISBLANK($G83), IFERROR(INDEX(GOOGLEFINANCE($C83, ""price"", WORKDAY(INT($B83), 1)), 2, 2), """")=""""), """", IF($D83=""LONG"", (IFERROR(INDEX(GOOGLEFINANCE($C83, ""price"", WORKDAY(INT($B83), 1)), 2, 2), """")-$G83)/$G83, ($G83-IFERROR(INDEX(GOOGLE"&amp;"FINANCE($C83, ""price"", WORKDAY(INT($B83), 1)), 2, 2), """"))/$G83))"),-0.008768563077558886)</f>
        <v>-0.008768563078</v>
      </c>
      <c r="R83" s="16">
        <f>IFERROR(__xludf.DUMMYFUNCTION("IF(OR(ISBLANK($G83), IFERROR(INDEX(GOOGLEFINANCE($C83, ""price"", WORKDAY(INT($B83), 5)), 2, 2), """")=""""), """", IF($D83=""LONG"", (IFERROR(INDEX(GOOGLEFINANCE($C83, ""price"", WORKDAY(INT($B83), 5)), 2, 2), """")-$G83)/$G83, ($G83-IFERROR(INDEX(GOOGLE"&amp;"FINANCE($C83, ""price"", WORKDAY(INT($B83), 5)), 2, 2), """"))/$G83))"),0.00755808803991616)</f>
        <v>0.00755808804</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5314</v>
      </c>
      <c r="U83" s="10" t="s">
        <v>492</v>
      </c>
      <c r="V83" s="10" t="s">
        <v>493</v>
      </c>
      <c r="W83" s="10" t="s">
        <v>51</v>
      </c>
      <c r="X83" s="10" t="s">
        <v>492</v>
      </c>
    </row>
    <row r="84">
      <c r="A84" s="9">
        <f t="shared" si="1"/>
        <v>83</v>
      </c>
      <c r="B84" s="11">
        <v>46231.667858796296</v>
      </c>
      <c r="C84" s="10" t="s">
        <v>5316</v>
      </c>
      <c r="D84" s="10" t="s">
        <v>36</v>
      </c>
      <c r="E84" s="10" t="s">
        <v>4224</v>
      </c>
      <c r="F84" s="13">
        <v>4.0</v>
      </c>
      <c r="G84" s="14">
        <v>86.3</v>
      </c>
      <c r="H84" s="10" t="s">
        <v>5318</v>
      </c>
      <c r="I84" s="10">
        <v>32.7</v>
      </c>
      <c r="O84" s="15">
        <f>IFERROR(__xludf.DUMMYFUNCTION("IF(ISBLANK($C84), """", GOOGLEFINANCE($C84, ""price""))"),99.81)</f>
        <v>99.81</v>
      </c>
      <c r="P84" s="16">
        <f t="shared" si="2"/>
        <v>0.1565469293</v>
      </c>
      <c r="Q84" s="16">
        <f>IFERROR(__xludf.DUMMYFUNCTION("IF(OR(ISBLANK($G84), IFERROR(INDEX(GOOGLEFINANCE($C84, ""price"", WORKDAY(INT($B84), 1)), 2, 2), """")=""""), """", IF($D84=""LONG"", (IFERROR(INDEX(GOOGLEFINANCE($C84, ""price"", WORKDAY(INT($B84), 1)), 2, 2), """")-$G84)/$G84, ($G84-IFERROR(INDEX(GOOGLE"&amp;"FINANCE($C84, ""price"", WORKDAY(INT($B84), 1)), 2, 2), """"))/$G84))"),-0.05121668597914255)</f>
        <v>-0.05121668598</v>
      </c>
      <c r="R84" s="16">
        <f>IFERROR(__xludf.DUMMYFUNCTION("IF(OR(ISBLANK($G84), IFERROR(INDEX(GOOGLEFINANCE($C84, ""price"", WORKDAY(INT($B84), 5)), 2, 2), """")=""""), """", IF($D84=""LONG"", (IFERROR(INDEX(GOOGLEFINANCE($C84, ""price"", WORKDAY(INT($B84), 5)), 2, 2), """")-$G84)/$G84, ($G84-IFERROR(INDEX(GOOGLE"&amp;"FINANCE($C84, ""price"", WORKDAY(INT($B84), 5)), 2, 2), """"))/$G84))"),0.16871378910776363)</f>
        <v>0.1687137891</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5322</v>
      </c>
      <c r="U84" s="10" t="s">
        <v>492</v>
      </c>
      <c r="V84" s="10" t="s">
        <v>493</v>
      </c>
      <c r="W84" s="10" t="s">
        <v>51</v>
      </c>
      <c r="X84" s="10" t="s">
        <v>492</v>
      </c>
    </row>
    <row r="85">
      <c r="A85" s="9">
        <f t="shared" si="1"/>
        <v>84</v>
      </c>
      <c r="B85" s="11">
        <v>46231.66777777778</v>
      </c>
      <c r="C85" s="10" t="s">
        <v>2455</v>
      </c>
      <c r="D85" s="10" t="s">
        <v>36</v>
      </c>
      <c r="E85" s="10" t="s">
        <v>87</v>
      </c>
      <c r="F85" s="13">
        <v>2.0</v>
      </c>
      <c r="G85" s="14">
        <v>199.28</v>
      </c>
      <c r="H85" s="10" t="s">
        <v>5323</v>
      </c>
      <c r="I85" s="10">
        <v>59.6</v>
      </c>
      <c r="O85" s="15">
        <f>IFERROR(__xludf.DUMMYFUNCTION("IF(ISBLANK($C85), """", GOOGLEFINANCE($C85, ""price""))"),207.39)</f>
        <v>207.39</v>
      </c>
      <c r="P85" s="16">
        <f t="shared" si="2"/>
        <v>0.04069650743</v>
      </c>
      <c r="Q85" s="16">
        <f>IFERROR(__xludf.DUMMYFUNCTION("IF(OR(ISBLANK($G85), IFERROR(INDEX(GOOGLEFINANCE($C85, ""price"", WORKDAY(INT($B85), 1)), 2, 2), """")=""""), """", IF($D85=""LONG"", (IFERROR(INDEX(GOOGLEFINANCE($C85, ""price"", WORKDAY(INT($B85), 1)), 2, 2), """")-$G85)/$G85, ($G85-IFERROR(INDEX(GOOGLE"&amp;"FINANCE($C85, ""price"", WORKDAY(INT($B85), 1)), 2, 2), """"))/$G85))"),0.010136491368928193)</f>
        <v>0.01013649137</v>
      </c>
      <c r="R85" s="16">
        <f>IFERROR(__xludf.DUMMYFUNCTION("IF(OR(ISBLANK($G85), IFERROR(INDEX(GOOGLEFINANCE($C85, ""price"", WORKDAY(INT($B85), 5)), 2, 2), """")=""""), """", IF($D85=""LONG"", (IFERROR(INDEX(GOOGLEFINANCE($C85, ""price"", WORKDAY(INT($B85), 5)), 2, 2), """")-$G85)/$G85, ($G85-IFERROR(INDEX(GOOGLE"&amp;"FINANCE($C85, ""price"", WORKDAY(INT($B85), 5)), 2, 2), """"))/$G85))"),-0.025140505820955394)</f>
        <v>-0.02514050582</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5326</v>
      </c>
      <c r="U85" s="10" t="s">
        <v>492</v>
      </c>
      <c r="V85" s="10" t="s">
        <v>493</v>
      </c>
      <c r="W85" s="10" t="s">
        <v>51</v>
      </c>
      <c r="X85" s="10" t="s">
        <v>492</v>
      </c>
    </row>
    <row r="86">
      <c r="A86" s="9">
        <f t="shared" si="1"/>
        <v>85</v>
      </c>
      <c r="B86" s="11">
        <v>46231.66789351852</v>
      </c>
      <c r="C86" s="10" t="s">
        <v>348</v>
      </c>
      <c r="D86" s="10" t="s">
        <v>36</v>
      </c>
      <c r="E86" s="10" t="s">
        <v>1892</v>
      </c>
      <c r="F86" s="13">
        <v>2.0</v>
      </c>
      <c r="G86" s="14">
        <v>284.28</v>
      </c>
      <c r="H86" s="10" t="s">
        <v>5329</v>
      </c>
      <c r="I86" s="10">
        <v>82.6</v>
      </c>
      <c r="O86" s="15">
        <f>IFERROR(__xludf.DUMMYFUNCTION("IF(ISBLANK($C86), """", GOOGLEFINANCE($C86, ""price""))"),364.24)</f>
        <v>364.24</v>
      </c>
      <c r="P86" s="16">
        <f t="shared" si="2"/>
        <v>0.2812719854</v>
      </c>
      <c r="Q86" s="16">
        <f>IFERROR(__xludf.DUMMYFUNCTION("IF(OR(ISBLANK($G86), IFERROR(INDEX(GOOGLEFINANCE($C86, ""price"", WORKDAY(INT($B86), 1)), 2, 2), """")=""""), """", IF($D86=""LONG"", (IFERROR(INDEX(GOOGLEFINANCE($C86, ""price"", WORKDAY(INT($B86), 1)), 2, 2), """")-$G86)/$G86, ($G86-IFERROR(INDEX(GOOGLE"&amp;"FINANCE($C86, ""price"", WORKDAY(INT($B86), 1)), 2, 2), """"))/$G86))"),-0.004572956240326279)</f>
        <v>-0.00457295624</v>
      </c>
      <c r="R86" s="16">
        <f>IFERROR(__xludf.DUMMYFUNCTION("IF(OR(ISBLANK($G86), IFERROR(INDEX(GOOGLEFINANCE($C86, ""price"", WORKDAY(INT($B86), 5)), 2, 2), """")=""""), """", IF($D86=""LONG"", (IFERROR(INDEX(GOOGLEFINANCE($C86, ""price"", WORKDAY(INT($B86), 5)), 2, 2), """")-$G86)/$G86, ($G86-IFERROR(INDEX(GOOGLE"&amp;"FINANCE($C86, ""price"", WORKDAY(INT($B86), 5)), 2, 2), """"))/$G86))"),0.2974180385535388)</f>
        <v>0.2974180386</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5332</v>
      </c>
      <c r="U86" s="10" t="s">
        <v>492</v>
      </c>
      <c r="V86" s="10" t="s">
        <v>493</v>
      </c>
      <c r="W86" s="10" t="s">
        <v>51</v>
      </c>
      <c r="X86" s="10" t="s">
        <v>492</v>
      </c>
    </row>
    <row r="87">
      <c r="A87" s="9">
        <f t="shared" si="1"/>
        <v>86</v>
      </c>
      <c r="B87" s="11">
        <v>46231.6678125</v>
      </c>
      <c r="C87" s="10" t="s">
        <v>976</v>
      </c>
      <c r="D87" s="10" t="s">
        <v>36</v>
      </c>
      <c r="E87" s="10" t="s">
        <v>4224</v>
      </c>
      <c r="F87" s="13">
        <v>4.0</v>
      </c>
      <c r="G87" s="14">
        <v>454.76</v>
      </c>
      <c r="H87" s="10" t="s">
        <v>5333</v>
      </c>
      <c r="I87" s="10">
        <v>41.7</v>
      </c>
      <c r="O87" s="15">
        <f>IFERROR(__xludf.DUMMYFUNCTION("IF(ISBLANK($C87), """", GOOGLEFINANCE($C87, ""price""))"),489.28)</f>
        <v>489.28</v>
      </c>
      <c r="P87" s="16">
        <f t="shared" si="2"/>
        <v>0.07590817134</v>
      </c>
      <c r="Q87" s="16">
        <f>IFERROR(__xludf.DUMMYFUNCTION("IF(OR(ISBLANK($G87), IFERROR(INDEX(GOOGLEFINANCE($C87, ""price"", WORKDAY(INT($B87), 1)), 2, 2), """")=""""), """", IF($D87=""LONG"", (IFERROR(INDEX(GOOGLEFINANCE($C87, ""price"", WORKDAY(INT($B87), 1)), 2, 2), """")-$G87)/$G87, ($G87-IFERROR(INDEX(GOOGLE"&amp;"FINANCE($C87, ""price"", WORKDAY(INT($B87), 1)), 2, 2), """"))/$G87))"),-0.05541384466531794)</f>
        <v>-0.05541384467</v>
      </c>
      <c r="R87" s="16">
        <f>IFERROR(__xludf.DUMMYFUNCTION("IF(OR(ISBLANK($G87), IFERROR(INDEX(GOOGLEFINANCE($C87, ""price"", WORKDAY(INT($B87), 5)), 2, 2), """")=""""), """", IF($D87=""LONG"", (IFERROR(INDEX(GOOGLEFINANCE($C87, ""price"", WORKDAY(INT($B87), 5)), 2, 2), """")-$G87)/$G87, ($G87-IFERROR(INDEX(GOOGLE"&amp;"FINANCE($C87, ""price"", WORKDAY(INT($B87), 5)), 2, 2), """"))/$G87))"),0.14033776057700775)</f>
        <v>0.1403377606</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5341</v>
      </c>
      <c r="U87" s="10" t="s">
        <v>492</v>
      </c>
      <c r="V87" s="10" t="s">
        <v>493</v>
      </c>
      <c r="W87" s="10" t="s">
        <v>51</v>
      </c>
      <c r="X87" s="10" t="s">
        <v>492</v>
      </c>
    </row>
    <row r="88">
      <c r="A88" s="9">
        <f t="shared" si="1"/>
        <v>87</v>
      </c>
      <c r="B88" s="11">
        <v>46231.66789351852</v>
      </c>
      <c r="C88" s="10" t="s">
        <v>342</v>
      </c>
      <c r="D88" s="10" t="s">
        <v>36</v>
      </c>
      <c r="E88" s="10" t="s">
        <v>37</v>
      </c>
      <c r="F88" s="13">
        <v>2.0</v>
      </c>
      <c r="G88" s="14">
        <v>62.62</v>
      </c>
      <c r="H88" s="10" t="s">
        <v>5342</v>
      </c>
      <c r="I88" s="10">
        <v>82.4</v>
      </c>
      <c r="O88" s="15">
        <f>IFERROR(__xludf.DUMMYFUNCTION("IF(ISBLANK($C88), """", GOOGLEFINANCE($C88, ""price""))"),63.0)</f>
        <v>63</v>
      </c>
      <c r="P88" s="16">
        <f t="shared" si="2"/>
        <v>0.00606834877</v>
      </c>
      <c r="Q88" s="16">
        <f>IFERROR(__xludf.DUMMYFUNCTION("IF(OR(ISBLANK($G88), IFERROR(INDEX(GOOGLEFINANCE($C88, ""price"", WORKDAY(INT($B88), 1)), 2, 2), """")=""""), """", IF($D88=""LONG"", (IFERROR(INDEX(GOOGLEFINANCE($C88, ""price"", WORKDAY(INT($B88), 1)), 2, 2), """")-$G88)/$G88, ($G88-IFERROR(INDEX(GOOGLE"&amp;"FINANCE($C88, ""price"", WORKDAY(INT($B88), 1)), 2, 2), """"))/$G88))"),-0.02475247524752471)</f>
        <v>-0.02475247525</v>
      </c>
      <c r="R88" s="16">
        <f>IFERROR(__xludf.DUMMYFUNCTION("IF(OR(ISBLANK($G88), IFERROR(INDEX(GOOGLEFINANCE($C88, ""price"", WORKDAY(INT($B88), 5)), 2, 2), """")=""""), """", IF($D88=""LONG"", (IFERROR(INDEX(GOOGLEFINANCE($C88, ""price"", WORKDAY(INT($B88), 5)), 2, 2), """")-$G88)/$G88, ($G88-IFERROR(INDEX(GOOGLE"&amp;"FINANCE($C88, ""price"", WORKDAY(INT($B88), 5)), 2, 2), """"))/$G88))"),0.0044714148834238444)</f>
        <v>0.004471414883</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5347</v>
      </c>
      <c r="U88" s="10" t="s">
        <v>492</v>
      </c>
      <c r="V88" s="10" t="s">
        <v>493</v>
      </c>
      <c r="W88" s="10" t="s">
        <v>51</v>
      </c>
      <c r="X88" s="10" t="s">
        <v>492</v>
      </c>
    </row>
    <row r="89">
      <c r="A89" s="9">
        <f t="shared" si="1"/>
        <v>88</v>
      </c>
      <c r="B89" s="11">
        <v>46231.66784722222</v>
      </c>
      <c r="C89" s="10" t="s">
        <v>5348</v>
      </c>
      <c r="D89" s="10" t="s">
        <v>36</v>
      </c>
      <c r="E89" s="10" t="s">
        <v>87</v>
      </c>
      <c r="F89" s="13">
        <v>2.0</v>
      </c>
      <c r="G89" s="14">
        <v>14.96</v>
      </c>
      <c r="H89" s="10" t="s">
        <v>5349</v>
      </c>
      <c r="I89" s="10">
        <v>64.2</v>
      </c>
      <c r="O89" s="15">
        <f>IFERROR(__xludf.DUMMYFUNCTION("IF(ISBLANK($C89), """", GOOGLEFINANCE($C89, ""price""))"),13.79)</f>
        <v>13.79</v>
      </c>
      <c r="P89" s="16">
        <f t="shared" si="2"/>
        <v>-0.07820855615</v>
      </c>
      <c r="Q89" s="16">
        <f>IFERROR(__xludf.DUMMYFUNCTION("IF(OR(ISBLANK($G89), IFERROR(INDEX(GOOGLEFINANCE($C89, ""price"", WORKDAY(INT($B89), 1)), 2, 2), """")=""""), """", IF($D89=""LONG"", (IFERROR(INDEX(GOOGLEFINANCE($C89, ""price"", WORKDAY(INT($B89), 1)), 2, 2), """")-$G89)/$G89, ($G89-IFERROR(INDEX(GOOGLE"&amp;"FINANCE($C89, ""price"", WORKDAY(INT($B89), 1)), 2, 2), """"))/$G89))"),0.0213903743315507)</f>
        <v>0.02139037433</v>
      </c>
      <c r="R89" s="16">
        <f>IFERROR(__xludf.DUMMYFUNCTION("IF(OR(ISBLANK($G89), IFERROR(INDEX(GOOGLEFINANCE($C89, ""price"", WORKDAY(INT($B89), 5)), 2, 2), """")=""""), """", IF($D89=""LONG"", (IFERROR(INDEX(GOOGLEFINANCE($C89, ""price"", WORKDAY(INT($B89), 5)), 2, 2), """")-$G89)/$G89, ($G89-IFERROR(INDEX(GOOGLE"&amp;"FINANCE($C89, ""price"", WORKDAY(INT($B89), 5)), 2, 2), """"))/$G89))"),-0.048128342245989345)</f>
        <v>-0.04812834225</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5354</v>
      </c>
      <c r="U89" s="10" t="s">
        <v>492</v>
      </c>
      <c r="V89" s="10" t="s">
        <v>493</v>
      </c>
      <c r="W89" s="10" t="s">
        <v>51</v>
      </c>
      <c r="X89" s="10" t="s">
        <v>492</v>
      </c>
    </row>
    <row r="90">
      <c r="A90" s="9">
        <f t="shared" si="1"/>
        <v>89</v>
      </c>
      <c r="B90" s="11">
        <v>46231.66782407407</v>
      </c>
      <c r="C90" s="10" t="s">
        <v>77</v>
      </c>
      <c r="D90" s="10" t="s">
        <v>36</v>
      </c>
      <c r="E90" s="10" t="s">
        <v>37</v>
      </c>
      <c r="F90" s="13">
        <v>2.0</v>
      </c>
      <c r="G90" s="14">
        <v>112.54</v>
      </c>
      <c r="H90" s="10" t="s">
        <v>5357</v>
      </c>
      <c r="I90" s="10">
        <v>72.3</v>
      </c>
      <c r="O90" s="15">
        <f>IFERROR(__xludf.DUMMYFUNCTION("IF(ISBLANK($C90), """", GOOGLEFINANCE($C90, ""price""))"),108.27)</f>
        <v>108.27</v>
      </c>
      <c r="P90" s="16">
        <f t="shared" si="2"/>
        <v>-0.03794206504</v>
      </c>
      <c r="Q90" s="16">
        <f>IFERROR(__xludf.DUMMYFUNCTION("IF(OR(ISBLANK($G90), IFERROR(INDEX(GOOGLEFINANCE($C90, ""price"", WORKDAY(INT($B90), 1)), 2, 2), """")=""""), """", IF($D90=""LONG"", (IFERROR(INDEX(GOOGLEFINANCE($C90, ""price"", WORKDAY(INT($B90), 1)), 2, 2), """")-$G90)/$G90, ($G90-IFERROR(INDEX(GOOGLE"&amp;"FINANCE($C90, ""price"", WORKDAY(INT($B90), 1)), 2, 2), """"))/$G90))"),-0.022836324862271256)</f>
        <v>-0.02283632486</v>
      </c>
      <c r="R90" s="16">
        <f>IFERROR(__xludf.DUMMYFUNCTION("IF(OR(ISBLANK($G90), IFERROR(INDEX(GOOGLEFINANCE($C90, ""price"", WORKDAY(INT($B90), 5)), 2, 2), """")=""""), """", IF($D90=""LONG"", (IFERROR(INDEX(GOOGLEFINANCE($C90, ""price"", WORKDAY(INT($B90), 5)), 2, 2), """")-$G90)/$G90, ($G90-IFERROR(INDEX(GOOGLE"&amp;"FINANCE($C90, ""price"", WORKDAY(INT($B90), 5)), 2, 2), """"))/$G90))"),-0.0275457615070198)</f>
        <v>-0.02754576151</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5362</v>
      </c>
      <c r="U90" s="10" t="s">
        <v>492</v>
      </c>
      <c r="V90" s="10" t="s">
        <v>493</v>
      </c>
      <c r="W90" s="10" t="s">
        <v>51</v>
      </c>
      <c r="X90" s="10" t="s">
        <v>492</v>
      </c>
    </row>
    <row r="91">
      <c r="A91" s="9">
        <f t="shared" si="1"/>
        <v>90</v>
      </c>
      <c r="B91" s="11">
        <v>46231.667905092596</v>
      </c>
      <c r="C91" s="10" t="s">
        <v>4567</v>
      </c>
      <c r="D91" s="10" t="s">
        <v>36</v>
      </c>
      <c r="E91" s="10" t="s">
        <v>37</v>
      </c>
      <c r="F91" s="13">
        <v>2.0</v>
      </c>
      <c r="G91" s="14">
        <v>83.19</v>
      </c>
      <c r="H91" s="10" t="s">
        <v>3672</v>
      </c>
      <c r="I91" s="10">
        <v>93.3</v>
      </c>
      <c r="O91" s="15">
        <f>IFERROR(__xludf.DUMMYFUNCTION("IF(ISBLANK($C91), """", GOOGLEFINANCE($C91, ""price""))"),77.51)</f>
        <v>77.51</v>
      </c>
      <c r="P91" s="16">
        <f t="shared" si="2"/>
        <v>-0.06827743719</v>
      </c>
      <c r="Q91" s="16">
        <f>IFERROR(__xludf.DUMMYFUNCTION("IF(OR(ISBLANK($G91), IFERROR(INDEX(GOOGLEFINANCE($C91, ""price"", WORKDAY(INT($B91), 1)), 2, 2), """")=""""), """", IF($D91=""LONG"", (IFERROR(INDEX(GOOGLEFINANCE($C91, ""price"", WORKDAY(INT($B91), 1)), 2, 2), """")-$G91)/$G91, ($G91-IFERROR(INDEX(GOOGLE"&amp;"FINANCE($C91, ""price"", WORKDAY(INT($B91), 1)), 2, 2), """"))/$G91))"),-0.03377809832912613)</f>
        <v>-0.03377809833</v>
      </c>
      <c r="R91" s="16">
        <f>IFERROR(__xludf.DUMMYFUNCTION("IF(OR(ISBLANK($G91), IFERROR(INDEX(GOOGLEFINANCE($C91, ""price"", WORKDAY(INT($B91), 5)), 2, 2), """")=""""), """", IF($D91=""LONG"", (IFERROR(INDEX(GOOGLEFINANCE($C91, ""price"", WORKDAY(INT($B91), 5)), 2, 2), """")-$G91)/$G91, ($G91-IFERROR(INDEX(GOOGLE"&amp;"FINANCE($C91, ""price"", WORKDAY(INT($B91), 5)), 2, 2), """"))/$G91))"),-0.039908642865728976)</f>
        <v>-0.03990864287</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5366</v>
      </c>
      <c r="U91" s="10" t="s">
        <v>492</v>
      </c>
      <c r="V91" s="10" t="s">
        <v>493</v>
      </c>
      <c r="W91" s="10" t="s">
        <v>51</v>
      </c>
      <c r="X91" s="10" t="s">
        <v>492</v>
      </c>
    </row>
    <row r="92">
      <c r="A92" s="9">
        <f t="shared" si="1"/>
        <v>91</v>
      </c>
      <c r="B92" s="11">
        <v>46231.66780092593</v>
      </c>
      <c r="C92" s="10" t="s">
        <v>5367</v>
      </c>
      <c r="D92" s="10" t="s">
        <v>36</v>
      </c>
      <c r="E92" s="10" t="s">
        <v>4224</v>
      </c>
      <c r="F92" s="13">
        <v>4.0</v>
      </c>
      <c r="G92" s="14">
        <v>463.79</v>
      </c>
      <c r="H92" s="10" t="s">
        <v>5368</v>
      </c>
      <c r="I92" s="10">
        <v>18.2</v>
      </c>
      <c r="O92" s="15">
        <f>IFERROR(__xludf.DUMMYFUNCTION("IF(ISBLANK($C92), """", GOOGLEFINANCE($C92, ""price""))"),451.52)</f>
        <v>451.52</v>
      </c>
      <c r="P92" s="16">
        <f t="shared" si="2"/>
        <v>-0.02645593911</v>
      </c>
      <c r="Q92" s="16">
        <f>IFERROR(__xludf.DUMMYFUNCTION("IF(OR(ISBLANK($G92), IFERROR(INDEX(GOOGLEFINANCE($C92, ""price"", WORKDAY(INT($B92), 1)), 2, 2), """")=""""), """", IF($D92=""LONG"", (IFERROR(INDEX(GOOGLEFINANCE($C92, ""price"", WORKDAY(INT($B92), 1)), 2, 2), """")-$G92)/$G92, ($G92-IFERROR(INDEX(GOOGLE"&amp;"FINANCE($C92, ""price"", WORKDAY(INT($B92), 1)), 2, 2), """"))/$G92))"),-0.0037732594493197352)</f>
        <v>-0.003773259449</v>
      </c>
      <c r="R92" s="16">
        <f>IFERROR(__xludf.DUMMYFUNCTION("IF(OR(ISBLANK($G92), IFERROR(INDEX(GOOGLEFINANCE($C92, ""price"", WORKDAY(INT($B92), 5)), 2, 2), """")=""""), """", IF($D92=""LONG"", (IFERROR(INDEX(GOOGLEFINANCE($C92, ""price"", WORKDAY(INT($B92), 5)), 2, 2), """")-$G92)/$G92, ($G92-IFERROR(INDEX(GOOGLE"&amp;"FINANCE($C92, ""price"", WORKDAY(INT($B92), 5)), 2, 2), """"))/$G92))"),0.1827766877250478)</f>
        <v>0.1827766877</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5375</v>
      </c>
      <c r="U92" s="10" t="s">
        <v>492</v>
      </c>
      <c r="V92" s="10" t="s">
        <v>493</v>
      </c>
      <c r="W92" s="10" t="s">
        <v>51</v>
      </c>
      <c r="X92" s="10" t="s">
        <v>492</v>
      </c>
    </row>
    <row r="93">
      <c r="A93" s="9">
        <f t="shared" si="1"/>
        <v>92</v>
      </c>
      <c r="B93" s="11">
        <v>46231.66789351852</v>
      </c>
      <c r="C93" s="10" t="s">
        <v>66</v>
      </c>
      <c r="D93" s="10" t="s">
        <v>36</v>
      </c>
      <c r="E93" s="10" t="s">
        <v>37</v>
      </c>
      <c r="F93" s="13">
        <v>2.0</v>
      </c>
      <c r="G93" s="14">
        <v>282.98</v>
      </c>
      <c r="H93" s="10" t="s">
        <v>5376</v>
      </c>
      <c r="I93" s="10">
        <v>80.3</v>
      </c>
      <c r="O93" s="15">
        <f>IFERROR(__xludf.DUMMYFUNCTION("IF(ISBLANK($C93), """", GOOGLEFINANCE($C93, ""price""))"),296.4)</f>
        <v>296.4</v>
      </c>
      <c r="P93" s="16">
        <f t="shared" si="2"/>
        <v>0.04742384621</v>
      </c>
      <c r="Q93" s="16">
        <f>IFERROR(__xludf.DUMMYFUNCTION("IF(OR(ISBLANK($G93), IFERROR(INDEX(GOOGLEFINANCE($C93, ""price"", WORKDAY(INT($B93), 1)), 2, 2), """")=""""), """", IF($D93=""LONG"", (IFERROR(INDEX(GOOGLEFINANCE($C93, ""price"", WORKDAY(INT($B93), 1)), 2, 2), """")-$G93)/$G93, ($G93-IFERROR(INDEX(GOOGLE"&amp;"FINANCE($C93, ""price"", WORKDAY(INT($B93), 1)), 2, 2), """"))/$G93))"),-0.006996960915965856)</f>
        <v>-0.006996960916</v>
      </c>
      <c r="R93" s="16">
        <f>IFERROR(__xludf.DUMMYFUNCTION("IF(OR(ISBLANK($G93), IFERROR(INDEX(GOOGLEFINANCE($C93, ""price"", WORKDAY(INT($B93), 5)), 2, 2), """")=""""), """", IF($D93=""LONG"", (IFERROR(INDEX(GOOGLEFINANCE($C93, ""price"", WORKDAY(INT($B93), 5)), 2, 2), """")-$G93)/$G93, ($G93-IFERROR(INDEX(GOOGLE"&amp;"FINANCE($C93, ""price"", WORKDAY(INT($B93), 5)), 2, 2), """"))/$G93))"),-0.005901477136193427)</f>
        <v>-0.005901477136</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5381</v>
      </c>
      <c r="U93" s="10" t="s">
        <v>492</v>
      </c>
      <c r="V93" s="10" t="s">
        <v>493</v>
      </c>
      <c r="W93" s="10" t="s">
        <v>51</v>
      </c>
      <c r="X93" s="10" t="s">
        <v>492</v>
      </c>
    </row>
    <row r="94">
      <c r="A94" s="9">
        <f t="shared" si="1"/>
        <v>93</v>
      </c>
      <c r="B94" s="11">
        <v>46231.667905092596</v>
      </c>
      <c r="C94" s="10" t="s">
        <v>1171</v>
      </c>
      <c r="D94" s="10" t="s">
        <v>36</v>
      </c>
      <c r="E94" s="10" t="s">
        <v>37</v>
      </c>
      <c r="F94" s="13">
        <v>2.0</v>
      </c>
      <c r="G94" s="14">
        <v>243.59</v>
      </c>
      <c r="H94" s="10" t="s">
        <v>5383</v>
      </c>
      <c r="I94" s="10">
        <v>87.1</v>
      </c>
      <c r="O94" s="15">
        <f>IFERROR(__xludf.DUMMYFUNCTION("IF(ISBLANK($C94), """", GOOGLEFINANCE($C94, ""price""))"),236.0)</f>
        <v>236</v>
      </c>
      <c r="P94" s="16">
        <f t="shared" si="2"/>
        <v>-0.03115891457</v>
      </c>
      <c r="Q94" s="16">
        <f>IFERROR(__xludf.DUMMYFUNCTION("IF(OR(ISBLANK($G94), IFERROR(INDEX(GOOGLEFINANCE($C94, ""price"", WORKDAY(INT($B94), 1)), 2, 2), """")=""""), """", IF($D94=""LONG"", (IFERROR(INDEX(GOOGLEFINANCE($C94, ""price"", WORKDAY(INT($B94), 1)), 2, 2), """")-$G94)/$G94, ($G94-IFERROR(INDEX(GOOGLE"&amp;"FINANCE($C94, ""price"", WORKDAY(INT($B94), 1)), 2, 2), """"))/$G94))"),-0.010304199679789773)</f>
        <v>-0.01030419968</v>
      </c>
      <c r="R94" s="16">
        <f>IFERROR(__xludf.DUMMYFUNCTION("IF(OR(ISBLANK($G94), IFERROR(INDEX(GOOGLEFINANCE($C94, ""price"", WORKDAY(INT($B94), 5)), 2, 2), """")=""""), """", IF($D94=""LONG"", (IFERROR(INDEX(GOOGLEFINANCE($C94, ""price"", WORKDAY(INT($B94), 5)), 2, 2), """")-$G94)/$G94, ($G94-IFERROR(INDEX(GOOGLE"&amp;"FINANCE($C94, ""price"", WORKDAY(INT($B94), 5)), 2, 2), """"))/$G94))"),-0.04934521121556718)</f>
        <v>-0.04934521122</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5386</v>
      </c>
      <c r="U94" s="10" t="s">
        <v>492</v>
      </c>
      <c r="V94" s="10" t="s">
        <v>493</v>
      </c>
      <c r="W94" s="10" t="s">
        <v>51</v>
      </c>
      <c r="X94" s="10" t="s">
        <v>492</v>
      </c>
    </row>
    <row r="95">
      <c r="A95" s="9">
        <f t="shared" si="1"/>
        <v>94</v>
      </c>
      <c r="B95" s="11">
        <v>46231.66780092593</v>
      </c>
      <c r="C95" s="10" t="s">
        <v>108</v>
      </c>
      <c r="D95" s="10" t="s">
        <v>36</v>
      </c>
      <c r="E95" s="10" t="s">
        <v>37</v>
      </c>
      <c r="F95" s="13">
        <v>2.0</v>
      </c>
      <c r="G95" s="14">
        <v>126.76</v>
      </c>
      <c r="H95" s="10" t="s">
        <v>5387</v>
      </c>
      <c r="I95" s="10">
        <v>94.9</v>
      </c>
      <c r="O95" s="15">
        <f>IFERROR(__xludf.DUMMYFUNCTION("IF(ISBLANK($C95), """", GOOGLEFINANCE($C95, ""price""))"),129.68)</f>
        <v>129.68</v>
      </c>
      <c r="P95" s="16">
        <f t="shared" si="2"/>
        <v>0.02303565794</v>
      </c>
      <c r="Q95" s="16">
        <f>IFERROR(__xludf.DUMMYFUNCTION("IF(OR(ISBLANK($G95), IFERROR(INDEX(GOOGLEFINANCE($C95, ""price"", WORKDAY(INT($B95), 1)), 2, 2), """")=""""), """", IF($D95=""LONG"", (IFERROR(INDEX(GOOGLEFINANCE($C95, ""price"", WORKDAY(INT($B95), 1)), 2, 2), """")-$G95)/$G95, ($G95-IFERROR(INDEX(GOOGLE"&amp;"FINANCE($C95, ""price"", WORKDAY(INT($B95), 1)), 2, 2), """"))/$G95))"),0.01727674345219299)</f>
        <v>0.01727674345</v>
      </c>
      <c r="R95" s="16">
        <f>IFERROR(__xludf.DUMMYFUNCTION("IF(OR(ISBLANK($G95), IFERROR(INDEX(GOOGLEFINANCE($C95, ""price"", WORKDAY(INT($B95), 5)), 2, 2), """")=""""), """", IF($D95=""LONG"", (IFERROR(INDEX(GOOGLEFINANCE($C95, ""price"", WORKDAY(INT($B95), 5)), 2, 2), """")-$G95)/$G95, ($G95-IFERROR(INDEX(GOOGLE"&amp;"FINANCE($C95, ""price"", WORKDAY(INT($B95), 5)), 2, 2), """"))/$G95))"),0.031161249605553824)</f>
        <v>0.03116124961</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5390</v>
      </c>
      <c r="U95" s="10" t="s">
        <v>492</v>
      </c>
      <c r="V95" s="10" t="s">
        <v>493</v>
      </c>
      <c r="W95" s="10" t="s">
        <v>51</v>
      </c>
      <c r="X95" s="10" t="s">
        <v>492</v>
      </c>
    </row>
    <row r="96">
      <c r="A96" s="9">
        <f t="shared" si="1"/>
        <v>95</v>
      </c>
      <c r="B96" s="11">
        <v>46231.667905092596</v>
      </c>
      <c r="C96" s="10" t="s">
        <v>63</v>
      </c>
      <c r="D96" s="10" t="s">
        <v>36</v>
      </c>
      <c r="E96" s="10" t="s">
        <v>37</v>
      </c>
      <c r="F96" s="13">
        <v>2.0</v>
      </c>
      <c r="G96" s="14">
        <v>156.49</v>
      </c>
      <c r="H96" s="10" t="s">
        <v>5391</v>
      </c>
      <c r="I96" s="10">
        <v>85.0</v>
      </c>
      <c r="O96" s="15">
        <f>IFERROR(__xludf.DUMMYFUNCTION("IF(ISBLANK($C96), """", GOOGLEFINANCE($C96, ""price""))"),158.82)</f>
        <v>158.82</v>
      </c>
      <c r="P96" s="16">
        <f t="shared" si="2"/>
        <v>0.0148891303</v>
      </c>
      <c r="Q96" s="16">
        <f>IFERROR(__xludf.DUMMYFUNCTION("IF(OR(ISBLANK($G96), IFERROR(INDEX(GOOGLEFINANCE($C96, ""price"", WORKDAY(INT($B96), 1)), 2, 2), """")=""""), """", IF($D96=""LONG"", (IFERROR(INDEX(GOOGLEFINANCE($C96, ""price"", WORKDAY(INT($B96), 1)), 2, 2), """")-$G96)/$G96, ($G96-IFERROR(INDEX(GOOGLE"&amp;"FINANCE($C96, ""price"", WORKDAY(INT($B96), 1)), 2, 2), """"))/$G96))"),-0.02549683685858527)</f>
        <v>-0.02549683686</v>
      </c>
      <c r="R96" s="16">
        <f>IFERROR(__xludf.DUMMYFUNCTION("IF(OR(ISBLANK($G96), IFERROR(INDEX(GOOGLEFINANCE($C96, ""price"", WORKDAY(INT($B96), 5)), 2, 2), """")=""""), """", IF($D96=""LONG"", (IFERROR(INDEX(GOOGLEFINANCE($C96, ""price"", WORKDAY(INT($B96), 5)), 2, 2), """")-$G96)/$G96, ($G96-IFERROR(INDEX(GOOGLE"&amp;"FINANCE($C96, ""price"", WORKDAY(INT($B96), 5)), 2, 2), """"))/$G96))"),0.0021087609431911566)</f>
        <v>0.002108760943</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5394</v>
      </c>
      <c r="U96" s="10" t="s">
        <v>492</v>
      </c>
      <c r="V96" s="10" t="s">
        <v>493</v>
      </c>
      <c r="W96" s="10" t="s">
        <v>51</v>
      </c>
      <c r="X96" s="10" t="s">
        <v>492</v>
      </c>
    </row>
    <row r="97">
      <c r="A97" s="9">
        <f t="shared" si="1"/>
        <v>96</v>
      </c>
      <c r="B97" s="11">
        <v>46231.66768518519</v>
      </c>
      <c r="C97" s="10" t="s">
        <v>149</v>
      </c>
      <c r="D97" s="10" t="s">
        <v>36</v>
      </c>
      <c r="E97" s="10" t="s">
        <v>37</v>
      </c>
      <c r="F97" s="13">
        <v>2.0</v>
      </c>
      <c r="G97" s="14">
        <v>129.68</v>
      </c>
      <c r="H97" s="10" t="s">
        <v>5395</v>
      </c>
      <c r="I97" s="10">
        <v>87.1</v>
      </c>
      <c r="O97" s="15">
        <f>IFERROR(__xludf.DUMMYFUNCTION("IF(ISBLANK($C97), """", GOOGLEFINANCE($C97, ""price""))"),132.79)</f>
        <v>132.79</v>
      </c>
      <c r="P97" s="16">
        <f t="shared" si="2"/>
        <v>0.02398210981</v>
      </c>
      <c r="Q97" s="16">
        <f>IFERROR(__xludf.DUMMYFUNCTION("IF(OR(ISBLANK($G97), IFERROR(INDEX(GOOGLEFINANCE($C97, ""price"", WORKDAY(INT($B97), 1)), 2, 2), """")=""""), """", IF($D97=""LONG"", (IFERROR(INDEX(GOOGLEFINANCE($C97, ""price"", WORKDAY(INT($B97), 1)), 2, 2), """")-$G97)/$G97, ($G97-IFERROR(INDEX(GOOGLE"&amp;"FINANCE($C97, ""price"", WORKDAY(INT($B97), 1)), 2, 2), """"))/$G97))"),0.0023133867982725394)</f>
        <v>0.002313386798</v>
      </c>
      <c r="R97" s="16">
        <f>IFERROR(__xludf.DUMMYFUNCTION("IF(OR(ISBLANK($G97), IFERROR(INDEX(GOOGLEFINANCE($C97, ""price"", WORKDAY(INT($B97), 5)), 2, 2), """")=""""), """", IF($D97=""LONG"", (IFERROR(INDEX(GOOGLEFINANCE($C97, ""price"", WORKDAY(INT($B97), 5)), 2, 2), """")-$G97)/$G97, ($G97-IFERROR(INDEX(GOOGLE"&amp;"FINANCE($C97, ""price"", WORKDAY(INT($B97), 5)), 2, 2), """"))/$G97))"),0.022131400370141923)</f>
        <v>0.02213140037</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5398</v>
      </c>
      <c r="U97" s="10" t="s">
        <v>492</v>
      </c>
      <c r="V97" s="10" t="s">
        <v>493</v>
      </c>
      <c r="W97" s="10" t="s">
        <v>51</v>
      </c>
      <c r="X97" s="10" t="s">
        <v>492</v>
      </c>
    </row>
    <row r="98">
      <c r="A98" s="9">
        <f t="shared" si="1"/>
        <v>97</v>
      </c>
      <c r="B98" s="11">
        <v>46231.66805555556</v>
      </c>
      <c r="C98" s="10" t="s">
        <v>148</v>
      </c>
      <c r="D98" s="10" t="s">
        <v>36</v>
      </c>
      <c r="E98" s="10" t="s">
        <v>37</v>
      </c>
      <c r="F98" s="13">
        <v>2.0</v>
      </c>
      <c r="G98" s="14">
        <v>199.03</v>
      </c>
      <c r="H98" s="10" t="s">
        <v>5399</v>
      </c>
      <c r="I98" s="10">
        <v>88.2</v>
      </c>
      <c r="O98" s="15">
        <f>IFERROR(__xludf.DUMMYFUNCTION("IF(ISBLANK($C98), """", GOOGLEFINANCE($C98, ""price""))"),199.98)</f>
        <v>199.98</v>
      </c>
      <c r="P98" s="16">
        <f t="shared" si="2"/>
        <v>0.004773149776</v>
      </c>
      <c r="Q98" s="16">
        <f>IFERROR(__xludf.DUMMYFUNCTION("IF(OR(ISBLANK($G98), IFERROR(INDEX(GOOGLEFINANCE($C98, ""price"", WORKDAY(INT($B98), 1)), 2, 2), """")=""""), """", IF($D98=""LONG"", (IFERROR(INDEX(GOOGLEFINANCE($C98, ""price"", WORKDAY(INT($B98), 1)), 2, 2), """")-$G98)/$G98, ($G98-IFERROR(INDEX(GOOGLE"&amp;"FINANCE($C98, ""price"", WORKDAY(INT($B98), 1)), 2, 2), """"))/$G98))"),-0.012761895191679607)</f>
        <v>-0.01276189519</v>
      </c>
      <c r="R98" s="16">
        <f>IFERROR(__xludf.DUMMYFUNCTION("IF(OR(ISBLANK($G98), IFERROR(INDEX(GOOGLEFINANCE($C98, ""price"", WORKDAY(INT($B98), 5)), 2, 2), """")=""""), """", IF($D98=""LONG"", (IFERROR(INDEX(GOOGLEFINANCE($C98, ""price"", WORKDAY(INT($B98), 5)), 2, 2), """")-$G98)/$G98, ($G98-IFERROR(INDEX(GOOGLE"&amp;"FINANCE($C98, ""price"", WORKDAY(INT($B98), 5)), 2, 2), """"))/$G98))"),-0.021353564789227755)</f>
        <v>-0.02135356479</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5402</v>
      </c>
      <c r="U98" s="10" t="s">
        <v>492</v>
      </c>
      <c r="V98" s="10" t="s">
        <v>493</v>
      </c>
      <c r="W98" s="10" t="s">
        <v>51</v>
      </c>
      <c r="X98" s="10" t="s">
        <v>492</v>
      </c>
    </row>
    <row r="99">
      <c r="A99" s="9">
        <f t="shared" si="1"/>
        <v>98</v>
      </c>
      <c r="B99" s="11">
        <v>46231.66805555556</v>
      </c>
      <c r="C99" s="10" t="s">
        <v>4757</v>
      </c>
      <c r="D99" s="10" t="s">
        <v>36</v>
      </c>
      <c r="E99" s="10" t="s">
        <v>4224</v>
      </c>
      <c r="F99" s="13">
        <v>4.0</v>
      </c>
      <c r="G99" s="14">
        <v>269.73</v>
      </c>
      <c r="H99" s="10" t="s">
        <v>5403</v>
      </c>
      <c r="I99" s="10">
        <v>31.6</v>
      </c>
      <c r="O99" s="15">
        <f>IFERROR(__xludf.DUMMYFUNCTION("IF(ISBLANK($C99), """", GOOGLEFINANCE($C99, ""price""))"),305.77)</f>
        <v>305.77</v>
      </c>
      <c r="P99" s="16">
        <f t="shared" si="2"/>
        <v>0.1336150966</v>
      </c>
      <c r="Q99" s="16">
        <f>IFERROR(__xludf.DUMMYFUNCTION("IF(OR(ISBLANK($G99), IFERROR(INDEX(GOOGLEFINANCE($C99, ""price"", WORKDAY(INT($B99), 1)), 2, 2), """")=""""), """", IF($D99=""LONG"", (IFERROR(INDEX(GOOGLEFINANCE($C99, ""price"", WORKDAY(INT($B99), 1)), 2, 2), """")-$G99)/$G99, ($G99-IFERROR(INDEX(GOOGLE"&amp;"FINANCE($C99, ""price"", WORKDAY(INT($B99), 1)), 2, 2), """"))/$G99))"),-0.064434805175546)</f>
        <v>-0.06443480518</v>
      </c>
      <c r="R99" s="16">
        <f>IFERROR(__xludf.DUMMYFUNCTION("IF(OR(ISBLANK($G99), IFERROR(INDEX(GOOGLEFINANCE($C99, ""price"", WORKDAY(INT($B99), 5)), 2, 2), """")=""""), """", IF($D99=""LONG"", (IFERROR(INDEX(GOOGLEFINANCE($C99, ""price"", WORKDAY(INT($B99), 5)), 2, 2), """")-$G99)/$G99, ($G99-IFERROR(INDEX(GOOGLE"&amp;"FINANCE($C99, ""price"", WORKDAY(INT($B99), 5)), 2, 2), """"))/$G99))"),0.17799280762243722)</f>
        <v>0.1779928076</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5406</v>
      </c>
      <c r="U99" s="10" t="s">
        <v>492</v>
      </c>
      <c r="V99" s="10" t="s">
        <v>493</v>
      </c>
      <c r="W99" s="10" t="s">
        <v>51</v>
      </c>
      <c r="X99" s="10" t="s">
        <v>492</v>
      </c>
    </row>
    <row r="100">
      <c r="A100" s="9">
        <f t="shared" si="1"/>
        <v>99</v>
      </c>
      <c r="B100" s="11">
        <v>46231.667592592596</v>
      </c>
      <c r="C100" s="10" t="s">
        <v>323</v>
      </c>
      <c r="D100" s="10" t="s">
        <v>36</v>
      </c>
      <c r="E100" s="10" t="s">
        <v>37</v>
      </c>
      <c r="F100" s="13">
        <v>2.0</v>
      </c>
      <c r="G100" s="14">
        <v>208.91</v>
      </c>
      <c r="H100" s="10" t="s">
        <v>5407</v>
      </c>
      <c r="I100" s="10">
        <v>86.3</v>
      </c>
      <c r="O100" s="15">
        <f>IFERROR(__xludf.DUMMYFUNCTION("IF(ISBLANK($C100), """", GOOGLEFINANCE($C100, ""price""))"),209.7)</f>
        <v>209.7</v>
      </c>
      <c r="P100" s="16">
        <f t="shared" si="2"/>
        <v>0.003781532717</v>
      </c>
      <c r="Q100" s="16">
        <f>IFERROR(__xludf.DUMMYFUNCTION("IF(OR(ISBLANK($G100), IFERROR(INDEX(GOOGLEFINANCE($C100, ""price"", WORKDAY(INT($B100), 1)), 2, 2), """")=""""), """", IF($D100=""LONG"", (IFERROR(INDEX(GOOGLEFINANCE($C100, ""price"", WORKDAY(INT($B100), 1)), 2, 2), """")-$G100)/$G100, ($G100-IFERROR(IND"&amp;"EX(GOOGLEFINANCE($C100, ""price"", WORKDAY(INT($B100), 1)), 2, 2), """"))/$G100))"),0.0)</f>
        <v>0</v>
      </c>
      <c r="R100" s="16">
        <f>IFERROR(__xludf.DUMMYFUNCTION("IF(OR(ISBLANK($G100), IFERROR(INDEX(GOOGLEFINANCE($C100, ""price"", WORKDAY(INT($B100), 5)), 2, 2), """")=""""), """", IF($D100=""LONG"", (IFERROR(INDEX(GOOGLEFINANCE($C100, ""price"", WORKDAY(INT($B100), 5)), 2, 2), """")-$G100)/$G100, ($G100-IFERROR(IND"&amp;"EX(GOOGLEFINANCE($C100, ""price"", WORKDAY(INT($B100), 5)), 2, 2), """"))/$G100))"),0.003781532717438093)</f>
        <v>0.003781532717</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5410</v>
      </c>
      <c r="U100" s="10" t="s">
        <v>492</v>
      </c>
      <c r="V100" s="10" t="s">
        <v>493</v>
      </c>
      <c r="W100" s="10" t="s">
        <v>51</v>
      </c>
      <c r="X100" s="10" t="s">
        <v>492</v>
      </c>
    </row>
    <row r="101">
      <c r="A101" s="9">
        <f t="shared" si="1"/>
        <v>100</v>
      </c>
      <c r="B101" s="11">
        <v>46231.66777777778</v>
      </c>
      <c r="C101" s="10" t="s">
        <v>257</v>
      </c>
      <c r="D101" s="10" t="s">
        <v>36</v>
      </c>
      <c r="E101" s="10" t="s">
        <v>37</v>
      </c>
      <c r="F101" s="13">
        <v>2.0</v>
      </c>
      <c r="G101" s="14">
        <v>70.01</v>
      </c>
      <c r="H101" s="10" t="s">
        <v>5411</v>
      </c>
      <c r="I101" s="10">
        <v>90.4</v>
      </c>
      <c r="O101" s="15">
        <f>IFERROR(__xludf.DUMMYFUNCTION("IF(ISBLANK($C101), """", GOOGLEFINANCE($C101, ""price""))"),68.81)</f>
        <v>68.81</v>
      </c>
      <c r="P101" s="16">
        <f t="shared" si="2"/>
        <v>-0.01714040851</v>
      </c>
      <c r="Q101" s="16">
        <f>IFERROR(__xludf.DUMMYFUNCTION("IF(OR(ISBLANK($G101), IFERROR(INDEX(GOOGLEFINANCE($C101, ""price"", WORKDAY(INT($B101), 1)), 2, 2), """")=""""), """", IF($D101=""LONG"", (IFERROR(INDEX(GOOGLEFINANCE($C101, ""price"", WORKDAY(INT($B101), 1)), 2, 2), """")-$G101)/$G101, ($G101-IFERROR(IND"&amp;"EX(GOOGLEFINANCE($C101, ""price"", WORKDAY(INT($B101), 1)), 2, 2), """"))/$G101))"),0.04227967433223816)</f>
        <v>0.04227967433</v>
      </c>
      <c r="R101" s="16">
        <f>IFERROR(__xludf.DUMMYFUNCTION("IF(OR(ISBLANK($G101), IFERROR(INDEX(GOOGLEFINANCE($C101, ""price"", WORKDAY(INT($B101), 5)), 2, 2), """")=""""), """", IF($D101=""LONG"", (IFERROR(INDEX(GOOGLEFINANCE($C101, ""price"", WORKDAY(INT($B101), 5)), 2, 2), """")-$G101)/$G101, ($G101-IFERROR(IND"&amp;"EX(GOOGLEFINANCE($C101, ""price"", WORKDAY(INT($B101), 5)), 2, 2), """"))/$G101))"),0.00942722468218821)</f>
        <v>0.009427224682</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5414</v>
      </c>
      <c r="U101" s="10" t="s">
        <v>492</v>
      </c>
      <c r="V101" s="10" t="s">
        <v>493</v>
      </c>
      <c r="W101" s="10" t="s">
        <v>51</v>
      </c>
      <c r="X101" s="10" t="s">
        <v>492</v>
      </c>
    </row>
    <row r="102">
      <c r="A102" s="9">
        <f t="shared" si="1"/>
        <v>101</v>
      </c>
      <c r="B102" s="11">
        <v>46231.667604166665</v>
      </c>
      <c r="C102" s="10" t="s">
        <v>2616</v>
      </c>
      <c r="D102" s="10" t="s">
        <v>36</v>
      </c>
      <c r="E102" s="10" t="s">
        <v>87</v>
      </c>
      <c r="F102" s="13">
        <v>2.0</v>
      </c>
      <c r="G102" s="14">
        <v>86.17</v>
      </c>
      <c r="H102" s="10" t="s">
        <v>5415</v>
      </c>
      <c r="I102" s="10">
        <v>38.2</v>
      </c>
      <c r="O102" s="15">
        <f>IFERROR(__xludf.DUMMYFUNCTION("IF(ISBLANK($C102), """", GOOGLEFINANCE($C102, ""price""))"),82.96)</f>
        <v>82.96</v>
      </c>
      <c r="P102" s="16">
        <f t="shared" si="2"/>
        <v>-0.03725194383</v>
      </c>
      <c r="Q102" s="16">
        <f>IFERROR(__xludf.DUMMYFUNCTION("IF(OR(ISBLANK($G102), IFERROR(INDEX(GOOGLEFINANCE($C102, ""price"", WORKDAY(INT($B102), 1)), 2, 2), """")=""""), """", IF($D102=""LONG"", (IFERROR(INDEX(GOOGLEFINANCE($C102, ""price"", WORKDAY(INT($B102), 1)), 2, 2), """")-$G102)/$G102, ($G102-IFERROR(IND"&amp;"EX(GOOGLEFINANCE($C102, ""price"", WORKDAY(INT($B102), 1)), 2, 2), """"))/$G102))"),0.027619821283509288)</f>
        <v>0.02761982128</v>
      </c>
      <c r="R102" s="16">
        <f>IFERROR(__xludf.DUMMYFUNCTION("IF(OR(ISBLANK($G102), IFERROR(INDEX(GOOGLEFINANCE($C102, ""price"", WORKDAY(INT($B102), 5)), 2, 2), """")=""""), """", IF($D102=""LONG"", (IFERROR(INDEX(GOOGLEFINANCE($C102, ""price"", WORKDAY(INT($B102), 5)), 2, 2), """")-$G102)/$G102, ($G102-IFERROR(IND"&amp;"EX(GOOGLEFINANCE($C102, ""price"", WORKDAY(INT($B102), 5)), 2, 2), """"))/$G102))"),0.020540791458744295)</f>
        <v>0.02054079146</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5417</v>
      </c>
      <c r="U102" s="10" t="s">
        <v>492</v>
      </c>
      <c r="V102" s="10" t="s">
        <v>493</v>
      </c>
      <c r="W102" s="10" t="s">
        <v>51</v>
      </c>
      <c r="X102" s="10" t="s">
        <v>492</v>
      </c>
    </row>
    <row r="103">
      <c r="A103" s="9">
        <f t="shared" si="1"/>
        <v>102</v>
      </c>
      <c r="B103" s="11">
        <v>46231.667546296296</v>
      </c>
      <c r="C103" s="10" t="s">
        <v>696</v>
      </c>
      <c r="D103" s="10" t="s">
        <v>36</v>
      </c>
      <c r="E103" s="10" t="s">
        <v>37</v>
      </c>
      <c r="F103" s="13">
        <v>2.0</v>
      </c>
      <c r="G103" s="14">
        <v>171.41</v>
      </c>
      <c r="H103" s="10" t="s">
        <v>5418</v>
      </c>
      <c r="I103" s="10">
        <v>89.6</v>
      </c>
      <c r="O103" s="15">
        <f>IFERROR(__xludf.DUMMYFUNCTION("IF(ISBLANK($C103), """", GOOGLEFINANCE($C103, ""price""))"),178.56)</f>
        <v>178.56</v>
      </c>
      <c r="P103" s="16">
        <f t="shared" si="2"/>
        <v>0.04171285223</v>
      </c>
      <c r="Q103" s="16">
        <f>IFERROR(__xludf.DUMMYFUNCTION("IF(OR(ISBLANK($G103), IFERROR(INDEX(GOOGLEFINANCE($C103, ""price"", WORKDAY(INT($B103), 1)), 2, 2), """")=""""), """", IF($D103=""LONG"", (IFERROR(INDEX(GOOGLEFINANCE($C103, ""price"", WORKDAY(INT($B103), 1)), 2, 2), """")-$G103)/$G103, ($G103-IFERROR(IND"&amp;"EX(GOOGLEFINANCE($C103, ""price"", WORKDAY(INT($B103), 1)), 2, 2), """"))/$G103))"),-0.007467475643194686)</f>
        <v>-0.007467475643</v>
      </c>
      <c r="R103" s="16">
        <f>IFERROR(__xludf.DUMMYFUNCTION("IF(OR(ISBLANK($G103), IFERROR(INDEX(GOOGLEFINANCE($C103, ""price"", WORKDAY(INT($B103), 5)), 2, 2), """")=""""), """", IF($D103=""LONG"", (IFERROR(INDEX(GOOGLEFINANCE($C103, ""price"", WORKDAY(INT($B103), 5)), 2, 2), """")-$G103)/$G103, ($G103-IFERROR(IND"&amp;"EX(GOOGLEFINANCE($C103, ""price"", WORKDAY(INT($B103), 5)), 2, 2), """"))/$G103))"),0.058748031036695604)</f>
        <v>0.05874803104</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5421</v>
      </c>
      <c r="U103" s="10" t="s">
        <v>492</v>
      </c>
      <c r="V103" s="10" t="s">
        <v>493</v>
      </c>
      <c r="W103" s="10" t="s">
        <v>51</v>
      </c>
      <c r="X103" s="10" t="s">
        <v>492</v>
      </c>
    </row>
    <row r="104">
      <c r="A104" s="9">
        <f t="shared" si="1"/>
        <v>103</v>
      </c>
      <c r="B104" s="11">
        <v>46231.667719907404</v>
      </c>
      <c r="C104" s="10" t="s">
        <v>288</v>
      </c>
      <c r="D104" s="10" t="s">
        <v>36</v>
      </c>
      <c r="E104" s="10" t="s">
        <v>37</v>
      </c>
      <c r="F104" s="13">
        <v>2.0</v>
      </c>
      <c r="G104" s="14">
        <v>19.75</v>
      </c>
      <c r="H104" s="10" t="s">
        <v>5422</v>
      </c>
      <c r="I104" s="10">
        <v>72.7</v>
      </c>
      <c r="O104" s="15">
        <f>IFERROR(__xludf.DUMMYFUNCTION("IF(ISBLANK($C104), """", GOOGLEFINANCE($C104, ""price""))"),19.18)</f>
        <v>19.18</v>
      </c>
      <c r="P104" s="16">
        <f t="shared" si="2"/>
        <v>-0.02886075949</v>
      </c>
      <c r="Q104" s="16">
        <f>IFERROR(__xludf.DUMMYFUNCTION("IF(OR(ISBLANK($G104), IFERROR(INDEX(GOOGLEFINANCE($C104, ""price"", WORKDAY(INT($B104), 1)), 2, 2), """")=""""), """", IF($D104=""LONG"", (IFERROR(INDEX(GOOGLEFINANCE($C104, ""price"", WORKDAY(INT($B104), 1)), 2, 2), """")-$G104)/$G104, ($G104-IFERROR(IND"&amp;"EX(GOOGLEFINANCE($C104, ""price"", WORKDAY(INT($B104), 1)), 2, 2), """"))/$G104))"),0.0020253164556961593)</f>
        <v>0.002025316456</v>
      </c>
      <c r="R104" s="16">
        <f>IFERROR(__xludf.DUMMYFUNCTION("IF(OR(ISBLANK($G104), IFERROR(INDEX(GOOGLEFINANCE($C104, ""price"", WORKDAY(INT($B104), 5)), 2, 2), """")=""""), """", IF($D104=""LONG"", (IFERROR(INDEX(GOOGLEFINANCE($C104, ""price"", WORKDAY(INT($B104), 5)), 2, 2), """")-$G104)/$G104, ($G104-IFERROR(IND"&amp;"EX(GOOGLEFINANCE($C104, ""price"", WORKDAY(INT($B104), 5)), 2, 2), """"))/$G104))"),-0.010126582278480976)</f>
        <v>-0.01012658228</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5425</v>
      </c>
      <c r="U104" s="10" t="s">
        <v>492</v>
      </c>
      <c r="V104" s="10" t="s">
        <v>493</v>
      </c>
      <c r="W104" s="10" t="s">
        <v>51</v>
      </c>
      <c r="X104" s="10" t="s">
        <v>492</v>
      </c>
    </row>
    <row r="105">
      <c r="A105" s="9">
        <f t="shared" si="1"/>
        <v>104</v>
      </c>
      <c r="B105" s="11">
        <v>46231.66783564815</v>
      </c>
      <c r="C105" s="10" t="s">
        <v>1633</v>
      </c>
      <c r="D105" s="10" t="s">
        <v>36</v>
      </c>
      <c r="E105" s="10" t="s">
        <v>87</v>
      </c>
      <c r="F105" s="13">
        <v>2.0</v>
      </c>
      <c r="G105" s="14">
        <v>140.56</v>
      </c>
      <c r="H105" s="10" t="s">
        <v>5426</v>
      </c>
      <c r="I105" s="10">
        <v>84.4</v>
      </c>
      <c r="O105" s="15">
        <f>IFERROR(__xludf.DUMMYFUNCTION("IF(ISBLANK($C105), """", GOOGLEFINANCE($C105, ""price""))"),141.34)</f>
        <v>141.34</v>
      </c>
      <c r="P105" s="16">
        <f t="shared" si="2"/>
        <v>0.005549231645</v>
      </c>
      <c r="Q105" s="16">
        <f>IFERROR(__xludf.DUMMYFUNCTION("IF(OR(ISBLANK($G105), IFERROR(INDEX(GOOGLEFINANCE($C105, ""price"", WORKDAY(INT($B105), 1)), 2, 2), """")=""""), """", IF($D105=""LONG"", (IFERROR(INDEX(GOOGLEFINANCE($C105, ""price"", WORKDAY(INT($B105), 1)), 2, 2), """")-$G105)/$G105, ($G105-IFERROR(IND"&amp;"EX(GOOGLEFINANCE($C105, ""price"", WORKDAY(INT($B105), 1)), 2, 2), """"))/$G105))"),-0.0018497438816163269)</f>
        <v>-0.001849743882</v>
      </c>
      <c r="R105" s="16">
        <f>IFERROR(__xludf.DUMMYFUNCTION("IF(OR(ISBLANK($G105), IFERROR(INDEX(GOOGLEFINANCE($C105, ""price"", WORKDAY(INT($B105), 5)), 2, 2), """")=""""), """", IF($D105=""LONG"", (IFERROR(INDEX(GOOGLEFINANCE($C105, ""price"", WORKDAY(INT($B105), 5)), 2, 2), """")-$G105)/$G105, ($G105-IFERROR(IND"&amp;"EX(GOOGLEFINANCE($C105, ""price"", WORKDAY(INT($B105), 5)), 2, 2), """"))/$G105))"),-0.009675583380762761)</f>
        <v>-0.009675583381</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5429</v>
      </c>
      <c r="U105" s="10" t="s">
        <v>492</v>
      </c>
      <c r="V105" s="10" t="s">
        <v>493</v>
      </c>
      <c r="W105" s="10" t="s">
        <v>51</v>
      </c>
      <c r="X105" s="10" t="s">
        <v>492</v>
      </c>
    </row>
    <row r="106">
      <c r="A106" s="9">
        <f t="shared" si="1"/>
        <v>105</v>
      </c>
      <c r="B106" s="11">
        <v>46231.667604166665</v>
      </c>
      <c r="C106" s="10" t="s">
        <v>5430</v>
      </c>
      <c r="D106" s="10" t="s">
        <v>36</v>
      </c>
      <c r="E106" s="10" t="s">
        <v>4224</v>
      </c>
      <c r="F106" s="13">
        <v>4.0</v>
      </c>
      <c r="G106" s="14">
        <v>588.48</v>
      </c>
      <c r="H106" s="10" t="s">
        <v>5431</v>
      </c>
      <c r="I106" s="10">
        <v>40.8</v>
      </c>
      <c r="O106" s="15">
        <f>IFERROR(__xludf.DUMMYFUNCTION("IF(ISBLANK($C106), """", GOOGLEFINANCE($C106, ""price""))"),667.84)</f>
        <v>667.84</v>
      </c>
      <c r="P106" s="16">
        <f t="shared" si="2"/>
        <v>0.1348558999</v>
      </c>
      <c r="Q106" s="16">
        <f>IFERROR(__xludf.DUMMYFUNCTION("IF(OR(ISBLANK($G106), IFERROR(INDEX(GOOGLEFINANCE($C106, ""price"", WORKDAY(INT($B106), 1)), 2, 2), """")=""""), """", IF($D106=""LONG"", (IFERROR(INDEX(GOOGLEFINANCE($C106, ""price"", WORKDAY(INT($B106), 1)), 2, 2), """")-$G106)/$G106, ($G106-IFERROR(IND"&amp;"EX(GOOGLEFINANCE($C106, ""price"", WORKDAY(INT($B106), 1)), 2, 2), """"))/$G106))"),-0.0464586731919522)</f>
        <v>-0.04645867319</v>
      </c>
      <c r="R106" s="16">
        <f>IFERROR(__xludf.DUMMYFUNCTION("IF(OR(ISBLANK($G106), IFERROR(INDEX(GOOGLEFINANCE($C106, ""price"", WORKDAY(INT($B106), 5)), 2, 2), """")=""""), """", IF($D106=""LONG"", (IFERROR(INDEX(GOOGLEFINANCE($C106, ""price"", WORKDAY(INT($B106), 5)), 2, 2), """")-$G106)/$G106, ($G106-IFERROR(IND"&amp;"EX(GOOGLEFINANCE($C106, ""price"", WORKDAY(INT($B106), 5)), 2, 2), """"))/$G106))"),0.1776101141924959)</f>
        <v>0.1776101142</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5434</v>
      </c>
      <c r="U106" s="10" t="s">
        <v>492</v>
      </c>
      <c r="V106" s="10" t="s">
        <v>493</v>
      </c>
      <c r="W106" s="10" t="s">
        <v>51</v>
      </c>
      <c r="X106" s="10" t="s">
        <v>492</v>
      </c>
    </row>
    <row r="107">
      <c r="A107" s="9">
        <f t="shared" si="1"/>
        <v>106</v>
      </c>
      <c r="B107" s="11">
        <v>46231.66775462963</v>
      </c>
      <c r="C107" s="10" t="s">
        <v>398</v>
      </c>
      <c r="D107" s="10" t="s">
        <v>36</v>
      </c>
      <c r="E107" s="10" t="s">
        <v>37</v>
      </c>
      <c r="F107" s="13">
        <v>2.0</v>
      </c>
      <c r="G107" s="14">
        <v>72.1</v>
      </c>
      <c r="H107" s="10" t="s">
        <v>5435</v>
      </c>
      <c r="I107" s="10">
        <v>94.1</v>
      </c>
      <c r="O107" s="15">
        <f>IFERROR(__xludf.DUMMYFUNCTION("IF(ISBLANK($C107), """", GOOGLEFINANCE($C107, ""price""))"),71.9)</f>
        <v>71.9</v>
      </c>
      <c r="P107" s="16">
        <f t="shared" si="2"/>
        <v>-0.002773925104</v>
      </c>
      <c r="Q107" s="16">
        <f>IFERROR(__xludf.DUMMYFUNCTION("IF(OR(ISBLANK($G107), IFERROR(INDEX(GOOGLEFINANCE($C107, ""price"", WORKDAY(INT($B107), 1)), 2, 2), """")=""""), """", IF($D107=""LONG"", (IFERROR(INDEX(GOOGLEFINANCE($C107, ""price"", WORKDAY(INT($B107), 1)), 2, 2), """")-$G107)/$G107, ($G107-IFERROR(IND"&amp;"EX(GOOGLEFINANCE($C107, ""price"", WORKDAY(INT($B107), 1)), 2, 2), """"))/$G107))"),-9.708737864076724E-4)</f>
        <v>-0.0009708737864</v>
      </c>
      <c r="R107" s="16">
        <f>IFERROR(__xludf.DUMMYFUNCTION("IF(OR(ISBLANK($G107), IFERROR(INDEX(GOOGLEFINANCE($C107, ""price"", WORKDAY(INT($B107), 5)), 2, 2), """")=""""), """", IF($D107=""LONG"", (IFERROR(INDEX(GOOGLEFINANCE($C107, ""price"", WORKDAY(INT($B107), 5)), 2, 2), """")-$G107)/$G107, ($G107-IFERROR(IND"&amp;"EX(GOOGLEFINANCE($C107, ""price"", WORKDAY(INT($B107), 5)), 2, 2), """"))/$G107))"),-1.3869625520098345E-4)</f>
        <v>-0.0001386962552</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5438</v>
      </c>
      <c r="U107" s="10" t="s">
        <v>492</v>
      </c>
      <c r="V107" s="10" t="s">
        <v>493</v>
      </c>
      <c r="W107" s="10" t="s">
        <v>51</v>
      </c>
      <c r="X107" s="10" t="s">
        <v>492</v>
      </c>
    </row>
    <row r="108">
      <c r="A108" s="9">
        <f t="shared" si="1"/>
        <v>107</v>
      </c>
      <c r="B108" s="11">
        <v>46231.66784722222</v>
      </c>
      <c r="C108" s="10" t="s">
        <v>110</v>
      </c>
      <c r="D108" s="10" t="s">
        <v>36</v>
      </c>
      <c r="E108" s="10" t="s">
        <v>87</v>
      </c>
      <c r="F108" s="13">
        <v>2.0</v>
      </c>
      <c r="G108" s="14">
        <v>212.4</v>
      </c>
      <c r="H108" s="10" t="s">
        <v>5439</v>
      </c>
      <c r="I108" s="10">
        <v>94.1</v>
      </c>
      <c r="O108" s="15">
        <f>IFERROR(__xludf.DUMMYFUNCTION("IF(ISBLANK($C108), """", GOOGLEFINANCE($C108, ""price""))"),220.0)</f>
        <v>220</v>
      </c>
      <c r="P108" s="16">
        <f t="shared" si="2"/>
        <v>0.03578154426</v>
      </c>
      <c r="Q108" s="16">
        <f>IFERROR(__xludf.DUMMYFUNCTION("IF(OR(ISBLANK($G108), IFERROR(INDEX(GOOGLEFINANCE($C108, ""price"", WORKDAY(INT($B108), 1)), 2, 2), """")=""""), """", IF($D108=""LONG"", (IFERROR(INDEX(GOOGLEFINANCE($C108, ""price"", WORKDAY(INT($B108), 1)), 2, 2), """")-$G108)/$G108, ($G108-IFERROR(IND"&amp;"EX(GOOGLEFINANCE($C108, ""price"", WORKDAY(INT($B108), 1)), 2, 2), """"))/$G108))"),-0.017372881355932193)</f>
        <v>-0.01737288136</v>
      </c>
      <c r="R108" s="16">
        <f>IFERROR(__xludf.DUMMYFUNCTION("IF(OR(ISBLANK($G108), IFERROR(INDEX(GOOGLEFINANCE($C108, ""price"", WORKDAY(INT($B108), 5)), 2, 2), """")=""""), """", IF($D108=""LONG"", (IFERROR(INDEX(GOOGLEFINANCE($C108, ""price"", WORKDAY(INT($B108), 5)), 2, 2), """")-$G108)/$G108, ($G108-IFERROR(IND"&amp;"EX(GOOGLEFINANCE($C108, ""price"", WORKDAY(INT($B108), 5)), 2, 2), """"))/$G108))"),0.044774011299434986)</f>
        <v>0.0447740113</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5442</v>
      </c>
      <c r="U108" s="10" t="s">
        <v>492</v>
      </c>
      <c r="V108" s="10" t="s">
        <v>493</v>
      </c>
      <c r="W108" s="10" t="s">
        <v>51</v>
      </c>
      <c r="X108" s="10" t="s">
        <v>492</v>
      </c>
    </row>
    <row r="109">
      <c r="A109" s="9">
        <f t="shared" si="1"/>
        <v>108</v>
      </c>
      <c r="B109" s="11">
        <v>46231.667766203704</v>
      </c>
      <c r="C109" s="10" t="s">
        <v>92</v>
      </c>
      <c r="D109" s="10" t="s">
        <v>36</v>
      </c>
      <c r="E109" s="10" t="s">
        <v>87</v>
      </c>
      <c r="F109" s="13">
        <v>2.0</v>
      </c>
      <c r="G109" s="14">
        <v>88.29</v>
      </c>
      <c r="H109" s="10" t="s">
        <v>5443</v>
      </c>
      <c r="I109" s="10">
        <v>30.6</v>
      </c>
      <c r="O109" s="15">
        <f>IFERROR(__xludf.DUMMYFUNCTION("IF(ISBLANK($C109), """", GOOGLEFINANCE($C109, ""price""))"),86.85)</f>
        <v>86.85</v>
      </c>
      <c r="P109" s="16">
        <f t="shared" si="2"/>
        <v>-0.01630988787</v>
      </c>
      <c r="Q109" s="16">
        <f>IFERROR(__xludf.DUMMYFUNCTION("IF(OR(ISBLANK($G109), IFERROR(INDEX(GOOGLEFINANCE($C109, ""price"", WORKDAY(INT($B109), 1)), 2, 2), """")=""""), """", IF($D109=""LONG"", (IFERROR(INDEX(GOOGLEFINANCE($C109, ""price"", WORKDAY(INT($B109), 1)), 2, 2), """")-$G109)/$G109, ($G109-IFERROR(IND"&amp;"EX(GOOGLEFINANCE($C109, ""price"", WORKDAY(INT($B109), 1)), 2, 2), """"))/$G109))"),0.0089477857061954)</f>
        <v>0.008947785706</v>
      </c>
      <c r="R109" s="16">
        <f>IFERROR(__xludf.DUMMYFUNCTION("IF(OR(ISBLANK($G109), IFERROR(INDEX(GOOGLEFINANCE($C109, ""price"", WORKDAY(INT($B109), 5)), 2, 2), """")=""""), """", IF($D109=""LONG"", (IFERROR(INDEX(GOOGLEFINANCE($C109, ""price"", WORKDAY(INT($B109), 5)), 2, 2), """")-$G109)/$G109, ($G109-IFERROR(IND"&amp;"EX(GOOGLEFINANCE($C109, ""price"", WORKDAY(INT($B109), 5)), 2, 2), """"))/$G109))"),-0.01959451806546612)</f>
        <v>-0.01959451807</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5446</v>
      </c>
      <c r="U109" s="10" t="s">
        <v>492</v>
      </c>
      <c r="V109" s="10" t="s">
        <v>493</v>
      </c>
      <c r="W109" s="10" t="s">
        <v>51</v>
      </c>
      <c r="X109" s="10" t="s">
        <v>492</v>
      </c>
    </row>
    <row r="110">
      <c r="A110" s="9">
        <f t="shared" si="1"/>
        <v>109</v>
      </c>
      <c r="B110" s="11">
        <v>46231.66782407407</v>
      </c>
      <c r="C110" s="10" t="s">
        <v>2793</v>
      </c>
      <c r="D110" s="10" t="s">
        <v>36</v>
      </c>
      <c r="E110" s="10" t="s">
        <v>37</v>
      </c>
      <c r="F110" s="13">
        <v>2.0</v>
      </c>
      <c r="G110" s="14">
        <v>49.65</v>
      </c>
      <c r="H110" s="10" t="s">
        <v>5447</v>
      </c>
      <c r="I110" s="10">
        <v>90.9</v>
      </c>
      <c r="O110" s="15">
        <f>IFERROR(__xludf.DUMMYFUNCTION("IF(ISBLANK($C110), """", GOOGLEFINANCE($C110, ""price""))"),47.37)</f>
        <v>47.37</v>
      </c>
      <c r="P110" s="16">
        <f t="shared" si="2"/>
        <v>-0.04592145015</v>
      </c>
      <c r="Q110" s="16">
        <f>IFERROR(__xludf.DUMMYFUNCTION("IF(OR(ISBLANK($G110), IFERROR(INDEX(GOOGLEFINANCE($C110, ""price"", WORKDAY(INT($B110), 1)), 2, 2), """")=""""), """", IF($D110=""LONG"", (IFERROR(INDEX(GOOGLEFINANCE($C110, ""price"", WORKDAY(INT($B110), 1)), 2, 2), """")-$G110)/$G110, ($G110-IFERROR(IND"&amp;"EX(GOOGLEFINANCE($C110, ""price"", WORKDAY(INT($B110), 1)), 2, 2), """"))/$G110))"),-0.010473313192346345)</f>
        <v>-0.01047331319</v>
      </c>
      <c r="R110" s="16">
        <f>IFERROR(__xludf.DUMMYFUNCTION("IF(OR(ISBLANK($G110), IFERROR(INDEX(GOOGLEFINANCE($C110, ""price"", WORKDAY(INT($B110), 5)), 2, 2), """")=""""), """", IF($D110=""LONG"", (IFERROR(INDEX(GOOGLEFINANCE($C110, ""price"", WORKDAY(INT($B110), 5)), 2, 2), """")-$G110)/$G110, ($G110-IFERROR(IND"&amp;"EX(GOOGLEFINANCE($C110, ""price"", WORKDAY(INT($B110), 5)), 2, 2), """"))/$G110))"),-0.027593152064451107)</f>
        <v>-0.02759315206</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5450</v>
      </c>
      <c r="U110" s="10" t="s">
        <v>492</v>
      </c>
      <c r="V110" s="10" t="s">
        <v>493</v>
      </c>
      <c r="W110" s="10" t="s">
        <v>51</v>
      </c>
      <c r="X110" s="10" t="s">
        <v>492</v>
      </c>
    </row>
    <row r="111">
      <c r="A111" s="9">
        <f t="shared" si="1"/>
        <v>110</v>
      </c>
      <c r="B111" s="11">
        <v>46231.66780092593</v>
      </c>
      <c r="C111" s="10" t="s">
        <v>548</v>
      </c>
      <c r="D111" s="10" t="s">
        <v>36</v>
      </c>
      <c r="E111" s="10" t="s">
        <v>37</v>
      </c>
      <c r="F111" s="13">
        <v>2.0</v>
      </c>
      <c r="G111" s="14">
        <v>98.15</v>
      </c>
      <c r="H111" s="10" t="s">
        <v>5451</v>
      </c>
      <c r="I111" s="10">
        <v>86.4</v>
      </c>
      <c r="O111" s="15">
        <f>IFERROR(__xludf.DUMMYFUNCTION("IF(ISBLANK($C111), """", GOOGLEFINANCE($C111, ""price""))"),92.26)</f>
        <v>92.26</v>
      </c>
      <c r="P111" s="16">
        <f t="shared" si="2"/>
        <v>-0.06001018849</v>
      </c>
      <c r="Q111" s="16">
        <f>IFERROR(__xludf.DUMMYFUNCTION("IF(OR(ISBLANK($G111), IFERROR(INDEX(GOOGLEFINANCE($C111, ""price"", WORKDAY(INT($B111), 1)), 2, 2), """")=""""), """", IF($D111=""LONG"", (IFERROR(INDEX(GOOGLEFINANCE($C111, ""price"", WORKDAY(INT($B111), 1)), 2, 2), """")-$G111)/$G111, ($G111-IFERROR(IND"&amp;"EX(GOOGLEFINANCE($C111, ""price"", WORKDAY(INT($B111), 1)), 2, 2), """"))/$G111))"),-0.004381049414162066)</f>
        <v>-0.004381049414</v>
      </c>
      <c r="R111" s="16">
        <f>IFERROR(__xludf.DUMMYFUNCTION("IF(OR(ISBLANK($G111), IFERROR(INDEX(GOOGLEFINANCE($C111, ""price"", WORKDAY(INT($B111), 5)), 2, 2), """")=""""), """", IF($D111=""LONG"", (IFERROR(INDEX(GOOGLEFINANCE($C111, ""price"", WORKDAY(INT($B111), 5)), 2, 2), """")-$G111)/$G111, ($G111-IFERROR(IND"&amp;"EX(GOOGLEFINANCE($C111, ""price"", WORKDAY(INT($B111), 5)), 2, 2), """"))/$G111))"),-0.07437595517065727)</f>
        <v>-0.07437595517</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5454</v>
      </c>
      <c r="U111" s="10" t="s">
        <v>492</v>
      </c>
      <c r="V111" s="10" t="s">
        <v>493</v>
      </c>
      <c r="W111" s="10" t="s">
        <v>51</v>
      </c>
      <c r="X111" s="10" t="s">
        <v>492</v>
      </c>
    </row>
    <row r="112">
      <c r="A112" s="9">
        <f t="shared" si="1"/>
        <v>111</v>
      </c>
      <c r="B112" s="11">
        <v>46231.66788194444</v>
      </c>
      <c r="C112" s="10" t="s">
        <v>4135</v>
      </c>
      <c r="D112" s="10" t="s">
        <v>36</v>
      </c>
      <c r="E112" s="10" t="s">
        <v>87</v>
      </c>
      <c r="F112" s="13">
        <v>2.0</v>
      </c>
      <c r="G112" s="14">
        <v>393.04</v>
      </c>
      <c r="H112" s="10" t="s">
        <v>5455</v>
      </c>
      <c r="I112" s="10">
        <v>53.3</v>
      </c>
      <c r="O112" s="15">
        <f>IFERROR(__xludf.DUMMYFUNCTION("IF(ISBLANK($C112), """", GOOGLEFINANCE($C112, ""price""))"),404.85)</f>
        <v>404.85</v>
      </c>
      <c r="P112" s="16">
        <f t="shared" si="2"/>
        <v>0.03004783228</v>
      </c>
      <c r="Q112" s="16">
        <f>IFERROR(__xludf.DUMMYFUNCTION("IF(OR(ISBLANK($G112), IFERROR(INDEX(GOOGLEFINANCE($C112, ""price"", WORKDAY(INT($B112), 1)), 2, 2), """")=""""), """", IF($D112=""LONG"", (IFERROR(INDEX(GOOGLEFINANCE($C112, ""price"", WORKDAY(INT($B112), 1)), 2, 2), """")-$G112)/$G112, ($G112-IFERROR(IND"&amp;"EX(GOOGLEFINANCE($C112, ""price"", WORKDAY(INT($B112), 1)), 2, 2), """"))/$G112))"),-0.013739059637695995)</f>
        <v>-0.01373905964</v>
      </c>
      <c r="R112" s="16">
        <f>IFERROR(__xludf.DUMMYFUNCTION("IF(OR(ISBLANK($G112), IFERROR(INDEX(GOOGLEFINANCE($C112, ""price"", WORKDAY(INT($B112), 5)), 2, 2), """")=""""), """", IF($D112=""LONG"", (IFERROR(INDEX(GOOGLEFINANCE($C112, ""price"", WORKDAY(INT($B112), 5)), 2, 2), """")-$G112)/$G112, ($G112-IFERROR(IND"&amp;"EX(GOOGLEFINANCE($C112, ""price"", WORKDAY(INT($B112), 5)), 2, 2), """"))/$G112))"),-0.007683696315896699)</f>
        <v>-0.007683696316</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5458</v>
      </c>
      <c r="U112" s="10" t="s">
        <v>492</v>
      </c>
      <c r="V112" s="10" t="s">
        <v>493</v>
      </c>
      <c r="W112" s="10" t="s">
        <v>51</v>
      </c>
      <c r="X112" s="10" t="s">
        <v>492</v>
      </c>
    </row>
    <row r="113">
      <c r="A113" s="9">
        <f t="shared" si="1"/>
        <v>112</v>
      </c>
      <c r="B113" s="11">
        <v>46231.66787037037</v>
      </c>
      <c r="C113" s="10" t="s">
        <v>246</v>
      </c>
      <c r="D113" s="10" t="s">
        <v>36</v>
      </c>
      <c r="E113" s="10" t="s">
        <v>4224</v>
      </c>
      <c r="F113" s="13">
        <v>4.0</v>
      </c>
      <c r="G113" s="14">
        <v>476.27</v>
      </c>
      <c r="H113" s="10" t="s">
        <v>5459</v>
      </c>
      <c r="I113" s="10">
        <v>34.3</v>
      </c>
      <c r="O113" s="15">
        <f>IFERROR(__xludf.DUMMYFUNCTION("IF(ISBLANK($C113), """", GOOGLEFINANCE($C113, ""price""))"),527.48)</f>
        <v>527.48</v>
      </c>
      <c r="P113" s="16">
        <f t="shared" si="2"/>
        <v>0.1075230437</v>
      </c>
      <c r="Q113" s="16">
        <f>IFERROR(__xludf.DUMMYFUNCTION("IF(OR(ISBLANK($G113), IFERROR(INDEX(GOOGLEFINANCE($C113, ""price"", WORKDAY(INT($B113), 1)), 2, 2), """")=""""), """", IF($D113=""LONG"", (IFERROR(INDEX(GOOGLEFINANCE($C113, ""price"", WORKDAY(INT($B113), 1)), 2, 2), """")-$G113)/$G113, ($G113-IFERROR(IND"&amp;"EX(GOOGLEFINANCE($C113, ""price"", WORKDAY(INT($B113), 1)), 2, 2), """"))/$G113))"),-0.08360803745774455)</f>
        <v>-0.08360803746</v>
      </c>
      <c r="R113" s="16">
        <f>IFERROR(__xludf.DUMMYFUNCTION("IF(OR(ISBLANK($G113), IFERROR(INDEX(GOOGLEFINANCE($C113, ""price"", WORKDAY(INT($B113), 5)), 2, 2), """")=""""), """", IF($D113=""LONG"", (IFERROR(INDEX(GOOGLEFINANCE($C113, ""price"", WORKDAY(INT($B113), 5)), 2, 2), """")-$G113)/$G113, ($G113-IFERROR(IND"&amp;"EX(GOOGLEFINANCE($C113, ""price"", WORKDAY(INT($B113), 5)), 2, 2), """"))/$G113))"),0.14771033237449352)</f>
        <v>0.1477103324</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5462</v>
      </c>
      <c r="U113" s="10" t="s">
        <v>492</v>
      </c>
      <c r="V113" s="10" t="s">
        <v>493</v>
      </c>
      <c r="W113" s="10" t="s">
        <v>51</v>
      </c>
      <c r="X113" s="10" t="s">
        <v>492</v>
      </c>
    </row>
    <row r="114">
      <c r="A114" s="9">
        <f t="shared" si="1"/>
        <v>113</v>
      </c>
      <c r="B114" s="11">
        <v>46231.66780092593</v>
      </c>
      <c r="C114" s="10" t="s">
        <v>185</v>
      </c>
      <c r="D114" s="10" t="s">
        <v>36</v>
      </c>
      <c r="E114" s="10" t="s">
        <v>1892</v>
      </c>
      <c r="F114" s="13">
        <v>2.0</v>
      </c>
      <c r="G114" s="14">
        <v>81.68</v>
      </c>
      <c r="H114" s="10" t="s">
        <v>5463</v>
      </c>
      <c r="I114" s="10">
        <v>71.7</v>
      </c>
      <c r="O114" s="15">
        <f>IFERROR(__xludf.DUMMYFUNCTION("IF(ISBLANK($C114), """", GOOGLEFINANCE($C114, ""price""))"),75.47)</f>
        <v>75.47</v>
      </c>
      <c r="P114" s="16">
        <f t="shared" si="2"/>
        <v>-0.07602840353</v>
      </c>
      <c r="Q114" s="16">
        <f>IFERROR(__xludf.DUMMYFUNCTION("IF(OR(ISBLANK($G114), IFERROR(INDEX(GOOGLEFINANCE($C114, ""price"", WORKDAY(INT($B114), 1)), 2, 2), """")=""""), """", IF($D114=""LONG"", (IFERROR(INDEX(GOOGLEFINANCE($C114, ""price"", WORKDAY(INT($B114), 1)), 2, 2), """")-$G114)/$G114, ($G114-IFERROR(IND"&amp;"EX(GOOGLEFINANCE($C114, ""price"", WORKDAY(INT($B114), 1)), 2, 2), """"))/$G114))"),-0.11165523996082277)</f>
        <v>-0.11165524</v>
      </c>
      <c r="R114" s="16">
        <f>IFERROR(__xludf.DUMMYFUNCTION("IF(OR(ISBLANK($G114), IFERROR(INDEX(GOOGLEFINANCE($C114, ""price"", WORKDAY(INT($B114), 5)), 2, 2), """")=""""), """", IF($D114=""LONG"", (IFERROR(INDEX(GOOGLEFINANCE($C114, ""price"", WORKDAY(INT($B114), 5)), 2, 2), """")-$G114)/$G114, ($G114-IFERROR(IND"&amp;"EX(GOOGLEFINANCE($C114, ""price"", WORKDAY(INT($B114), 5)), 2, 2), """"))/$G114))"),-0.05631733594515191)</f>
        <v>-0.05631733595</v>
      </c>
      <c r="S114" s="16" t="str">
        <f>IFERROR(__xludf.DUMMYFUNCTION("IF(OR(ISBLANK($G114), IFERROR(INDEX(GOOGLEFINANCE($C114, ""price"", WORKDAY(INT($B114), 20)), 2, 2), """")=""""), """", IF($D114=""LONG"", (IFERROR(INDEX(GOOGLEFINANCE($C114, ""price"", WORKDAY(INT($B114), 20)), 2, 2), """")-$G114)/$G114, ($G114-IFERROR(I"&amp;"NDEX(GOOGLEFINANCE($C114, ""price"", WORKDAY(INT($B114), 20)), 2, 2), """"))/$G114))"),"")</f>
        <v/>
      </c>
      <c r="T114" s="10" t="s">
        <v>5466</v>
      </c>
      <c r="U114" s="10" t="s">
        <v>492</v>
      </c>
      <c r="V114" s="10" t="s">
        <v>493</v>
      </c>
      <c r="W114" s="10" t="s">
        <v>51</v>
      </c>
      <c r="X114" s="10" t="s">
        <v>492</v>
      </c>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92" si="1">ROW()-1</f>
        <v>1</v>
      </c>
      <c r="B2" s="11">
        <v>46232.667719907404</v>
      </c>
      <c r="C2" s="10" t="s">
        <v>170</v>
      </c>
      <c r="D2" s="10" t="s">
        <v>36</v>
      </c>
      <c r="E2" s="10" t="s">
        <v>37</v>
      </c>
      <c r="F2" s="13">
        <v>2.0</v>
      </c>
      <c r="G2" s="14">
        <v>70.58</v>
      </c>
      <c r="H2" s="10" t="s">
        <v>1731</v>
      </c>
      <c r="I2" s="10">
        <v>92.2</v>
      </c>
      <c r="O2" s="15">
        <f>IFERROR(__xludf.DUMMYFUNCTION("IF(ISBLANK($C2), """", GOOGLEFINANCE($C2, ""price""))"),66.8)</f>
        <v>66.8</v>
      </c>
      <c r="P2" s="16">
        <f t="shared" ref="P2:P92" si="2">IF(OR(ISBLANK($G2), ISBLANK($O2)), "", IF($D2="LONG", ($O2-$G2)/$G2, ($G2-$O2)/$G2))</f>
        <v>-0.05355624823</v>
      </c>
      <c r="Q2" s="16">
        <f>IFERROR(__xludf.DUMMYFUNCTION("IF(OR(ISBLANK($G2), IFERROR(INDEX(GOOGLEFINANCE($C2, ""price"", WORKDAY(INT($B2), 1)), 2, 2), """")=""""), """", IF($D2=""LONG"", (IFERROR(INDEX(GOOGLEFINANCE($C2, ""price"", WORKDAY(INT($B2), 1)), 2, 2), """")-$G2)/$G2, ($G2-IFERROR(INDEX(GOOGLEFINANCE($"&amp;"C2, ""price"", WORKDAY(INT($B2), 1)), 2, 2), """"))/$G2))"),-0.012043071691697285)</f>
        <v>-0.01204307169</v>
      </c>
      <c r="R2" s="16">
        <f>IFERROR(__xludf.DUMMYFUNCTION("IF(OR(ISBLANK($G2), IFERROR(INDEX(GOOGLEFINANCE($C2, ""price"", WORKDAY(INT($B2), 5)), 2, 2), """")=""""), """", IF($D2=""LONG"", (IFERROR(INDEX(GOOGLEFINANCE($C2, ""price"", WORKDAY(INT($B2), 5)), 2, 2), """")-$G2)/$G2, ($G2-IFERROR(INDEX(GOOGLEFINANCE($"&amp;"C2, ""price"", WORKDAY(INT($B2), 5)), 2, 2), """"))/$G2))"),-0.03272881836214228)</f>
        <v>-0.03272881836</v>
      </c>
      <c r="S2" s="16" t="str">
        <f>IFERROR(__xludf.DUMMYFUNCTION("IF(OR(ISBLANK($G2), IFERROR(INDEX(GOOGLEFINANCE($C2, ""price"", WORKDAY(INT($B2), 20)), 2, 2), """")=""""), """", IF($D2=""LONG"", (IFERROR(INDEX(GOOGLEFINANCE($C2, ""price"", WORKDAY(INT($B2), 20)), 2, 2), """")-$G2)/$G2, ($G2-IFERROR(INDEX(GOOGLEFINANCE"&amp;"($C2, ""price"", WORKDAY(INT($B2), 20)), 2, 2), """"))/$G2))"),"")</f>
        <v/>
      </c>
      <c r="T2" s="10" t="s">
        <v>4965</v>
      </c>
    </row>
    <row r="3">
      <c r="A3" s="9">
        <f t="shared" si="1"/>
        <v>2</v>
      </c>
      <c r="B3" s="11">
        <v>46232.6678125</v>
      </c>
      <c r="C3" s="10" t="s">
        <v>398</v>
      </c>
      <c r="D3" s="10" t="s">
        <v>36</v>
      </c>
      <c r="E3" s="10" t="s">
        <v>37</v>
      </c>
      <c r="F3" s="13">
        <v>2.0</v>
      </c>
      <c r="G3" s="14">
        <v>72.04</v>
      </c>
      <c r="H3" s="10" t="s">
        <v>4967</v>
      </c>
      <c r="I3" s="10">
        <v>93.4</v>
      </c>
      <c r="O3" s="15">
        <f>IFERROR(__xludf.DUMMYFUNCTION("IF(ISBLANK($C3), """", GOOGLEFINANCE($C3, ""price""))"),71.9)</f>
        <v>71.9</v>
      </c>
      <c r="P3" s="16">
        <f t="shared" si="2"/>
        <v>-0.001943364797</v>
      </c>
      <c r="Q3" s="16">
        <f>IFERROR(__xludf.DUMMYFUNCTION("IF(OR(ISBLANK($G3), IFERROR(INDEX(GOOGLEFINANCE($C3, ""price"", WORKDAY(INT($B3), 1)), 2, 2), """")=""""), """", IF($D3=""LONG"", (IFERROR(INDEX(GOOGLEFINANCE($C3, ""price"", WORKDAY(INT($B3), 1)), 2, 2), """")-$G3)/$G3, ($G3-IFERROR(INDEX(GOOGLEFINANCE($"&amp;"C3, ""price"", WORKDAY(INT($B3), 1)), 2, 2), """"))/$G3))"),-1.38811771238272E-4)</f>
        <v>-0.0001388117712</v>
      </c>
      <c r="R3" s="16">
        <f>IFERROR(__xludf.DUMMYFUNCTION("IF(OR(ISBLANK($G3), IFERROR(INDEX(GOOGLEFINANCE($C3, ""price"", WORKDAY(INT($B3), 5)), 2, 2), """")=""""), """", IF($D3=""LONG"", (IFERROR(INDEX(GOOGLEFINANCE($C3, ""price"", WORKDAY(INT($B3), 5)), 2, 2), """")-$G3)/$G3, ($G3-IFERROR(INDEX(GOOGLEFINANCE($"&amp;"C3, ""price"", WORKDAY(INT($B3), 5)), 2, 2), """"))/$G3))"),-5.552470849528908E-4)</f>
        <v>-0.000555247085</v>
      </c>
      <c r="S3" s="16" t="str">
        <f>IFERROR(__xludf.DUMMYFUNCTION("IF(OR(ISBLANK($G3), IFERROR(INDEX(GOOGLEFINANCE($C3, ""price"", WORKDAY(INT($B3), 20)), 2, 2), """")=""""), """", IF($D3=""LONG"", (IFERROR(INDEX(GOOGLEFINANCE($C3, ""price"", WORKDAY(INT($B3), 20)), 2, 2), """")-$G3)/$G3, ($G3-IFERROR(INDEX(GOOGLEFINANCE"&amp;"($C3, ""price"", WORKDAY(INT($B3), 20)), 2, 2), """"))/$G3))"),"")</f>
        <v/>
      </c>
      <c r="T3" s="10" t="s">
        <v>4969</v>
      </c>
    </row>
    <row r="4">
      <c r="A4" s="9">
        <f t="shared" si="1"/>
        <v>3</v>
      </c>
      <c r="B4" s="11">
        <v>46232.66783564815</v>
      </c>
      <c r="C4" s="10" t="s">
        <v>3690</v>
      </c>
      <c r="D4" s="10" t="s">
        <v>36</v>
      </c>
      <c r="E4" s="10" t="s">
        <v>37</v>
      </c>
      <c r="F4" s="13">
        <v>2.0</v>
      </c>
      <c r="G4" s="14">
        <v>631.31</v>
      </c>
      <c r="H4" s="10" t="s">
        <v>4972</v>
      </c>
      <c r="I4" s="10">
        <v>95.3</v>
      </c>
      <c r="O4" s="15">
        <f>IFERROR(__xludf.DUMMYFUNCTION("IF(ISBLANK($C4), """", GOOGLEFINANCE($C4, ""price""))"),687.52)</f>
        <v>687.52</v>
      </c>
      <c r="P4" s="16">
        <f t="shared" si="2"/>
        <v>0.08903708162</v>
      </c>
      <c r="Q4" s="16">
        <f>IFERROR(__xludf.DUMMYFUNCTION("IF(OR(ISBLANK($G4), IFERROR(INDEX(GOOGLEFINANCE($C4, ""price"", WORKDAY(INT($B4), 1)), 2, 2), """")=""""), """", IF($D4=""LONG"", (IFERROR(INDEX(GOOGLEFINANCE($C4, ""price"", WORKDAY(INT($B4), 1)), 2, 2), """")-$G4)/$G4, ($G4-IFERROR(INDEX(GOOGLEFINANCE($"&amp;"C4, ""price"", WORKDAY(INT($B4), 1)), 2, 2), """"))/$G4))"),0.028306220398853187)</f>
        <v>0.0283062204</v>
      </c>
      <c r="R4" s="16">
        <f>IFERROR(__xludf.DUMMYFUNCTION("IF(OR(ISBLANK($G4), IFERROR(INDEX(GOOGLEFINANCE($C4, ""price"", WORKDAY(INT($B4), 5)), 2, 2), """")=""""), """", IF($D4=""LONG"", (IFERROR(INDEX(GOOGLEFINANCE($C4, ""price"", WORKDAY(INT($B4), 5)), 2, 2), """")-$G4)/$G4, ($G4-IFERROR(INDEX(GOOGLEFINANCE($"&amp;"C4, ""price"", WORKDAY(INT($B4), 5)), 2, 2), """"))/$G4))"),0.08303369184711168)</f>
        <v>0.08303369185</v>
      </c>
      <c r="S4" s="16" t="str">
        <f>IFERROR(__xludf.DUMMYFUNCTION("IF(OR(ISBLANK($G4), IFERROR(INDEX(GOOGLEFINANCE($C4, ""price"", WORKDAY(INT($B4), 20)), 2, 2), """")=""""), """", IF($D4=""LONG"", (IFERROR(INDEX(GOOGLEFINANCE($C4, ""price"", WORKDAY(INT($B4), 20)), 2, 2), """")-$G4)/$G4, ($G4-IFERROR(INDEX(GOOGLEFINANCE"&amp;"($C4, ""price"", WORKDAY(INT($B4), 20)), 2, 2), """"))/$G4))"),"")</f>
        <v/>
      </c>
      <c r="T4" s="10" t="s">
        <v>4977</v>
      </c>
    </row>
    <row r="5">
      <c r="A5" s="9">
        <f t="shared" si="1"/>
        <v>4</v>
      </c>
      <c r="B5" s="11">
        <v>46232.668078703704</v>
      </c>
      <c r="C5" s="10" t="s">
        <v>3574</v>
      </c>
      <c r="D5" s="10" t="s">
        <v>36</v>
      </c>
      <c r="E5" s="10" t="s">
        <v>37</v>
      </c>
      <c r="F5" s="13">
        <v>2.0</v>
      </c>
      <c r="G5" s="14">
        <v>336.15</v>
      </c>
      <c r="H5" s="10" t="s">
        <v>4978</v>
      </c>
      <c r="I5" s="10">
        <v>94.7</v>
      </c>
      <c r="O5" s="15">
        <f>IFERROR(__xludf.DUMMYFUNCTION("IF(ISBLANK($C5), """", GOOGLEFINANCE($C5, ""price""))"),342.46)</f>
        <v>342.46</v>
      </c>
      <c r="P5" s="16">
        <f t="shared" si="2"/>
        <v>0.01877138182</v>
      </c>
      <c r="Q5" s="16">
        <f>IFERROR(__xludf.DUMMYFUNCTION("IF(OR(ISBLANK($G5), IFERROR(INDEX(GOOGLEFINANCE($C5, ""price"", WORKDAY(INT($B5), 1)), 2, 2), """")=""""), """", IF($D5=""LONG"", (IFERROR(INDEX(GOOGLEFINANCE($C5, ""price"", WORKDAY(INT($B5), 1)), 2, 2), """")-$G5)/$G5, ($G5-IFERROR(INDEX(GOOGLEFINANCE($"&amp;"C5, ""price"", WORKDAY(INT($B5), 1)), 2, 2), """"))/$G5))"),-0.006604194556001698)</f>
        <v>-0.006604194556</v>
      </c>
      <c r="R5" s="16">
        <f>IFERROR(__xludf.DUMMYFUNCTION("IF(OR(ISBLANK($G5), IFERROR(INDEX(GOOGLEFINANCE($C5, ""price"", WORKDAY(INT($B5), 5)), 2, 2), """")=""""), """", IF($D5=""LONG"", (IFERROR(INDEX(GOOGLEFINANCE($C5, ""price"", WORKDAY(INT($B5), 5)), 2, 2), """")-$G5)/$G5, ($G5-IFERROR(INDEX(GOOGLEFINANCE($"&amp;"C5, ""price"", WORKDAY(INT($B5), 5)), 2, 2), """"))/$G5))"),0.016629480886509094)</f>
        <v>0.01662948089</v>
      </c>
      <c r="S5" s="16" t="str">
        <f>IFERROR(__xludf.DUMMYFUNCTION("IF(OR(ISBLANK($G5), IFERROR(INDEX(GOOGLEFINANCE($C5, ""price"", WORKDAY(INT($B5), 20)), 2, 2), """")=""""), """", IF($D5=""LONG"", (IFERROR(INDEX(GOOGLEFINANCE($C5, ""price"", WORKDAY(INT($B5), 20)), 2, 2), """")-$G5)/$G5, ($G5-IFERROR(INDEX(GOOGLEFINANCE"&amp;"($C5, ""price"", WORKDAY(INT($B5), 20)), 2, 2), """"))/$G5))"),"")</f>
        <v/>
      </c>
      <c r="T5" s="10" t="s">
        <v>4983</v>
      </c>
    </row>
    <row r="6">
      <c r="A6" s="9">
        <f t="shared" si="1"/>
        <v>5</v>
      </c>
      <c r="B6" s="11">
        <v>46232.66756944444</v>
      </c>
      <c r="C6" s="10" t="s">
        <v>4984</v>
      </c>
      <c r="D6" s="10" t="s">
        <v>36</v>
      </c>
      <c r="E6" s="10" t="s">
        <v>1892</v>
      </c>
      <c r="F6" s="13">
        <v>2.0</v>
      </c>
      <c r="G6" s="14">
        <v>93.04</v>
      </c>
      <c r="H6" s="10" t="s">
        <v>4985</v>
      </c>
      <c r="I6" s="10">
        <v>71.4</v>
      </c>
      <c r="O6" s="15">
        <f>IFERROR(__xludf.DUMMYFUNCTION("IF(ISBLANK($C6), """", GOOGLEFINANCE($C6, ""price""))"),101.04)</f>
        <v>101.04</v>
      </c>
      <c r="P6" s="16">
        <f t="shared" si="2"/>
        <v>0.08598452279</v>
      </c>
      <c r="Q6" s="16">
        <f>IFERROR(__xludf.DUMMYFUNCTION("IF(OR(ISBLANK($G6), IFERROR(INDEX(GOOGLEFINANCE($C6, ""price"", WORKDAY(INT($B6), 1)), 2, 2), """")=""""), """", IF($D6=""LONG"", (IFERROR(INDEX(GOOGLEFINANCE($C6, ""price"", WORKDAY(INT($B6), 1)), 2, 2), """")-$G6)/$G6, ($G6-IFERROR(INDEX(GOOGLEFINANCE($"&amp;"C6, ""price"", WORKDAY(INT($B6), 1)), 2, 2), """"))/$G6))"),0.026977644024075566)</f>
        <v>0.02697764402</v>
      </c>
      <c r="R6" s="16">
        <f>IFERROR(__xludf.DUMMYFUNCTION("IF(OR(ISBLANK($G6), IFERROR(INDEX(GOOGLEFINANCE($C6, ""price"", WORKDAY(INT($B6), 5)), 2, 2), """")=""""), """", IF($D6=""LONG"", (IFERROR(INDEX(GOOGLEFINANCE($C6, ""price"", WORKDAY(INT($B6), 5)), 2, 2), """")-$G6)/$G6, ($G6-IFERROR(INDEX(GOOGLEFINANCE($"&amp;"C6, ""price"", WORKDAY(INT($B6), 5)), 2, 2), """"))/$G6))"),0.10995270851246763)</f>
        <v>0.1099527085</v>
      </c>
      <c r="S6" s="16" t="str">
        <f>IFERROR(__xludf.DUMMYFUNCTION("IF(OR(ISBLANK($G6), IFERROR(INDEX(GOOGLEFINANCE($C6, ""price"", WORKDAY(INT($B6), 20)), 2, 2), """")=""""), """", IF($D6=""LONG"", (IFERROR(INDEX(GOOGLEFINANCE($C6, ""price"", WORKDAY(INT($B6), 20)), 2, 2), """")-$G6)/$G6, ($G6-IFERROR(INDEX(GOOGLEFINANCE"&amp;"($C6, ""price"", WORKDAY(INT($B6), 20)), 2, 2), """"))/$G6))"),"")</f>
        <v/>
      </c>
      <c r="T6" s="10" t="s">
        <v>4989</v>
      </c>
    </row>
    <row r="7">
      <c r="A7" s="9">
        <f t="shared" si="1"/>
        <v>6</v>
      </c>
      <c r="B7" s="11">
        <v>46232.66755787037</v>
      </c>
      <c r="C7" s="10" t="s">
        <v>1255</v>
      </c>
      <c r="D7" s="10" t="s">
        <v>36</v>
      </c>
      <c r="E7" s="10" t="s">
        <v>37</v>
      </c>
      <c r="F7" s="13">
        <v>2.0</v>
      </c>
      <c r="G7" s="14">
        <v>78.64</v>
      </c>
      <c r="H7" s="10" t="s">
        <v>4990</v>
      </c>
      <c r="I7" s="10">
        <v>89.6</v>
      </c>
      <c r="O7" s="15">
        <f>IFERROR(__xludf.DUMMYFUNCTION("IF(ISBLANK($C7), """", GOOGLEFINANCE($C7, ""price""))"),67.23)</f>
        <v>67.23</v>
      </c>
      <c r="P7" s="16">
        <f t="shared" si="2"/>
        <v>-0.1450915565</v>
      </c>
      <c r="Q7" s="16">
        <f>IFERROR(__xludf.DUMMYFUNCTION("IF(OR(ISBLANK($G7), IFERROR(INDEX(GOOGLEFINANCE($C7, ""price"", WORKDAY(INT($B7), 1)), 2, 2), """")=""""), """", IF($D7=""LONG"", (IFERROR(INDEX(GOOGLEFINANCE($C7, ""price"", WORKDAY(INT($B7), 1)), 2, 2), """")-$G7)/$G7, ($G7-IFERROR(INDEX(GOOGLEFINANCE($"&amp;"C7, ""price"", WORKDAY(INT($B7), 1)), 2, 2), """"))/$G7))"),0.001144455747711132)</f>
        <v>0.001144455748</v>
      </c>
      <c r="R7" s="16">
        <f>IFERROR(__xludf.DUMMYFUNCTION("IF(OR(ISBLANK($G7), IFERROR(INDEX(GOOGLEFINANCE($C7, ""price"", WORKDAY(INT($B7), 5)), 2, 2), """")=""""), """", IF($D7=""LONG"", (IFERROR(INDEX(GOOGLEFINANCE($C7, ""price"", WORKDAY(INT($B7), 5)), 2, 2), """")-$G7)/$G7, ($G7-IFERROR(INDEX(GOOGLEFINANCE($"&amp;"C7, ""price"", WORKDAY(INT($B7), 5)), 2, 2), """"))/$G7))"),-0.13123092573753825)</f>
        <v>-0.1312309257</v>
      </c>
      <c r="S7" s="16" t="str">
        <f>IFERROR(__xludf.DUMMYFUNCTION("IF(OR(ISBLANK($G7), IFERROR(INDEX(GOOGLEFINANCE($C7, ""price"", WORKDAY(INT($B7), 20)), 2, 2), """")=""""), """", IF($D7=""LONG"", (IFERROR(INDEX(GOOGLEFINANCE($C7, ""price"", WORKDAY(INT($B7), 20)), 2, 2), """")-$G7)/$G7, ($G7-IFERROR(INDEX(GOOGLEFINANCE"&amp;"($C7, ""price"", WORKDAY(INT($B7), 20)), 2, 2), """"))/$G7))"),"")</f>
        <v/>
      </c>
      <c r="T7" s="10" t="s">
        <v>4992</v>
      </c>
    </row>
    <row r="8">
      <c r="A8" s="9">
        <f t="shared" si="1"/>
        <v>7</v>
      </c>
      <c r="B8" s="11">
        <v>46232.66755787037</v>
      </c>
      <c r="C8" s="10" t="s">
        <v>4993</v>
      </c>
      <c r="D8" s="10" t="s">
        <v>36</v>
      </c>
      <c r="E8" s="10" t="s">
        <v>1892</v>
      </c>
      <c r="F8" s="13">
        <v>2.0</v>
      </c>
      <c r="G8" s="14">
        <v>334.22</v>
      </c>
      <c r="H8" s="10" t="s">
        <v>4995</v>
      </c>
      <c r="I8" s="10">
        <v>93.3</v>
      </c>
      <c r="O8" s="15">
        <f>IFERROR(__xludf.DUMMYFUNCTION("IF(ISBLANK($C8), """", GOOGLEFINANCE($C8, ""price""))"),306.33)</f>
        <v>306.33</v>
      </c>
      <c r="P8" s="16">
        <f t="shared" si="2"/>
        <v>-0.08344802824</v>
      </c>
      <c r="Q8" s="16">
        <f>IFERROR(__xludf.DUMMYFUNCTION("IF(OR(ISBLANK($G8), IFERROR(INDEX(GOOGLEFINANCE($C8, ""price"", WORKDAY(INT($B8), 1)), 2, 2), """")=""""), """", IF($D8=""LONG"", (IFERROR(INDEX(GOOGLEFINANCE($C8, ""price"", WORKDAY(INT($B8), 1)), 2, 2), """")-$G8)/$G8, ($G8-IFERROR(INDEX(GOOGLEFINANCE($"&amp;"C8, ""price"", WORKDAY(INT($B8), 1)), 2, 2), """"))/$G8))"),-0.032643169170007855)</f>
        <v>-0.03264316917</v>
      </c>
      <c r="R8" s="16">
        <f>IFERROR(__xludf.DUMMYFUNCTION("IF(OR(ISBLANK($G8), IFERROR(INDEX(GOOGLEFINANCE($C8, ""price"", WORKDAY(INT($B8), 5)), 2, 2), """")=""""), """", IF($D8=""LONG"", (IFERROR(INDEX(GOOGLEFINANCE($C8, ""price"", WORKDAY(INT($B8), 5)), 2, 2), """")-$G8)/$G8, ($G8-IFERROR(INDEX(GOOGLEFINANCE($"&amp;"C8, ""price"", WORKDAY(INT($B8), 5)), 2, 2), """"))/$G8))"),-0.08270001795224714)</f>
        <v>-0.08270001795</v>
      </c>
      <c r="S8" s="16" t="str">
        <f>IFERROR(__xludf.DUMMYFUNCTION("IF(OR(ISBLANK($G8), IFERROR(INDEX(GOOGLEFINANCE($C8, ""price"", WORKDAY(INT($B8), 20)), 2, 2), """")=""""), """", IF($D8=""LONG"", (IFERROR(INDEX(GOOGLEFINANCE($C8, ""price"", WORKDAY(INT($B8), 20)), 2, 2), """")-$G8)/$G8, ($G8-IFERROR(INDEX(GOOGLEFINANCE"&amp;"($C8, ""price"", WORKDAY(INT($B8), 20)), 2, 2), """"))/$G8))"),"")</f>
        <v/>
      </c>
      <c r="T8" s="10" t="s">
        <v>4998</v>
      </c>
    </row>
    <row r="9">
      <c r="A9" s="9">
        <f t="shared" si="1"/>
        <v>8</v>
      </c>
      <c r="B9" s="11">
        <v>46232.66758101852</v>
      </c>
      <c r="C9" s="10" t="s">
        <v>1216</v>
      </c>
      <c r="D9" s="10" t="s">
        <v>36</v>
      </c>
      <c r="E9" s="10" t="s">
        <v>37</v>
      </c>
      <c r="F9" s="13">
        <v>2.0</v>
      </c>
      <c r="G9" s="14">
        <v>82.21</v>
      </c>
      <c r="H9" s="10" t="s">
        <v>4999</v>
      </c>
      <c r="I9" s="10">
        <v>90.5</v>
      </c>
      <c r="O9" s="15">
        <f>IFERROR(__xludf.DUMMYFUNCTION("IF(ISBLANK($C9), """", GOOGLEFINANCE($C9, ""price""))"),79.02)</f>
        <v>79.02</v>
      </c>
      <c r="P9" s="16">
        <f t="shared" si="2"/>
        <v>-0.03880306532</v>
      </c>
      <c r="Q9" s="16">
        <f>IFERROR(__xludf.DUMMYFUNCTION("IF(OR(ISBLANK($G9), IFERROR(INDEX(GOOGLEFINANCE($C9, ""price"", WORKDAY(INT($B9), 1)), 2, 2), """")=""""), """", IF($D9=""LONG"", (IFERROR(INDEX(GOOGLEFINANCE($C9, ""price"", WORKDAY(INT($B9), 1)), 2, 2), """")-$G9)/$G9, ($G9-IFERROR(INDEX(GOOGLEFINANCE($"&amp;"C9, ""price"", WORKDAY(INT($B9), 1)), 2, 2), """"))/$G9))"),0.004622308721566837)</f>
        <v>0.004622308722</v>
      </c>
      <c r="R9" s="16">
        <f>IFERROR(__xludf.DUMMYFUNCTION("IF(OR(ISBLANK($G9), IFERROR(INDEX(GOOGLEFINANCE($C9, ""price"", WORKDAY(INT($B9), 5)), 2, 2), """")=""""), """", IF($D9=""LONG"", (IFERROR(INDEX(GOOGLEFINANCE($C9, ""price"", WORKDAY(INT($B9), 5)), 2, 2), """")-$G9)/$G9, ($G9-IFERROR(INDEX(GOOGLEFINANCE($"&amp;"C9, ""price"", WORKDAY(INT($B9), 5)), 2, 2), """"))/$G9))"),0.024206300936625826)</f>
        <v>0.02420630094</v>
      </c>
      <c r="S9" s="16" t="str">
        <f>IFERROR(__xludf.DUMMYFUNCTION("IF(OR(ISBLANK($G9), IFERROR(INDEX(GOOGLEFINANCE($C9, ""price"", WORKDAY(INT($B9), 20)), 2, 2), """")=""""), """", IF($D9=""LONG"", (IFERROR(INDEX(GOOGLEFINANCE($C9, ""price"", WORKDAY(INT($B9), 20)), 2, 2), """")-$G9)/$G9, ($G9-IFERROR(INDEX(GOOGLEFINANCE"&amp;"($C9, ""price"", WORKDAY(INT($B9), 20)), 2, 2), """"))/$G9))"),"")</f>
        <v/>
      </c>
      <c r="T9" s="10" t="s">
        <v>5006</v>
      </c>
    </row>
    <row r="10">
      <c r="A10" s="9">
        <f t="shared" si="1"/>
        <v>9</v>
      </c>
      <c r="B10" s="11">
        <v>46232.66758101852</v>
      </c>
      <c r="C10" s="10" t="s">
        <v>66</v>
      </c>
      <c r="D10" s="10" t="s">
        <v>36</v>
      </c>
      <c r="E10" s="10" t="s">
        <v>37</v>
      </c>
      <c r="F10" s="13">
        <v>2.0</v>
      </c>
      <c r="G10" s="14">
        <v>280.86</v>
      </c>
      <c r="H10" s="10" t="s">
        <v>5007</v>
      </c>
      <c r="I10" s="10">
        <v>80.3</v>
      </c>
      <c r="O10" s="15">
        <f>IFERROR(__xludf.DUMMYFUNCTION("IF(ISBLANK($C10), """", GOOGLEFINANCE($C10, ""price""))"),296.4)</f>
        <v>296.4</v>
      </c>
      <c r="P10" s="16">
        <f t="shared" si="2"/>
        <v>0.05533005768</v>
      </c>
      <c r="Q10" s="16">
        <f>IFERROR(__xludf.DUMMYFUNCTION("IF(OR(ISBLANK($G10), IFERROR(INDEX(GOOGLEFINANCE($C10, ""price"", WORKDAY(INT($B10), 1)), 2, 2), """")=""""), """", IF($D10=""LONG"", (IFERROR(INDEX(GOOGLEFINANCE($C10, ""price"", WORKDAY(INT($B10), 1)), 2, 2), """")-$G10)/$G10, ($G10-IFERROR(INDEX(GOOGLE"&amp;"FINANCE($C10, ""price"", WORKDAY(INT($B10), 1)), 2, 2), """"))/$G10))"),0.0056967884355193545)</f>
        <v>0.005696788436</v>
      </c>
      <c r="R10" s="16">
        <f>IFERROR(__xludf.DUMMYFUNCTION("IF(OR(ISBLANK($G10), IFERROR(INDEX(GOOGLEFINANCE($C10, ""price"", WORKDAY(INT($B10), 5)), 2, 2), """")=""""), """", IF($D10=""LONG"", (IFERROR(INDEX(GOOGLEFINANCE($C10, ""price"", WORKDAY(INT($B10), 5)), 2, 2), """")-$G10)/$G10, ($G10-IFERROR(INDEX(GOOGLE"&amp;"FINANCE($C10, ""price"", WORKDAY(INT($B10), 5)), 2, 2), """"))/$G10))"),0.07373780531225514)</f>
        <v>0.07373780531</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5010</v>
      </c>
    </row>
    <row r="11">
      <c r="A11" s="9">
        <f t="shared" si="1"/>
        <v>10</v>
      </c>
      <c r="B11" s="11">
        <v>46232.667592592596</v>
      </c>
      <c r="C11" s="10" t="s">
        <v>148</v>
      </c>
      <c r="D11" s="10" t="s">
        <v>36</v>
      </c>
      <c r="E11" s="10" t="s">
        <v>37</v>
      </c>
      <c r="F11" s="13">
        <v>2.0</v>
      </c>
      <c r="G11" s="14">
        <v>196.54</v>
      </c>
      <c r="H11" s="10" t="s">
        <v>5011</v>
      </c>
      <c r="I11" s="10">
        <v>86.0</v>
      </c>
      <c r="O11" s="15">
        <f>IFERROR(__xludf.DUMMYFUNCTION("IF(ISBLANK($C11), """", GOOGLEFINANCE($C11, ""price""))"),199.98)</f>
        <v>199.98</v>
      </c>
      <c r="P11" s="16">
        <f t="shared" si="2"/>
        <v>0.01750279841</v>
      </c>
      <c r="Q11" s="16">
        <f>IFERROR(__xludf.DUMMYFUNCTION("IF(OR(ISBLANK($G11), IFERROR(INDEX(GOOGLEFINANCE($C11, ""price"", WORKDAY(INT($B11), 1)), 2, 2), """")=""""), """", IF($D11=""LONG"", (IFERROR(INDEX(GOOGLEFINANCE($C11, ""price"", WORKDAY(INT($B11), 1)), 2, 2), """")-$G11)/$G11, ($G11-IFERROR(INDEX(GOOGLE"&amp;"FINANCE($C11, ""price"", WORKDAY(INT($B11), 1)), 2, 2), """"))/$G11))"),-0.001882568433906607)</f>
        <v>-0.001882568434</v>
      </c>
      <c r="R11" s="16">
        <f>IFERROR(__xludf.DUMMYFUNCTION("IF(OR(ISBLANK($G11), IFERROR(INDEX(GOOGLEFINANCE($C11, ""price"", WORKDAY(INT($B11), 5)), 2, 2), """")=""""), """", IF($D11=""LONG"", (IFERROR(INDEX(GOOGLEFINANCE($C11, ""price"", WORKDAY(INT($B11), 5)), 2, 2), """")-$G11)/$G11, ($G11-IFERROR(INDEX(GOOGLE"&amp;"FINANCE($C11, ""price"", WORKDAY(INT($B11), 5)), 2, 2), """"))/$G11))"),0.015874631118347433)</f>
        <v>0.01587463112</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5016</v>
      </c>
    </row>
    <row r="12">
      <c r="A12" s="9">
        <f t="shared" si="1"/>
        <v>11</v>
      </c>
      <c r="B12" s="11">
        <v>46232.66761574074</v>
      </c>
      <c r="C12" s="10" t="s">
        <v>424</v>
      </c>
      <c r="D12" s="10" t="s">
        <v>36</v>
      </c>
      <c r="E12" s="10" t="s">
        <v>37</v>
      </c>
      <c r="F12" s="13">
        <v>2.0</v>
      </c>
      <c r="G12" s="14">
        <v>85.34</v>
      </c>
      <c r="H12" s="10" t="s">
        <v>5017</v>
      </c>
      <c r="I12" s="10">
        <v>88.2</v>
      </c>
      <c r="O12" s="15">
        <f>IFERROR(__xludf.DUMMYFUNCTION("IF(ISBLANK($C12), """", GOOGLEFINANCE($C12, ""price""))"),84.35)</f>
        <v>84.35</v>
      </c>
      <c r="P12" s="16">
        <f t="shared" si="2"/>
        <v>-0.0116006562</v>
      </c>
      <c r="Q12" s="16">
        <f>IFERROR(__xludf.DUMMYFUNCTION("IF(OR(ISBLANK($G12), IFERROR(INDEX(GOOGLEFINANCE($C12, ""price"", WORKDAY(INT($B12), 1)), 2, 2), """")=""""), """", IF($D12=""LONG"", (IFERROR(INDEX(GOOGLEFINANCE($C12, ""price"", WORKDAY(INT($B12), 1)), 2, 2), """")-$G12)/$G12, ($G12-IFERROR(INDEX(GOOGLE"&amp;"FINANCE($C12, ""price"", WORKDAY(INT($B12), 1)), 2, 2), """"))/$G12))"),-0.007382235762831142)</f>
        <v>-0.007382235763</v>
      </c>
      <c r="R12" s="16">
        <f>IFERROR(__xludf.DUMMYFUNCTION("IF(OR(ISBLANK($G12), IFERROR(INDEX(GOOGLEFINANCE($C12, ""price"", WORKDAY(INT($B12), 5)), 2, 2), """")=""""), """", IF($D12=""LONG"", (IFERROR(INDEX(GOOGLEFINANCE($C12, ""price"", WORKDAY(INT($B12), 5)), 2, 2), """")-$G12)/$G12, ($G12-IFERROR(INDEX(GOOGLE"&amp;"FINANCE($C12, ""price"", WORKDAY(INT($B12), 5)), 2, 2), """"))/$G12))"),-0.01324115303491926)</f>
        <v>-0.01324115303</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5023</v>
      </c>
    </row>
    <row r="13">
      <c r="A13" s="9">
        <f t="shared" si="1"/>
        <v>12</v>
      </c>
      <c r="B13" s="11">
        <v>46232.66756944444</v>
      </c>
      <c r="C13" s="10" t="s">
        <v>379</v>
      </c>
      <c r="D13" s="10" t="s">
        <v>36</v>
      </c>
      <c r="E13" s="10" t="s">
        <v>37</v>
      </c>
      <c r="F13" s="13">
        <v>2.0</v>
      </c>
      <c r="G13" s="14">
        <v>50.76</v>
      </c>
      <c r="H13" s="10" t="s">
        <v>5024</v>
      </c>
      <c r="I13" s="10">
        <v>88.0</v>
      </c>
      <c r="O13" s="15">
        <f>IFERROR(__xludf.DUMMYFUNCTION("IF(ISBLANK($C13), """", GOOGLEFINANCE($C13, ""price""))"),50.7)</f>
        <v>50.7</v>
      </c>
      <c r="P13" s="16">
        <f t="shared" si="2"/>
        <v>-0.001182033097</v>
      </c>
      <c r="Q13" s="16">
        <f>IFERROR(__xludf.DUMMYFUNCTION("IF(OR(ISBLANK($G13), IFERROR(INDEX(GOOGLEFINANCE($C13, ""price"", WORKDAY(INT($B13), 1)), 2, 2), """")=""""), """", IF($D13=""LONG"", (IFERROR(INDEX(GOOGLEFINANCE($C13, ""price"", WORKDAY(INT($B13), 1)), 2, 2), """")-$G13)/$G13, ($G13-IFERROR(INDEX(GOOGLE"&amp;"FINANCE($C13, ""price"", WORKDAY(INT($B13), 1)), 2, 2), """"))/$G13))"),-0.011229314420803788)</f>
        <v>-0.01122931442</v>
      </c>
      <c r="R13" s="16">
        <f>IFERROR(__xludf.DUMMYFUNCTION("IF(OR(ISBLANK($G13), IFERROR(INDEX(GOOGLEFINANCE($C13, ""price"", WORKDAY(INT($B13), 5)), 2, 2), """")=""""), """", IF($D13=""LONG"", (IFERROR(INDEX(GOOGLEFINANCE($C13, ""price"", WORKDAY(INT($B13), 5)), 2, 2), """")-$G13)/$G13, ($G13-IFERROR(INDEX(GOOGLE"&amp;"FINANCE($C13, ""price"", WORKDAY(INT($B13), 5)), 2, 2), """"))/$G13))"),0.007092198581560273)</f>
        <v>0.007092198582</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5028</v>
      </c>
    </row>
    <row r="14">
      <c r="A14" s="9">
        <f t="shared" si="1"/>
        <v>13</v>
      </c>
      <c r="B14" s="11">
        <v>46232.66758101852</v>
      </c>
      <c r="C14" s="10" t="s">
        <v>2048</v>
      </c>
      <c r="D14" s="10" t="s">
        <v>36</v>
      </c>
      <c r="E14" s="10" t="s">
        <v>37</v>
      </c>
      <c r="F14" s="13">
        <v>2.0</v>
      </c>
      <c r="G14" s="14">
        <v>292.38</v>
      </c>
      <c r="H14" s="10" t="s">
        <v>5031</v>
      </c>
      <c r="I14" s="10">
        <v>92.1</v>
      </c>
      <c r="O14" s="15">
        <f>IFERROR(__xludf.DUMMYFUNCTION("IF(ISBLANK($C14), """", GOOGLEFINANCE($C14, ""price""))"),295.38)</f>
        <v>295.38</v>
      </c>
      <c r="P14" s="16">
        <f t="shared" si="2"/>
        <v>0.01026061974</v>
      </c>
      <c r="Q14" s="16">
        <f>IFERROR(__xludf.DUMMYFUNCTION("IF(OR(ISBLANK($G14), IFERROR(INDEX(GOOGLEFINANCE($C14, ""price"", WORKDAY(INT($B14), 1)), 2, 2), """")=""""), """", IF($D14=""LONG"", (IFERROR(INDEX(GOOGLEFINANCE($C14, ""price"", WORKDAY(INT($B14), 1)), 2, 2), """")-$G14)/$G14, ($G14-IFERROR(INDEX(GOOGLE"&amp;"FINANCE($C14, ""price"", WORKDAY(INT($B14), 1)), 2, 2), """"))/$G14))"),-0.00998700321499424)</f>
        <v>-0.009987003215</v>
      </c>
      <c r="R14" s="16">
        <f>IFERROR(__xludf.DUMMYFUNCTION("IF(OR(ISBLANK($G14), IFERROR(INDEX(GOOGLEFINANCE($C14, ""price"", WORKDAY(INT($B14), 5)), 2, 2), """")=""""), """", IF($D14=""LONG"", (IFERROR(INDEX(GOOGLEFINANCE($C14, ""price"", WORKDAY(INT($B14), 5)), 2, 2), """")-$G14)/$G14, ($G14-IFERROR(INDEX(GOOGLE"&amp;"FINANCE($C14, ""price"", WORKDAY(INT($B14), 5)), 2, 2), """"))/$G14))"),0.010807852794308861)</f>
        <v>0.01080785279</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5034</v>
      </c>
    </row>
    <row r="15">
      <c r="A15" s="9">
        <f t="shared" si="1"/>
        <v>14</v>
      </c>
      <c r="B15" s="11">
        <v>46232.667592592596</v>
      </c>
      <c r="C15" s="10" t="s">
        <v>5038</v>
      </c>
      <c r="D15" s="10" t="s">
        <v>36</v>
      </c>
      <c r="E15" s="10" t="s">
        <v>1892</v>
      </c>
      <c r="F15" s="13">
        <v>2.0</v>
      </c>
      <c r="G15" s="14">
        <v>1376.12</v>
      </c>
      <c r="H15" s="10" t="s">
        <v>5039</v>
      </c>
      <c r="I15" s="10">
        <v>71.7</v>
      </c>
      <c r="O15" s="15">
        <f>IFERROR(__xludf.DUMMYFUNCTION("IF(ISBLANK($C15), """", GOOGLEFINANCE($C15, ""price""))"),1031.89)</f>
        <v>1031.89</v>
      </c>
      <c r="P15" s="16">
        <f t="shared" si="2"/>
        <v>-0.2501453362</v>
      </c>
      <c r="Q15" s="16">
        <f>IFERROR(__xludf.DUMMYFUNCTION("IF(OR(ISBLANK($G15), IFERROR(INDEX(GOOGLEFINANCE($C15, ""price"", WORKDAY(INT($B15), 1)), 2, 2), """")=""""), """", IF($D15=""LONG"", (IFERROR(INDEX(GOOGLEFINANCE($C15, ""price"", WORKDAY(INT($B15), 1)), 2, 2), """")-$G15)/$G15, ($G15-IFERROR(INDEX(GOOGLE"&amp;"FINANCE($C15, ""price"", WORKDAY(INT($B15), 1)), 2, 2), """"))/$G15))"),-0.1719181466732552)</f>
        <v>-0.1719181467</v>
      </c>
      <c r="R15" s="16">
        <f>IFERROR(__xludf.DUMMYFUNCTION("IF(OR(ISBLANK($G15), IFERROR(INDEX(GOOGLEFINANCE($C15, ""price"", WORKDAY(INT($B15), 5)), 2, 2), """")=""""), """", IF($D15=""LONG"", (IFERROR(INDEX(GOOGLEFINANCE($C15, ""price"", WORKDAY(INT($B15), 5)), 2, 2), """")-$G15)/$G15, ($G15-IFERROR(INDEX(GOOGLE"&amp;"FINANCE($C15, ""price"", WORKDAY(INT($B15), 5)), 2, 2), """"))/$G15))"),-0.2067915588756794)</f>
        <v>-0.2067915589</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5044</v>
      </c>
    </row>
    <row r="16">
      <c r="A16" s="9">
        <f t="shared" si="1"/>
        <v>15</v>
      </c>
      <c r="B16" s="11">
        <v>46232.667604166665</v>
      </c>
      <c r="C16" s="10" t="s">
        <v>1960</v>
      </c>
      <c r="D16" s="10" t="s">
        <v>36</v>
      </c>
      <c r="E16" s="10" t="s">
        <v>1892</v>
      </c>
      <c r="F16" s="13">
        <v>2.0</v>
      </c>
      <c r="G16" s="14">
        <v>197.62</v>
      </c>
      <c r="H16" s="10" t="s">
        <v>5047</v>
      </c>
      <c r="I16" s="10">
        <v>56.9</v>
      </c>
      <c r="O16" s="15">
        <f>IFERROR(__xludf.DUMMYFUNCTION("IF(ISBLANK($C16), """", GOOGLEFINANCE($C16, ""price""))"),193.29)</f>
        <v>193.29</v>
      </c>
      <c r="P16" s="16">
        <f t="shared" si="2"/>
        <v>-0.02191073778</v>
      </c>
      <c r="Q16" s="16">
        <f>IFERROR(__xludf.DUMMYFUNCTION("IF(OR(ISBLANK($G16), IFERROR(INDEX(GOOGLEFINANCE($C16, ""price"", WORKDAY(INT($B16), 1)), 2, 2), """")=""""), """", IF($D16=""LONG"", (IFERROR(INDEX(GOOGLEFINANCE($C16, ""price"", WORKDAY(INT($B16), 1)), 2, 2), """")-$G16)/$G16, ($G16-IFERROR(INDEX(GOOGLE"&amp;"FINANCE($C16, ""price"", WORKDAY(INT($B16), 1)), 2, 2), """"))/$G16))"),-0.030917923287116757)</f>
        <v>-0.03091792329</v>
      </c>
      <c r="R16" s="16">
        <f>IFERROR(__xludf.DUMMYFUNCTION("IF(OR(ISBLANK($G16), IFERROR(INDEX(GOOGLEFINANCE($C16, ""price"", WORKDAY(INT($B16), 5)), 2, 2), """")=""""), """", IF($D16=""LONG"", (IFERROR(INDEX(GOOGLEFINANCE($C16, ""price"", WORKDAY(INT($B16), 5)), 2, 2), """")-$G16)/$G16, ($G16-IFERROR(INDEX(GOOGLE"&amp;"FINANCE($C16, ""price"", WORKDAY(INT($B16), 5)), 2, 2), """"))/$G16))"),-0.031120331950207497)</f>
        <v>-0.03112033195</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5050</v>
      </c>
    </row>
    <row r="17">
      <c r="A17" s="9">
        <f t="shared" si="1"/>
        <v>16</v>
      </c>
      <c r="B17" s="11">
        <v>46232.667592592596</v>
      </c>
      <c r="C17" s="10" t="s">
        <v>222</v>
      </c>
      <c r="D17" s="10" t="s">
        <v>36</v>
      </c>
      <c r="E17" s="10" t="s">
        <v>37</v>
      </c>
      <c r="F17" s="13">
        <v>2.0</v>
      </c>
      <c r="G17" s="14">
        <v>483.39</v>
      </c>
      <c r="H17" s="10" t="s">
        <v>5052</v>
      </c>
      <c r="I17" s="10">
        <v>81.9</v>
      </c>
      <c r="O17" s="15">
        <f>IFERROR(__xludf.DUMMYFUNCTION("IF(ISBLANK($C17), """", GOOGLEFINANCE($C17, ""price""))"),484.03)</f>
        <v>484.03</v>
      </c>
      <c r="P17" s="16">
        <f t="shared" si="2"/>
        <v>0.001323982705</v>
      </c>
      <c r="Q17" s="16">
        <f>IFERROR(__xludf.DUMMYFUNCTION("IF(OR(ISBLANK($G17), IFERROR(INDEX(GOOGLEFINANCE($C17, ""price"", WORKDAY(INT($B17), 1)), 2, 2), """")=""""), """", IF($D17=""LONG"", (IFERROR(INDEX(GOOGLEFINANCE($C17, ""price"", WORKDAY(INT($B17), 1)), 2, 2), """")-$G17)/$G17, ($G17-IFERROR(INDEX(GOOGLE"&amp;"FINANCE($C17, ""price"", WORKDAY(INT($B17), 1)), 2, 2), """"))/$G17))"),-0.0034961418316473195)</f>
        <v>-0.003496141832</v>
      </c>
      <c r="R17" s="16">
        <f>IFERROR(__xludf.DUMMYFUNCTION("IF(OR(ISBLANK($G17), IFERROR(INDEX(GOOGLEFINANCE($C17, ""price"", WORKDAY(INT($B17), 5)), 2, 2), """")=""""), """", IF($D17=""LONG"", (IFERROR(INDEX(GOOGLEFINANCE($C17, ""price"", WORKDAY(INT($B17), 5)), 2, 2), """")-$G17)/$G17, ($G17-IFERROR(INDEX(GOOGLE"&amp;"FINANCE($C17, ""price"", WORKDAY(INT($B17), 5)), 2, 2), """"))/$G17))"),0.002978961087320792)</f>
        <v>0.002978961087</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5056</v>
      </c>
    </row>
    <row r="18">
      <c r="A18" s="9">
        <f t="shared" si="1"/>
        <v>17</v>
      </c>
      <c r="B18" s="11">
        <v>46232.667604166665</v>
      </c>
      <c r="C18" s="10" t="s">
        <v>341</v>
      </c>
      <c r="D18" s="10" t="s">
        <v>36</v>
      </c>
      <c r="E18" s="10" t="s">
        <v>37</v>
      </c>
      <c r="F18" s="13">
        <v>2.0</v>
      </c>
      <c r="G18" s="14">
        <v>62.05</v>
      </c>
      <c r="H18" s="10" t="s">
        <v>5058</v>
      </c>
      <c r="I18" s="10">
        <v>91.1</v>
      </c>
      <c r="O18" s="15">
        <f>IFERROR(__xludf.DUMMYFUNCTION("IF(ISBLANK($C18), """", GOOGLEFINANCE($C18, ""price""))"),62.99)</f>
        <v>62.99</v>
      </c>
      <c r="P18" s="16">
        <f t="shared" si="2"/>
        <v>0.01514907333</v>
      </c>
      <c r="Q18" s="16">
        <f>IFERROR(__xludf.DUMMYFUNCTION("IF(OR(ISBLANK($G18), IFERROR(INDEX(GOOGLEFINANCE($C18, ""price"", WORKDAY(INT($B18), 1)), 2, 2), """")=""""), """", IF($D18=""LONG"", (IFERROR(INDEX(GOOGLEFINANCE($C18, ""price"", WORKDAY(INT($B18), 1)), 2, 2), """")-$G18)/$G18, ($G18-IFERROR(INDEX(GOOGLE"&amp;"FINANCE($C18, ""price"", WORKDAY(INT($B18), 1)), 2, 2), """"))/$G18))"),-0.03609991941982264)</f>
        <v>-0.03609991942</v>
      </c>
      <c r="R18" s="16">
        <f>IFERROR(__xludf.DUMMYFUNCTION("IF(OR(ISBLANK($G18), IFERROR(INDEX(GOOGLEFINANCE($C18, ""price"", WORKDAY(INT($B18), 5)), 2, 2), """")=""""), """", IF($D18=""LONG"", (IFERROR(INDEX(GOOGLEFINANCE($C18, ""price"", WORKDAY(INT($B18), 5)), 2, 2), """")-$G18)/$G18, ($G18-IFERROR(INDEX(GOOGLE"&amp;"FINANCE($C18, ""price"", WORKDAY(INT($B18), 5)), 2, 2), """"))/$G18))"),0.018211120064464185)</f>
        <v>0.01821112006</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5061</v>
      </c>
    </row>
    <row r="19">
      <c r="A19" s="9">
        <f t="shared" si="1"/>
        <v>18</v>
      </c>
      <c r="B19" s="11">
        <v>46232.66763888889</v>
      </c>
      <c r="C19" s="10" t="s">
        <v>207</v>
      </c>
      <c r="D19" s="10" t="s">
        <v>36</v>
      </c>
      <c r="E19" s="10" t="s">
        <v>37</v>
      </c>
      <c r="F19" s="13">
        <v>2.0</v>
      </c>
      <c r="G19" s="14">
        <v>344.07</v>
      </c>
      <c r="H19" s="10" t="s">
        <v>5063</v>
      </c>
      <c r="I19" s="10">
        <v>88.8</v>
      </c>
      <c r="O19" s="15">
        <f>IFERROR(__xludf.DUMMYFUNCTION("IF(ISBLANK($C19), """", GOOGLEFINANCE($C19, ""price""))"),363.42)</f>
        <v>363.42</v>
      </c>
      <c r="P19" s="16">
        <f t="shared" si="2"/>
        <v>0.05623855611</v>
      </c>
      <c r="Q19" s="16">
        <f>IFERROR(__xludf.DUMMYFUNCTION("IF(OR(ISBLANK($G19), IFERROR(INDEX(GOOGLEFINANCE($C19, ""price"", WORKDAY(INT($B19), 1)), 2, 2), """")=""""), """", IF($D19=""LONG"", (IFERROR(INDEX(GOOGLEFINANCE($C19, ""price"", WORKDAY(INT($B19), 1)), 2, 2), """")-$G19)/$G19, ($G19-IFERROR(INDEX(GOOGLE"&amp;"FINANCE($C19, ""price"", WORKDAY(INT($B19), 1)), 2, 2), """"))/$G19))"),0.0022379167029964305)</f>
        <v>0.002237916703</v>
      </c>
      <c r="R19" s="16">
        <f>IFERROR(__xludf.DUMMYFUNCTION("IF(OR(ISBLANK($G19), IFERROR(INDEX(GOOGLEFINANCE($C19, ""price"", WORKDAY(INT($B19), 5)), 2, 2), """")=""""), """", IF($D19=""LONG"", (IFERROR(INDEX(GOOGLEFINANCE($C19, ""price"", WORKDAY(INT($B19), 5)), 2, 2), """")-$G19)/$G19, ($G19-IFERROR(INDEX(GOOGLE"&amp;"FINANCE($C19, ""price"", WORKDAY(INT($B19), 5)), 2, 2), """"))/$G19))"),0.07443252826459736)</f>
        <v>0.07443252826</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5069</v>
      </c>
    </row>
    <row r="20">
      <c r="A20" s="9">
        <f t="shared" si="1"/>
        <v>19</v>
      </c>
      <c r="B20" s="11">
        <v>46232.66762731481</v>
      </c>
      <c r="C20" s="10" t="s">
        <v>499</v>
      </c>
      <c r="D20" s="10" t="s">
        <v>36</v>
      </c>
      <c r="E20" s="10" t="s">
        <v>37</v>
      </c>
      <c r="F20" s="13">
        <v>2.0</v>
      </c>
      <c r="G20" s="14">
        <v>118.98</v>
      </c>
      <c r="H20" s="10" t="s">
        <v>5071</v>
      </c>
      <c r="I20" s="10">
        <v>83.9</v>
      </c>
      <c r="O20" s="15">
        <f>IFERROR(__xludf.DUMMYFUNCTION("IF(ISBLANK($C20), """", GOOGLEFINANCE($C20, ""price""))"),115.98)</f>
        <v>115.98</v>
      </c>
      <c r="P20" s="16">
        <f t="shared" si="2"/>
        <v>-0.02521432173</v>
      </c>
      <c r="Q20" s="16">
        <f>IFERROR(__xludf.DUMMYFUNCTION("IF(OR(ISBLANK($G20), IFERROR(INDEX(GOOGLEFINANCE($C20, ""price"", WORKDAY(INT($B20), 1)), 2, 2), """")=""""), """", IF($D20=""LONG"", (IFERROR(INDEX(GOOGLEFINANCE($C20, ""price"", WORKDAY(INT($B20), 1)), 2, 2), """")-$G20)/$G20, ($G20-IFERROR(INDEX(GOOGLE"&amp;"FINANCE($C20, ""price"", WORKDAY(INT($B20), 1)), 2, 2), """"))/$G20))"),-0.021936459909228437)</f>
        <v>-0.02193645991</v>
      </c>
      <c r="R20" s="16">
        <f>IFERROR(__xludf.DUMMYFUNCTION("IF(OR(ISBLANK($G20), IFERROR(INDEX(GOOGLEFINANCE($C20, ""price"", WORKDAY(INT($B20), 5)), 2, 2), """")=""""), """", IF($D20=""LONG"", (IFERROR(INDEX(GOOGLEFINANCE($C20, ""price"", WORKDAY(INT($B20), 5)), 2, 2), """")-$G20)/$G20, ($G20-IFERROR(INDEX(GOOGLE"&amp;"FINANCE($C20, ""price"", WORKDAY(INT($B20), 5)), 2, 2), """"))/$G20))"),-0.027231467473525037)</f>
        <v>-0.02723146747</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5078</v>
      </c>
    </row>
    <row r="21">
      <c r="A21" s="9">
        <f t="shared" si="1"/>
        <v>20</v>
      </c>
      <c r="B21" s="11">
        <v>46232.66763888889</v>
      </c>
      <c r="C21" s="10" t="s">
        <v>191</v>
      </c>
      <c r="D21" s="10" t="s">
        <v>36</v>
      </c>
      <c r="E21" s="10" t="s">
        <v>1892</v>
      </c>
      <c r="F21" s="13">
        <v>2.0</v>
      </c>
      <c r="G21" s="14">
        <v>24.76</v>
      </c>
      <c r="H21" s="10" t="s">
        <v>5079</v>
      </c>
      <c r="I21" s="10">
        <v>78.8</v>
      </c>
      <c r="O21" s="15">
        <f>IFERROR(__xludf.DUMMYFUNCTION("IF(ISBLANK($C21), """", GOOGLEFINANCE($C21, ""price""))"),27.01)</f>
        <v>27.01</v>
      </c>
      <c r="P21" s="16">
        <f t="shared" si="2"/>
        <v>0.0908723748</v>
      </c>
      <c r="Q21" s="16">
        <f>IFERROR(__xludf.DUMMYFUNCTION("IF(OR(ISBLANK($G21), IFERROR(INDEX(GOOGLEFINANCE($C21, ""price"", WORKDAY(INT($B21), 1)), 2, 2), """")=""""), """", IF($D21=""LONG"", (IFERROR(INDEX(GOOGLEFINANCE($C21, ""price"", WORKDAY(INT($B21), 1)), 2, 2), """")-$G21)/$G21, ($G21-IFERROR(INDEX(GOOGLE"&amp;"FINANCE($C21, ""price"", WORKDAY(INT($B21), 1)), 2, 2), """"))/$G21))"),0.08037156704361867)</f>
        <v>0.08037156704</v>
      </c>
      <c r="R21" s="16">
        <f>IFERROR(__xludf.DUMMYFUNCTION("IF(OR(ISBLANK($G21), IFERROR(INDEX(GOOGLEFINANCE($C21, ""price"", WORKDAY(INT($B21), 5)), 2, 2), """")=""""), """", IF($D21=""LONG"", (IFERROR(INDEX(GOOGLEFINANCE($C21, ""price"", WORKDAY(INT($B21), 5)), 2, 2), """")-$G21)/$G21, ($G21-IFERROR(INDEX(GOOGLE"&amp;"FINANCE($C21, ""price"", WORKDAY(INT($B21), 5)), 2, 2), """"))/$G21))"),0.1037964458804522)</f>
        <v>0.1037964459</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5085</v>
      </c>
    </row>
    <row r="22">
      <c r="A22" s="9">
        <f t="shared" si="1"/>
        <v>21</v>
      </c>
      <c r="B22" s="11">
        <v>46232.66767361111</v>
      </c>
      <c r="C22" s="10" t="s">
        <v>641</v>
      </c>
      <c r="D22" s="10" t="s">
        <v>36</v>
      </c>
      <c r="E22" s="10" t="s">
        <v>37</v>
      </c>
      <c r="F22" s="13">
        <v>2.0</v>
      </c>
      <c r="G22" s="14">
        <v>65.85</v>
      </c>
      <c r="H22" s="10" t="s">
        <v>5086</v>
      </c>
      <c r="I22" s="10">
        <v>85.6</v>
      </c>
      <c r="O22" s="15">
        <f>IFERROR(__xludf.DUMMYFUNCTION("IF(ISBLANK($C22), """", GOOGLEFINANCE($C22, ""price""))"),63.13)</f>
        <v>63.13</v>
      </c>
      <c r="P22" s="16">
        <f t="shared" si="2"/>
        <v>-0.04130599848</v>
      </c>
      <c r="Q22" s="16">
        <f>IFERROR(__xludf.DUMMYFUNCTION("IF(OR(ISBLANK($G22), IFERROR(INDEX(GOOGLEFINANCE($C22, ""price"", WORKDAY(INT($B22), 1)), 2, 2), """")=""""), """", IF($D22=""LONG"", (IFERROR(INDEX(GOOGLEFINANCE($C22, ""price"", WORKDAY(INT($B22), 1)), 2, 2), """")-$G22)/$G22, ($G22-IFERROR(INDEX(GOOGLE"&amp;"FINANCE($C22, ""price"", WORKDAY(INT($B22), 1)), 2, 2), """"))/$G22))"),-0.008200455580865483)</f>
        <v>-0.008200455581</v>
      </c>
      <c r="R22" s="16">
        <f>IFERROR(__xludf.DUMMYFUNCTION("IF(OR(ISBLANK($G22), IFERROR(INDEX(GOOGLEFINANCE($C22, ""price"", WORKDAY(INT($B22), 5)), 2, 2), """")=""""), """", IF($D22=""LONG"", (IFERROR(INDEX(GOOGLEFINANCE($C22, ""price"", WORKDAY(INT($B22), 5)), 2, 2), """")-$G22)/$G22, ($G22-IFERROR(INDEX(GOOGLE"&amp;"FINANCE($C22, ""price"", WORKDAY(INT($B22), 5)), 2, 2), """"))/$G22))"),-0.035839028094153264)</f>
        <v>-0.03583902809</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5092</v>
      </c>
    </row>
    <row r="23">
      <c r="A23" s="9">
        <f t="shared" si="1"/>
        <v>22</v>
      </c>
      <c r="B23" s="11">
        <v>46232.66761574074</v>
      </c>
      <c r="C23" s="10" t="s">
        <v>1778</v>
      </c>
      <c r="D23" s="10" t="s">
        <v>36</v>
      </c>
      <c r="E23" s="10" t="s">
        <v>37</v>
      </c>
      <c r="F23" s="13">
        <v>2.0</v>
      </c>
      <c r="G23" s="14">
        <v>90.56</v>
      </c>
      <c r="H23" s="10" t="s">
        <v>5094</v>
      </c>
      <c r="I23" s="10">
        <v>90.2</v>
      </c>
      <c r="O23" s="15">
        <f>IFERROR(__xludf.DUMMYFUNCTION("IF(ISBLANK($C23), """", GOOGLEFINANCE($C23, ""price""))"),76.86)</f>
        <v>76.86</v>
      </c>
      <c r="P23" s="16">
        <f t="shared" si="2"/>
        <v>-0.1512809187</v>
      </c>
      <c r="Q23" s="16">
        <f>IFERROR(__xludf.DUMMYFUNCTION("IF(OR(ISBLANK($G23), IFERROR(INDEX(GOOGLEFINANCE($C23, ""price"", WORKDAY(INT($B23), 1)), 2, 2), """")=""""), """", IF($D23=""LONG"", (IFERROR(INDEX(GOOGLEFINANCE($C23, ""price"", WORKDAY(INT($B23), 1)), 2, 2), """")-$G23)/$G23, ($G23-IFERROR(INDEX(GOOGLE"&amp;"FINANCE($C23, ""price"", WORKDAY(INT($B23), 1)), 2, 2), """"))/$G23))"),-0.013471731448763237)</f>
        <v>-0.01347173145</v>
      </c>
      <c r="R23" s="16">
        <f>IFERROR(__xludf.DUMMYFUNCTION("IF(OR(ISBLANK($G23), IFERROR(INDEX(GOOGLEFINANCE($C23, ""price"", WORKDAY(INT($B23), 5)), 2, 2), """")=""""), """", IF($D23=""LONG"", (IFERROR(INDEX(GOOGLEFINANCE($C23, ""price"", WORKDAY(INT($B23), 5)), 2, 2), """")-$G23)/$G23, ($G23-IFERROR(INDEX(GOOGLE"&amp;"FINANCE($C23, ""price"", WORKDAY(INT($B23), 5)), 2, 2), """"))/$G23))"),-0.1312941696113074)</f>
        <v>-0.1312941696</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5097</v>
      </c>
    </row>
    <row r="24">
      <c r="A24" s="9">
        <f t="shared" si="1"/>
        <v>23</v>
      </c>
      <c r="B24" s="11">
        <v>46232.667662037034</v>
      </c>
      <c r="C24" s="10" t="s">
        <v>5099</v>
      </c>
      <c r="D24" s="10" t="s">
        <v>36</v>
      </c>
      <c r="E24" s="10" t="s">
        <v>37</v>
      </c>
      <c r="F24" s="13">
        <v>2.0</v>
      </c>
      <c r="G24" s="14">
        <v>206.8</v>
      </c>
      <c r="H24" s="10" t="s">
        <v>1846</v>
      </c>
      <c r="I24" s="10">
        <v>94.1</v>
      </c>
      <c r="O24" s="15">
        <f>IFERROR(__xludf.DUMMYFUNCTION("IF(ISBLANK($C24), """", GOOGLEFINANCE($C24, ""price""))"),205.52)</f>
        <v>205.52</v>
      </c>
      <c r="P24" s="16">
        <f t="shared" si="2"/>
        <v>-0.006189555126</v>
      </c>
      <c r="Q24" s="16">
        <f>IFERROR(__xludf.DUMMYFUNCTION("IF(OR(ISBLANK($G24), IFERROR(INDEX(GOOGLEFINANCE($C24, ""price"", WORKDAY(INT($B24), 1)), 2, 2), """")=""""), """", IF($D24=""LONG"", (IFERROR(INDEX(GOOGLEFINANCE($C24, ""price"", WORKDAY(INT($B24), 1)), 2, 2), """")-$G24)/$G24, ($G24-IFERROR(INDEX(GOOGLE"&amp;"FINANCE($C24, ""price"", WORKDAY(INT($B24), 1)), 2, 2), """"))/$G24))"),0.018375241779497016)</f>
        <v>0.01837524178</v>
      </c>
      <c r="R24" s="16">
        <f>IFERROR(__xludf.DUMMYFUNCTION("IF(OR(ISBLANK($G24), IFERROR(INDEX(GOOGLEFINANCE($C24, ""price"", WORKDAY(INT($B24), 5)), 2, 2), """")=""""), """", IF($D24=""LONG"", (IFERROR(INDEX(GOOGLEFINANCE($C24, ""price"", WORKDAY(INT($B24), 5)), 2, 2), """")-$G24)/$G24, ($G24-IFERROR(INDEX(GOOGLE"&amp;"FINANCE($C24, ""price"", WORKDAY(INT($B24), 5)), 2, 2), """"))/$G24))"),-0.02055125725338491)</f>
        <v>-0.02055125725</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5100</v>
      </c>
    </row>
    <row r="25">
      <c r="A25" s="9">
        <f t="shared" si="1"/>
        <v>24</v>
      </c>
      <c r="B25" s="11">
        <v>46232.667662037034</v>
      </c>
      <c r="C25" s="10" t="s">
        <v>2311</v>
      </c>
      <c r="D25" s="10" t="s">
        <v>36</v>
      </c>
      <c r="E25" s="10" t="s">
        <v>37</v>
      </c>
      <c r="F25" s="13">
        <v>2.0</v>
      </c>
      <c r="G25" s="14">
        <v>236.58</v>
      </c>
      <c r="H25" s="10" t="s">
        <v>5102</v>
      </c>
      <c r="I25" s="10">
        <v>94.1</v>
      </c>
      <c r="O25" s="15">
        <f>IFERROR(__xludf.DUMMYFUNCTION("IF(ISBLANK($C25), """", GOOGLEFINANCE($C25, ""price""))"),229.01)</f>
        <v>229.01</v>
      </c>
      <c r="P25" s="16">
        <f t="shared" si="2"/>
        <v>-0.03199763294</v>
      </c>
      <c r="Q25" s="16">
        <f>IFERROR(__xludf.DUMMYFUNCTION("IF(OR(ISBLANK($G25), IFERROR(INDEX(GOOGLEFINANCE($C25, ""price"", WORKDAY(INT($B25), 1)), 2, 2), """")=""""), """", IF($D25=""LONG"", (IFERROR(INDEX(GOOGLEFINANCE($C25, ""price"", WORKDAY(INT($B25), 1)), 2, 2), """")-$G25)/$G25, ($G25-IFERROR(INDEX(GOOGLE"&amp;"FINANCE($C25, ""price"", WORKDAY(INT($B25), 1)), 2, 2), """"))/$G25))"),-0.043325724913348546)</f>
        <v>-0.04332572491</v>
      </c>
      <c r="R25" s="16">
        <f>IFERROR(__xludf.DUMMYFUNCTION("IF(OR(ISBLANK($G25), IFERROR(INDEX(GOOGLEFINANCE($C25, ""price"", WORKDAY(INT($B25), 5)), 2, 2), """")=""""), """", IF($D25=""LONG"", (IFERROR(INDEX(GOOGLEFINANCE($C25, ""price"", WORKDAY(INT($B25), 5)), 2, 2), """")-$G25)/$G25, ($G25-IFERROR(INDEX(GOOGLE"&amp;"FINANCE($C25, ""price"", WORKDAY(INT($B25), 5)), 2, 2), """"))/$G25))"),-0.05186406289627191)</f>
        <v>-0.0518640629</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5106</v>
      </c>
    </row>
    <row r="26">
      <c r="A26" s="9">
        <f t="shared" si="1"/>
        <v>25</v>
      </c>
      <c r="B26" s="11">
        <v>46232.66762731481</v>
      </c>
      <c r="C26" s="10" t="s">
        <v>238</v>
      </c>
      <c r="D26" s="10" t="s">
        <v>36</v>
      </c>
      <c r="E26" s="10" t="s">
        <v>87</v>
      </c>
      <c r="F26" s="13">
        <v>2.0</v>
      </c>
      <c r="G26" s="14">
        <v>233.74</v>
      </c>
      <c r="H26" s="10" t="s">
        <v>5108</v>
      </c>
      <c r="I26" s="10">
        <v>80.1</v>
      </c>
      <c r="O26" s="15">
        <f>IFERROR(__xludf.DUMMYFUNCTION("IF(ISBLANK($C26), """", GOOGLEFINANCE($C26, ""price""))"),246.89)</f>
        <v>246.89</v>
      </c>
      <c r="P26" s="16">
        <f t="shared" si="2"/>
        <v>0.0562590913</v>
      </c>
      <c r="Q26" s="16">
        <f>IFERROR(__xludf.DUMMYFUNCTION("IF(OR(ISBLANK($G26), IFERROR(INDEX(GOOGLEFINANCE($C26, ""price"", WORKDAY(INT($B26), 1)), 2, 2), """")=""""), """", IF($D26=""LONG"", (IFERROR(INDEX(GOOGLEFINANCE($C26, ""price"", WORKDAY(INT($B26), 1)), 2, 2), """")-$G26)/$G26, ($G26-IFERROR(INDEX(GOOGLE"&amp;"FINANCE($C26, ""price"", WORKDAY(INT($B26), 1)), 2, 2), """"))/$G26))"),-0.0017968683152221096)</f>
        <v>-0.001796868315</v>
      </c>
      <c r="R26" s="16">
        <f>IFERROR(__xludf.DUMMYFUNCTION("IF(OR(ISBLANK($G26), IFERROR(INDEX(GOOGLEFINANCE($C26, ""price"", WORKDAY(INT($B26), 5)), 2, 2), """")=""""), """", IF($D26=""LONG"", (IFERROR(INDEX(GOOGLEFINANCE($C26, ""price"", WORKDAY(INT($B26), 5)), 2, 2), """")-$G26)/$G26, ($G26-IFERROR(INDEX(GOOGLE"&amp;"FINANCE($C26, ""price"", WORKDAY(INT($B26), 5)), 2, 2), """"))/$G26))"),0.06203473945409429)</f>
        <v>0.06203473945</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5112</v>
      </c>
    </row>
    <row r="27">
      <c r="A27" s="9">
        <f t="shared" si="1"/>
        <v>26</v>
      </c>
      <c r="B27" s="11">
        <v>46232.667719907404</v>
      </c>
      <c r="C27" s="10" t="s">
        <v>2229</v>
      </c>
      <c r="D27" s="10" t="s">
        <v>36</v>
      </c>
      <c r="E27" s="10" t="s">
        <v>37</v>
      </c>
      <c r="F27" s="13">
        <v>2.0</v>
      </c>
      <c r="G27" s="14">
        <v>122.06</v>
      </c>
      <c r="H27" s="10" t="s">
        <v>5114</v>
      </c>
      <c r="I27" s="10">
        <v>96.3</v>
      </c>
      <c r="O27" s="15">
        <f>IFERROR(__xludf.DUMMYFUNCTION("IF(ISBLANK($C27), """", GOOGLEFINANCE($C27, ""price""))"),120.76)</f>
        <v>120.76</v>
      </c>
      <c r="P27" s="16">
        <f t="shared" si="2"/>
        <v>-0.01065049975</v>
      </c>
      <c r="Q27" s="16">
        <f>IFERROR(__xludf.DUMMYFUNCTION("IF(OR(ISBLANK($G27), IFERROR(INDEX(GOOGLEFINANCE($C27, ""price"", WORKDAY(INT($B27), 1)), 2, 2), """")=""""), """", IF($D27=""LONG"", (IFERROR(INDEX(GOOGLEFINANCE($C27, ""price"", WORKDAY(INT($B27), 1)), 2, 2), """")-$G27)/$G27, ($G27-IFERROR(INDEX(GOOGLE"&amp;"FINANCE($C27, ""price"", WORKDAY(INT($B27), 1)), 2, 2), """"))/$G27))"),-0.042929706701622224)</f>
        <v>-0.0429297067</v>
      </c>
      <c r="R27" s="16">
        <f>IFERROR(__xludf.DUMMYFUNCTION("IF(OR(ISBLANK($G27), IFERROR(INDEX(GOOGLEFINANCE($C27, ""price"", WORKDAY(INT($B27), 5)), 2, 2), """")=""""), """", IF($D27=""LONG"", (IFERROR(INDEX(GOOGLEFINANCE($C27, ""price"", WORKDAY(INT($B27), 5)), 2, 2), """")-$G27)/$G27, ($G27-IFERROR(INDEX(GOOGLE"&amp;"FINANCE($C27, ""price"", WORKDAY(INT($B27), 5)), 2, 2), """"))/$G27))"),0.0015566115025397158)</f>
        <v>0.001556611503</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5117</v>
      </c>
    </row>
    <row r="28">
      <c r="A28" s="9">
        <f t="shared" si="1"/>
        <v>27</v>
      </c>
      <c r="B28" s="11">
        <v>46232.66768518519</v>
      </c>
      <c r="C28" s="10" t="s">
        <v>323</v>
      </c>
      <c r="D28" s="10" t="s">
        <v>36</v>
      </c>
      <c r="E28" s="10" t="s">
        <v>37</v>
      </c>
      <c r="F28" s="13">
        <v>2.0</v>
      </c>
      <c r="G28" s="14">
        <v>208.81</v>
      </c>
      <c r="H28" s="10" t="s">
        <v>5118</v>
      </c>
      <c r="I28" s="10">
        <v>87.4</v>
      </c>
      <c r="O28" s="15">
        <f>IFERROR(__xludf.DUMMYFUNCTION("IF(ISBLANK($C28), """", GOOGLEFINANCE($C28, ""price""))"),209.7)</f>
        <v>209.7</v>
      </c>
      <c r="P28" s="16">
        <f t="shared" si="2"/>
        <v>0.004262247977</v>
      </c>
      <c r="Q28" s="16">
        <f>IFERROR(__xludf.DUMMYFUNCTION("IF(OR(ISBLANK($G28), IFERROR(INDEX(GOOGLEFINANCE($C28, ""price"", WORKDAY(INT($B28), 1)), 2, 2), """")=""""), """", IF($D28=""LONG"", (IFERROR(INDEX(GOOGLEFINANCE($C28, ""price"", WORKDAY(INT($B28), 1)), 2, 2), """")-$G28)/$G28, ($G28-IFERROR(INDEX(GOOGLE"&amp;"FINANCE($C28, ""price"", WORKDAY(INT($B28), 1)), 2, 2), """"))/$G28))"),0.003735453282888756)</f>
        <v>0.003735453283</v>
      </c>
      <c r="R28" s="16" t="str">
        <f>IFERROR(__xludf.DUMMYFUNCTION("IF(OR(ISBLANK($G28), IFERROR(INDEX(GOOGLEFINANCE($C28, ""price"", WORKDAY(INT($B28), 5)), 2, 2), """")=""""), """", IF($D28=""LONG"", (IFERROR(INDEX(GOOGLEFINANCE($C28, ""price"", WORKDAY(INT($B28), 5)), 2, 2), """")-$G28)/$G28, ($G28-IFERROR(INDEX(GOOGLE"&amp;"FINANCE($C28, ""price"", WORKDAY(INT($B28), 5)), 2, 2), """"))/$G28))"),"")</f>
        <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5120</v>
      </c>
    </row>
    <row r="29">
      <c r="A29" s="9">
        <f t="shared" si="1"/>
        <v>28</v>
      </c>
      <c r="B29" s="11">
        <v>46232.667662037034</v>
      </c>
      <c r="C29" s="10" t="s">
        <v>483</v>
      </c>
      <c r="D29" s="10" t="s">
        <v>36</v>
      </c>
      <c r="E29" s="10" t="s">
        <v>4224</v>
      </c>
      <c r="F29" s="13">
        <v>4.0</v>
      </c>
      <c r="G29" s="14">
        <v>104.59</v>
      </c>
      <c r="H29" s="10" t="s">
        <v>5122</v>
      </c>
      <c r="I29" s="10">
        <v>56.0</v>
      </c>
      <c r="O29" s="15">
        <f>IFERROR(__xludf.DUMMYFUNCTION("IF(ISBLANK($C29), """", GOOGLEFINANCE($C29, ""price""))"),103.2)</f>
        <v>103.2</v>
      </c>
      <c r="P29" s="16">
        <f t="shared" si="2"/>
        <v>-0.01328998948</v>
      </c>
      <c r="Q29" s="16">
        <f>IFERROR(__xludf.DUMMYFUNCTION("IF(OR(ISBLANK($G29), IFERROR(INDEX(GOOGLEFINANCE($C29, ""price"", WORKDAY(INT($B29), 1)), 2, 2), """")=""""), """", IF($D29=""LONG"", (IFERROR(INDEX(GOOGLEFINANCE($C29, ""price"", WORKDAY(INT($B29), 1)), 2, 2), """")-$G29)/$G29, ($G29-IFERROR(INDEX(GOOGLE"&amp;"FINANCE($C29, ""price"", WORKDAY(INT($B29), 1)), 2, 2), """"))/$G29))"),0.006501577588679535)</f>
        <v>0.006501577589</v>
      </c>
      <c r="R29" s="16">
        <f>IFERROR(__xludf.DUMMYFUNCTION("IF(OR(ISBLANK($G29), IFERROR(INDEX(GOOGLEFINANCE($C29, ""price"", WORKDAY(INT($B29), 5)), 2, 2), """")=""""), """", IF($D29=""LONG"", (IFERROR(INDEX(GOOGLEFINANCE($C29, ""price"", WORKDAY(INT($B29), 5)), 2, 2), """")-$G29)/$G29, ($G29-IFERROR(INDEX(GOOGLE"&amp;"FINANCE($C29, ""price"", WORKDAY(INT($B29), 5)), 2, 2), """"))/$G29))"),0.029735156324696428)</f>
        <v>0.02973515632</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5124</v>
      </c>
    </row>
    <row r="30">
      <c r="A30" s="9">
        <f t="shared" si="1"/>
        <v>29</v>
      </c>
      <c r="B30" s="11">
        <v>46232.667719907404</v>
      </c>
      <c r="C30" s="10" t="s">
        <v>4394</v>
      </c>
      <c r="D30" s="10" t="s">
        <v>36</v>
      </c>
      <c r="E30" s="10" t="s">
        <v>37</v>
      </c>
      <c r="F30" s="13">
        <v>2.0</v>
      </c>
      <c r="G30" s="14">
        <v>302.14</v>
      </c>
      <c r="H30" s="10" t="s">
        <v>915</v>
      </c>
      <c r="I30" s="10">
        <v>94.4</v>
      </c>
      <c r="O30" s="15">
        <f>IFERROR(__xludf.DUMMYFUNCTION("IF(ISBLANK($C30), """", GOOGLEFINANCE($C30, ""price""))"),302.99)</f>
        <v>302.99</v>
      </c>
      <c r="P30" s="16">
        <f t="shared" si="2"/>
        <v>0.002813265374</v>
      </c>
      <c r="Q30" s="16">
        <f>IFERROR(__xludf.DUMMYFUNCTION("IF(OR(ISBLANK($G30), IFERROR(INDEX(GOOGLEFINANCE($C30, ""price"", WORKDAY(INT($B30), 1)), 2, 2), """")=""""), """", IF($D30=""LONG"", (IFERROR(INDEX(GOOGLEFINANCE($C30, ""price"", WORKDAY(INT($B30), 1)), 2, 2), """")-$G30)/$G30, ($G30-IFERROR(INDEX(GOOGLE"&amp;"FINANCE($C30, ""price"", WORKDAY(INT($B30), 1)), 2, 2), """"))/$G30))"),0.031674058383530795)</f>
        <v>0.03167405838</v>
      </c>
      <c r="R30" s="16">
        <f>IFERROR(__xludf.DUMMYFUNCTION("IF(OR(ISBLANK($G30), IFERROR(INDEX(GOOGLEFINANCE($C30, ""price"", WORKDAY(INT($B30), 5)), 2, 2), """")=""""), """", IF($D30=""LONG"", (IFERROR(INDEX(GOOGLEFINANCE($C30, ""price"", WORKDAY(INT($B30), 5)), 2, 2), """")-$G30)/$G30, ($G30-IFERROR(INDEX(GOOGLE"&amp;"FINANCE($C30, ""price"", WORKDAY(INT($B30), 5)), 2, 2), """"))/$G30))"),8.274309922552459E-4)</f>
        <v>0.0008274309923</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5126</v>
      </c>
    </row>
    <row r="31">
      <c r="A31" s="9">
        <f t="shared" si="1"/>
        <v>30</v>
      </c>
      <c r="B31" s="11">
        <v>46232.66767361111</v>
      </c>
      <c r="C31" s="10" t="s">
        <v>3242</v>
      </c>
      <c r="D31" s="10" t="s">
        <v>36</v>
      </c>
      <c r="E31" s="10" t="s">
        <v>37</v>
      </c>
      <c r="F31" s="13">
        <v>2.0</v>
      </c>
      <c r="G31" s="14">
        <v>338.1</v>
      </c>
      <c r="H31" s="10" t="s">
        <v>5128</v>
      </c>
      <c r="I31" s="10">
        <v>91.1</v>
      </c>
      <c r="O31" s="15">
        <f>IFERROR(__xludf.DUMMYFUNCTION("IF(ISBLANK($C31), """", GOOGLEFINANCE($C31, ""price""))"),312.41)</f>
        <v>312.41</v>
      </c>
      <c r="P31" s="16">
        <f t="shared" si="2"/>
        <v>-0.07598343685</v>
      </c>
      <c r="Q31" s="16">
        <f>IFERROR(__xludf.DUMMYFUNCTION("IF(OR(ISBLANK($G31), IFERROR(INDEX(GOOGLEFINANCE($C31, ""price"", WORKDAY(INT($B31), 1)), 2, 2), """")=""""), """", IF($D31=""LONG"", (IFERROR(INDEX(GOOGLEFINANCE($C31, ""price"", WORKDAY(INT($B31), 1)), 2, 2), """")-$G31)/$G31, ($G31-IFERROR(INDEX(GOOGLE"&amp;"FINANCE($C31, ""price"", WORKDAY(INT($B31), 1)), 2, 2), """"))/$G31))"),-0.013812481514344915)</f>
        <v>-0.01381248151</v>
      </c>
      <c r="R31" s="16">
        <f>IFERROR(__xludf.DUMMYFUNCTION("IF(OR(ISBLANK($G31), IFERROR(INDEX(GOOGLEFINANCE($C31, ""price"", WORKDAY(INT($B31), 5)), 2, 2), """")=""""), """", IF($D31=""LONG"", (IFERROR(INDEX(GOOGLEFINANCE($C31, ""price"", WORKDAY(INT($B31), 5)), 2, 2), """")-$G31)/$G31, ($G31-IFERROR(INDEX(GOOGLE"&amp;"FINANCE($C31, ""price"", WORKDAY(INT($B31), 5)), 2, 2), """"))/$G31))"),-0.08015380065069512)</f>
        <v>-0.08015380065</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5130</v>
      </c>
    </row>
    <row r="32">
      <c r="A32" s="9">
        <f t="shared" si="1"/>
        <v>31</v>
      </c>
      <c r="B32" s="11">
        <v>46232.66767361111</v>
      </c>
      <c r="C32" s="10" t="s">
        <v>1672</v>
      </c>
      <c r="D32" s="10" t="s">
        <v>36</v>
      </c>
      <c r="E32" s="10" t="s">
        <v>1892</v>
      </c>
      <c r="F32" s="13">
        <v>2.0</v>
      </c>
      <c r="G32" s="14">
        <v>104.59</v>
      </c>
      <c r="H32" s="10" t="s">
        <v>5132</v>
      </c>
      <c r="I32" s="10">
        <v>92.7</v>
      </c>
      <c r="O32" s="15">
        <f>IFERROR(__xludf.DUMMYFUNCTION("IF(ISBLANK($C32), """", GOOGLEFINANCE($C32, ""price""))"),99.29)</f>
        <v>99.29</v>
      </c>
      <c r="P32" s="16">
        <f t="shared" si="2"/>
        <v>-0.05067406062</v>
      </c>
      <c r="Q32" s="16">
        <f>IFERROR(__xludf.DUMMYFUNCTION("IF(OR(ISBLANK($G32), IFERROR(INDEX(GOOGLEFINANCE($C32, ""price"", WORKDAY(INT($B32), 1)), 2, 2), """")=""""), """", IF($D32=""LONG"", (IFERROR(INDEX(GOOGLEFINANCE($C32, ""price"", WORKDAY(INT($B32), 1)), 2, 2), """")-$G32)/$G32, ($G32-IFERROR(INDEX(GOOGLE"&amp;"FINANCE($C32, ""price"", WORKDAY(INT($B32), 1)), 2, 2), """"))/$G32))"),-0.03298594511903626)</f>
        <v>-0.03298594512</v>
      </c>
      <c r="R32" s="16">
        <f>IFERROR(__xludf.DUMMYFUNCTION("IF(OR(ISBLANK($G32), IFERROR(INDEX(GOOGLEFINANCE($C32, ""price"", WORKDAY(INT($B32), 5)), 2, 2), """")=""""), """", IF($D32=""LONG"", (IFERROR(INDEX(GOOGLEFINANCE($C32, ""price"", WORKDAY(INT($B32), 5)), 2, 2), """")-$G32)/$G32, ($G32-IFERROR(INDEX(GOOGLE"&amp;"FINANCE($C32, ""price"", WORKDAY(INT($B32), 5)), 2, 2), """"))/$G32))"),-0.05258628932020269)</f>
        <v>-0.05258628932</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5134</v>
      </c>
    </row>
    <row r="33">
      <c r="A33" s="9">
        <f t="shared" si="1"/>
        <v>32</v>
      </c>
      <c r="B33" s="11">
        <v>46232.66775462963</v>
      </c>
      <c r="C33" s="10" t="s">
        <v>408</v>
      </c>
      <c r="D33" s="10" t="s">
        <v>36</v>
      </c>
      <c r="E33" s="10" t="s">
        <v>37</v>
      </c>
      <c r="F33" s="13">
        <v>2.0</v>
      </c>
      <c r="G33" s="14">
        <v>250.4</v>
      </c>
      <c r="H33" s="10" t="s">
        <v>5135</v>
      </c>
      <c r="I33" s="10">
        <v>94.1</v>
      </c>
      <c r="O33" s="15">
        <f>IFERROR(__xludf.DUMMYFUNCTION("IF(ISBLANK($C33), """", GOOGLEFINANCE($C33, ""price""))"),250.14)</f>
        <v>250.14</v>
      </c>
      <c r="P33" s="16">
        <f t="shared" si="2"/>
        <v>-0.001038338658</v>
      </c>
      <c r="Q33" s="16">
        <f>IFERROR(__xludf.DUMMYFUNCTION("IF(OR(ISBLANK($G33), IFERROR(INDEX(GOOGLEFINANCE($C33, ""price"", WORKDAY(INT($B33), 1)), 2, 2), """")=""""), """", IF($D33=""LONG"", (IFERROR(INDEX(GOOGLEFINANCE($C33, ""price"", WORKDAY(INT($B33), 1)), 2, 2), """")-$G33)/$G33, ($G33-IFERROR(INDEX(GOOGLE"&amp;"FINANCE($C33, ""price"", WORKDAY(INT($B33), 1)), 2, 2), """"))/$G33))"),-0.013578274760383409)</f>
        <v>-0.01357827476</v>
      </c>
      <c r="R33" s="16">
        <f>IFERROR(__xludf.DUMMYFUNCTION("IF(OR(ISBLANK($G33), IFERROR(INDEX(GOOGLEFINANCE($C33, ""price"", WORKDAY(INT($B33), 5)), 2, 2), """")=""""), """", IF($D33=""LONG"", (IFERROR(INDEX(GOOGLEFINANCE($C33, ""price"", WORKDAY(INT($B33), 5)), 2, 2), """")-$G33)/$G33, ($G33-IFERROR(INDEX(GOOGLE"&amp;"FINANCE($C33, ""price"", WORKDAY(INT($B33), 5)), 2, 2), """"))/$G33))"),0.0061501597444089135)</f>
        <v>0.006150159744</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5138</v>
      </c>
    </row>
    <row r="34">
      <c r="A34" s="9">
        <f t="shared" si="1"/>
        <v>33</v>
      </c>
      <c r="B34" s="11">
        <v>46232.667708333334</v>
      </c>
      <c r="C34" s="10" t="s">
        <v>707</v>
      </c>
      <c r="D34" s="10" t="s">
        <v>36</v>
      </c>
      <c r="E34" s="10" t="s">
        <v>37</v>
      </c>
      <c r="F34" s="13">
        <v>2.0</v>
      </c>
      <c r="G34" s="14">
        <v>112.27</v>
      </c>
      <c r="H34" s="10" t="s">
        <v>3858</v>
      </c>
      <c r="I34" s="10">
        <v>93.0</v>
      </c>
      <c r="O34" s="15">
        <f>IFERROR(__xludf.DUMMYFUNCTION("IF(ISBLANK($C34), """", GOOGLEFINANCE($C34, ""price""))"),108.95)</f>
        <v>108.95</v>
      </c>
      <c r="P34" s="16">
        <f t="shared" si="2"/>
        <v>-0.02957156854</v>
      </c>
      <c r="Q34" s="16">
        <f>IFERROR(__xludf.DUMMYFUNCTION("IF(OR(ISBLANK($G34), IFERROR(INDEX(GOOGLEFINANCE($C34, ""price"", WORKDAY(INT($B34), 1)), 2, 2), """")=""""), """", IF($D34=""LONG"", (IFERROR(INDEX(GOOGLEFINANCE($C34, ""price"", WORKDAY(INT($B34), 1)), 2, 2), """")-$G34)/$G34, ($G34-IFERROR(INDEX(GOOGLE"&amp;"FINANCE($C34, ""price"", WORKDAY(INT($B34), 1)), 2, 2), """"))/$G34))"),-0.023247528280039186)</f>
        <v>-0.02324752828</v>
      </c>
      <c r="R34" s="16">
        <f>IFERROR(__xludf.DUMMYFUNCTION("IF(OR(ISBLANK($G34), IFERROR(INDEX(GOOGLEFINANCE($C34, ""price"", WORKDAY(INT($B34), 5)), 2, 2), """")=""""), """", IF($D34=""LONG"", (IFERROR(INDEX(GOOGLEFINANCE($C34, ""price"", WORKDAY(INT($B34), 5)), 2, 2), """")-$G34)/$G34, ($G34-IFERROR(INDEX(GOOGLE"&amp;"FINANCE($C34, ""price"", WORKDAY(INT($B34), 5)), 2, 2), """"))/$G34))"),-0.035183040883584246)</f>
        <v>-0.03518304088</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5142</v>
      </c>
    </row>
    <row r="35">
      <c r="A35" s="9">
        <f t="shared" si="1"/>
        <v>34</v>
      </c>
      <c r="B35" s="11">
        <v>46232.66773148148</v>
      </c>
      <c r="C35" s="10" t="s">
        <v>600</v>
      </c>
      <c r="D35" s="10" t="s">
        <v>36</v>
      </c>
      <c r="E35" s="10" t="s">
        <v>37</v>
      </c>
      <c r="F35" s="13">
        <v>2.0</v>
      </c>
      <c r="G35" s="14">
        <v>234.96</v>
      </c>
      <c r="H35" s="10" t="s">
        <v>5143</v>
      </c>
      <c r="I35" s="10">
        <v>85.7</v>
      </c>
      <c r="O35" s="15">
        <f>IFERROR(__xludf.DUMMYFUNCTION("IF(ISBLANK($C35), """", GOOGLEFINANCE($C35, ""price""))"),265.51)</f>
        <v>265.51</v>
      </c>
      <c r="P35" s="16">
        <f t="shared" si="2"/>
        <v>0.1300221314</v>
      </c>
      <c r="Q35" s="16">
        <f>IFERROR(__xludf.DUMMYFUNCTION("IF(OR(ISBLANK($G35), IFERROR(INDEX(GOOGLEFINANCE($C35, ""price"", WORKDAY(INT($B35), 1)), 2, 2), """")=""""), """", IF($D35=""LONG"", (IFERROR(INDEX(GOOGLEFINANCE($C35, ""price"", WORKDAY(INT($B35), 1)), 2, 2), """")-$G35)/$G35, ($G35-IFERROR(INDEX(GOOGLE"&amp;"FINANCE($C35, ""price"", WORKDAY(INT($B35), 1)), 2, 2), """"))/$G35))"),-0.0014470548178413492)</f>
        <v>-0.001447054818</v>
      </c>
      <c r="R35" s="16">
        <f>IFERROR(__xludf.DUMMYFUNCTION("IF(OR(ISBLANK($G35), IFERROR(INDEX(GOOGLEFINANCE($C35, ""price"", WORKDAY(INT($B35), 5)), 2, 2), """")=""""), """", IF($D35=""LONG"", (IFERROR(INDEX(GOOGLEFINANCE($C35, ""price"", WORKDAY(INT($B35), 5)), 2, 2), """")-$G35)/$G35, ($G35-IFERROR(INDEX(GOOGLE"&amp;"FINANCE($C35, ""price"", WORKDAY(INT($B35), 5)), 2, 2), """"))/$G35))"),0.10963568266939061)</f>
        <v>0.1096356827</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5146</v>
      </c>
    </row>
    <row r="36">
      <c r="A36" s="9">
        <f t="shared" si="1"/>
        <v>35</v>
      </c>
      <c r="B36" s="11">
        <v>46232.667719907404</v>
      </c>
      <c r="C36" s="10" t="s">
        <v>312</v>
      </c>
      <c r="D36" s="10" t="s">
        <v>36</v>
      </c>
      <c r="E36" s="10" t="s">
        <v>37</v>
      </c>
      <c r="F36" s="13">
        <v>2.0</v>
      </c>
      <c r="G36" s="14">
        <v>14.83</v>
      </c>
      <c r="H36" s="10" t="s">
        <v>5147</v>
      </c>
      <c r="I36" s="10">
        <v>91.7</v>
      </c>
      <c r="O36" s="15">
        <f>IFERROR(__xludf.DUMMYFUNCTION("IF(ISBLANK($C36), """", GOOGLEFINANCE($C36, ""price""))"),14.7)</f>
        <v>14.7</v>
      </c>
      <c r="P36" s="16">
        <f t="shared" si="2"/>
        <v>-0.008766014835</v>
      </c>
      <c r="Q36" s="16">
        <f>IFERROR(__xludf.DUMMYFUNCTION("IF(OR(ISBLANK($G36), IFERROR(INDEX(GOOGLEFINANCE($C36, ""price"", WORKDAY(INT($B36), 1)), 2, 2), """")=""""), """", IF($D36=""LONG"", (IFERROR(INDEX(GOOGLEFINANCE($C36, ""price"", WORKDAY(INT($B36), 1)), 2, 2), """")-$G36)/$G36, ($G36-IFERROR(INDEX(GOOGLE"&amp;"FINANCE($C36, ""price"", WORKDAY(INT($B36), 1)), 2, 2), """"))/$G36))"),0.0013486176668914074)</f>
        <v>0.001348617667</v>
      </c>
      <c r="R36" s="16">
        <f>IFERROR(__xludf.DUMMYFUNCTION("IF(OR(ISBLANK($G36), IFERROR(INDEX(GOOGLEFINANCE($C36, ""price"", WORKDAY(INT($B36), 5)), 2, 2), """")=""""), """", IF($D36=""LONG"", (IFERROR(INDEX(GOOGLEFINANCE($C36, ""price"", WORKDAY(INT($B36), 5)), 2, 2), """")-$G36)/$G36, ($G36-IFERROR(INDEX(GOOGLE"&amp;"FINANCE($C36, ""price"", WORKDAY(INT($B36), 5)), 2, 2), """"))/$G36))"),-0.008766014834794389)</f>
        <v>-0.008766014835</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5150</v>
      </c>
    </row>
    <row r="37">
      <c r="A37" s="9">
        <f t="shared" si="1"/>
        <v>36</v>
      </c>
      <c r="B37" s="11">
        <v>46232.66769675926</v>
      </c>
      <c r="C37" s="10" t="s">
        <v>267</v>
      </c>
      <c r="D37" s="10" t="s">
        <v>36</v>
      </c>
      <c r="E37" s="10" t="s">
        <v>37</v>
      </c>
      <c r="F37" s="13">
        <v>2.0</v>
      </c>
      <c r="G37" s="14">
        <v>193.51</v>
      </c>
      <c r="H37" s="10" t="s">
        <v>5151</v>
      </c>
      <c r="I37" s="10">
        <v>90.0</v>
      </c>
      <c r="O37" s="15">
        <f>IFERROR(__xludf.DUMMYFUNCTION("IF(ISBLANK($C37), """", GOOGLEFINANCE($C37, ""price""))"),213.26)</f>
        <v>213.26</v>
      </c>
      <c r="P37" s="16">
        <f t="shared" si="2"/>
        <v>0.1020619089</v>
      </c>
      <c r="Q37" s="16">
        <f>IFERROR(__xludf.DUMMYFUNCTION("IF(OR(ISBLANK($G37), IFERROR(INDEX(GOOGLEFINANCE($C37, ""price"", WORKDAY(INT($B37), 1)), 2, 2), """")=""""), """", IF($D37=""LONG"", (IFERROR(INDEX(GOOGLEFINANCE($C37, ""price"", WORKDAY(INT($B37), 1)), 2, 2), """")-$G37)/$G37, ($G37-IFERROR(INDEX(GOOGLE"&amp;"FINANCE($C37, ""price"", WORKDAY(INT($B37), 1)), 2, 2), """"))/$G37))"),0.020774120200506486)</f>
        <v>0.0207741202</v>
      </c>
      <c r="R37" s="16">
        <f>IFERROR(__xludf.DUMMYFUNCTION("IF(OR(ISBLANK($G37), IFERROR(INDEX(GOOGLEFINANCE($C37, ""price"", WORKDAY(INT($B37), 5)), 2, 2), """")=""""), """", IF($D37=""LONG"", (IFERROR(INDEX(GOOGLEFINANCE($C37, ""price"", WORKDAY(INT($B37), 5)), 2, 2), """")-$G37)/$G37, ($G37-IFERROR(INDEX(GOOGLE"&amp;"FINANCE($C37, ""price"", WORKDAY(INT($B37), 5)), 2, 2), """"))/$G37))"),0.07110743630820122)</f>
        <v>0.07110743631</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5154</v>
      </c>
    </row>
    <row r="38">
      <c r="A38" s="9">
        <f t="shared" si="1"/>
        <v>37</v>
      </c>
      <c r="B38" s="11">
        <v>46232.66774305556</v>
      </c>
      <c r="C38" s="10" t="s">
        <v>374</v>
      </c>
      <c r="D38" s="10" t="s">
        <v>36</v>
      </c>
      <c r="E38" s="10" t="s">
        <v>37</v>
      </c>
      <c r="F38" s="13">
        <v>2.0</v>
      </c>
      <c r="G38" s="14">
        <v>73.07</v>
      </c>
      <c r="H38" s="10" t="s">
        <v>5155</v>
      </c>
      <c r="I38" s="10">
        <v>78.8</v>
      </c>
      <c r="O38" s="15">
        <f>IFERROR(__xludf.DUMMYFUNCTION("IF(ISBLANK($C38), """", GOOGLEFINANCE($C38, ""price""))"),73.32)</f>
        <v>73.32</v>
      </c>
      <c r="P38" s="16">
        <f t="shared" si="2"/>
        <v>0.003421376762</v>
      </c>
      <c r="Q38" s="16">
        <f>IFERROR(__xludf.DUMMYFUNCTION("IF(OR(ISBLANK($G38), IFERROR(INDEX(GOOGLEFINANCE($C38, ""price"", WORKDAY(INT($B38), 1)), 2, 2), """")=""""), """", IF($D38=""LONG"", (IFERROR(INDEX(GOOGLEFINANCE($C38, ""price"", WORKDAY(INT($B38), 1)), 2, 2), """")-$G38)/$G38, ($G38-IFERROR(INDEX(GOOGLE"&amp;"FINANCE($C38, ""price"", WORKDAY(INT($B38), 1)), 2, 2), """"))/$G38))"),-0.005747912960175004)</f>
        <v>-0.00574791296</v>
      </c>
      <c r="R38" s="16">
        <f>IFERROR(__xludf.DUMMYFUNCTION("IF(OR(ISBLANK($G38), IFERROR(INDEX(GOOGLEFINANCE($C38, ""price"", WORKDAY(INT($B38), 5)), 2, 2), """")=""""), """", IF($D38=""LONG"", (IFERROR(INDEX(GOOGLEFINANCE($C38, ""price"", WORKDAY(INT($B38), 5)), 2, 2), """")-$G38)/$G38, ($G38-IFERROR(INDEX(GOOGLE"&amp;"FINANCE($C38, ""price"", WORKDAY(INT($B38), 5)), 2, 2), """"))/$G38))"),0.024223347475024092)</f>
        <v>0.02422334748</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5157</v>
      </c>
    </row>
    <row r="39">
      <c r="A39" s="9">
        <f t="shared" si="1"/>
        <v>38</v>
      </c>
      <c r="B39" s="11">
        <v>46232.66774305556</v>
      </c>
      <c r="C39" s="10" t="s">
        <v>331</v>
      </c>
      <c r="D39" s="10" t="s">
        <v>36</v>
      </c>
      <c r="E39" s="10" t="s">
        <v>37</v>
      </c>
      <c r="F39" s="13">
        <v>2.0</v>
      </c>
      <c r="G39" s="14">
        <v>248.51</v>
      </c>
      <c r="H39" s="10" t="s">
        <v>5159</v>
      </c>
      <c r="I39" s="10">
        <v>93.1</v>
      </c>
      <c r="O39" s="15">
        <f>IFERROR(__xludf.DUMMYFUNCTION("IF(ISBLANK($C39), """", GOOGLEFINANCE($C39, ""price""))"),252.76)</f>
        <v>252.76</v>
      </c>
      <c r="P39" s="16">
        <f t="shared" si="2"/>
        <v>0.01710192749</v>
      </c>
      <c r="Q39" s="16">
        <f>IFERROR(__xludf.DUMMYFUNCTION("IF(OR(ISBLANK($G39), IFERROR(INDEX(GOOGLEFINANCE($C39, ""price"", WORKDAY(INT($B39), 1)), 2, 2), """")=""""), """", IF($D39=""LONG"", (IFERROR(INDEX(GOOGLEFINANCE($C39, ""price"", WORKDAY(INT($B39), 1)), 2, 2), """")-$G39)/$G39, ($G39-IFERROR(INDEX(GOOGLE"&amp;"FINANCE($C39, ""price"", WORKDAY(INT($B39), 1)), 2, 2), """"))/$G39))"),8.04796587662537E-4)</f>
        <v>0.0008047965877</v>
      </c>
      <c r="R39" s="16">
        <f>IFERROR(__xludf.DUMMYFUNCTION("IF(OR(ISBLANK($G39), IFERROR(INDEX(GOOGLEFINANCE($C39, ""price"", WORKDAY(INT($B39), 5)), 2, 2), """")=""""), """", IF($D39=""LONG"", (IFERROR(INDEX(GOOGLEFINANCE($C39, ""price"", WORKDAY(INT($B39), 5)), 2, 2), """")-$G39)/$G39, ($G39-IFERROR(INDEX(GOOGLE"&amp;"FINANCE($C39, ""price"", WORKDAY(INT($B39), 5)), 2, 2), """"))/$G39))"),0.027604522956822718)</f>
        <v>0.02760452296</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5161</v>
      </c>
    </row>
    <row r="40">
      <c r="A40" s="9">
        <f t="shared" si="1"/>
        <v>39</v>
      </c>
      <c r="B40" s="11">
        <v>46232.66775462963</v>
      </c>
      <c r="C40" s="10" t="s">
        <v>3533</v>
      </c>
      <c r="D40" s="10" t="s">
        <v>36</v>
      </c>
      <c r="E40" s="10" t="s">
        <v>37</v>
      </c>
      <c r="F40" s="13">
        <v>2.0</v>
      </c>
      <c r="G40" s="14">
        <v>81.14</v>
      </c>
      <c r="H40" s="10" t="s">
        <v>5162</v>
      </c>
      <c r="I40" s="10">
        <v>95.0</v>
      </c>
      <c r="O40" s="15">
        <f>IFERROR(__xludf.DUMMYFUNCTION("IF(ISBLANK($C40), """", GOOGLEFINANCE($C40, ""price""))"),76.96)</f>
        <v>76.96</v>
      </c>
      <c r="P40" s="16">
        <f t="shared" si="2"/>
        <v>-0.05151589845</v>
      </c>
      <c r="Q40" s="16">
        <f>IFERROR(__xludf.DUMMYFUNCTION("IF(OR(ISBLANK($G40), IFERROR(INDEX(GOOGLEFINANCE($C40, ""price"", WORKDAY(INT($B40), 1)), 2, 2), """")=""""), """", IF($D40=""LONG"", (IFERROR(INDEX(GOOGLEFINANCE($C40, ""price"", WORKDAY(INT($B40), 1)), 2, 2), """")-$G40)/$G40, ($G40-IFERROR(INDEX(GOOGLE"&amp;"FINANCE($C40, ""price"", WORKDAY(INT($B40), 1)), 2, 2), """"))/$G40))"),-0.009613014542765605)</f>
        <v>-0.009613014543</v>
      </c>
      <c r="R40" s="16">
        <f>IFERROR(__xludf.DUMMYFUNCTION("IF(OR(ISBLANK($G40), IFERROR(INDEX(GOOGLEFINANCE($C40, ""price"", WORKDAY(INT($B40), 5)), 2, 2), """")=""""), """", IF($D40=""LONG"", (IFERROR(INDEX(GOOGLEFINANCE($C40, ""price"", WORKDAY(INT($B40), 5)), 2, 2), """")-$G40)/$G40, ($G40-IFERROR(INDEX(GOOGLE"&amp;"FINANCE($C40, ""price"", WORKDAY(INT($B40), 5)), 2, 2), """"))/$G40))"),-0.025511461671185696)</f>
        <v>-0.02551146167</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5164</v>
      </c>
    </row>
    <row r="41">
      <c r="A41" s="9">
        <f t="shared" si="1"/>
        <v>40</v>
      </c>
      <c r="B41" s="11">
        <v>46232.66777777778</v>
      </c>
      <c r="C41" s="10" t="s">
        <v>2692</v>
      </c>
      <c r="D41" s="10" t="s">
        <v>36</v>
      </c>
      <c r="E41" s="10" t="s">
        <v>37</v>
      </c>
      <c r="F41" s="13">
        <v>2.0</v>
      </c>
      <c r="G41" s="14">
        <v>65.56</v>
      </c>
      <c r="H41" s="10" t="s">
        <v>5165</v>
      </c>
      <c r="I41" s="10">
        <v>90.8</v>
      </c>
      <c r="O41" s="15">
        <f>IFERROR(__xludf.DUMMYFUNCTION("IF(ISBLANK($C41), """", GOOGLEFINANCE($C41, ""price""))"),62.36)</f>
        <v>62.36</v>
      </c>
      <c r="P41" s="16">
        <f t="shared" si="2"/>
        <v>-0.04881025015</v>
      </c>
      <c r="Q41" s="16">
        <f>IFERROR(__xludf.DUMMYFUNCTION("IF(OR(ISBLANK($G41), IFERROR(INDEX(GOOGLEFINANCE($C41, ""price"", WORKDAY(INT($B41), 1)), 2, 2), """")=""""), """", IF($D41=""LONG"", (IFERROR(INDEX(GOOGLEFINANCE($C41, ""price"", WORKDAY(INT($B41), 1)), 2, 2), """")-$G41)/$G41, ($G41-IFERROR(INDEX(GOOGLE"&amp;"FINANCE($C41, ""price"", WORKDAY(INT($B41), 1)), 2, 2), """"))/$G41))"),-0.017236119585112803)</f>
        <v>-0.01723611959</v>
      </c>
      <c r="R41" s="16">
        <f>IFERROR(__xludf.DUMMYFUNCTION("IF(OR(ISBLANK($G41), IFERROR(INDEX(GOOGLEFINANCE($C41, ""price"", WORKDAY(INT($B41), 5)), 2, 2), """")=""""), """", IF($D41=""LONG"", (IFERROR(INDEX(GOOGLEFINANCE($C41, ""price"", WORKDAY(INT($B41), 5)), 2, 2), """")-$G41)/$G41, ($G41-IFERROR(INDEX(GOOGLE"&amp;"FINANCE($C41, ""price"", WORKDAY(INT($B41), 5)), 2, 2), """"))/$G41))"),-0.043624161073825496)</f>
        <v>-0.04362416107</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5171</v>
      </c>
    </row>
    <row r="42">
      <c r="A42" s="9">
        <f t="shared" si="1"/>
        <v>41</v>
      </c>
      <c r="B42" s="11">
        <v>46232.66769675926</v>
      </c>
      <c r="C42" s="10" t="s">
        <v>141</v>
      </c>
      <c r="D42" s="10" t="s">
        <v>36</v>
      </c>
      <c r="E42" s="10" t="s">
        <v>37</v>
      </c>
      <c r="F42" s="13">
        <v>2.0</v>
      </c>
      <c r="G42" s="14">
        <v>130.39</v>
      </c>
      <c r="H42" s="10" t="s">
        <v>5172</v>
      </c>
      <c r="I42" s="10">
        <v>87.4</v>
      </c>
      <c r="O42" s="15">
        <f>IFERROR(__xludf.DUMMYFUNCTION("IF(ISBLANK($C42), """", GOOGLEFINANCE($C42, ""price""))"),128.37)</f>
        <v>128.37</v>
      </c>
      <c r="P42" s="16">
        <f t="shared" si="2"/>
        <v>-0.01549198558</v>
      </c>
      <c r="Q42" s="16">
        <f>IFERROR(__xludf.DUMMYFUNCTION("IF(OR(ISBLANK($G42), IFERROR(INDEX(GOOGLEFINANCE($C42, ""price"", WORKDAY(INT($B42), 1)), 2, 2), """")=""""), """", IF($D42=""LONG"", (IFERROR(INDEX(GOOGLEFINANCE($C42, ""price"", WORKDAY(INT($B42), 1)), 2, 2), """")-$G42)/$G42, ($G42-IFERROR(INDEX(GOOGLE"&amp;"FINANCE($C42, ""price"", WORKDAY(INT($B42), 1)), 2, 2), """"))/$G42))"),-0.004601579875757301)</f>
        <v>-0.004601579876</v>
      </c>
      <c r="R42" s="16">
        <f>IFERROR(__xludf.DUMMYFUNCTION("IF(OR(ISBLANK($G42), IFERROR(INDEX(GOOGLEFINANCE($C42, ""price"", WORKDAY(INT($B42), 5)), 2, 2), """")=""""), """", IF($D42=""LONG"", (IFERROR(INDEX(GOOGLEFINANCE($C42, ""price"", WORKDAY(INT($B42), 5)), 2, 2), """")-$G42)/$G42, ($G42-IFERROR(INDEX(GOOGLE"&amp;"FINANCE($C42, ""price"", WORKDAY(INT($B42), 5)), 2, 2), """"))/$G42))"),-0.015798757573433346)</f>
        <v>-0.01579875757</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5177</v>
      </c>
    </row>
    <row r="43">
      <c r="A43" s="9">
        <f t="shared" si="1"/>
        <v>42</v>
      </c>
      <c r="B43" s="11">
        <v>46232.66773148148</v>
      </c>
      <c r="C43" s="10" t="s">
        <v>226</v>
      </c>
      <c r="D43" s="10" t="s">
        <v>36</v>
      </c>
      <c r="E43" s="10" t="s">
        <v>37</v>
      </c>
      <c r="F43" s="13">
        <v>2.0</v>
      </c>
      <c r="G43" s="14">
        <v>22.48</v>
      </c>
      <c r="H43" s="10" t="s">
        <v>5178</v>
      </c>
      <c r="I43" s="10">
        <v>92.5</v>
      </c>
      <c r="O43" s="15">
        <f>IFERROR(__xludf.DUMMYFUNCTION("IF(ISBLANK($C43), """", GOOGLEFINANCE($C43, ""price""))"),21.1)</f>
        <v>21.1</v>
      </c>
      <c r="P43" s="16">
        <f t="shared" si="2"/>
        <v>-0.06138790036</v>
      </c>
      <c r="Q43" s="16">
        <f>IFERROR(__xludf.DUMMYFUNCTION("IF(OR(ISBLANK($G43), IFERROR(INDEX(GOOGLEFINANCE($C43, ""price"", WORKDAY(INT($B43), 1)), 2, 2), """")=""""), """", IF($D43=""LONG"", (IFERROR(INDEX(GOOGLEFINANCE($C43, ""price"", WORKDAY(INT($B43), 1)), 2, 2), """")-$G43)/$G43, ($G43-IFERROR(INDEX(GOOGLE"&amp;"FINANCE($C43, ""price"", WORKDAY(INT($B43), 1)), 2, 2), """"))/$G43))"),-0.01868327402135239)</f>
        <v>-0.01868327402</v>
      </c>
      <c r="R43" s="16">
        <f>IFERROR(__xludf.DUMMYFUNCTION("IF(OR(ISBLANK($G43), IFERROR(INDEX(GOOGLEFINANCE($C43, ""price"", WORKDAY(INT($B43), 5)), 2, 2), """")=""""), """", IF($D43=""LONG"", (IFERROR(INDEX(GOOGLEFINANCE($C43, ""price"", WORKDAY(INT($B43), 5)), 2, 2), """")-$G43)/$G43, ($G43-IFERROR(INDEX(GOOGLE"&amp;"FINANCE($C43, ""price"", WORKDAY(INT($B43), 5)), 2, 2), """"))/$G43))"),-0.030693950177936)</f>
        <v>-0.03069395018</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5180</v>
      </c>
    </row>
    <row r="44">
      <c r="A44" s="9">
        <f t="shared" si="1"/>
        <v>43</v>
      </c>
      <c r="B44" s="11">
        <v>46232.66777777778</v>
      </c>
      <c r="C44" s="10" t="s">
        <v>104</v>
      </c>
      <c r="D44" s="10" t="s">
        <v>36</v>
      </c>
      <c r="E44" s="10" t="s">
        <v>37</v>
      </c>
      <c r="F44" s="13">
        <v>2.0</v>
      </c>
      <c r="G44" s="14">
        <v>128.68</v>
      </c>
      <c r="H44" s="10" t="s">
        <v>5181</v>
      </c>
      <c r="I44" s="10">
        <v>95.6</v>
      </c>
      <c r="O44" s="15">
        <f>IFERROR(__xludf.DUMMYFUNCTION("IF(ISBLANK($C44), """", GOOGLEFINANCE($C44, ""price""))"),127.45)</f>
        <v>127.45</v>
      </c>
      <c r="P44" s="16">
        <f t="shared" si="2"/>
        <v>-0.009558594964</v>
      </c>
      <c r="Q44" s="16">
        <f>IFERROR(__xludf.DUMMYFUNCTION("IF(OR(ISBLANK($G44), IFERROR(INDEX(GOOGLEFINANCE($C44, ""price"", WORKDAY(INT($B44), 1)), 2, 2), """")=""""), """", IF($D44=""LONG"", (IFERROR(INDEX(GOOGLEFINANCE($C44, ""price"", WORKDAY(INT($B44), 1)), 2, 2), """")-$G44)/$G44, ($G44-IFERROR(INDEX(GOOGLE"&amp;"FINANCE($C44, ""price"", WORKDAY(INT($B44), 1)), 2, 2), """"))/$G44))"),-0.009170034193347892)</f>
        <v>-0.009170034193</v>
      </c>
      <c r="R44" s="16">
        <f>IFERROR(__xludf.DUMMYFUNCTION("IF(OR(ISBLANK($G44), IFERROR(INDEX(GOOGLEFINANCE($C44, ""price"", WORKDAY(INT($B44), 5)), 2, 2), """")=""""), """", IF($D44=""LONG"", (IFERROR(INDEX(GOOGLEFINANCE($C44, ""price"", WORKDAY(INT($B44), 5)), 2, 2), """")-$G44)/$G44, ($G44-IFERROR(INDEX(GOOGLE"&amp;"FINANCE($C44, ""price"", WORKDAY(INT($B44), 5)), 2, 2), """"))/$G44))"),-0.013521914827479088)</f>
        <v>-0.01352191483</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5184</v>
      </c>
    </row>
    <row r="45">
      <c r="A45" s="9">
        <f t="shared" si="1"/>
        <v>44</v>
      </c>
      <c r="B45" s="11">
        <v>46232.667719907404</v>
      </c>
      <c r="C45" s="10" t="s">
        <v>257</v>
      </c>
      <c r="D45" s="10" t="s">
        <v>36</v>
      </c>
      <c r="E45" s="10" t="s">
        <v>1892</v>
      </c>
      <c r="F45" s="13">
        <v>2.0</v>
      </c>
      <c r="G45" s="14">
        <v>73.03</v>
      </c>
      <c r="H45" s="10" t="s">
        <v>5186</v>
      </c>
      <c r="I45" s="10">
        <v>67.4</v>
      </c>
      <c r="O45" s="15">
        <f>IFERROR(__xludf.DUMMYFUNCTION("IF(ISBLANK($C45), """", GOOGLEFINANCE($C45, ""price""))"),68.81)</f>
        <v>68.81</v>
      </c>
      <c r="P45" s="16">
        <f t="shared" si="2"/>
        <v>-0.05778447213</v>
      </c>
      <c r="Q45" s="16">
        <f>IFERROR(__xludf.DUMMYFUNCTION("IF(OR(ISBLANK($G45), IFERROR(INDEX(GOOGLEFINANCE($C45, ""price"", WORKDAY(INT($B45), 1)), 2, 2), """")=""""), """", IF($D45=""LONG"", (IFERROR(INDEX(GOOGLEFINANCE($C45, ""price"", WORKDAY(INT($B45), 1)), 2, 2), """")-$G45)/$G45, ($G45-IFERROR(INDEX(GOOGLE"&amp;"FINANCE($C45, ""price"", WORKDAY(INT($B45), 1)), 2, 2), """"))/$G45))"),-0.018622483910721615)</f>
        <v>-0.01862248391</v>
      </c>
      <c r="R45" s="16">
        <f>IFERROR(__xludf.DUMMYFUNCTION("IF(OR(ISBLANK($G45), IFERROR(INDEX(GOOGLEFINANCE($C45, ""price"", WORKDAY(INT($B45), 5)), 2, 2), """")=""""), """", IF($D45=""LONG"", (IFERROR(INDEX(GOOGLEFINANCE($C45, ""price"", WORKDAY(INT($B45), 5)), 2, 2), """")-$G45)/$G45, ($G45-IFERROR(INDEX(GOOGLE"&amp;"FINANCE($C45, ""price"", WORKDAY(INT($B45), 5)), 2, 2), """"))/$G45))"),-0.041352868684102366)</f>
        <v>-0.04135286868</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5188</v>
      </c>
    </row>
    <row r="46">
      <c r="A46" s="9">
        <f t="shared" si="1"/>
        <v>45</v>
      </c>
      <c r="B46" s="11">
        <v>46232.66775462963</v>
      </c>
      <c r="C46" s="10" t="s">
        <v>234</v>
      </c>
      <c r="D46" s="10" t="s">
        <v>36</v>
      </c>
      <c r="E46" s="10" t="s">
        <v>37</v>
      </c>
      <c r="F46" s="13">
        <v>2.0</v>
      </c>
      <c r="G46" s="14">
        <v>62.82</v>
      </c>
      <c r="H46" s="10" t="s">
        <v>5189</v>
      </c>
      <c r="I46" s="10">
        <v>92.3</v>
      </c>
      <c r="O46" s="15">
        <f>IFERROR(__xludf.DUMMYFUNCTION("IF(ISBLANK($C46), """", GOOGLEFINANCE($C46, ""price""))"),63.81)</f>
        <v>63.81</v>
      </c>
      <c r="P46" s="16">
        <f t="shared" si="2"/>
        <v>0.01575931232</v>
      </c>
      <c r="Q46" s="16">
        <f>IFERROR(__xludf.DUMMYFUNCTION("IF(OR(ISBLANK($G46), IFERROR(INDEX(GOOGLEFINANCE($C46, ""price"", WORKDAY(INT($B46), 1)), 2, 2), """")=""""), """", IF($D46=""LONG"", (IFERROR(INDEX(GOOGLEFINANCE($C46, ""price"", WORKDAY(INT($B46), 1)), 2, 2), """")-$G46)/$G46, ($G46-IFERROR(INDEX(GOOGLE"&amp;"FINANCE($C46, ""price"", WORKDAY(INT($B46), 1)), 2, 2), """"))/$G46))"),0.0012734797835084097)</f>
        <v>0.001273479784</v>
      </c>
      <c r="R46" s="16">
        <f>IFERROR(__xludf.DUMMYFUNCTION("IF(OR(ISBLANK($G46), IFERROR(INDEX(GOOGLEFINANCE($C46, ""price"", WORKDAY(INT($B46), 5)), 2, 2), """")=""""), """", IF($D46=""LONG"", (IFERROR(INDEX(GOOGLEFINANCE($C46, ""price"", WORKDAY(INT($B46), 5)), 2, 2), """")-$G46)/$G46, ($G46-IFERROR(INDEX(GOOGLE"&amp;"FINANCE($C46, ""price"", WORKDAY(INT($B46), 5)), 2, 2), """"))/$G46))"),0.022126711238458985)</f>
        <v>0.02212671124</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5192</v>
      </c>
    </row>
    <row r="47">
      <c r="A47" s="9">
        <f t="shared" si="1"/>
        <v>46</v>
      </c>
      <c r="B47" s="11">
        <v>46232.66780092593</v>
      </c>
      <c r="C47" s="10" t="s">
        <v>108</v>
      </c>
      <c r="D47" s="10" t="s">
        <v>36</v>
      </c>
      <c r="E47" s="10" t="s">
        <v>37</v>
      </c>
      <c r="F47" s="13">
        <v>2.0</v>
      </c>
      <c r="G47" s="14">
        <v>129.0</v>
      </c>
      <c r="H47" s="10" t="s">
        <v>5193</v>
      </c>
      <c r="I47" s="10">
        <v>94.2</v>
      </c>
      <c r="O47" s="15">
        <f>IFERROR(__xludf.DUMMYFUNCTION("IF(ISBLANK($C47), """", GOOGLEFINANCE($C47, ""price""))"),129.68)</f>
        <v>129.68</v>
      </c>
      <c r="P47" s="16">
        <f t="shared" si="2"/>
        <v>0.005271317829</v>
      </c>
      <c r="Q47" s="16">
        <f>IFERROR(__xludf.DUMMYFUNCTION("IF(OR(ISBLANK($G47), IFERROR(INDEX(GOOGLEFINANCE($C47, ""price"", WORKDAY(INT($B47), 1)), 2, 2), """")=""""), """", IF($D47=""LONG"", (IFERROR(INDEX(GOOGLEFINANCE($C47, ""price"", WORKDAY(INT($B47), 1)), 2, 2), """")-$G47)/$G47, ($G47-IFERROR(INDEX(GOOGLE"&amp;"FINANCE($C47, ""price"", WORKDAY(INT($B47), 1)), 2, 2), """"))/$G47))"),-0.003333333333333386)</f>
        <v>-0.003333333333</v>
      </c>
      <c r="R47" s="16">
        <f>IFERROR(__xludf.DUMMYFUNCTION("IF(OR(ISBLANK($G47), IFERROR(INDEX(GOOGLEFINANCE($C47, ""price"", WORKDAY(INT($B47), 5)), 2, 2), """")=""""), """", IF($D47=""LONG"", (IFERROR(INDEX(GOOGLEFINANCE($C47, ""price"", WORKDAY(INT($B47), 5)), 2, 2), """")-$G47)/$G47, ($G47-IFERROR(INDEX(GOOGLE"&amp;"FINANCE($C47, ""price"", WORKDAY(INT($B47), 5)), 2, 2), """"))/$G47))"),-0.0018604651162791403)</f>
        <v>-0.001860465116</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5195</v>
      </c>
    </row>
    <row r="48">
      <c r="A48" s="9">
        <f t="shared" si="1"/>
        <v>47</v>
      </c>
      <c r="B48" s="11">
        <v>46232.667719907404</v>
      </c>
      <c r="C48" s="10" t="s">
        <v>434</v>
      </c>
      <c r="D48" s="10" t="s">
        <v>36</v>
      </c>
      <c r="E48" s="10" t="s">
        <v>1892</v>
      </c>
      <c r="F48" s="13">
        <v>2.0</v>
      </c>
      <c r="G48" s="14">
        <v>113.38</v>
      </c>
      <c r="H48" s="10" t="s">
        <v>5197</v>
      </c>
      <c r="I48" s="10">
        <v>87.3</v>
      </c>
      <c r="O48" s="15">
        <f>IFERROR(__xludf.DUMMYFUNCTION("IF(ISBLANK($C48), """", GOOGLEFINANCE($C48, ""price""))"),114.24)</f>
        <v>114.24</v>
      </c>
      <c r="P48" s="16">
        <f t="shared" si="2"/>
        <v>0.007585112013</v>
      </c>
      <c r="Q48" s="16">
        <f>IFERROR(__xludf.DUMMYFUNCTION("IF(OR(ISBLANK($G48), IFERROR(INDEX(GOOGLEFINANCE($C48, ""price"", WORKDAY(INT($B48), 1)), 2, 2), """")=""""), """", IF($D48=""LONG"", (IFERROR(INDEX(GOOGLEFINANCE($C48, ""price"", WORKDAY(INT($B48), 1)), 2, 2), """")-$G48)/$G48, ($G48-IFERROR(INDEX(GOOGLE"&amp;"FINANCE($C48, ""price"", WORKDAY(INT($B48), 1)), 2, 2), """"))/$G48))"),0.001411183630269984)</f>
        <v>0.00141118363</v>
      </c>
      <c r="R48" s="16">
        <f>IFERROR(__xludf.DUMMYFUNCTION("IF(OR(ISBLANK($G48), IFERROR(INDEX(GOOGLEFINANCE($C48, ""price"", WORKDAY(INT($B48), 5)), 2, 2), """")=""""), """", IF($D48=""LONG"", (IFERROR(INDEX(GOOGLEFINANCE($C48, ""price"", WORKDAY(INT($B48), 5)), 2, 2), """")-$G48)/$G48, ($G48-IFERROR(INDEX(GOOGLE"&amp;"FINANCE($C48, ""price"", WORKDAY(INT($B48), 5)), 2, 2), """"))/$G48))"),0.014464632210266367)</f>
        <v>0.01446463221</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5199</v>
      </c>
    </row>
    <row r="49">
      <c r="A49" s="9">
        <f t="shared" si="1"/>
        <v>48</v>
      </c>
      <c r="B49" s="11">
        <v>46232.66774305556</v>
      </c>
      <c r="C49" s="10" t="s">
        <v>3480</v>
      </c>
      <c r="D49" s="10" t="s">
        <v>36</v>
      </c>
      <c r="E49" s="10" t="s">
        <v>37</v>
      </c>
      <c r="F49" s="13">
        <v>2.0</v>
      </c>
      <c r="G49" s="14">
        <v>26.01</v>
      </c>
      <c r="H49" s="10" t="s">
        <v>5200</v>
      </c>
      <c r="I49" s="10">
        <v>92.9</v>
      </c>
      <c r="O49" s="15">
        <f>IFERROR(__xludf.DUMMYFUNCTION("IF(ISBLANK($C49), """", GOOGLEFINANCE($C49, ""price""))"),24.43)</f>
        <v>24.43</v>
      </c>
      <c r="P49" s="16">
        <f t="shared" si="2"/>
        <v>-0.06074586697</v>
      </c>
      <c r="Q49" s="16">
        <f>IFERROR(__xludf.DUMMYFUNCTION("IF(OR(ISBLANK($G49), IFERROR(INDEX(GOOGLEFINANCE($C49, ""price"", WORKDAY(INT($B49), 1)), 2, 2), """")=""""), """", IF($D49=""LONG"", (IFERROR(INDEX(GOOGLEFINANCE($C49, ""price"", WORKDAY(INT($B49), 1)), 2, 2), """")-$G49)/$G49, ($G49-IFERROR(INDEX(GOOGLE"&amp;"FINANCE($C49, ""price"", WORKDAY(INT($B49), 1)), 2, 2), """"))/$G49))"),-0.019223375624759707)</f>
        <v>-0.01922337562</v>
      </c>
      <c r="R49" s="16">
        <f>IFERROR(__xludf.DUMMYFUNCTION("IF(OR(ISBLANK($G49), IFERROR(INDEX(GOOGLEFINANCE($C49, ""price"", WORKDAY(INT($B49), 5)), 2, 2), """")=""""), """", IF($D49=""LONG"", (IFERROR(INDEX(GOOGLEFINANCE($C49, ""price"", WORKDAY(INT($B49), 5)), 2, 2), """")-$G49)/$G49, ($G49-IFERROR(INDEX(GOOGLE"&amp;"FINANCE($C49, ""price"", WORKDAY(INT($B49), 5)), 2, 2), """"))/$G49))"),-0.04382929642445215)</f>
        <v>-0.04382929642</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5202</v>
      </c>
    </row>
    <row r="50">
      <c r="A50" s="9">
        <f t="shared" si="1"/>
        <v>49</v>
      </c>
      <c r="B50" s="11">
        <v>46232.66778935185</v>
      </c>
      <c r="C50" s="10" t="s">
        <v>2066</v>
      </c>
      <c r="D50" s="10" t="s">
        <v>36</v>
      </c>
      <c r="E50" s="10" t="s">
        <v>1892</v>
      </c>
      <c r="F50" s="13">
        <v>2.0</v>
      </c>
      <c r="G50" s="14">
        <v>98.77</v>
      </c>
      <c r="H50" s="10" t="s">
        <v>5203</v>
      </c>
      <c r="I50" s="10">
        <v>67.2</v>
      </c>
      <c r="O50" s="15">
        <f>IFERROR(__xludf.DUMMYFUNCTION("IF(ISBLANK($C50), """", GOOGLEFINANCE($C50, ""price""))"),98.02)</f>
        <v>98.02</v>
      </c>
      <c r="P50" s="16">
        <f t="shared" si="2"/>
        <v>-0.007593398805</v>
      </c>
      <c r="Q50" s="16">
        <f>IFERROR(__xludf.DUMMYFUNCTION("IF(OR(ISBLANK($G50), IFERROR(INDEX(GOOGLEFINANCE($C50, ""price"", WORKDAY(INT($B50), 1)), 2, 2), """")=""""), """", IF($D50=""LONG"", (IFERROR(INDEX(GOOGLEFINANCE($C50, ""price"", WORKDAY(INT($B50), 1)), 2, 2), """")-$G50)/$G50, ($G50-IFERROR(INDEX(GOOGLE"&amp;"FINANCE($C50, ""price"", WORKDAY(INT($B50), 1)), 2, 2), """"))/$G50))"),-0.04110559886605247)</f>
        <v>-0.04110559887</v>
      </c>
      <c r="R50" s="16">
        <f>IFERROR(__xludf.DUMMYFUNCTION("IF(OR(ISBLANK($G50), IFERROR(INDEX(GOOGLEFINANCE($C50, ""price"", WORKDAY(INT($B50), 5)), 2, 2), """")=""""), """", IF($D50=""LONG"", (IFERROR(INDEX(GOOGLEFINANCE($C50, ""price"", WORKDAY(INT($B50), 5)), 2, 2), """")-$G50)/$G50, ($G50-IFERROR(INDEX(GOOGLE"&amp;"FINANCE($C50, ""price"", WORKDAY(INT($B50), 5)), 2, 2), """"))/$G50))"),-0.016300496102055275)</f>
        <v>-0.0163004961</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5206</v>
      </c>
    </row>
    <row r="51">
      <c r="A51" s="9">
        <f t="shared" si="1"/>
        <v>50</v>
      </c>
      <c r="B51" s="11">
        <v>46232.6678125</v>
      </c>
      <c r="C51" s="10" t="s">
        <v>145</v>
      </c>
      <c r="D51" s="10" t="s">
        <v>36</v>
      </c>
      <c r="E51" s="10" t="s">
        <v>37</v>
      </c>
      <c r="F51" s="13">
        <v>2.0</v>
      </c>
      <c r="G51" s="14">
        <v>610.95</v>
      </c>
      <c r="H51" s="10" t="s">
        <v>5207</v>
      </c>
      <c r="I51" s="10">
        <v>92.7</v>
      </c>
      <c r="O51" s="15">
        <f>IFERROR(__xludf.DUMMYFUNCTION("IF(ISBLANK($C51), """", GOOGLEFINANCE($C51, ""price""))"),614.84)</f>
        <v>614.84</v>
      </c>
      <c r="P51" s="16">
        <f t="shared" si="2"/>
        <v>0.006367133153</v>
      </c>
      <c r="Q51" s="16">
        <f>IFERROR(__xludf.DUMMYFUNCTION("IF(OR(ISBLANK($G51), IFERROR(INDEX(GOOGLEFINANCE($C51, ""price"", WORKDAY(INT($B51), 1)), 2, 2), """")=""""), """", IF($D51=""LONG"", (IFERROR(INDEX(GOOGLEFINANCE($C51, ""price"", WORKDAY(INT($B51), 1)), 2, 2), """")-$G51)/$G51, ($G51-IFERROR(INDEX(GOOGLE"&amp;"FINANCE($C51, ""price"", WORKDAY(INT($B51), 1)), 2, 2), """"))/$G51))"),-0.018790408380391223)</f>
        <v>-0.01879040838</v>
      </c>
      <c r="R51" s="16">
        <f>IFERROR(__xludf.DUMMYFUNCTION("IF(OR(ISBLANK($G51), IFERROR(INDEX(GOOGLEFINANCE($C51, ""price"", WORKDAY(INT($B51), 5)), 2, 2), """")=""""), """", IF($D51=""LONG"", (IFERROR(INDEX(GOOGLEFINANCE($C51, ""price"", WORKDAY(INT($B51), 5)), 2, 2), """")-$G51)/$G51, ($G51-IFERROR(INDEX(GOOGLE"&amp;"FINANCE($C51, ""price"", WORKDAY(INT($B51), 5)), 2, 2), """"))/$G51))"),0.0017186349128405834)</f>
        <v>0.001718634913</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5211</v>
      </c>
    </row>
    <row r="52">
      <c r="A52" s="9">
        <f t="shared" si="1"/>
        <v>51</v>
      </c>
      <c r="B52" s="11">
        <v>46232.667766203704</v>
      </c>
      <c r="C52" s="10" t="s">
        <v>442</v>
      </c>
      <c r="D52" s="10" t="s">
        <v>36</v>
      </c>
      <c r="E52" s="10" t="s">
        <v>37</v>
      </c>
      <c r="F52" s="13">
        <v>2.0</v>
      </c>
      <c r="G52" s="14">
        <v>530.88</v>
      </c>
      <c r="H52" s="10" t="s">
        <v>5212</v>
      </c>
      <c r="I52" s="10">
        <v>91.8</v>
      </c>
      <c r="O52" s="15">
        <f>IFERROR(__xludf.DUMMYFUNCTION("IF(ISBLANK($C52), """", GOOGLEFINANCE($C52, ""price""))"),522.46)</f>
        <v>522.46</v>
      </c>
      <c r="P52" s="16">
        <f t="shared" si="2"/>
        <v>-0.01586045811</v>
      </c>
      <c r="Q52" s="16">
        <f>IFERROR(__xludf.DUMMYFUNCTION("IF(OR(ISBLANK($G52), IFERROR(INDEX(GOOGLEFINANCE($C52, ""price"", WORKDAY(INT($B52), 1)), 2, 2), """")=""""), """", IF($D52=""LONG"", (IFERROR(INDEX(GOOGLEFINANCE($C52, ""price"", WORKDAY(INT($B52), 1)), 2, 2), """")-$G52)/$G52, ($G52-IFERROR(INDEX(GOOGLE"&amp;"FINANCE($C52, ""price"", WORKDAY(INT($B52), 1)), 2, 2), """"))/$G52))"),-0.010510849909584164)</f>
        <v>-0.01051084991</v>
      </c>
      <c r="R52" s="16">
        <f>IFERROR(__xludf.DUMMYFUNCTION("IF(OR(ISBLANK($G52), IFERROR(INDEX(GOOGLEFINANCE($C52, ""price"", WORKDAY(INT($B52), 5)), 2, 2), """")=""""), """", IF($D52=""LONG"", (IFERROR(INDEX(GOOGLEFINANCE($C52, ""price"", WORKDAY(INT($B52), 5)), 2, 2), """")-$G52)/$G52, ($G52-IFERROR(INDEX(GOOGLE"&amp;"FINANCE($C52, ""price"", WORKDAY(INT($B52), 5)), 2, 2), """"))/$G52))"),0.14807489451476796)</f>
        <v>0.1480748945</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5213</v>
      </c>
    </row>
    <row r="53">
      <c r="A53" s="9">
        <f t="shared" si="1"/>
        <v>52</v>
      </c>
      <c r="B53" s="11">
        <v>46232.66777777778</v>
      </c>
      <c r="C53" s="10" t="s">
        <v>2750</v>
      </c>
      <c r="D53" s="10" t="s">
        <v>36</v>
      </c>
      <c r="E53" s="10" t="s">
        <v>1892</v>
      </c>
      <c r="F53" s="13">
        <v>2.0</v>
      </c>
      <c r="G53" s="14">
        <v>82.54</v>
      </c>
      <c r="H53" s="10" t="s">
        <v>5215</v>
      </c>
      <c r="I53" s="10">
        <v>91.0</v>
      </c>
      <c r="O53" s="15">
        <f>IFERROR(__xludf.DUMMYFUNCTION("IF(ISBLANK($C53), """", GOOGLEFINANCE($C53, ""price""))"),82.51)</f>
        <v>82.51</v>
      </c>
      <c r="P53" s="16">
        <f t="shared" si="2"/>
        <v>-0.0003634601405</v>
      </c>
      <c r="Q53" s="16">
        <f>IFERROR(__xludf.DUMMYFUNCTION("IF(OR(ISBLANK($G53), IFERROR(INDEX(GOOGLEFINANCE($C53, ""price"", WORKDAY(INT($B53), 1)), 2, 2), """")=""""), """", IF($D53=""LONG"", (IFERROR(INDEX(GOOGLEFINANCE($C53, ""price"", WORKDAY(INT($B53), 1)), 2, 2), """")-$G53)/$G53, ($G53-IFERROR(INDEX(GOOGLE"&amp;"FINANCE($C53, ""price"", WORKDAY(INT($B53), 1)), 2, 2), """"))/$G53))"),-0.03549794039253703)</f>
        <v>-0.03549794039</v>
      </c>
      <c r="R53" s="16">
        <f>IFERROR(__xludf.DUMMYFUNCTION("IF(OR(ISBLANK($G53), IFERROR(INDEX(GOOGLEFINANCE($C53, ""price"", WORKDAY(INT($B53), 5)), 2, 2), """")=""""), """", IF($D53=""LONG"", (IFERROR(INDEX(GOOGLEFINANCE($C53, ""price"", WORKDAY(INT($B53), 5)), 2, 2), """")-$G53)/$G53, ($G53-IFERROR(INDEX(GOOGLE"&amp;"FINANCE($C53, ""price"", WORKDAY(INT($B53), 5)), 2, 2), """"))/$G53))"),-0.010055730554882632)</f>
        <v>-0.01005573055</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5218</v>
      </c>
    </row>
    <row r="54">
      <c r="A54" s="9">
        <f t="shared" si="1"/>
        <v>53</v>
      </c>
      <c r="B54" s="11">
        <v>46232.6678125</v>
      </c>
      <c r="C54" s="10" t="s">
        <v>5219</v>
      </c>
      <c r="D54" s="10" t="s">
        <v>36</v>
      </c>
      <c r="E54" s="10" t="s">
        <v>1892</v>
      </c>
      <c r="F54" s="13">
        <v>2.0</v>
      </c>
      <c r="G54" s="14">
        <v>392.87</v>
      </c>
      <c r="H54" s="10" t="s">
        <v>5220</v>
      </c>
      <c r="I54" s="10">
        <v>66.1</v>
      </c>
      <c r="O54" s="15">
        <f>IFERROR(__xludf.DUMMYFUNCTION("IF(ISBLANK($C54), """", GOOGLEFINANCE($C54, ""price""))"),398.28)</f>
        <v>398.28</v>
      </c>
      <c r="P54" s="16">
        <f t="shared" si="2"/>
        <v>0.01377045842</v>
      </c>
      <c r="Q54" s="16">
        <f>IFERROR(__xludf.DUMMYFUNCTION("IF(OR(ISBLANK($G54), IFERROR(INDEX(GOOGLEFINANCE($C54, ""price"", WORKDAY(INT($B54), 1)), 2, 2), """")=""""), """", IF($D54=""LONG"", (IFERROR(INDEX(GOOGLEFINANCE($C54, ""price"", WORKDAY(INT($B54), 1)), 2, 2), """")-$G54)/$G54, ($G54-IFERROR(INDEX(GOOGLE"&amp;"FINANCE($C54, ""price"", WORKDAY(INT($B54), 1)), 2, 2), """"))/$G54))"),-0.0069997709165881845)</f>
        <v>-0.006999770917</v>
      </c>
      <c r="R54" s="16">
        <f>IFERROR(__xludf.DUMMYFUNCTION("IF(OR(ISBLANK($G54), IFERROR(INDEX(GOOGLEFINANCE($C54, ""price"", WORKDAY(INT($B54), 5)), 2, 2), """")=""""), """", IF($D54=""LONG"", (IFERROR(INDEX(GOOGLEFINANCE($C54, ""price"", WORKDAY(INT($B54), 5)), 2, 2), """")-$G54)/$G54, ($G54-IFERROR(INDEX(GOOGLE"&amp;"FINANCE($C54, ""price"", WORKDAY(INT($B54), 5)), 2, 2), """"))/$G54))"),0.004225316262376787)</f>
        <v>0.004225316262</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5224</v>
      </c>
    </row>
    <row r="55">
      <c r="A55" s="9">
        <f t="shared" si="1"/>
        <v>54</v>
      </c>
      <c r="B55" s="11">
        <v>46232.66777777778</v>
      </c>
      <c r="C55" s="10" t="s">
        <v>471</v>
      </c>
      <c r="D55" s="10" t="s">
        <v>36</v>
      </c>
      <c r="E55" s="10" t="s">
        <v>37</v>
      </c>
      <c r="F55" s="13">
        <v>2.0</v>
      </c>
      <c r="G55" s="14">
        <v>381.38</v>
      </c>
      <c r="H55" s="10" t="s">
        <v>5225</v>
      </c>
      <c r="I55" s="10">
        <v>92.6</v>
      </c>
      <c r="O55" s="15">
        <f>IFERROR(__xludf.DUMMYFUNCTION("IF(ISBLANK($C55), """", GOOGLEFINANCE($C55, ""price""))"),386.92)</f>
        <v>386.92</v>
      </c>
      <c r="P55" s="16">
        <f t="shared" si="2"/>
        <v>0.01452619435</v>
      </c>
      <c r="Q55" s="16">
        <f>IFERROR(__xludf.DUMMYFUNCTION("IF(OR(ISBLANK($G55), IFERROR(INDEX(GOOGLEFINANCE($C55, ""price"", WORKDAY(INT($B55), 1)), 2, 2), """")=""""), """", IF($D55=""LONG"", (IFERROR(INDEX(GOOGLEFINANCE($C55, ""price"", WORKDAY(INT($B55), 1)), 2, 2), """")-$G55)/$G55, ($G55-IFERROR(INDEX(GOOGLE"&amp;"FINANCE($C55, ""price"", WORKDAY(INT($B55), 1)), 2, 2), """"))/$G55))"),0.0021500865278724452)</f>
        <v>0.002150086528</v>
      </c>
      <c r="R55" s="16">
        <f>IFERROR(__xludf.DUMMYFUNCTION("IF(OR(ISBLANK($G55), IFERROR(INDEX(GOOGLEFINANCE($C55, ""price"", WORKDAY(INT($B55), 5)), 2, 2), """")=""""), """", IF($D55=""LONG"", (IFERROR(INDEX(GOOGLEFINANCE($C55, ""price"", WORKDAY(INT($B55), 5)), 2, 2), """")-$G55)/$G55, ($G55-IFERROR(INDEX(GOOGLE"&amp;"FINANCE($C55, ""price"", WORKDAY(INT($B55), 5)), 2, 2), """"))/$G55))"),0.0070795532015312515)</f>
        <v>0.007079553202</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5227</v>
      </c>
    </row>
    <row r="56">
      <c r="A56" s="9">
        <f t="shared" si="1"/>
        <v>55</v>
      </c>
      <c r="B56" s="11">
        <v>46232.66784722222</v>
      </c>
      <c r="C56" s="10" t="s">
        <v>5228</v>
      </c>
      <c r="D56" s="10" t="s">
        <v>36</v>
      </c>
      <c r="E56" s="10" t="s">
        <v>37</v>
      </c>
      <c r="F56" s="13">
        <v>2.0</v>
      </c>
      <c r="G56" s="14">
        <v>17.84</v>
      </c>
      <c r="H56" s="10" t="s">
        <v>5229</v>
      </c>
      <c r="I56" s="10">
        <v>80.6</v>
      </c>
      <c r="O56" s="15">
        <f>IFERROR(__xludf.DUMMYFUNCTION("IF(ISBLANK($C56), """", GOOGLEFINANCE($C56, ""price""))"),16.29)</f>
        <v>16.29</v>
      </c>
      <c r="P56" s="16">
        <f t="shared" si="2"/>
        <v>-0.08688340807</v>
      </c>
      <c r="Q56" s="16">
        <f>IFERROR(__xludf.DUMMYFUNCTION("IF(OR(ISBLANK($G56), IFERROR(INDEX(GOOGLEFINANCE($C56, ""price"", WORKDAY(INT($B56), 1)), 2, 2), """")=""""), """", IF($D56=""LONG"", (IFERROR(INDEX(GOOGLEFINANCE($C56, ""price"", WORKDAY(INT($B56), 1)), 2, 2), """")-$G56)/$G56, ($G56-IFERROR(INDEX(GOOGLE"&amp;"FINANCE($C56, ""price"", WORKDAY(INT($B56), 1)), 2, 2), """"))/$G56))"),-0.0044843049327353305)</f>
        <v>-0.004484304933</v>
      </c>
      <c r="R56" s="16">
        <f>IFERROR(__xludf.DUMMYFUNCTION("IF(OR(ISBLANK($G56), IFERROR(INDEX(GOOGLEFINANCE($C56, ""price"", WORKDAY(INT($B56), 5)), 2, 2), """")=""""), """", IF($D56=""LONG"", (IFERROR(INDEX(GOOGLEFINANCE($C56, ""price"", WORKDAY(INT($B56), 5)), 2, 2), """")-$G56)/$G56, ($G56-IFERROR(INDEX(GOOGLE"&amp;"FINANCE($C56, ""price"", WORKDAY(INT($B56), 5)), 2, 2), """"))/$G56))"),-0.01065022421524671)</f>
        <v>-0.01065022422</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5231</v>
      </c>
    </row>
    <row r="57">
      <c r="A57" s="9">
        <f t="shared" si="1"/>
        <v>56</v>
      </c>
      <c r="B57" s="11">
        <v>46232.66787037037</v>
      </c>
      <c r="C57" s="10" t="s">
        <v>392</v>
      </c>
      <c r="D57" s="10" t="s">
        <v>36</v>
      </c>
      <c r="E57" s="10" t="s">
        <v>37</v>
      </c>
      <c r="F57" s="13">
        <v>2.0</v>
      </c>
      <c r="G57" s="14">
        <v>240.95</v>
      </c>
      <c r="H57" s="10" t="s">
        <v>5232</v>
      </c>
      <c r="I57" s="10">
        <v>92.8</v>
      </c>
      <c r="O57" s="15">
        <f>IFERROR(__xludf.DUMMYFUNCTION("IF(ISBLANK($C57), """", GOOGLEFINANCE($C57, ""price""))"),180.67)</f>
        <v>180.67</v>
      </c>
      <c r="P57" s="16">
        <f t="shared" si="2"/>
        <v>-0.2501763851</v>
      </c>
      <c r="Q57" s="16">
        <f>IFERROR(__xludf.DUMMYFUNCTION("IF(OR(ISBLANK($G57), IFERROR(INDEX(GOOGLEFINANCE($C57, ""price"", WORKDAY(INT($B57), 1)), 2, 2), """")=""""), """", IF($D57=""LONG"", (IFERROR(INDEX(GOOGLEFINANCE($C57, ""price"", WORKDAY(INT($B57), 1)), 2, 2), """")-$G57)/$G57, ($G57-IFERROR(INDEX(GOOGLE"&amp;"FINANCE($C57, ""price"", WORKDAY(INT($B57), 1)), 2, 2), """"))/$G57))"),-0.008673998754928304)</f>
        <v>-0.008673998755</v>
      </c>
      <c r="R57" s="16">
        <f>IFERROR(__xludf.DUMMYFUNCTION("IF(OR(ISBLANK($G57), IFERROR(INDEX(GOOGLEFINANCE($C57, ""price"", WORKDAY(INT($B57), 5)), 2, 2), """")=""""), """", IF($D57=""LONG"", (IFERROR(INDEX(GOOGLEFINANCE($C57, ""price"", WORKDAY(INT($B57), 5)), 2, 2), """")-$G57)/$G57, ($G57-IFERROR(INDEX(GOOGLE"&amp;"FINANCE($C57, ""price"", WORKDAY(INT($B57), 5)), 2, 2), """"))/$G57))"),-0.2168914712595974)</f>
        <v>-0.2168914713</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5235</v>
      </c>
    </row>
    <row r="58">
      <c r="A58" s="9">
        <f t="shared" si="1"/>
        <v>57</v>
      </c>
      <c r="B58" s="11">
        <v>46232.66783564815</v>
      </c>
      <c r="C58" s="10" t="s">
        <v>342</v>
      </c>
      <c r="D58" s="10" t="s">
        <v>36</v>
      </c>
      <c r="E58" s="10" t="s">
        <v>37</v>
      </c>
      <c r="F58" s="13">
        <v>2.0</v>
      </c>
      <c r="G58" s="14">
        <v>61.08</v>
      </c>
      <c r="H58" s="10" t="s">
        <v>5236</v>
      </c>
      <c r="I58" s="10">
        <v>88.6</v>
      </c>
      <c r="O58" s="15">
        <f>IFERROR(__xludf.DUMMYFUNCTION("IF(ISBLANK($C58), """", GOOGLEFINANCE($C58, ""price""))"),63.0)</f>
        <v>63</v>
      </c>
      <c r="P58" s="16">
        <f t="shared" si="2"/>
        <v>0.03143418468</v>
      </c>
      <c r="Q58" s="16">
        <f>IFERROR(__xludf.DUMMYFUNCTION("IF(OR(ISBLANK($G58), IFERROR(INDEX(GOOGLEFINANCE($C58, ""price"", WORKDAY(INT($B58), 1)), 2, 2), """")=""""), """", IF($D58=""LONG"", (IFERROR(INDEX(GOOGLEFINANCE($C58, ""price"", WORKDAY(INT($B58), 1)), 2, 2), """")-$G58)/$G58, ($G58-IFERROR(INDEX(GOOGLE"&amp;"FINANCE($C58, ""price"", WORKDAY(INT($B58), 1)), 2, 2), """"))/$G58))"),0.010641781270464942)</f>
        <v>0.01064178127</v>
      </c>
      <c r="R58" s="16">
        <f>IFERROR(__xludf.DUMMYFUNCTION("IF(OR(ISBLANK($G58), IFERROR(INDEX(GOOGLEFINANCE($C58, ""price"", WORKDAY(INT($B58), 5)), 2, 2), """")=""""), """", IF($D58=""LONG"", (IFERROR(INDEX(GOOGLEFINANCE($C58, ""price"", WORKDAY(INT($B58), 5)), 2, 2), """")-$G58)/$G58, ($G58-IFERROR(INDEX(GOOGLE"&amp;"FINANCE($C58, ""price"", WORKDAY(INT($B58), 5)), 2, 2), """"))/$G58))"),0.03552717747216768)</f>
        <v>0.03552717747</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5240</v>
      </c>
    </row>
    <row r="59">
      <c r="A59" s="9">
        <f t="shared" si="1"/>
        <v>58</v>
      </c>
      <c r="B59" s="11">
        <v>46232.66780092593</v>
      </c>
      <c r="C59" s="10" t="s">
        <v>3081</v>
      </c>
      <c r="D59" s="10" t="s">
        <v>36</v>
      </c>
      <c r="E59" s="10" t="s">
        <v>37</v>
      </c>
      <c r="F59" s="13">
        <v>2.0</v>
      </c>
      <c r="G59" s="14">
        <v>17.71</v>
      </c>
      <c r="H59" s="10" t="s">
        <v>5241</v>
      </c>
      <c r="I59" s="10">
        <v>92.8</v>
      </c>
      <c r="O59" s="15">
        <f>IFERROR(__xludf.DUMMYFUNCTION("IF(ISBLANK($C59), """", GOOGLEFINANCE($C59, ""price""))"),17.0)</f>
        <v>17</v>
      </c>
      <c r="P59" s="16">
        <f t="shared" si="2"/>
        <v>-0.04009034444</v>
      </c>
      <c r="Q59" s="16">
        <f>IFERROR(__xludf.DUMMYFUNCTION("IF(OR(ISBLANK($G59), IFERROR(INDEX(GOOGLEFINANCE($C59, ""price"", WORKDAY(INT($B59), 1)), 2, 2), """")=""""), """", IF($D59=""LONG"", (IFERROR(INDEX(GOOGLEFINANCE($C59, ""price"", WORKDAY(INT($B59), 1)), 2, 2), """")-$G59)/$G59, ($G59-IFERROR(INDEX(GOOGLE"&amp;"FINANCE($C59, ""price"", WORKDAY(INT($B59), 1)), 2, 2), """"))/$G59))"),0.0039525691699604905)</f>
        <v>0.00395256917</v>
      </c>
      <c r="R59" s="16">
        <f>IFERROR(__xludf.DUMMYFUNCTION("IF(OR(ISBLANK($G59), IFERROR(INDEX(GOOGLEFINANCE($C59, ""price"", WORKDAY(INT($B59), 5)), 2, 2), """")=""""), """", IF($D59=""LONG"", (IFERROR(INDEX(GOOGLEFINANCE($C59, ""price"", WORKDAY(INT($B59), 5)), 2, 2), """")-$G59)/$G59, ($G59-IFERROR(INDEX(GOOGLE"&amp;"FINANCE($C59, ""price"", WORKDAY(INT($B59), 5)), 2, 2), """"))/$G59))"),-0.02879728966685497)</f>
        <v>-0.02879728967</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5243</v>
      </c>
    </row>
    <row r="60">
      <c r="A60" s="9">
        <f t="shared" si="1"/>
        <v>59</v>
      </c>
      <c r="B60" s="11">
        <v>46232.66783564815</v>
      </c>
      <c r="C60" s="10" t="s">
        <v>433</v>
      </c>
      <c r="D60" s="10" t="s">
        <v>36</v>
      </c>
      <c r="E60" s="10" t="s">
        <v>1892</v>
      </c>
      <c r="F60" s="13">
        <v>2.0</v>
      </c>
      <c r="G60" s="14">
        <v>209.32</v>
      </c>
      <c r="H60" s="10" t="s">
        <v>5245</v>
      </c>
      <c r="I60" s="10">
        <v>61.6</v>
      </c>
      <c r="O60" s="15">
        <f>IFERROR(__xludf.DUMMYFUNCTION("IF(ISBLANK($C60), """", GOOGLEFINANCE($C60, ""price""))"),206.28)</f>
        <v>206.28</v>
      </c>
      <c r="P60" s="16">
        <f t="shared" si="2"/>
        <v>-0.01452321804</v>
      </c>
      <c r="Q60" s="16">
        <f>IFERROR(__xludf.DUMMYFUNCTION("IF(OR(ISBLANK($G60), IFERROR(INDEX(GOOGLEFINANCE($C60, ""price"", WORKDAY(INT($B60), 1)), 2, 2), """")=""""), """", IF($D60=""LONG"", (IFERROR(INDEX(GOOGLEFINANCE($C60, ""price"", WORKDAY(INT($B60), 1)), 2, 2), """")-$G60)/$G60, ($G60-IFERROR(INDEX(GOOGLE"&amp;"FINANCE($C60, ""price"", WORKDAY(INT($B60), 1)), 2, 2), """"))/$G60))"),-0.006640550353525637)</f>
        <v>-0.006640550354</v>
      </c>
      <c r="R60" s="16">
        <f>IFERROR(__xludf.DUMMYFUNCTION("IF(OR(ISBLANK($G60), IFERROR(INDEX(GOOGLEFINANCE($C60, ""price"", WORKDAY(INT($B60), 5)), 2, 2), """")=""""), """", IF($D60=""LONG"", (IFERROR(INDEX(GOOGLEFINANCE($C60, ""price"", WORKDAY(INT($B60), 5)), 2, 2), """")-$G60)/$G60, ($G60-IFERROR(INDEX(GOOGLE"&amp;"FINANCE($C60, ""price"", WORKDAY(INT($B60), 5)), 2, 2), """"))/$G60))"),-0.012851137015096492)</f>
        <v>-0.01285113702</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5249</v>
      </c>
    </row>
    <row r="61">
      <c r="A61" s="9">
        <f t="shared" si="1"/>
        <v>60</v>
      </c>
      <c r="B61" s="11">
        <v>46232.667858796296</v>
      </c>
      <c r="C61" s="10" t="s">
        <v>258</v>
      </c>
      <c r="D61" s="10" t="s">
        <v>36</v>
      </c>
      <c r="E61" s="10" t="s">
        <v>37</v>
      </c>
      <c r="F61" s="13">
        <v>2.0</v>
      </c>
      <c r="G61" s="14">
        <v>118.89</v>
      </c>
      <c r="H61" s="10" t="s">
        <v>5250</v>
      </c>
      <c r="I61" s="10">
        <v>91.4</v>
      </c>
      <c r="O61" s="15">
        <f>IFERROR(__xludf.DUMMYFUNCTION("IF(ISBLANK($C61), """", GOOGLEFINANCE($C61, ""price""))"),113.62)</f>
        <v>113.62</v>
      </c>
      <c r="P61" s="16">
        <f t="shared" si="2"/>
        <v>-0.04432668854</v>
      </c>
      <c r="Q61" s="16">
        <f>IFERROR(__xludf.DUMMYFUNCTION("IF(OR(ISBLANK($G61), IFERROR(INDEX(GOOGLEFINANCE($C61, ""price"", WORKDAY(INT($B61), 1)), 2, 2), """")=""""), """", IF($D61=""LONG"", (IFERROR(INDEX(GOOGLEFINANCE($C61, ""price"", WORKDAY(INT($B61), 1)), 2, 2), """")-$G61)/$G61, ($G61-IFERROR(INDEX(GOOGLE"&amp;"FINANCE($C61, ""price"", WORKDAY(INT($B61), 1)), 2, 2), """"))/$G61))"),0.003280343174362861)</f>
        <v>0.003280343174</v>
      </c>
      <c r="R61" s="16">
        <f>IFERROR(__xludf.DUMMYFUNCTION("IF(OR(ISBLANK($G61), IFERROR(INDEX(GOOGLEFINANCE($C61, ""price"", WORKDAY(INT($B61), 5)), 2, 2), """")=""""), """", IF($D61=""LONG"", (IFERROR(INDEX(GOOGLEFINANCE($C61, ""price"", WORKDAY(INT($B61), 5)), 2, 2), """")-$G61)/$G61, ($G61-IFERROR(INDEX(GOOGLE"&amp;"FINANCE($C61, ""price"", WORKDAY(INT($B61), 5)), 2, 2), """"))/$G61))"),-0.03288754310707374)</f>
        <v>-0.03288754311</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5255</v>
      </c>
    </row>
    <row r="62">
      <c r="A62" s="9">
        <f t="shared" si="1"/>
        <v>61</v>
      </c>
      <c r="B62" s="11">
        <v>46232.66780092593</v>
      </c>
      <c r="C62" s="10" t="s">
        <v>332</v>
      </c>
      <c r="D62" s="10" t="s">
        <v>36</v>
      </c>
      <c r="E62" s="10" t="s">
        <v>37</v>
      </c>
      <c r="F62" s="13">
        <v>2.0</v>
      </c>
      <c r="G62" s="14">
        <v>85.86</v>
      </c>
      <c r="H62" s="10" t="s">
        <v>5256</v>
      </c>
      <c r="I62" s="10">
        <v>92.0</v>
      </c>
      <c r="O62" s="15">
        <f>IFERROR(__xludf.DUMMYFUNCTION("IF(ISBLANK($C62), """", GOOGLEFINANCE($C62, ""price""))"),88.23)</f>
        <v>88.23</v>
      </c>
      <c r="P62" s="16">
        <f t="shared" si="2"/>
        <v>0.02760307477</v>
      </c>
      <c r="Q62" s="16">
        <f>IFERROR(__xludf.DUMMYFUNCTION("IF(OR(ISBLANK($G62), IFERROR(INDEX(GOOGLEFINANCE($C62, ""price"", WORKDAY(INT($B62), 1)), 2, 2), """")=""""), """", IF($D62=""LONG"", (IFERROR(INDEX(GOOGLEFINANCE($C62, ""price"", WORKDAY(INT($B62), 1)), 2, 2), """")-$G62)/$G62, ($G62-IFERROR(INDEX(GOOGLE"&amp;"FINANCE($C62, ""price"", WORKDAY(INT($B62), 1)), 2, 2), """"))/$G62))"),-0.008036338225017444)</f>
        <v>-0.008036338225</v>
      </c>
      <c r="R62" s="16">
        <f>IFERROR(__xludf.DUMMYFUNCTION("IF(OR(ISBLANK($G62), IFERROR(INDEX(GOOGLEFINANCE($C62, ""price"", WORKDAY(INT($B62), 5)), 2, 2), """")=""""), """", IF($D62=""LONG"", (IFERROR(INDEX(GOOGLEFINANCE($C62, ""price"", WORKDAY(INT($B62), 5)), 2, 2), """")-$G62)/$G62, ($G62-IFERROR(INDEX(GOOGLE"&amp;"FINANCE($C62, ""price"", WORKDAY(INT($B62), 5)), 2, 2), """"))/$G62))"),0.0434428138830655)</f>
        <v>0.04344281388</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5257</v>
      </c>
    </row>
    <row r="63">
      <c r="A63" s="9">
        <f t="shared" si="1"/>
        <v>62</v>
      </c>
      <c r="B63" s="11">
        <v>46232.66783564815</v>
      </c>
      <c r="C63" s="10" t="s">
        <v>2793</v>
      </c>
      <c r="D63" s="10" t="s">
        <v>36</v>
      </c>
      <c r="E63" s="10" t="s">
        <v>37</v>
      </c>
      <c r="F63" s="13">
        <v>2.0</v>
      </c>
      <c r="G63" s="14">
        <v>49.15</v>
      </c>
      <c r="H63" s="10" t="s">
        <v>1976</v>
      </c>
      <c r="I63" s="10">
        <v>92.2</v>
      </c>
      <c r="O63" s="15">
        <f>IFERROR(__xludf.DUMMYFUNCTION("IF(ISBLANK($C63), """", GOOGLEFINANCE($C63, ""price""))"),47.37)</f>
        <v>47.37</v>
      </c>
      <c r="P63" s="16">
        <f t="shared" si="2"/>
        <v>-0.03621566633</v>
      </c>
      <c r="Q63" s="16">
        <f>IFERROR(__xludf.DUMMYFUNCTION("IF(OR(ISBLANK($G63), IFERROR(INDEX(GOOGLEFINANCE($C63, ""price"", WORKDAY(INT($B63), 1)), 2, 2), """")=""""), """", IF($D63=""LONG"", (IFERROR(INDEX(GOOGLEFINANCE($C63, ""price"", WORKDAY(INT($B63), 1)), 2, 2), """")-$G63)/$G63, ($G63-IFERROR(INDEX(GOOGLE"&amp;"FINANCE($C63, ""price"", WORKDAY(INT($B63), 1)), 2, 2), """"))/$G63))"),-0.00895218718209558)</f>
        <v>-0.008952187182</v>
      </c>
      <c r="R63" s="16">
        <f>IFERROR(__xludf.DUMMYFUNCTION("IF(OR(ISBLANK($G63), IFERROR(INDEX(GOOGLEFINANCE($C63, ""price"", WORKDAY(INT($B63), 5)), 2, 2), """")=""""), """", IF($D63=""LONG"", (IFERROR(INDEX(GOOGLEFINANCE($C63, ""price"", WORKDAY(INT($B63), 5)), 2, 2), """")-$G63)/$G63, ($G63-IFERROR(INDEX(GOOGLE"&amp;"FINANCE($C63, ""price"", WORKDAY(INT($B63), 5)), 2, 2), """"))/$G63))"),-0.027670396744659195)</f>
        <v>-0.02767039674</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5260</v>
      </c>
    </row>
    <row r="64">
      <c r="A64" s="9">
        <f t="shared" si="1"/>
        <v>63</v>
      </c>
      <c r="B64" s="11">
        <v>46232.667858796296</v>
      </c>
      <c r="C64" s="10" t="s">
        <v>158</v>
      </c>
      <c r="D64" s="10" t="s">
        <v>36</v>
      </c>
      <c r="E64" s="10" t="s">
        <v>37</v>
      </c>
      <c r="F64" s="13">
        <v>2.0</v>
      </c>
      <c r="G64" s="14">
        <v>74.75</v>
      </c>
      <c r="H64" s="10" t="s">
        <v>5261</v>
      </c>
      <c r="I64" s="10">
        <v>91.0</v>
      </c>
      <c r="O64" s="15">
        <f>IFERROR(__xludf.DUMMYFUNCTION("IF(ISBLANK($C64), """", GOOGLEFINANCE($C64, ""price""))"),72.06)</f>
        <v>72.06</v>
      </c>
      <c r="P64" s="16">
        <f t="shared" si="2"/>
        <v>-0.03598662207</v>
      </c>
      <c r="Q64" s="16">
        <f>IFERROR(__xludf.DUMMYFUNCTION("IF(OR(ISBLANK($G64), IFERROR(INDEX(GOOGLEFINANCE($C64, ""price"", WORKDAY(INT($B64), 1)), 2, 2), """")=""""), """", IF($D64=""LONG"", (IFERROR(INDEX(GOOGLEFINANCE($C64, ""price"", WORKDAY(INT($B64), 1)), 2, 2), """")-$G64)/$G64, ($G64-IFERROR(INDEX(GOOGLE"&amp;"FINANCE($C64, ""price"", WORKDAY(INT($B64), 1)), 2, 2), """"))/$G64))"),-0.012173913043478216)</f>
        <v>-0.01217391304</v>
      </c>
      <c r="R64" s="16">
        <f>IFERROR(__xludf.DUMMYFUNCTION("IF(OR(ISBLANK($G64), IFERROR(INDEX(GOOGLEFINANCE($C64, ""price"", WORKDAY(INT($B64), 5)), 2, 2), """")=""""), """", IF($D64=""LONG"", (IFERROR(INDEX(GOOGLEFINANCE($C64, ""price"", WORKDAY(INT($B64), 5)), 2, 2), """")-$G64)/$G64, ($G64-IFERROR(INDEX(GOOGLE"&amp;"FINANCE($C64, ""price"", WORKDAY(INT($B64), 5)), 2, 2), """"))/$G64))"),-0.03050167224080269)</f>
        <v>-0.03050167224</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5264</v>
      </c>
    </row>
    <row r="65">
      <c r="A65" s="9">
        <f t="shared" si="1"/>
        <v>64</v>
      </c>
      <c r="B65" s="11">
        <v>46232.66782407407</v>
      </c>
      <c r="C65" s="10" t="s">
        <v>86</v>
      </c>
      <c r="D65" s="10" t="s">
        <v>36</v>
      </c>
      <c r="E65" s="10" t="s">
        <v>37</v>
      </c>
      <c r="F65" s="13">
        <v>2.0</v>
      </c>
      <c r="G65" s="14">
        <v>84.63</v>
      </c>
      <c r="H65" s="10" t="s">
        <v>5265</v>
      </c>
      <c r="I65" s="10">
        <v>94.9</v>
      </c>
      <c r="O65" s="15">
        <f>IFERROR(__xludf.DUMMYFUNCTION("IF(ISBLANK($C65), """", GOOGLEFINANCE($C65, ""price""))"),88.24)</f>
        <v>88.24</v>
      </c>
      <c r="P65" s="16">
        <f t="shared" si="2"/>
        <v>0.04265626846</v>
      </c>
      <c r="Q65" s="16">
        <f>IFERROR(__xludf.DUMMYFUNCTION("IF(OR(ISBLANK($G65), IFERROR(INDEX(GOOGLEFINANCE($C65, ""price"", WORKDAY(INT($B65), 1)), 2, 2), """")=""""), """", IF($D65=""LONG"", (IFERROR(INDEX(GOOGLEFINANCE($C65, ""price"", WORKDAY(INT($B65), 1)), 2, 2), """")-$G65)/$G65, ($G65-IFERROR(INDEX(GOOGLE"&amp;"FINANCE($C65, ""price"", WORKDAY(INT($B65), 1)), 2, 2), """"))/$G65))"),-0.00366300366300369)</f>
        <v>-0.003663003663</v>
      </c>
      <c r="R65" s="16">
        <f>IFERROR(__xludf.DUMMYFUNCTION("IF(OR(ISBLANK($G65), IFERROR(INDEX(GOOGLEFINANCE($C65, ""price"", WORKDAY(INT($B65), 5)), 2, 2), """")=""""), """", IF($D65=""LONG"", (IFERROR(INDEX(GOOGLEFINANCE($C65, ""price"", WORKDAY(INT($B65), 5)), 2, 2), """")-$G65)/$G65, ($G65-IFERROR(INDEX(GOOGLE"&amp;"FINANCE($C65, ""price"", WORKDAY(INT($B65), 5)), 2, 2), """"))/$G65))"),0.06345267635590222)</f>
        <v>0.06345267636</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5269</v>
      </c>
    </row>
    <row r="66">
      <c r="A66" s="9">
        <f t="shared" si="1"/>
        <v>65</v>
      </c>
      <c r="B66" s="11">
        <v>46232.667858796296</v>
      </c>
      <c r="C66" s="10" t="s">
        <v>3721</v>
      </c>
      <c r="D66" s="10" t="s">
        <v>36</v>
      </c>
      <c r="E66" s="10" t="s">
        <v>37</v>
      </c>
      <c r="F66" s="13">
        <v>2.0</v>
      </c>
      <c r="G66" s="14">
        <v>104.49</v>
      </c>
      <c r="H66" s="10" t="s">
        <v>5270</v>
      </c>
      <c r="I66" s="10">
        <v>96.7</v>
      </c>
      <c r="O66" s="15">
        <f>IFERROR(__xludf.DUMMYFUNCTION("IF(ISBLANK($C66), """", GOOGLEFINANCE($C66, ""price""))"),107.66)</f>
        <v>107.66</v>
      </c>
      <c r="P66" s="16">
        <f t="shared" si="2"/>
        <v>0.03033783137</v>
      </c>
      <c r="Q66" s="16">
        <f>IFERROR(__xludf.DUMMYFUNCTION("IF(OR(ISBLANK($G66), IFERROR(INDEX(GOOGLEFINANCE($C66, ""price"", WORKDAY(INT($B66), 1)), 2, 2), """")=""""), """", IF($D66=""LONG"", (IFERROR(INDEX(GOOGLEFINANCE($C66, ""price"", WORKDAY(INT($B66), 1)), 2, 2), """")-$G66)/$G66, ($G66-IFERROR(INDEX(GOOGLE"&amp;"FINANCE($C66, ""price"", WORKDAY(INT($B66), 1)), 2, 2), """"))/$G66))"),-0.0015312470092831525)</f>
        <v>-0.001531247009</v>
      </c>
      <c r="R66" s="16">
        <f>IFERROR(__xludf.DUMMYFUNCTION("IF(OR(ISBLANK($G66), IFERROR(INDEX(GOOGLEFINANCE($C66, ""price"", WORKDAY(INT($B66), 5)), 2, 2), """")=""""), """", IF($D66=""LONG"", (IFERROR(INDEX(GOOGLEFINANCE($C66, ""price"", WORKDAY(INT($B66), 5)), 2, 2), """")-$G66)/$G66, ($G66-IFERROR(INDEX(GOOGLE"&amp;"FINANCE($C66, ""price"", WORKDAY(INT($B66), 5)), 2, 2), """"))/$G66))"),0.03378313714231028)</f>
        <v>0.03378313714</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5273</v>
      </c>
    </row>
    <row r="67">
      <c r="A67" s="9">
        <f t="shared" si="1"/>
        <v>66</v>
      </c>
      <c r="B67" s="11">
        <v>46232.667905092596</v>
      </c>
      <c r="C67" s="10" t="s">
        <v>34</v>
      </c>
      <c r="D67" s="10" t="s">
        <v>36</v>
      </c>
      <c r="E67" s="10" t="s">
        <v>1892</v>
      </c>
      <c r="F67" s="13">
        <v>2.0</v>
      </c>
      <c r="G67" s="14">
        <v>213.17</v>
      </c>
      <c r="H67" s="10" t="s">
        <v>5274</v>
      </c>
      <c r="I67" s="10">
        <v>68.2</v>
      </c>
      <c r="O67" s="15">
        <f>IFERROR(__xludf.DUMMYFUNCTION("IF(ISBLANK($C67), """", GOOGLEFINANCE($C67, ""price""))"),189.75)</f>
        <v>189.75</v>
      </c>
      <c r="P67" s="16">
        <f t="shared" si="2"/>
        <v>-0.1098653657</v>
      </c>
      <c r="Q67" s="16">
        <f>IFERROR(__xludf.DUMMYFUNCTION("IF(OR(ISBLANK($G67), IFERROR(INDEX(GOOGLEFINANCE($C67, ""price"", WORKDAY(INT($B67), 1)), 2, 2), """")=""""), """", IF($D67=""LONG"", (IFERROR(INDEX(GOOGLEFINANCE($C67, ""price"", WORKDAY(INT($B67), 1)), 2, 2), """")-$G67)/$G67, ($G67-IFERROR(INDEX(GOOGLE"&amp;"FINANCE($C67, ""price"", WORKDAY(INT($B67), 1)), 2, 2), """"))/$G67))"),-0.06013979453018715)</f>
        <v>-0.06013979453</v>
      </c>
      <c r="R67" s="16">
        <f>IFERROR(__xludf.DUMMYFUNCTION("IF(OR(ISBLANK($G67), IFERROR(INDEX(GOOGLEFINANCE($C67, ""price"", WORKDAY(INT($B67), 5)), 2, 2), """")=""""), """", IF($D67=""LONG"", (IFERROR(INDEX(GOOGLEFINANCE($C67, ""price"", WORKDAY(INT($B67), 5)), 2, 2), """")-$G67)/$G67, ($G67-IFERROR(INDEX(GOOGLE"&amp;"FINANCE($C67, ""price"", WORKDAY(INT($B67), 5)), 2, 2), """"))/$G67))"),-0.11455645728761077)</f>
        <v>-0.1145564573</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5276</v>
      </c>
    </row>
    <row r="68">
      <c r="A68" s="9">
        <f t="shared" si="1"/>
        <v>67</v>
      </c>
      <c r="B68" s="11">
        <v>46232.66788194444</v>
      </c>
      <c r="C68" s="10" t="s">
        <v>41</v>
      </c>
      <c r="D68" s="10" t="s">
        <v>36</v>
      </c>
      <c r="E68" s="10" t="s">
        <v>37</v>
      </c>
      <c r="F68" s="13">
        <v>2.0</v>
      </c>
      <c r="G68" s="14">
        <v>179.75</v>
      </c>
      <c r="H68" s="10" t="s">
        <v>5278</v>
      </c>
      <c r="I68" s="10">
        <v>74.1</v>
      </c>
      <c r="O68" s="15">
        <f>IFERROR(__xludf.DUMMYFUNCTION("IF(ISBLANK($C68), """", GOOGLEFINANCE($C68, ""price""))"),186.02)</f>
        <v>186.02</v>
      </c>
      <c r="P68" s="16">
        <f t="shared" si="2"/>
        <v>0.03488178025</v>
      </c>
      <c r="Q68" s="16">
        <f>IFERROR(__xludf.DUMMYFUNCTION("IF(OR(ISBLANK($G68), IFERROR(INDEX(GOOGLEFINANCE($C68, ""price"", WORKDAY(INT($B68), 1)), 2, 2), """")=""""), """", IF($D68=""LONG"", (IFERROR(INDEX(GOOGLEFINANCE($C68, ""price"", WORKDAY(INT($B68), 1)), 2, 2), """")-$G68)/$G68, ($G68-IFERROR(INDEX(GOOGLE"&amp;"FINANCE($C68, ""price"", WORKDAY(INT($B68), 1)), 2, 2), """"))/$G68))"),0.01796940194714876)</f>
        <v>0.01796940195</v>
      </c>
      <c r="R68" s="16">
        <f>IFERROR(__xludf.DUMMYFUNCTION("IF(OR(ISBLANK($G68), IFERROR(INDEX(GOOGLEFINANCE($C68, ""price"", WORKDAY(INT($B68), 5)), 2, 2), """")=""""), """", IF($D68=""LONG"", (IFERROR(INDEX(GOOGLEFINANCE($C68, ""price"", WORKDAY(INT($B68), 5)), 2, 2), """")-$G68)/$G68, ($G68-IFERROR(INDEX(GOOGLE"&amp;"FINANCE($C68, ""price"", WORKDAY(INT($B68), 5)), 2, 2), """"))/$G68))"),0.022865090403338045)</f>
        <v>0.0228650904</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5280</v>
      </c>
    </row>
    <row r="69">
      <c r="A69" s="9">
        <f t="shared" si="1"/>
        <v>68</v>
      </c>
      <c r="B69" s="11">
        <v>46232.66795138889</v>
      </c>
      <c r="C69" s="10" t="s">
        <v>69</v>
      </c>
      <c r="D69" s="10" t="s">
        <v>36</v>
      </c>
      <c r="E69" s="10" t="s">
        <v>37</v>
      </c>
      <c r="F69" s="13">
        <v>2.0</v>
      </c>
      <c r="G69" s="14">
        <v>265.63</v>
      </c>
      <c r="H69" s="10" t="s">
        <v>5282</v>
      </c>
      <c r="I69" s="10">
        <v>88.8</v>
      </c>
      <c r="O69" s="15">
        <f>IFERROR(__xludf.DUMMYFUNCTION("IF(ISBLANK($C69), """", GOOGLEFINANCE($C69, ""price""))"),256.98)</f>
        <v>256.98</v>
      </c>
      <c r="P69" s="16">
        <f t="shared" si="2"/>
        <v>-0.03256409291</v>
      </c>
      <c r="Q69" s="16">
        <f>IFERROR(__xludf.DUMMYFUNCTION("IF(OR(ISBLANK($G69), IFERROR(INDEX(GOOGLEFINANCE($C69, ""price"", WORKDAY(INT($B69), 1)), 2, 2), """")=""""), """", IF($D69=""LONG"", (IFERROR(INDEX(GOOGLEFINANCE($C69, ""price"", WORKDAY(INT($B69), 1)), 2, 2), """")-$G69)/$G69, ($G69-IFERROR(INDEX(GOOGLE"&amp;"FINANCE($C69, ""price"", WORKDAY(INT($B69), 1)), 2, 2), """"))/$G69))"),-0.0369310695328088)</f>
        <v>-0.03693106953</v>
      </c>
      <c r="R69" s="16">
        <f>IFERROR(__xludf.DUMMYFUNCTION("IF(OR(ISBLANK($G69), IFERROR(INDEX(GOOGLEFINANCE($C69, ""price"", WORKDAY(INT($B69), 5)), 2, 2), """")=""""), """", IF($D69=""LONG"", (IFERROR(INDEX(GOOGLEFINANCE($C69, ""price"", WORKDAY(INT($B69), 5)), 2, 2), """")-$G69)/$G69, ($G69-IFERROR(INDEX(GOOGLE"&amp;"FINANCE($C69, ""price"", WORKDAY(INT($B69), 5)), 2, 2), """"))/$G69))"),-0.03026766554982502)</f>
        <v>-0.03026766555</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5284</v>
      </c>
    </row>
    <row r="70">
      <c r="A70" s="9">
        <f t="shared" si="1"/>
        <v>69</v>
      </c>
      <c r="B70" s="11">
        <v>46232.667962962965</v>
      </c>
      <c r="C70" s="10" t="s">
        <v>94</v>
      </c>
      <c r="D70" s="10" t="s">
        <v>36</v>
      </c>
      <c r="E70" s="10" t="s">
        <v>37</v>
      </c>
      <c r="F70" s="13">
        <v>2.0</v>
      </c>
      <c r="G70" s="14">
        <v>56.6</v>
      </c>
      <c r="H70" s="10" t="s">
        <v>2738</v>
      </c>
      <c r="I70" s="10">
        <v>90.9</v>
      </c>
      <c r="O70" s="15">
        <f>IFERROR(__xludf.DUMMYFUNCTION("IF(ISBLANK($C70), """", GOOGLEFINANCE($C70, ""price""))"),56.96)</f>
        <v>56.96</v>
      </c>
      <c r="P70" s="16">
        <f t="shared" si="2"/>
        <v>0.006360424028</v>
      </c>
      <c r="Q70" s="16">
        <f>IFERROR(__xludf.DUMMYFUNCTION("IF(OR(ISBLANK($G70), IFERROR(INDEX(GOOGLEFINANCE($C70, ""price"", WORKDAY(INT($B70), 1)), 2, 2), """")=""""), """", IF($D70=""LONG"", (IFERROR(INDEX(GOOGLEFINANCE($C70, ""price"", WORKDAY(INT($B70), 1)), 2, 2), """")-$G70)/$G70, ($G70-IFERROR(INDEX(GOOGLE"&amp;"FINANCE($C70, ""price"", WORKDAY(INT($B70), 1)), 2, 2), """"))/$G70))"),-1.7667844522964682E-4)</f>
        <v>-0.0001766784452</v>
      </c>
      <c r="R70" s="16">
        <f>IFERROR(__xludf.DUMMYFUNCTION("IF(OR(ISBLANK($G70), IFERROR(INDEX(GOOGLEFINANCE($C70, ""price"", WORKDAY(INT($B70), 5)), 2, 2), """")=""""), """", IF($D70=""LONG"", (IFERROR(INDEX(GOOGLEFINANCE($C70, ""price"", WORKDAY(INT($B70), 5)), 2, 2), """")-$G70)/$G70, ($G70-IFERROR(INDEX(GOOGLE"&amp;"FINANCE($C70, ""price"", WORKDAY(INT($B70), 5)), 2, 2), """"))/$G70))"),0.0176678445229682)</f>
        <v>0.01766784452</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5286</v>
      </c>
    </row>
    <row r="71">
      <c r="A71" s="9">
        <f t="shared" si="1"/>
        <v>70</v>
      </c>
      <c r="B71" s="11">
        <v>46232.66792824074</v>
      </c>
      <c r="C71" s="10" t="s">
        <v>5287</v>
      </c>
      <c r="D71" s="10" t="s">
        <v>36</v>
      </c>
      <c r="E71" s="10" t="s">
        <v>1892</v>
      </c>
      <c r="F71" s="13">
        <v>2.0</v>
      </c>
      <c r="G71" s="14">
        <v>263.32</v>
      </c>
      <c r="H71" s="10" t="s">
        <v>5288</v>
      </c>
      <c r="I71" s="10">
        <v>62.3</v>
      </c>
      <c r="O71" s="15">
        <f>IFERROR(__xludf.DUMMYFUNCTION("IF(ISBLANK($C71), """", GOOGLEFINANCE($C71, ""price""))"),260.24)</f>
        <v>260.24</v>
      </c>
      <c r="P71" s="16">
        <f t="shared" si="2"/>
        <v>-0.01169679477</v>
      </c>
      <c r="Q71" s="16">
        <f>IFERROR(__xludf.DUMMYFUNCTION("IF(OR(ISBLANK($G71), IFERROR(INDEX(GOOGLEFINANCE($C71, ""price"", WORKDAY(INT($B71), 1)), 2, 2), """")=""""), """", IF($D71=""LONG"", (IFERROR(INDEX(GOOGLEFINANCE($C71, ""price"", WORKDAY(INT($B71), 1)), 2, 2), """")-$G71)/$G71, ($G71-IFERROR(INDEX(GOOGLE"&amp;"FINANCE($C71, ""price"", WORKDAY(INT($B71), 1)), 2, 2), """"))/$G71))"),-0.05855992708491565)</f>
        <v>-0.05855992708</v>
      </c>
      <c r="R71" s="16">
        <f>IFERROR(__xludf.DUMMYFUNCTION("IF(OR(ISBLANK($G71), IFERROR(INDEX(GOOGLEFINANCE($C71, ""price"", WORKDAY(INT($B71), 5)), 2, 2), """")=""""), """", IF($D71=""LONG"", (IFERROR(INDEX(GOOGLEFINANCE($C71, ""price"", WORKDAY(INT($B71), 5)), 2, 2), """")-$G71)/$G71, ($G71-IFERROR(INDEX(GOOGLE"&amp;"FINANCE($C71, ""price"", WORKDAY(INT($B71), 5)), 2, 2), """"))/$G71))"),-0.015190642564180465)</f>
        <v>-0.01519064256</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5291</v>
      </c>
    </row>
    <row r="72">
      <c r="A72" s="9">
        <f t="shared" si="1"/>
        <v>71</v>
      </c>
      <c r="B72" s="11">
        <v>46232.667916666665</v>
      </c>
      <c r="C72" s="10" t="s">
        <v>548</v>
      </c>
      <c r="D72" s="10" t="s">
        <v>36</v>
      </c>
      <c r="E72" s="10" t="s">
        <v>37</v>
      </c>
      <c r="F72" s="13">
        <v>2.0</v>
      </c>
      <c r="G72" s="14">
        <v>97.73</v>
      </c>
      <c r="H72" s="10" t="s">
        <v>5292</v>
      </c>
      <c r="I72" s="10">
        <v>89.3</v>
      </c>
      <c r="O72" s="15">
        <f>IFERROR(__xludf.DUMMYFUNCTION("IF(ISBLANK($C72), """", GOOGLEFINANCE($C72, ""price""))"),92.26)</f>
        <v>92.26</v>
      </c>
      <c r="P72" s="16">
        <f t="shared" si="2"/>
        <v>-0.05597053105</v>
      </c>
      <c r="Q72" s="16">
        <f>IFERROR(__xludf.DUMMYFUNCTION("IF(OR(ISBLANK($G72), IFERROR(INDEX(GOOGLEFINANCE($C72, ""price"", WORKDAY(INT($B72), 1)), 2, 2), """")=""""), """", IF($D72=""LONG"", (IFERROR(INDEX(GOOGLEFINANCE($C72, ""price"", WORKDAY(INT($B72), 1)), 2, 2), """")-$G72)/$G72, ($G72-IFERROR(INDEX(GOOGLE"&amp;"FINANCE($C72, ""price"", WORKDAY(INT($B72), 1)), 2, 2), """"))/$G72))"),-0.059449503734779516)</f>
        <v>-0.05944950373</v>
      </c>
      <c r="R72" s="16">
        <f>IFERROR(__xludf.DUMMYFUNCTION("IF(OR(ISBLANK($G72), IFERROR(INDEX(GOOGLEFINANCE($C72, ""price"", WORKDAY(INT($B72), 5)), 2, 2), """")=""""), """", IF($D72=""LONG"", (IFERROR(INDEX(GOOGLEFINANCE($C72, ""price"", WORKDAY(INT($B72), 5)), 2, 2), """")-$G72)/$G72, ($G72-IFERROR(INDEX(GOOGLE"&amp;"FINANCE($C72, ""price"", WORKDAY(INT($B72), 5)), 2, 2), """"))/$G72))"),-0.053207817456257064)</f>
        <v>-0.05320781746</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5295</v>
      </c>
    </row>
    <row r="73">
      <c r="A73" s="9">
        <f t="shared" si="1"/>
        <v>72</v>
      </c>
      <c r="B73" s="11">
        <v>46232.66793981481</v>
      </c>
      <c r="C73" s="10" t="s">
        <v>995</v>
      </c>
      <c r="D73" s="10" t="s">
        <v>36</v>
      </c>
      <c r="E73" s="10" t="s">
        <v>4224</v>
      </c>
      <c r="F73" s="13">
        <v>4.0</v>
      </c>
      <c r="G73" s="14">
        <v>330.42</v>
      </c>
      <c r="H73" s="10" t="s">
        <v>5296</v>
      </c>
      <c r="I73" s="10">
        <v>24.3</v>
      </c>
      <c r="O73" s="15">
        <f>IFERROR(__xludf.DUMMYFUNCTION("IF(ISBLANK($C73), """", GOOGLEFINANCE($C73, ""price""))"),403.76)</f>
        <v>403.76</v>
      </c>
      <c r="P73" s="16">
        <f t="shared" si="2"/>
        <v>0.2219599298</v>
      </c>
      <c r="Q73" s="16">
        <f>IFERROR(__xludf.DUMMYFUNCTION("IF(OR(ISBLANK($G73), IFERROR(INDEX(GOOGLEFINANCE($C73, ""price"", WORKDAY(INT($B73), 1)), 2, 2), """")=""""), """", IF($D73=""LONG"", (IFERROR(INDEX(GOOGLEFINANCE($C73, ""price"", WORKDAY(INT($B73), 1)), 2, 2), """")-$G73)/$G73, ($G73-IFERROR(INDEX(GOOGLE"&amp;"FINANCE($C73, ""price"", WORKDAY(INT($B73), 1)), 2, 2), """"))/$G73))"),0.12605169178621142)</f>
        <v>0.1260516918</v>
      </c>
      <c r="R73" s="16">
        <f>IFERROR(__xludf.DUMMYFUNCTION("IF(OR(ISBLANK($G73), IFERROR(INDEX(GOOGLEFINANCE($C73, ""price"", WORKDAY(INT($B73), 5)), 2, 2), """")=""""), """", IF($D73=""LONG"", (IFERROR(INDEX(GOOGLEFINANCE($C73, ""price"", WORKDAY(INT($B73), 5)), 2, 2), """")-$G73)/$G73, ($G73-IFERROR(INDEX(GOOGLE"&amp;"FINANCE($C73, ""price"", WORKDAY(INT($B73), 5)), 2, 2), """"))/$G73))"),0.23730403728587848)</f>
        <v>0.2373040373</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5298</v>
      </c>
    </row>
    <row r="74">
      <c r="A74" s="9">
        <f t="shared" si="1"/>
        <v>73</v>
      </c>
      <c r="B74" s="11">
        <v>46232.66795138889</v>
      </c>
      <c r="C74" s="10" t="s">
        <v>3104</v>
      </c>
      <c r="D74" s="10" t="s">
        <v>36</v>
      </c>
      <c r="E74" s="10" t="s">
        <v>37</v>
      </c>
      <c r="F74" s="13">
        <v>2.0</v>
      </c>
      <c r="G74" s="14">
        <v>174.18</v>
      </c>
      <c r="H74" s="10" t="s">
        <v>5299</v>
      </c>
      <c r="I74" s="10">
        <v>87.8</v>
      </c>
      <c r="O74" s="15">
        <f>IFERROR(__xludf.DUMMYFUNCTION("IF(ISBLANK($C74), """", GOOGLEFINANCE($C74, ""price""))"),179.33)</f>
        <v>179.33</v>
      </c>
      <c r="P74" s="16">
        <f t="shared" si="2"/>
        <v>0.02956711448</v>
      </c>
      <c r="Q74" s="16">
        <f>IFERROR(__xludf.DUMMYFUNCTION("IF(OR(ISBLANK($G74), IFERROR(INDEX(GOOGLEFINANCE($C74, ""price"", WORKDAY(INT($B74), 1)), 2, 2), """")=""""), """", IF($D74=""LONG"", (IFERROR(INDEX(GOOGLEFINANCE($C74, ""price"", WORKDAY(INT($B74), 1)), 2, 2), """")-$G74)/$G74, ($G74-IFERROR(INDEX(GOOGLE"&amp;"FINANCE($C74, ""price"", WORKDAY(INT($B74), 1)), 2, 2), """"))/$G74))"),0.004535537949247858)</f>
        <v>0.004535537949</v>
      </c>
      <c r="R74" s="16">
        <f>IFERROR(__xludf.DUMMYFUNCTION("IF(OR(ISBLANK($G74), IFERROR(INDEX(GOOGLEFINANCE($C74, ""price"", WORKDAY(INT($B74), 5)), 2, 2), """")=""""), """", IF($D74=""LONG"", (IFERROR(INDEX(GOOGLEFINANCE($C74, ""price"", WORKDAY(INT($B74), 5)), 2, 2), """")-$G74)/$G74, ($G74-IFERROR(INDEX(GOOGLE"&amp;"FINANCE($C74, ""price"", WORKDAY(INT($B74), 5)), 2, 2), """"))/$G74))"),0.03657136295785971)</f>
        <v>0.03657136296</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5301</v>
      </c>
    </row>
    <row r="75">
      <c r="A75" s="9">
        <f t="shared" si="1"/>
        <v>74</v>
      </c>
      <c r="B75" s="11">
        <v>46232.66795138889</v>
      </c>
      <c r="C75" s="10" t="s">
        <v>149</v>
      </c>
      <c r="D75" s="10" t="s">
        <v>36</v>
      </c>
      <c r="E75" s="10" t="s">
        <v>37</v>
      </c>
      <c r="F75" s="13">
        <v>2.0</v>
      </c>
      <c r="G75" s="14">
        <v>129.99</v>
      </c>
      <c r="H75" s="10" t="s">
        <v>5302</v>
      </c>
      <c r="I75" s="10">
        <v>84.9</v>
      </c>
      <c r="O75" s="15">
        <f>IFERROR(__xludf.DUMMYFUNCTION("IF(ISBLANK($C75), """", GOOGLEFINANCE($C75, ""price""))"),132.79)</f>
        <v>132.79</v>
      </c>
      <c r="P75" s="16">
        <f t="shared" si="2"/>
        <v>0.02154011847</v>
      </c>
      <c r="Q75" s="16">
        <f>IFERROR(__xludf.DUMMYFUNCTION("IF(OR(ISBLANK($G75), IFERROR(INDEX(GOOGLEFINANCE($C75, ""price"", WORKDAY(INT($B75), 1)), 2, 2), """")=""""), """", IF($D75=""LONG"", (IFERROR(INDEX(GOOGLEFINANCE($C75, ""price"", WORKDAY(INT($B75), 1)), 2, 2), """")-$G75)/$G75, ($G75-IFERROR(INDEX(GOOGLE"&amp;"FINANCE($C75, ""price"", WORKDAY(INT($B75), 1)), 2, 2), """"))/$G75))"),-0.03969536118162944)</f>
        <v>-0.03969536118</v>
      </c>
      <c r="R75" s="16">
        <f>IFERROR(__xludf.DUMMYFUNCTION("IF(OR(ISBLANK($G75), IFERROR(INDEX(GOOGLEFINANCE($C75, ""price"", WORKDAY(INT($B75), 5)), 2, 2), """")=""""), """", IF($D75=""LONG"", (IFERROR(INDEX(GOOGLEFINANCE($C75, ""price"", WORKDAY(INT($B75), 5)), 2, 2), """")-$G75)/$G75, ($G75-IFERROR(INDEX(GOOGLE"&amp;"FINANCE($C75, ""price"", WORKDAY(INT($B75), 5)), 2, 2), """"))/$G75))"),0.010231556273559381)</f>
        <v>0.01023155627</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5304</v>
      </c>
    </row>
    <row r="76">
      <c r="A76" s="9">
        <f t="shared" si="1"/>
        <v>75</v>
      </c>
      <c r="B76" s="11">
        <v>46232.667962962965</v>
      </c>
      <c r="C76" s="10" t="s">
        <v>810</v>
      </c>
      <c r="D76" s="10" t="s">
        <v>36</v>
      </c>
      <c r="E76" s="10" t="s">
        <v>1892</v>
      </c>
      <c r="F76" s="13">
        <v>2.0</v>
      </c>
      <c r="G76" s="14">
        <v>147.75</v>
      </c>
      <c r="H76" s="10" t="s">
        <v>5305</v>
      </c>
      <c r="I76" s="10">
        <v>81.7</v>
      </c>
      <c r="O76" s="15">
        <f>IFERROR(__xludf.DUMMYFUNCTION("IF(ISBLANK($C76), """", GOOGLEFINANCE($C76, ""price""))"),147.45)</f>
        <v>147.45</v>
      </c>
      <c r="P76" s="16">
        <f t="shared" si="2"/>
        <v>-0.002030456853</v>
      </c>
      <c r="Q76" s="16">
        <f>IFERROR(__xludf.DUMMYFUNCTION("IF(OR(ISBLANK($G76), IFERROR(INDEX(GOOGLEFINANCE($C76, ""price"", WORKDAY(INT($B76), 1)), 2, 2), """")=""""), """", IF($D76=""LONG"", (IFERROR(INDEX(GOOGLEFINANCE($C76, ""price"", WORKDAY(INT($B76), 1)), 2, 2), """")-$G76)/$G76, ($G76-IFERROR(INDEX(GOOGLE"&amp;"FINANCE($C76, ""price"", WORKDAY(INT($B76), 1)), 2, 2), """"))/$G76))"),0.01157360406091376)</f>
        <v>0.01157360406</v>
      </c>
      <c r="R76" s="16">
        <f>IFERROR(__xludf.DUMMYFUNCTION("IF(OR(ISBLANK($G76), IFERROR(INDEX(GOOGLEFINANCE($C76, ""price"", WORKDAY(INT($B76), 5)), 2, 2), """")=""""), """", IF($D76=""LONG"", (IFERROR(INDEX(GOOGLEFINANCE($C76, ""price"", WORKDAY(INT($B76), 5)), 2, 2), """")-$G76)/$G76, ($G76-IFERROR(INDEX(GOOGLE"&amp;"FINANCE($C76, ""price"", WORKDAY(INT($B76), 5)), 2, 2), """"))/$G76))"),0.023079526226734325)</f>
        <v>0.02307952623</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5307</v>
      </c>
    </row>
    <row r="77">
      <c r="A77" s="9">
        <f t="shared" si="1"/>
        <v>76</v>
      </c>
      <c r="B77" s="11">
        <v>46232.66793981481</v>
      </c>
      <c r="C77" s="10" t="s">
        <v>800</v>
      </c>
      <c r="D77" s="10" t="s">
        <v>36</v>
      </c>
      <c r="E77" s="10" t="s">
        <v>37</v>
      </c>
      <c r="F77" s="13">
        <v>2.0</v>
      </c>
      <c r="G77" s="14">
        <v>318.62</v>
      </c>
      <c r="H77" s="10" t="s">
        <v>5308</v>
      </c>
      <c r="I77" s="10">
        <v>90.3</v>
      </c>
      <c r="O77" s="15">
        <f>IFERROR(__xludf.DUMMYFUNCTION("IF(ISBLANK($C77), """", GOOGLEFINANCE($C77, ""price""))"),325.01)</f>
        <v>325.01</v>
      </c>
      <c r="P77" s="16">
        <f t="shared" si="2"/>
        <v>0.02005523821</v>
      </c>
      <c r="Q77" s="16">
        <f>IFERROR(__xludf.DUMMYFUNCTION("IF(OR(ISBLANK($G77), IFERROR(INDEX(GOOGLEFINANCE($C77, ""price"", WORKDAY(INT($B77), 1)), 2, 2), """")=""""), """", IF($D77=""LONG"", (IFERROR(INDEX(GOOGLEFINANCE($C77, ""price"", WORKDAY(INT($B77), 1)), 2, 2), """")-$G77)/$G77, ($G77-IFERROR(INDEX(GOOGLE"&amp;"FINANCE($C77, ""price"", WORKDAY(INT($B77), 1)), 2, 2), """"))/$G77))"),-0.020055238214801287)</f>
        <v>-0.02005523821</v>
      </c>
      <c r="R77" s="16">
        <f>IFERROR(__xludf.DUMMYFUNCTION("IF(OR(ISBLANK($G77), IFERROR(INDEX(GOOGLEFINANCE($C77, ""price"", WORKDAY(INT($B77), 5)), 2, 2), """")=""""), """", IF($D77=""LONG"", (IFERROR(INDEX(GOOGLEFINANCE($C77, ""price"", WORKDAY(INT($B77), 5)), 2, 2), """")-$G77)/$G77, ($G77-IFERROR(INDEX(GOOGLE"&amp;"FINANCE($C77, ""price"", WORKDAY(INT($B77), 5)), 2, 2), """"))/$G77))"),-0.0043939489046512376)</f>
        <v>-0.004393948905</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5311</v>
      </c>
    </row>
    <row r="78">
      <c r="A78" s="9">
        <f t="shared" si="1"/>
        <v>77</v>
      </c>
      <c r="B78" s="11">
        <v>46232.668020833335</v>
      </c>
      <c r="C78" s="10" t="s">
        <v>60</v>
      </c>
      <c r="D78" s="10" t="s">
        <v>36</v>
      </c>
      <c r="E78" s="10" t="s">
        <v>37</v>
      </c>
      <c r="F78" s="13">
        <v>2.0</v>
      </c>
      <c r="G78" s="14">
        <v>45.86</v>
      </c>
      <c r="H78" s="10" t="s">
        <v>5312</v>
      </c>
      <c r="I78" s="10">
        <v>84.9</v>
      </c>
      <c r="O78" s="15">
        <f>IFERROR(__xludf.DUMMYFUNCTION("IF(ISBLANK($C78), """", GOOGLEFINANCE($C78, ""price""))"),47.06)</f>
        <v>47.06</v>
      </c>
      <c r="P78" s="16">
        <f t="shared" si="2"/>
        <v>0.02616659398</v>
      </c>
      <c r="Q78" s="16">
        <f>IFERROR(__xludf.DUMMYFUNCTION("IF(OR(ISBLANK($G78), IFERROR(INDEX(GOOGLEFINANCE($C78, ""price"", WORKDAY(INT($B78), 1)), 2, 2), """")=""""), """", IF($D78=""LONG"", (IFERROR(INDEX(GOOGLEFINANCE($C78, ""price"", WORKDAY(INT($B78), 1)), 2, 2), """")-$G78)/$G78, ($G78-IFERROR(INDEX(GOOGLE"&amp;"FINANCE($C78, ""price"", WORKDAY(INT($B78), 1)), 2, 2), """"))/$G78))"),-0.015481901439162688)</f>
        <v>-0.01548190144</v>
      </c>
      <c r="R78" s="16">
        <f>IFERROR(__xludf.DUMMYFUNCTION("IF(OR(ISBLANK($G78), IFERROR(INDEX(GOOGLEFINANCE($C78, ""price"", WORKDAY(INT($B78), 5)), 2, 2), """")=""""), """", IF($D78=""LONG"", (IFERROR(INDEX(GOOGLEFINANCE($C78, ""price"", WORKDAY(INT($B78), 5)), 2, 2), """")-$G78)/$G78, ($G78-IFERROR(INDEX(GOOGLE"&amp;"FINANCE($C78, ""price"", WORKDAY(INT($B78), 5)), 2, 2), """"))/$G78))"),0.04121238552115134)</f>
        <v>0.04121238552</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5313</v>
      </c>
    </row>
    <row r="79">
      <c r="A79" s="9">
        <f t="shared" si="1"/>
        <v>78</v>
      </c>
      <c r="B79" s="11">
        <v>46232.667916666665</v>
      </c>
      <c r="C79" s="10" t="s">
        <v>5267</v>
      </c>
      <c r="D79" s="10" t="s">
        <v>36</v>
      </c>
      <c r="E79" s="10" t="s">
        <v>1892</v>
      </c>
      <c r="F79" s="13">
        <v>2.0</v>
      </c>
      <c r="G79" s="14">
        <v>152.81</v>
      </c>
      <c r="H79" s="10" t="s">
        <v>5315</v>
      </c>
      <c r="I79" s="10">
        <v>75.1</v>
      </c>
      <c r="O79" s="15">
        <f>IFERROR(__xludf.DUMMYFUNCTION("IF(ISBLANK($C79), """", GOOGLEFINANCE($C79, ""price""))"),149.54)</f>
        <v>149.54</v>
      </c>
      <c r="P79" s="16">
        <f t="shared" si="2"/>
        <v>-0.02139912309</v>
      </c>
      <c r="Q79" s="16">
        <f>IFERROR(__xludf.DUMMYFUNCTION("IF(OR(ISBLANK($G79), IFERROR(INDEX(GOOGLEFINANCE($C79, ""price"", WORKDAY(INT($B79), 1)), 2, 2), """")=""""), """", IF($D79=""LONG"", (IFERROR(INDEX(GOOGLEFINANCE($C79, ""price"", WORKDAY(INT($B79), 1)), 2, 2), """")-$G79)/$G79, ($G79-IFERROR(INDEX(GOOGLE"&amp;"FINANCE($C79, ""price"", WORKDAY(INT($B79), 1)), 2, 2), """"))/$G79))"),-0.03010274196714871)</f>
        <v>-0.03010274197</v>
      </c>
      <c r="R79" s="16">
        <f>IFERROR(__xludf.DUMMYFUNCTION("IF(OR(ISBLANK($G79), IFERROR(INDEX(GOOGLEFINANCE($C79, ""price"", WORKDAY(INT($B79), 5)), 2, 2), """")=""""), """", IF($D79=""LONG"", (IFERROR(INDEX(GOOGLEFINANCE($C79, ""price"", WORKDAY(INT($B79), 5)), 2, 2), """")-$G79)/$G79, ($G79-IFERROR(INDEX(GOOGLE"&amp;"FINANCE($C79, ""price"", WORKDAY(INT($B79), 5)), 2, 2), """"))/$G79))"),-0.01812708592369616)</f>
        <v>-0.01812708592</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5319</v>
      </c>
    </row>
    <row r="80">
      <c r="A80" s="9">
        <f t="shared" si="1"/>
        <v>79</v>
      </c>
      <c r="B80" s="11">
        <v>46232.667974537035</v>
      </c>
      <c r="C80" s="10" t="s">
        <v>5320</v>
      </c>
      <c r="D80" s="10" t="s">
        <v>36</v>
      </c>
      <c r="E80" s="10" t="s">
        <v>1892</v>
      </c>
      <c r="F80" s="13">
        <v>2.0</v>
      </c>
      <c r="G80" s="14">
        <v>179.93</v>
      </c>
      <c r="H80" s="10" t="s">
        <v>5321</v>
      </c>
      <c r="I80" s="10">
        <v>75.8</v>
      </c>
      <c r="O80" s="15">
        <f>IFERROR(__xludf.DUMMYFUNCTION("IF(ISBLANK($C80), """", GOOGLEFINANCE($C80, ""price""))"),169.08)</f>
        <v>169.08</v>
      </c>
      <c r="P80" s="16">
        <f t="shared" si="2"/>
        <v>-0.06030122826</v>
      </c>
      <c r="Q80" s="16">
        <f>IFERROR(__xludf.DUMMYFUNCTION("IF(OR(ISBLANK($G80), IFERROR(INDEX(GOOGLEFINANCE($C80, ""price"", WORKDAY(INT($B80), 1)), 2, 2), """")=""""), """", IF($D80=""LONG"", (IFERROR(INDEX(GOOGLEFINANCE($C80, ""price"", WORKDAY(INT($B80), 1)), 2, 2), """")-$G80)/$G80, ($G80-IFERROR(INDEX(GOOGLE"&amp;"FINANCE($C80, ""price"", WORKDAY(INT($B80), 1)), 2, 2), """"))/$G80))"),-0.03623631412215867)</f>
        <v>-0.03623631412</v>
      </c>
      <c r="R80" s="16">
        <f>IFERROR(__xludf.DUMMYFUNCTION("IF(OR(ISBLANK($G80), IFERROR(INDEX(GOOGLEFINANCE($C80, ""price"", WORKDAY(INT($B80), 5)), 2, 2), """")=""""), """", IF($D80=""LONG"", (IFERROR(INDEX(GOOGLEFINANCE($C80, ""price"", WORKDAY(INT($B80), 5)), 2, 2), """")-$G80)/$G80, ($G80-IFERROR(INDEX(GOOGLE"&amp;"FINANCE($C80, ""price"", WORKDAY(INT($B80), 5)), 2, 2), """"))/$G80))"),-0.028344356138498273)</f>
        <v>-0.02834435614</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5324</v>
      </c>
    </row>
    <row r="81">
      <c r="A81" s="9">
        <f t="shared" si="1"/>
        <v>80</v>
      </c>
      <c r="B81" s="11">
        <v>46232.668078703704</v>
      </c>
      <c r="C81" s="10" t="s">
        <v>3445</v>
      </c>
      <c r="D81" s="10" t="s">
        <v>36</v>
      </c>
      <c r="E81" s="10" t="s">
        <v>1892</v>
      </c>
      <c r="F81" s="13">
        <v>2.0</v>
      </c>
      <c r="G81" s="14">
        <v>273.53</v>
      </c>
      <c r="H81" s="10" t="s">
        <v>5325</v>
      </c>
      <c r="I81" s="10">
        <v>58.1</v>
      </c>
      <c r="O81" s="15">
        <f>IFERROR(__xludf.DUMMYFUNCTION("IF(ISBLANK($C81), """", GOOGLEFINANCE($C81, ""price""))"),273.51)</f>
        <v>273.51</v>
      </c>
      <c r="P81" s="16">
        <f t="shared" si="2"/>
        <v>-0.00007311812233</v>
      </c>
      <c r="Q81" s="16">
        <f>IFERROR(__xludf.DUMMYFUNCTION("IF(OR(ISBLANK($G81), IFERROR(INDEX(GOOGLEFINANCE($C81, ""price"", WORKDAY(INT($B81), 1)), 2, 2), """")=""""), """", IF($D81=""LONG"", (IFERROR(INDEX(GOOGLEFINANCE($C81, ""price"", WORKDAY(INT($B81), 1)), 2, 2), """")-$G81)/$G81, ($G81-IFERROR(INDEX(GOOGLE"&amp;"FINANCE($C81, ""price"", WORKDAY(INT($B81), 1)), 2, 2), """"))/$G81))"),-0.035316053083756696)</f>
        <v>-0.03531605308</v>
      </c>
      <c r="R81" s="16">
        <f>IFERROR(__xludf.DUMMYFUNCTION("IF(OR(ISBLANK($G81), IFERROR(INDEX(GOOGLEFINANCE($C81, ""price"", WORKDAY(INT($B81), 5)), 2, 2), """")=""""), """", IF($D81=""LONG"", (IFERROR(INDEX(GOOGLEFINANCE($C81, ""price"", WORKDAY(INT($B81), 5)), 2, 2), """")-$G81)/$G81, ($G81-IFERROR(INDEX(GOOGLE"&amp;"FINANCE($C81, ""price"", WORKDAY(INT($B81), 5)), 2, 2), """"))/$G81))"),-0.0125763170401784)</f>
        <v>-0.01257631704</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5328</v>
      </c>
    </row>
    <row r="82">
      <c r="A82" s="9">
        <f t="shared" si="1"/>
        <v>81</v>
      </c>
      <c r="B82" s="11">
        <v>46232.668020833335</v>
      </c>
      <c r="C82" s="10" t="s">
        <v>4738</v>
      </c>
      <c r="D82" s="10" t="s">
        <v>36</v>
      </c>
      <c r="E82" s="10" t="s">
        <v>37</v>
      </c>
      <c r="F82" s="13">
        <v>2.0</v>
      </c>
      <c r="G82" s="14">
        <v>96.07</v>
      </c>
      <c r="H82" s="10" t="s">
        <v>5331</v>
      </c>
      <c r="I82" s="10">
        <v>88.2</v>
      </c>
      <c r="O82" s="15">
        <f>IFERROR(__xludf.DUMMYFUNCTION("IF(ISBLANK($C82), """", GOOGLEFINANCE($C82, ""price""))"),92.9)</f>
        <v>92.9</v>
      </c>
      <c r="P82" s="16">
        <f t="shared" si="2"/>
        <v>-0.03299677319</v>
      </c>
      <c r="Q82" s="16">
        <f>IFERROR(__xludf.DUMMYFUNCTION("IF(OR(ISBLANK($G82), IFERROR(INDEX(GOOGLEFINANCE($C82, ""price"", WORKDAY(INT($B82), 1)), 2, 2), """")=""""), """", IF($D82=""LONG"", (IFERROR(INDEX(GOOGLEFINANCE($C82, ""price"", WORKDAY(INT($B82), 1)), 2, 2), """")-$G82)/$G82, ($G82-IFERROR(INDEX(GOOGLE"&amp;"FINANCE($C82, ""price"", WORKDAY(INT($B82), 1)), 2, 2), """"))/$G82))"),-0.01800770271676892)</f>
        <v>-0.01800770272</v>
      </c>
      <c r="R82" s="16">
        <f>IFERROR(__xludf.DUMMYFUNCTION("IF(OR(ISBLANK($G82), IFERROR(INDEX(GOOGLEFINANCE($C82, ""price"", WORKDAY(INT($B82), 5)), 2, 2), """")=""""), """", IF($D82=""LONG"", (IFERROR(INDEX(GOOGLEFINANCE($C82, ""price"", WORKDAY(INT($B82), 5)), 2, 2), """")-$G82)/$G82, ($G82-IFERROR(INDEX(GOOGLE"&amp;"FINANCE($C82, ""price"", WORKDAY(INT($B82), 5)), 2, 2), """"))/$G82))"),-0.030914957843239294)</f>
        <v>-0.03091495784</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5334</v>
      </c>
    </row>
    <row r="83">
      <c r="A83" s="9">
        <f t="shared" si="1"/>
        <v>82</v>
      </c>
      <c r="B83" s="11">
        <v>46232.668020833335</v>
      </c>
      <c r="C83" s="10" t="s">
        <v>5335</v>
      </c>
      <c r="D83" s="10" t="s">
        <v>36</v>
      </c>
      <c r="E83" s="10" t="s">
        <v>87</v>
      </c>
      <c r="F83" s="13">
        <v>2.0</v>
      </c>
      <c r="G83" s="14">
        <v>188.42</v>
      </c>
      <c r="H83" s="10" t="s">
        <v>5336</v>
      </c>
      <c r="I83" s="10">
        <v>48.6</v>
      </c>
      <c r="O83" s="15">
        <f>IFERROR(__xludf.DUMMYFUNCTION("IF(ISBLANK($C83), """", GOOGLEFINANCE($C83, ""price""))"),186.77)</f>
        <v>186.77</v>
      </c>
      <c r="P83" s="16">
        <f t="shared" si="2"/>
        <v>-0.008757032162</v>
      </c>
      <c r="Q83" s="16">
        <f>IFERROR(__xludf.DUMMYFUNCTION("IF(OR(ISBLANK($G83), IFERROR(INDEX(GOOGLEFINANCE($C83, ""price"", WORKDAY(INT($B83), 1)), 2, 2), """")=""""), """", IF($D83=""LONG"", (IFERROR(INDEX(GOOGLEFINANCE($C83, ""price"", WORKDAY(INT($B83), 1)), 2, 2), """")-$G83)/$G83, ($G83-IFERROR(INDEX(GOOGLE"&amp;"FINANCE($C83, ""price"", WORKDAY(INT($B83), 1)), 2, 2), """"))/$G83))"),-0.04091922301241896)</f>
        <v>-0.04091922301</v>
      </c>
      <c r="R83" s="16">
        <f>IFERROR(__xludf.DUMMYFUNCTION("IF(OR(ISBLANK($G83), IFERROR(INDEX(GOOGLEFINANCE($C83, ""price"", WORKDAY(INT($B83), 5)), 2, 2), """")=""""), """", IF($D83=""LONG"", (IFERROR(INDEX(GOOGLEFINANCE($C83, ""price"", WORKDAY(INT($B83), 5)), 2, 2), """")-$G83)/$G83, ($G83-IFERROR(INDEX(GOOGLE"&amp;"FINANCE($C83, ""price"", WORKDAY(INT($B83), 5)), 2, 2), """"))/$G83))"),0.024201252520963817)</f>
        <v>0.02420125252</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5339</v>
      </c>
    </row>
    <row r="84">
      <c r="A84" s="9">
        <f t="shared" si="1"/>
        <v>83</v>
      </c>
      <c r="B84" s="11">
        <v>46232.66805555556</v>
      </c>
      <c r="C84" s="10" t="s">
        <v>1154</v>
      </c>
      <c r="D84" s="10" t="s">
        <v>36</v>
      </c>
      <c r="E84" s="10" t="s">
        <v>87</v>
      </c>
      <c r="F84" s="13">
        <v>2.0</v>
      </c>
      <c r="G84" s="14">
        <v>1389.18</v>
      </c>
      <c r="H84" s="10" t="s">
        <v>5340</v>
      </c>
      <c r="I84" s="10">
        <v>90.6</v>
      </c>
      <c r="O84" s="15">
        <f>IFERROR(__xludf.DUMMYFUNCTION("IF(ISBLANK($C84), """", GOOGLEFINANCE($C84, ""price""))"),1421.24)</f>
        <v>1421.24</v>
      </c>
      <c r="P84" s="16">
        <f t="shared" si="2"/>
        <v>0.02307836278</v>
      </c>
      <c r="Q84" s="16">
        <f>IFERROR(__xludf.DUMMYFUNCTION("IF(OR(ISBLANK($G84), IFERROR(INDEX(GOOGLEFINANCE($C84, ""price"", WORKDAY(INT($B84), 1)), 2, 2), """")=""""), """", IF($D84=""LONG"", (IFERROR(INDEX(GOOGLEFINANCE($C84, ""price"", WORKDAY(INT($B84), 1)), 2, 2), """")-$G84)/$G84, ($G84-IFERROR(INDEX(GOOGLE"&amp;"FINANCE($C84, ""price"", WORKDAY(INT($B84), 1)), 2, 2), """"))/$G84))"),-0.0061691069551823114)</f>
        <v>-0.006169106955</v>
      </c>
      <c r="R84" s="16">
        <f>IFERROR(__xludf.DUMMYFUNCTION("IF(OR(ISBLANK($G84), IFERROR(INDEX(GOOGLEFINANCE($C84, ""price"", WORKDAY(INT($B84), 5)), 2, 2), """")=""""), """", IF($D84=""LONG"", (IFERROR(INDEX(GOOGLEFINANCE($C84, ""price"", WORKDAY(INT($B84), 5)), 2, 2), """")-$G84)/$G84, ($G84-IFERROR(INDEX(GOOGLE"&amp;"FINANCE($C84, ""price"", WORKDAY(INT($B84), 5)), 2, 2), """"))/$G84))"),0.023279920528657135)</f>
        <v>0.02327992053</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5345</v>
      </c>
    </row>
    <row r="85">
      <c r="A85" s="9">
        <f t="shared" si="1"/>
        <v>84</v>
      </c>
      <c r="B85" s="11">
        <v>46232.66804398148</v>
      </c>
      <c r="C85" s="10" t="s">
        <v>153</v>
      </c>
      <c r="D85" s="10" t="s">
        <v>36</v>
      </c>
      <c r="E85" s="10" t="s">
        <v>4224</v>
      </c>
      <c r="F85" s="13">
        <v>4.0</v>
      </c>
      <c r="G85" s="14">
        <v>103.01</v>
      </c>
      <c r="H85" s="10" t="s">
        <v>5346</v>
      </c>
      <c r="I85" s="10">
        <v>62.0</v>
      </c>
      <c r="O85" s="15">
        <f>IFERROR(__xludf.DUMMYFUNCTION("IF(ISBLANK($C85), """", GOOGLEFINANCE($C85, ""price""))"),122.65)</f>
        <v>122.65</v>
      </c>
      <c r="P85" s="16">
        <f t="shared" si="2"/>
        <v>0.1906611009</v>
      </c>
      <c r="Q85" s="16">
        <f>IFERROR(__xludf.DUMMYFUNCTION("IF(OR(ISBLANK($G85), IFERROR(INDEX(GOOGLEFINANCE($C85, ""price"", WORKDAY(INT($B85), 1)), 2, 2), """")=""""), """", IF($D85=""LONG"", (IFERROR(INDEX(GOOGLEFINANCE($C85, ""price"", WORKDAY(INT($B85), 1)), 2, 2), """")-$G85)/$G85, ($G85-IFERROR(INDEX(GOOGLE"&amp;"FINANCE($C85, ""price"", WORKDAY(INT($B85), 1)), 2, 2), """"))/$G85))"),0.08639937870109689)</f>
        <v>0.0863993787</v>
      </c>
      <c r="R85" s="16">
        <f>IFERROR(__xludf.DUMMYFUNCTION("IF(OR(ISBLANK($G85), IFERROR(INDEX(GOOGLEFINANCE($C85, ""price"", WORKDAY(INT($B85), 5)), 2, 2), """")=""""), """", IF($D85=""LONG"", (IFERROR(INDEX(GOOGLEFINANCE($C85, ""price"", WORKDAY(INT($B85), 5)), 2, 2), """")-$G85)/$G85, ($G85-IFERROR(INDEX(GOOGLE"&amp;"FINANCE($C85, ""price"", WORKDAY(INT($B85), 5)), 2, 2), """"))/$G85))"),0.18318609843704484)</f>
        <v>0.1831860984</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5350</v>
      </c>
    </row>
    <row r="86">
      <c r="A86" s="9">
        <f t="shared" si="1"/>
        <v>85</v>
      </c>
      <c r="B86" s="11">
        <v>46232.66813657407</v>
      </c>
      <c r="C86" s="10" t="s">
        <v>406</v>
      </c>
      <c r="D86" s="10" t="s">
        <v>36</v>
      </c>
      <c r="E86" s="10" t="s">
        <v>37</v>
      </c>
      <c r="F86" s="13">
        <v>2.0</v>
      </c>
      <c r="G86" s="14">
        <v>181.4</v>
      </c>
      <c r="H86" s="10" t="s">
        <v>5352</v>
      </c>
      <c r="I86" s="10">
        <v>75.7</v>
      </c>
      <c r="O86" s="15">
        <f>IFERROR(__xludf.DUMMYFUNCTION("IF(ISBLANK($C86), """", GOOGLEFINANCE($C86, ""price""))"),179.04)</f>
        <v>179.04</v>
      </c>
      <c r="P86" s="16">
        <f t="shared" si="2"/>
        <v>-0.01300992282</v>
      </c>
      <c r="Q86" s="16">
        <f>IFERROR(__xludf.DUMMYFUNCTION("IF(OR(ISBLANK($G86), IFERROR(INDEX(GOOGLEFINANCE($C86, ""price"", WORKDAY(INT($B86), 1)), 2, 2), """")=""""), """", IF($D86=""LONG"", (IFERROR(INDEX(GOOGLEFINANCE($C86, ""price"", WORKDAY(INT($B86), 1)), 2, 2), """")-$G86)/$G86, ($G86-IFERROR(INDEX(GOOGLE"&amp;"FINANCE($C86, ""price"", WORKDAY(INT($B86), 1)), 2, 2), """"))/$G86))"),-0.036769570011025446)</f>
        <v>-0.03676957001</v>
      </c>
      <c r="R86" s="16">
        <f>IFERROR(__xludf.DUMMYFUNCTION("IF(OR(ISBLANK($G86), IFERROR(INDEX(GOOGLEFINANCE($C86, ""price"", WORKDAY(INT($B86), 5)), 2, 2), """")=""""), """", IF($D86=""LONG"", (IFERROR(INDEX(GOOGLEFINANCE($C86, ""price"", WORKDAY(INT($B86), 5)), 2, 2), """")-$G86)/$G86, ($G86-IFERROR(INDEX(GOOGLE"&amp;"FINANCE($C86, ""price"", WORKDAY(INT($B86), 5)), 2, 2), """"))/$G86))"),-0.019900771775082766)</f>
        <v>-0.01990077178</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5355</v>
      </c>
    </row>
    <row r="87">
      <c r="A87" s="9">
        <f t="shared" si="1"/>
        <v>86</v>
      </c>
      <c r="B87" s="11">
        <v>46232.66809027778</v>
      </c>
      <c r="C87" s="10" t="s">
        <v>1171</v>
      </c>
      <c r="D87" s="10" t="s">
        <v>36</v>
      </c>
      <c r="E87" s="10" t="s">
        <v>37</v>
      </c>
      <c r="F87" s="13">
        <v>2.0</v>
      </c>
      <c r="G87" s="14">
        <v>240.99</v>
      </c>
      <c r="H87" s="10" t="s">
        <v>5356</v>
      </c>
      <c r="I87" s="10">
        <v>89.2</v>
      </c>
      <c r="O87" s="15">
        <f>IFERROR(__xludf.DUMMYFUNCTION("IF(ISBLANK($C87), """", GOOGLEFINANCE($C87, ""price""))"),236.0)</f>
        <v>236</v>
      </c>
      <c r="P87" s="16">
        <f t="shared" si="2"/>
        <v>-0.02070625337</v>
      </c>
      <c r="Q87" s="16">
        <f>IFERROR(__xludf.DUMMYFUNCTION("IF(OR(ISBLANK($G87), IFERROR(INDEX(GOOGLEFINANCE($C87, ""price"", WORKDAY(INT($B87), 1)), 2, 2), """")=""""), """", IF($D87=""LONG"", (IFERROR(INDEX(GOOGLEFINANCE($C87, ""price"", WORKDAY(INT($B87), 1)), 2, 2), """")-$G87)/$G87, ($G87-IFERROR(INDEX(GOOGLE"&amp;"FINANCE($C87, ""price"", WORKDAY(INT($B87), 1)), 2, 2), """"))/$G87))"),-0.022241586787833577)</f>
        <v>-0.02224158679</v>
      </c>
      <c r="R87" s="16">
        <f>IFERROR(__xludf.DUMMYFUNCTION("IF(OR(ISBLANK($G87), IFERROR(INDEX(GOOGLEFINANCE($C87, ""price"", WORKDAY(INT($B87), 5)), 2, 2), """")=""""), """", IF($D87=""LONG"", (IFERROR(INDEX(GOOGLEFINANCE($C87, ""price"", WORKDAY(INT($B87), 5)), 2, 2), """")-$G87)/$G87, ($G87-IFERROR(INDEX(GOOGLE"&amp;"FINANCE($C87, ""price"", WORKDAY(INT($B87), 5)), 2, 2), """"))/$G87))"),-0.015519316154197306)</f>
        <v>-0.01551931615</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5360</v>
      </c>
    </row>
    <row r="88">
      <c r="A88" s="9">
        <f t="shared" si="1"/>
        <v>87</v>
      </c>
      <c r="B88" s="11">
        <v>46232.667905092596</v>
      </c>
      <c r="C88" s="10" t="s">
        <v>4586</v>
      </c>
      <c r="D88" s="10" t="s">
        <v>36</v>
      </c>
      <c r="E88" s="10" t="s">
        <v>37</v>
      </c>
      <c r="F88" s="13">
        <v>2.0</v>
      </c>
      <c r="G88" s="14">
        <v>309.0</v>
      </c>
      <c r="H88" s="10" t="s">
        <v>5361</v>
      </c>
      <c r="I88" s="10">
        <v>94.7</v>
      </c>
      <c r="O88" s="15">
        <f>IFERROR(__xludf.DUMMYFUNCTION("IF(ISBLANK($C88), """", GOOGLEFINANCE($C88, ""price""))"),299.25)</f>
        <v>299.25</v>
      </c>
      <c r="P88" s="16">
        <f t="shared" si="2"/>
        <v>-0.03155339806</v>
      </c>
      <c r="Q88" s="16">
        <f>IFERROR(__xludf.DUMMYFUNCTION("IF(OR(ISBLANK($G88), IFERROR(INDEX(GOOGLEFINANCE($C88, ""price"", WORKDAY(INT($B88), 1)), 2, 2), """")=""""), """", IF($D88=""LONG"", (IFERROR(INDEX(GOOGLEFINANCE($C88, ""price"", WORKDAY(INT($B88), 1)), 2, 2), """")-$G88)/$G88, ($G88-IFERROR(INDEX(GOOGLE"&amp;"FINANCE($C88, ""price"", WORKDAY(INT($B88), 1)), 2, 2), """"))/$G88))"),0.016440129449838137)</f>
        <v>0.01644012945</v>
      </c>
      <c r="R88" s="16">
        <f>IFERROR(__xludf.DUMMYFUNCTION("IF(OR(ISBLANK($G88), IFERROR(INDEX(GOOGLEFINANCE($C88, ""price"", WORKDAY(INT($B88), 5)), 2, 2), """")=""""), """", IF($D88=""LONG"", (IFERROR(INDEX(GOOGLEFINANCE($C88, ""price"", WORKDAY(INT($B88), 5)), 2, 2), """")-$G88)/$G88, ($G88-IFERROR(INDEX(GOOGLE"&amp;"FINANCE($C88, ""price"", WORKDAY(INT($B88), 5)), 2, 2), """"))/$G88))"),-0.03640776699029126)</f>
        <v>-0.03640776699</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5363</v>
      </c>
    </row>
    <row r="89">
      <c r="A89" s="9">
        <f t="shared" si="1"/>
        <v>88</v>
      </c>
      <c r="B89" s="11">
        <v>46232.668020833335</v>
      </c>
      <c r="C89" s="10" t="s">
        <v>248</v>
      </c>
      <c r="D89" s="10" t="s">
        <v>36</v>
      </c>
      <c r="E89" s="10" t="s">
        <v>37</v>
      </c>
      <c r="F89" s="13">
        <v>2.0</v>
      </c>
      <c r="G89" s="14">
        <v>71.32</v>
      </c>
      <c r="H89" s="10" t="s">
        <v>1500</v>
      </c>
      <c r="I89" s="10">
        <v>89.1</v>
      </c>
      <c r="O89" s="15">
        <f>IFERROR(__xludf.DUMMYFUNCTION("IF(ISBLANK($C89), """", GOOGLEFINANCE($C89, ""price""))"),72.43)</f>
        <v>72.43</v>
      </c>
      <c r="P89" s="16">
        <f t="shared" si="2"/>
        <v>0.01556365676</v>
      </c>
      <c r="Q89" s="16">
        <f>IFERROR(__xludf.DUMMYFUNCTION("IF(OR(ISBLANK($G89), IFERROR(INDEX(GOOGLEFINANCE($C89, ""price"", WORKDAY(INT($B89), 1)), 2, 2), """")=""""), """", IF($D89=""LONG"", (IFERROR(INDEX(GOOGLEFINANCE($C89, ""price"", WORKDAY(INT($B89), 1)), 2, 2), """")-$G89)/$G89, ($G89-IFERROR(INDEX(GOOGLE"&amp;"FINANCE($C89, ""price"", WORKDAY(INT($B89), 1)), 2, 2), """"))/$G89))"),0.005748738081884616)</f>
        <v>0.005748738082</v>
      </c>
      <c r="R89" s="16">
        <f>IFERROR(__xludf.DUMMYFUNCTION("IF(OR(ISBLANK($G89), IFERROR(INDEX(GOOGLEFINANCE($C89, ""price"", WORKDAY(INT($B89), 5)), 2, 2), """")=""""), """", IF($D89=""LONG"", (IFERROR(INDEX(GOOGLEFINANCE($C89, ""price"", WORKDAY(INT($B89), 5)), 2, 2), """")-$G89)/$G89, ($G89-IFERROR(INDEX(GOOGLE"&amp;"FINANCE($C89, ""price"", WORKDAY(INT($B89), 5)), 2, 2), """"))/$G89))"),0.03196859226023558)</f>
        <v>0.03196859226</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5369</v>
      </c>
    </row>
    <row r="90">
      <c r="A90" s="9">
        <f t="shared" si="1"/>
        <v>89</v>
      </c>
      <c r="B90" s="11">
        <v>46232.66799768519</v>
      </c>
      <c r="C90" s="10" t="s">
        <v>98</v>
      </c>
      <c r="D90" s="10" t="s">
        <v>36</v>
      </c>
      <c r="E90" s="10" t="s">
        <v>37</v>
      </c>
      <c r="F90" s="13">
        <v>2.0</v>
      </c>
      <c r="G90" s="14">
        <v>30.94</v>
      </c>
      <c r="H90" s="10" t="s">
        <v>5370</v>
      </c>
      <c r="I90" s="10">
        <v>85.0</v>
      </c>
      <c r="O90" s="15">
        <f>IFERROR(__xludf.DUMMYFUNCTION("IF(ISBLANK($C90), """", GOOGLEFINANCE($C90, ""price""))"),31.39)</f>
        <v>31.39</v>
      </c>
      <c r="P90" s="16">
        <f t="shared" si="2"/>
        <v>0.01454427925</v>
      </c>
      <c r="Q90" s="16">
        <f>IFERROR(__xludf.DUMMYFUNCTION("IF(OR(ISBLANK($G90), IFERROR(INDEX(GOOGLEFINANCE($C90, ""price"", WORKDAY(INT($B90), 1)), 2, 2), """")=""""), """", IF($D90=""LONG"", (IFERROR(INDEX(GOOGLEFINANCE($C90, ""price"", WORKDAY(INT($B90), 1)), 2, 2), """")-$G90)/$G90, ($G90-IFERROR(INDEX(GOOGLE"&amp;"FINANCE($C90, ""price"", WORKDAY(INT($B90), 1)), 2, 2), """"))/$G90))"),-0.002908855850032316)</f>
        <v>-0.00290885585</v>
      </c>
      <c r="R90" s="16">
        <f>IFERROR(__xludf.DUMMYFUNCTION("IF(OR(ISBLANK($G90), IFERROR(INDEX(GOOGLEFINANCE($C90, ""price"", WORKDAY(INT($B90), 5)), 2, 2), """")=""""), """", IF($D90=""LONG"", (IFERROR(INDEX(GOOGLEFINANCE($C90, ""price"", WORKDAY(INT($B90), 5)), 2, 2), """")-$G90)/$G90, ($G90-IFERROR(INDEX(GOOGLE"&amp;"FINANCE($C90, ""price"", WORKDAY(INT($B90), 5)), 2, 2), """"))/$G90))"),0.03038138332255972)</f>
        <v>0.03038138332</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5372</v>
      </c>
    </row>
    <row r="91">
      <c r="A91" s="9">
        <f t="shared" si="1"/>
        <v>90</v>
      </c>
      <c r="B91" s="11">
        <v>46232.66806712963</v>
      </c>
      <c r="C91" s="10" t="s">
        <v>2535</v>
      </c>
      <c r="D91" s="10" t="s">
        <v>36</v>
      </c>
      <c r="E91" s="10" t="s">
        <v>1892</v>
      </c>
      <c r="F91" s="13">
        <v>2.0</v>
      </c>
      <c r="G91" s="14">
        <v>229.65</v>
      </c>
      <c r="H91" s="10" t="s">
        <v>5374</v>
      </c>
      <c r="I91" s="10">
        <v>61.2</v>
      </c>
      <c r="O91" s="15">
        <f>IFERROR(__xludf.DUMMYFUNCTION("IF(ISBLANK($C91), """", GOOGLEFINANCE($C91, ""price""))"),233.71)</f>
        <v>233.71</v>
      </c>
      <c r="P91" s="16">
        <f t="shared" si="2"/>
        <v>0.01767907686</v>
      </c>
      <c r="Q91" s="16">
        <f>IFERROR(__xludf.DUMMYFUNCTION("IF(OR(ISBLANK($G91), IFERROR(INDEX(GOOGLEFINANCE($C91, ""price"", WORKDAY(INT($B91), 1)), 2, 2), """")=""""), """", IF($D91=""LONG"", (IFERROR(INDEX(GOOGLEFINANCE($C91, ""price"", WORKDAY(INT($B91), 1)), 2, 2), """")-$G91)/$G91, ($G91-IFERROR(INDEX(GOOGLE"&amp;"FINANCE($C91, ""price"", WORKDAY(INT($B91), 1)), 2, 2), """"))/$G91))"),0.0179403440017418)</f>
        <v>0.017940344</v>
      </c>
      <c r="R91" s="16">
        <f>IFERROR(__xludf.DUMMYFUNCTION("IF(OR(ISBLANK($G91), IFERROR(INDEX(GOOGLEFINANCE($C91, ""price"", WORKDAY(INT($B91), 5)), 2, 2), """")=""""), """", IF($D91=""LONG"", (IFERROR(INDEX(GOOGLEFINANCE($C91, ""price"", WORKDAY(INT($B91), 5)), 2, 2), """")-$G91)/$G91, ($G91-IFERROR(INDEX(GOOGLE"&amp;"FINANCE($C91, ""price"", WORKDAY(INT($B91), 5)), 2, 2), """"))/$G91))"),0.03191813629436092)</f>
        <v>0.03191813629</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5377</v>
      </c>
    </row>
    <row r="92">
      <c r="A92" s="9">
        <f t="shared" si="1"/>
        <v>91</v>
      </c>
      <c r="B92" s="11">
        <v>46232.668020833335</v>
      </c>
      <c r="C92" s="10" t="s">
        <v>114</v>
      </c>
      <c r="D92" s="10" t="s">
        <v>36</v>
      </c>
      <c r="E92" s="10" t="s">
        <v>37</v>
      </c>
      <c r="F92" s="13">
        <v>2.0</v>
      </c>
      <c r="G92" s="14">
        <v>229.15</v>
      </c>
      <c r="H92" s="10" t="s">
        <v>5380</v>
      </c>
      <c r="I92" s="10">
        <v>82.9</v>
      </c>
      <c r="O92" s="15">
        <f>IFERROR(__xludf.DUMMYFUNCTION("IF(ISBLANK($C92), """", GOOGLEFINANCE($C92, ""price""))"),237.66)</f>
        <v>237.66</v>
      </c>
      <c r="P92" s="16">
        <f t="shared" si="2"/>
        <v>0.03713724635</v>
      </c>
      <c r="Q92" s="16">
        <f>IFERROR(__xludf.DUMMYFUNCTION("IF(OR(ISBLANK($G92), IFERROR(INDEX(GOOGLEFINANCE($C92, ""price"", WORKDAY(INT($B92), 1)), 2, 2), """")=""""), """", IF($D92=""LONG"", (IFERROR(INDEX(GOOGLEFINANCE($C92, ""price"", WORKDAY(INT($B92), 1)), 2, 2), """")-$G92)/$G92, ($G92-IFERROR(INDEX(GOOGLE"&amp;"FINANCE($C92, ""price"", WORKDAY(INT($B92), 1)), 2, 2), """"))/$G92))"),-0.009077023783547949)</f>
        <v>-0.009077023784</v>
      </c>
      <c r="R92" s="16">
        <f>IFERROR(__xludf.DUMMYFUNCTION("IF(OR(ISBLANK($G92), IFERROR(INDEX(GOOGLEFINANCE($C92, ""price"", WORKDAY(INT($B92), 5)), 2, 2), """")=""""), """", IF($D92=""LONG"", (IFERROR(INDEX(GOOGLEFINANCE($C92, ""price"", WORKDAY(INT($B92), 5)), 2, 2), """")-$G92)/$G92, ($G92-IFERROR(INDEX(GOOGLE"&amp;"FINANCE($C92, ""price"", WORKDAY(INT($B92), 5)), 2, 2), """"))/$G92))"),0.04398865372027049)</f>
        <v>0.04398865372</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5382</v>
      </c>
    </row>
    <row r="93">
      <c r="B93" s="43"/>
      <c r="G93" s="15"/>
      <c r="O93" s="15"/>
      <c r="P93" s="16"/>
      <c r="Q93" s="16"/>
      <c r="R93" s="16"/>
      <c r="S93" s="16"/>
    </row>
    <row r="94">
      <c r="B94" s="43"/>
      <c r="G94" s="15"/>
      <c r="O94" s="15"/>
      <c r="P94" s="16"/>
      <c r="Q94" s="16"/>
      <c r="R94" s="16"/>
      <c r="S94" s="16"/>
    </row>
    <row r="95">
      <c r="B95" s="43"/>
      <c r="G95" s="15"/>
      <c r="O95" s="15"/>
      <c r="P95" s="16"/>
      <c r="Q95" s="16"/>
      <c r="R95" s="16"/>
      <c r="S95" s="16"/>
    </row>
    <row r="96">
      <c r="B96" s="43"/>
      <c r="G96" s="15"/>
      <c r="O96" s="15"/>
      <c r="P96" s="16"/>
      <c r="Q96" s="16"/>
      <c r="R96" s="16"/>
      <c r="S96" s="16"/>
    </row>
    <row r="97">
      <c r="B97" s="43"/>
      <c r="G97" s="15"/>
      <c r="O97" s="15"/>
      <c r="P97" s="16"/>
      <c r="Q97" s="16"/>
      <c r="R97" s="16"/>
      <c r="S97" s="16"/>
    </row>
    <row r="98">
      <c r="B98" s="43"/>
      <c r="G98" s="15"/>
      <c r="O98" s="15"/>
      <c r="P98" s="16"/>
      <c r="Q98" s="16"/>
      <c r="R98" s="16"/>
      <c r="S98" s="16"/>
    </row>
    <row r="99">
      <c r="B99" s="43"/>
      <c r="G99" s="15"/>
      <c r="O99" s="15"/>
      <c r="P99" s="16"/>
      <c r="Q99" s="16"/>
      <c r="R99" s="16"/>
      <c r="S99" s="16"/>
    </row>
    <row r="100">
      <c r="B100" s="43"/>
      <c r="G100" s="15"/>
      <c r="O100" s="15"/>
      <c r="P100" s="16"/>
      <c r="Q100" s="16"/>
      <c r="R100" s="16"/>
      <c r="S100" s="16"/>
    </row>
    <row r="101">
      <c r="B101" s="43"/>
      <c r="G101" s="15"/>
      <c r="O101" s="15"/>
      <c r="P101" s="16"/>
      <c r="Q101" s="16"/>
      <c r="R101" s="16"/>
      <c r="S101" s="16"/>
    </row>
    <row r="102">
      <c r="B102" s="43"/>
      <c r="G102" s="15"/>
      <c r="O102" s="15"/>
      <c r="P102" s="16"/>
      <c r="Q102" s="16"/>
      <c r="R102" s="16"/>
      <c r="S102" s="16"/>
    </row>
    <row r="103">
      <c r="B103" s="43"/>
      <c r="G103" s="15"/>
      <c r="O103" s="15"/>
      <c r="P103" s="16"/>
      <c r="Q103" s="16"/>
      <c r="R103" s="16"/>
      <c r="S103" s="16"/>
    </row>
    <row r="104">
      <c r="B104" s="43"/>
      <c r="G104" s="15"/>
      <c r="O104" s="15"/>
      <c r="P104" s="16"/>
      <c r="Q104" s="16"/>
      <c r="R104" s="16"/>
      <c r="S104" s="16"/>
    </row>
    <row r="105">
      <c r="B105" s="43"/>
      <c r="G105" s="15"/>
      <c r="O105" s="15"/>
      <c r="P105" s="16"/>
      <c r="Q105" s="16"/>
      <c r="R105" s="16"/>
      <c r="S105" s="16"/>
    </row>
    <row r="106">
      <c r="B106" s="43"/>
      <c r="G106" s="15"/>
      <c r="O106" s="15"/>
      <c r="P106" s="16"/>
      <c r="Q106" s="16"/>
      <c r="R106" s="16"/>
      <c r="S106" s="16"/>
    </row>
    <row r="107">
      <c r="B107" s="43"/>
      <c r="G107" s="15"/>
      <c r="O107" s="15"/>
      <c r="P107" s="16"/>
      <c r="Q107" s="16"/>
      <c r="R107" s="16"/>
      <c r="S107" s="16"/>
    </row>
    <row r="108">
      <c r="B108" s="43"/>
      <c r="G108" s="15"/>
      <c r="O108" s="15"/>
      <c r="P108" s="16"/>
      <c r="Q108" s="16"/>
      <c r="R108" s="16"/>
      <c r="S108" s="16"/>
    </row>
    <row r="109">
      <c r="B109" s="43"/>
      <c r="G109" s="15"/>
      <c r="O109" s="15"/>
      <c r="P109" s="16"/>
      <c r="Q109" s="16"/>
      <c r="R109" s="16"/>
      <c r="S109" s="16"/>
    </row>
    <row r="110">
      <c r="B110" s="43"/>
      <c r="G110" s="15"/>
      <c r="O110" s="15"/>
      <c r="P110" s="16"/>
      <c r="Q110" s="16"/>
      <c r="R110" s="16"/>
      <c r="S110" s="16"/>
    </row>
    <row r="111">
      <c r="B111" s="43"/>
      <c r="G111" s="15"/>
      <c r="O111" s="15"/>
      <c r="P111" s="16"/>
      <c r="Q111" s="16"/>
      <c r="R111" s="16"/>
      <c r="S111" s="16"/>
    </row>
    <row r="112">
      <c r="B112" s="43"/>
      <c r="G112" s="15"/>
      <c r="O112" s="15"/>
      <c r="P112" s="16"/>
      <c r="Q112" s="16"/>
      <c r="R112" s="16"/>
      <c r="S112" s="16"/>
    </row>
    <row r="113">
      <c r="B113" s="43"/>
      <c r="G113" s="15"/>
      <c r="O113" s="15"/>
      <c r="P113" s="16"/>
      <c r="Q113" s="16"/>
      <c r="R113" s="16"/>
      <c r="S113" s="16"/>
    </row>
    <row r="114">
      <c r="B114" s="43"/>
      <c r="G114" s="15"/>
      <c r="O114" s="15"/>
      <c r="P114" s="16"/>
      <c r="Q114" s="16"/>
      <c r="R114" s="16"/>
      <c r="S114" s="16"/>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106" si="1">ROW()-1</f>
        <v>1</v>
      </c>
      <c r="B2" s="11">
        <v>46233.66743055556</v>
      </c>
      <c r="C2" s="10" t="s">
        <v>600</v>
      </c>
      <c r="D2" s="10" t="s">
        <v>36</v>
      </c>
      <c r="E2" s="10" t="s">
        <v>37</v>
      </c>
      <c r="F2" s="13">
        <v>2.0</v>
      </c>
      <c r="G2" s="14">
        <v>234.75</v>
      </c>
      <c r="H2" s="10" t="s">
        <v>5317</v>
      </c>
      <c r="I2" s="10">
        <v>85.1</v>
      </c>
      <c r="O2" s="15">
        <f>IFERROR(__xludf.DUMMYFUNCTION("IF(ISBLANK($C2), """", GOOGLEFINANCE($C2, ""price""))"),265.51)</f>
        <v>265.51</v>
      </c>
      <c r="P2" s="16">
        <f t="shared" ref="P2:P106" si="2">IF(OR(ISBLANK($G2), ISBLANK($O2)), "", IF($D2="LONG", ($O2-$G2)/$G2, ($G2-$O2)/$G2))</f>
        <v>0.1310330138</v>
      </c>
      <c r="Q2" s="16">
        <f>IFERROR(__xludf.DUMMYFUNCTION("IF(OR(ISBLANK($G2), IFERROR(INDEX(GOOGLEFINANCE($C2, ""price"", WORKDAY(INT($B2), 1)), 2, 2), """")=""""), """", IF($D2=""LONG"", (IFERROR(INDEX(GOOGLEFINANCE($C2, ""price"", WORKDAY(INT($B2), 1)), 2, 2), """")-$G2)/$G2, ($G2-IFERROR(INDEX(GOOGLEFINANCE($"&amp;"C2, ""price"", WORKDAY(INT($B2), 1)), 2, 2), """"))/$G2))"),-0.00954206602768907)</f>
        <v>-0.009542066028</v>
      </c>
      <c r="R2" s="16">
        <f>IFERROR(__xludf.DUMMYFUNCTION("IF(OR(ISBLANK($G2), IFERROR(INDEX(GOOGLEFINANCE($C2, ""price"", WORKDAY(INT($B2), 5)), 2, 2), """")=""""), """", IF($D2=""LONG"", (IFERROR(INDEX(GOOGLEFINANCE($C2, ""price"", WORKDAY(INT($B2), 5)), 2, 2), """")-$G2)/$G2, ($G2-IFERROR(INDEX(GOOGLEFINANCE($"&amp;"C2, ""price"", WORKDAY(INT($B2), 5)), 2, 2), """"))/$G2))"),0.1310330138445154)</f>
        <v>0.1310330138</v>
      </c>
      <c r="S2" s="16" t="str">
        <f>IFERROR(__xludf.DUMMYFUNCTION("IF(OR(ISBLANK($G2), IFERROR(INDEX(GOOGLEFINANCE($C2, ""price"", WORKDAY(INT($B2), 20)), 2, 2), """")=""""), """", IF($D2=""LONG"", (IFERROR(INDEX(GOOGLEFINANCE($C2, ""price"", WORKDAY(INT($B2), 20)), 2, 2), """")-$G2)/$G2, ($G2-IFERROR(INDEX(GOOGLEFINANCE"&amp;"($C2, ""price"", WORKDAY(INT($B2), 20)), 2, 2), """"))/$G2))"),"")</f>
        <v/>
      </c>
      <c r="T2" s="10" t="s">
        <v>5327</v>
      </c>
    </row>
    <row r="3">
      <c r="A3" s="9">
        <f t="shared" si="1"/>
        <v>2</v>
      </c>
      <c r="B3" s="11">
        <v>46233.667395833334</v>
      </c>
      <c r="C3" s="10" t="s">
        <v>201</v>
      </c>
      <c r="D3" s="10" t="s">
        <v>36</v>
      </c>
      <c r="E3" s="10" t="s">
        <v>37</v>
      </c>
      <c r="F3" s="13">
        <v>2.0</v>
      </c>
      <c r="G3" s="14">
        <v>136.84</v>
      </c>
      <c r="H3" s="10" t="s">
        <v>5330</v>
      </c>
      <c r="I3" s="10">
        <v>94.8</v>
      </c>
      <c r="O3" s="15">
        <f>IFERROR(__xludf.DUMMYFUNCTION("IF(ISBLANK($C3), """", GOOGLEFINANCE($C3, ""price""))"),134.82)</f>
        <v>134.82</v>
      </c>
      <c r="P3" s="16">
        <f t="shared" si="2"/>
        <v>-0.01476176557</v>
      </c>
      <c r="Q3" s="16">
        <f>IFERROR(__xludf.DUMMYFUNCTION("IF(OR(ISBLANK($G3), IFERROR(INDEX(GOOGLEFINANCE($C3, ""price"", WORKDAY(INT($B3), 1)), 2, 2), """")=""""), """", IF($D3=""LONG"", (IFERROR(INDEX(GOOGLEFINANCE($C3, ""price"", WORKDAY(INT($B3), 1)), 2, 2), """")-$G3)/$G3, ($G3-IFERROR(INDEX(GOOGLEFINANCE($"&amp;"C3, ""price"", WORKDAY(INT($B3), 1)), 2, 2), """"))/$G3))"),-0.019511838643671557)</f>
        <v>-0.01951183864</v>
      </c>
      <c r="R3" s="16">
        <f>IFERROR(__xludf.DUMMYFUNCTION("IF(OR(ISBLANK($G3), IFERROR(INDEX(GOOGLEFINANCE($C3, ""price"", WORKDAY(INT($B3), 5)), 2, 2), """")=""""), """", IF($D3=""LONG"", (IFERROR(INDEX(GOOGLEFINANCE($C3, ""price"", WORKDAY(INT($B3), 5)), 2, 2), """")-$G3)/$G3, ($G3-IFERROR(INDEX(GOOGLEFINANCE($"&amp;"C3, ""price"", WORKDAY(INT($B3), 5)), 2, 2), """"))/$G3))"),-0.014761765565624162)</f>
        <v>-0.01476176557</v>
      </c>
      <c r="S3" s="16" t="str">
        <f>IFERROR(__xludf.DUMMYFUNCTION("IF(OR(ISBLANK($G3), IFERROR(INDEX(GOOGLEFINANCE($C3, ""price"", WORKDAY(INT($B3), 20)), 2, 2), """")=""""), """", IF($D3=""LONG"", (IFERROR(INDEX(GOOGLEFINANCE($C3, ""price"", WORKDAY(INT($B3), 20)), 2, 2), """")-$G3)/$G3, ($G3-IFERROR(INDEX(GOOGLEFINANCE"&amp;"($C3, ""price"", WORKDAY(INT($B3), 20)), 2, 2), """"))/$G3))"),"")</f>
        <v/>
      </c>
      <c r="T3" s="10" t="s">
        <v>5337</v>
      </c>
    </row>
    <row r="4">
      <c r="A4" s="9">
        <f t="shared" si="1"/>
        <v>3</v>
      </c>
      <c r="B4" s="11">
        <v>46233.66741898148</v>
      </c>
      <c r="C4" s="10" t="s">
        <v>2025</v>
      </c>
      <c r="D4" s="10" t="s">
        <v>36</v>
      </c>
      <c r="E4" s="10" t="s">
        <v>37</v>
      </c>
      <c r="F4" s="13">
        <v>2.0</v>
      </c>
      <c r="G4" s="14">
        <v>70.86</v>
      </c>
      <c r="H4" s="10" t="s">
        <v>5338</v>
      </c>
      <c r="I4" s="10">
        <v>98.6</v>
      </c>
      <c r="O4" s="15">
        <f>IFERROR(__xludf.DUMMYFUNCTION("IF(ISBLANK($C4), """", GOOGLEFINANCE($C4, ""price""))"),71.18)</f>
        <v>71.18</v>
      </c>
      <c r="P4" s="16">
        <f t="shared" si="2"/>
        <v>0.004515946938</v>
      </c>
      <c r="Q4" s="16">
        <f>IFERROR(__xludf.DUMMYFUNCTION("IF(OR(ISBLANK($G4), IFERROR(INDEX(GOOGLEFINANCE($C4, ""price"", WORKDAY(INT($B4), 1)), 2, 2), """")=""""), """", IF($D4=""LONG"", (IFERROR(INDEX(GOOGLEFINANCE($C4, ""price"", WORKDAY(INT($B4), 1)), 2, 2), """")-$G4)/$G4, ($G4-IFERROR(INDEX(GOOGLEFINANCE($"&amp;"C4, ""price"", WORKDAY(INT($B4), 1)), 2, 2), """"))/$G4))"),-0.006491673722833669)</f>
        <v>-0.006491673723</v>
      </c>
      <c r="R4" s="16">
        <f>IFERROR(__xludf.DUMMYFUNCTION("IF(OR(ISBLANK($G4), IFERROR(INDEX(GOOGLEFINANCE($C4, ""price"", WORKDAY(INT($B4), 5)), 2, 2), """")=""""), """", IF($D4=""LONG"", (IFERROR(INDEX(GOOGLEFINANCE($C4, ""price"", WORKDAY(INT($B4), 5)), 2, 2), """")-$G4)/$G4, ($G4-IFERROR(INDEX(GOOGLEFINANCE($"&amp;"C4, ""price"", WORKDAY(INT($B4), 5)), 2, 2), """"))/$G4))"),0.004515946937623587)</f>
        <v>0.004515946938</v>
      </c>
      <c r="S4" s="16" t="str">
        <f>IFERROR(__xludf.DUMMYFUNCTION("IF(OR(ISBLANK($G4), IFERROR(INDEX(GOOGLEFINANCE($C4, ""price"", WORKDAY(INT($B4), 20)), 2, 2), """")=""""), """", IF($D4=""LONG"", (IFERROR(INDEX(GOOGLEFINANCE($C4, ""price"", WORKDAY(INT($B4), 20)), 2, 2), """")-$G4)/$G4, ($G4-IFERROR(INDEX(GOOGLEFINANCE"&amp;"($C4, ""price"", WORKDAY(INT($B4), 20)), 2, 2), """"))/$G4))"),"")</f>
        <v/>
      </c>
      <c r="T4" s="10" t="s">
        <v>5343</v>
      </c>
    </row>
    <row r="5">
      <c r="A5" s="9">
        <f t="shared" si="1"/>
        <v>4</v>
      </c>
      <c r="B5" s="11">
        <v>46233.66747685185</v>
      </c>
      <c r="C5" s="10" t="s">
        <v>765</v>
      </c>
      <c r="D5" s="10" t="s">
        <v>36</v>
      </c>
      <c r="E5" s="10" t="s">
        <v>37</v>
      </c>
      <c r="F5" s="13">
        <v>2.0</v>
      </c>
      <c r="G5" s="14">
        <v>127.37</v>
      </c>
      <c r="H5" s="10" t="s">
        <v>5344</v>
      </c>
      <c r="I5" s="10">
        <v>87.2</v>
      </c>
      <c r="O5" s="15">
        <f>IFERROR(__xludf.DUMMYFUNCTION("IF(ISBLANK($C5), """", GOOGLEFINANCE($C5, ""price""))"),126.66)</f>
        <v>126.66</v>
      </c>
      <c r="P5" s="16">
        <f t="shared" si="2"/>
        <v>-0.005574311062</v>
      </c>
      <c r="Q5" s="16">
        <f>IFERROR(__xludf.DUMMYFUNCTION("IF(OR(ISBLANK($G5), IFERROR(INDEX(GOOGLEFINANCE($C5, ""price"", WORKDAY(INT($B5), 1)), 2, 2), """")=""""), """", IF($D5=""LONG"", (IFERROR(INDEX(GOOGLEFINANCE($C5, ""price"", WORKDAY(INT($B5), 1)), 2, 2), """")-$G5)/$G5, ($G5-IFERROR(INDEX(GOOGLEFINANCE($"&amp;"C5, ""price"", WORKDAY(INT($B5), 1)), 2, 2), """"))/$G5))"),8.636256575331666E-4)</f>
        <v>0.0008636256575</v>
      </c>
      <c r="R5" s="16">
        <f>IFERROR(__xludf.DUMMYFUNCTION("IF(OR(ISBLANK($G5), IFERROR(INDEX(GOOGLEFINANCE($C5, ""price"", WORKDAY(INT($B5), 5)), 2, 2), """")=""""), """", IF($D5=""LONG"", (IFERROR(INDEX(GOOGLEFINANCE($C5, ""price"", WORKDAY(INT($B5), 5)), 2, 2), """")-$G5)/$G5, ($G5-IFERROR(INDEX(GOOGLEFINANCE($"&amp;"C5, ""price"", WORKDAY(INT($B5), 5)), 2, 2), """"))/$G5))"),-0.005574311062259621)</f>
        <v>-0.005574311062</v>
      </c>
      <c r="S5" s="16" t="str">
        <f>IFERROR(__xludf.DUMMYFUNCTION("IF(OR(ISBLANK($G5), IFERROR(INDEX(GOOGLEFINANCE($C5, ""price"", WORKDAY(INT($B5), 20)), 2, 2), """")=""""), """", IF($D5=""LONG"", (IFERROR(INDEX(GOOGLEFINANCE($C5, ""price"", WORKDAY(INT($B5), 20)), 2, 2), """")-$G5)/$G5, ($G5-IFERROR(INDEX(GOOGLEFINANCE"&amp;"($C5, ""price"", WORKDAY(INT($B5), 20)), 2, 2), """"))/$G5))"),"")</f>
        <v/>
      </c>
      <c r="T5" s="10" t="s">
        <v>5351</v>
      </c>
    </row>
    <row r="6">
      <c r="A6" s="9">
        <f t="shared" si="1"/>
        <v>5</v>
      </c>
      <c r="B6" s="11">
        <v>46233.66741898148</v>
      </c>
      <c r="C6" s="10" t="s">
        <v>1288</v>
      </c>
      <c r="D6" s="10" t="s">
        <v>36</v>
      </c>
      <c r="E6" s="10" t="s">
        <v>1892</v>
      </c>
      <c r="F6" s="13">
        <v>2.0</v>
      </c>
      <c r="G6" s="14">
        <v>105.82</v>
      </c>
      <c r="H6" s="10" t="s">
        <v>5353</v>
      </c>
      <c r="I6" s="10">
        <v>66.6</v>
      </c>
      <c r="O6" s="15">
        <f>IFERROR(__xludf.DUMMYFUNCTION("IF(ISBLANK($C6), """", GOOGLEFINANCE($C6, ""price""))"),105.16)</f>
        <v>105.16</v>
      </c>
      <c r="P6" s="16">
        <f t="shared" si="2"/>
        <v>-0.006237006237</v>
      </c>
      <c r="Q6" s="16">
        <f>IFERROR(__xludf.DUMMYFUNCTION("IF(OR(ISBLANK($G6), IFERROR(INDEX(GOOGLEFINANCE($C6, ""price"", WORKDAY(INT($B6), 1)), 2, 2), """")=""""), """", IF($D6=""LONG"", (IFERROR(INDEX(GOOGLEFINANCE($C6, ""price"", WORKDAY(INT($B6), 1)), 2, 2), """")-$G6)/$G6, ($G6-IFERROR(INDEX(GOOGLEFINANCE($"&amp;"C6, ""price"", WORKDAY(INT($B6), 1)), 2, 2), """"))/$G6))"),-0.005386505386505322)</f>
        <v>-0.005386505387</v>
      </c>
      <c r="R6" s="16">
        <f>IFERROR(__xludf.DUMMYFUNCTION("IF(OR(ISBLANK($G6), IFERROR(INDEX(GOOGLEFINANCE($C6, ""price"", WORKDAY(INT($B6), 5)), 2, 2), """")=""""), """", IF($D6=""LONG"", (IFERROR(INDEX(GOOGLEFINANCE($C6, ""price"", WORKDAY(INT($B6), 5)), 2, 2), """")-$G6)/$G6, ($G6-IFERROR(INDEX(GOOGLEFINANCE($"&amp;"C6, ""price"", WORKDAY(INT($B6), 5)), 2, 2), """"))/$G6))"),-0.006237006237006205)</f>
        <v>-0.006237006237</v>
      </c>
      <c r="S6" s="16" t="str">
        <f>IFERROR(__xludf.DUMMYFUNCTION("IF(OR(ISBLANK($G6), IFERROR(INDEX(GOOGLEFINANCE($C6, ""price"", WORKDAY(INT($B6), 20)), 2, 2), """")=""""), """", IF($D6=""LONG"", (IFERROR(INDEX(GOOGLEFINANCE($C6, ""price"", WORKDAY(INT($B6), 20)), 2, 2), """")-$G6)/$G6, ($G6-IFERROR(INDEX(GOOGLEFINANCE"&amp;"($C6, ""price"", WORKDAY(INT($B6), 20)), 2, 2), """"))/$G6))"),"")</f>
        <v/>
      </c>
      <c r="T6" s="10" t="s">
        <v>5358</v>
      </c>
    </row>
    <row r="7">
      <c r="A7" s="9">
        <f t="shared" si="1"/>
        <v>6</v>
      </c>
      <c r="B7" s="11">
        <v>46233.66737268519</v>
      </c>
      <c r="C7" s="10" t="s">
        <v>1778</v>
      </c>
      <c r="D7" s="10" t="s">
        <v>36</v>
      </c>
      <c r="E7" s="10" t="s">
        <v>37</v>
      </c>
      <c r="F7" s="13">
        <v>2.0</v>
      </c>
      <c r="G7" s="14">
        <v>89.39</v>
      </c>
      <c r="H7" s="10" t="s">
        <v>5359</v>
      </c>
      <c r="I7" s="10">
        <v>92.3</v>
      </c>
      <c r="O7" s="15">
        <f>IFERROR(__xludf.DUMMYFUNCTION("IF(ISBLANK($C7), """", GOOGLEFINANCE($C7, ""price""))"),76.86)</f>
        <v>76.86</v>
      </c>
      <c r="P7" s="16">
        <f t="shared" si="2"/>
        <v>-0.1401722788</v>
      </c>
      <c r="Q7" s="16">
        <f>IFERROR(__xludf.DUMMYFUNCTION("IF(OR(ISBLANK($G7), IFERROR(INDEX(GOOGLEFINANCE($C7, ""price"", WORKDAY(INT($B7), 1)), 2, 2), """")=""""), """", IF($D7=""LONG"", (IFERROR(INDEX(GOOGLEFINANCE($C7, ""price"", WORKDAY(INT($B7), 1)), 2, 2), """")-$G7)/$G7, ($G7-IFERROR(INDEX(GOOGLEFINANCE($"&amp;"C7, ""price"", WORKDAY(INT($B7), 1)), 2, 2), """"))/$G7))"),-0.11947645150464266)</f>
        <v>-0.1194764515</v>
      </c>
      <c r="R7" s="16">
        <f>IFERROR(__xludf.DUMMYFUNCTION("IF(OR(ISBLANK($G7), IFERROR(INDEX(GOOGLEFINANCE($C7, ""price"", WORKDAY(INT($B7), 5)), 2, 2), """")=""""), """", IF($D7=""LONG"", (IFERROR(INDEX(GOOGLEFINANCE($C7, ""price"", WORKDAY(INT($B7), 5)), 2, 2), """")-$G7)/$G7, ($G7-IFERROR(INDEX(GOOGLEFINANCE($"&amp;"C7, ""price"", WORKDAY(INT($B7), 5)), 2, 2), """"))/$G7))"),-0.14017227877838687)</f>
        <v>-0.1401722788</v>
      </c>
      <c r="S7" s="16" t="str">
        <f>IFERROR(__xludf.DUMMYFUNCTION("IF(OR(ISBLANK($G7), IFERROR(INDEX(GOOGLEFINANCE($C7, ""price"", WORKDAY(INT($B7), 20)), 2, 2), """")=""""), """", IF($D7=""LONG"", (IFERROR(INDEX(GOOGLEFINANCE($C7, ""price"", WORKDAY(INT($B7), 20)), 2, 2), """")-$G7)/$G7, ($G7-IFERROR(INDEX(GOOGLEFINANCE"&amp;"($C7, ""price"", WORKDAY(INT($B7), 20)), 2, 2), """"))/$G7))"),"")</f>
        <v/>
      </c>
      <c r="T7" s="10" t="s">
        <v>5364</v>
      </c>
    </row>
    <row r="8">
      <c r="A8" s="9">
        <f t="shared" si="1"/>
        <v>7</v>
      </c>
      <c r="B8" s="11">
        <v>46233.667395833334</v>
      </c>
      <c r="C8" s="10" t="s">
        <v>2250</v>
      </c>
      <c r="D8" s="10" t="s">
        <v>36</v>
      </c>
      <c r="E8" s="10" t="s">
        <v>37</v>
      </c>
      <c r="F8" s="13">
        <v>2.0</v>
      </c>
      <c r="G8" s="14">
        <v>256.52</v>
      </c>
      <c r="H8" s="10" t="s">
        <v>5365</v>
      </c>
      <c r="I8" s="10">
        <v>97.2</v>
      </c>
      <c r="O8" s="15">
        <f>IFERROR(__xludf.DUMMYFUNCTION("IF(ISBLANK($C8), """", GOOGLEFINANCE($C8, ""price""))"),251.74)</f>
        <v>251.74</v>
      </c>
      <c r="P8" s="16">
        <f t="shared" si="2"/>
        <v>-0.01863402464</v>
      </c>
      <c r="Q8" s="16">
        <f>IFERROR(__xludf.DUMMYFUNCTION("IF(OR(ISBLANK($G8), IFERROR(INDEX(GOOGLEFINANCE($C8, ""price"", WORKDAY(INT($B8), 1)), 2, 2), """")=""""), """", IF($D8=""LONG"", (IFERROR(INDEX(GOOGLEFINANCE($C8, ""price"", WORKDAY(INT($B8), 1)), 2, 2), """")-$G8)/$G8, ($G8-IFERROR(INDEX(GOOGLEFINANCE($"&amp;"C8, ""price"", WORKDAY(INT($B8), 1)), 2, 2), """"))/$G8))"),-0.027678153750194896)</f>
        <v>-0.02767815375</v>
      </c>
      <c r="R8" s="16">
        <f>IFERROR(__xludf.DUMMYFUNCTION("IF(OR(ISBLANK($G8), IFERROR(INDEX(GOOGLEFINANCE($C8, ""price"", WORKDAY(INT($B8), 5)), 2, 2), """")=""""), """", IF($D8=""LONG"", (IFERROR(INDEX(GOOGLEFINANCE($C8, ""price"", WORKDAY(INT($B8), 5)), 2, 2), """")-$G8)/$G8, ($G8-IFERROR(INDEX(GOOGLEFINANCE($"&amp;"C8, ""price"", WORKDAY(INT($B8), 5)), 2, 2), """"))/$G8))"),-0.018634024637455063)</f>
        <v>-0.01863402464</v>
      </c>
      <c r="S8" s="16" t="str">
        <f>IFERROR(__xludf.DUMMYFUNCTION("IF(OR(ISBLANK($G8), IFERROR(INDEX(GOOGLEFINANCE($C8, ""price"", WORKDAY(INT($B8), 20)), 2, 2), """")=""""), """", IF($D8=""LONG"", (IFERROR(INDEX(GOOGLEFINANCE($C8, ""price"", WORKDAY(INT($B8), 20)), 2, 2), """")-$G8)/$G8, ($G8-IFERROR(INDEX(GOOGLEFINANCE"&amp;"($C8, ""price"", WORKDAY(INT($B8), 20)), 2, 2), """"))/$G8))"),"")</f>
        <v/>
      </c>
      <c r="T8" s="10" t="s">
        <v>5371</v>
      </c>
    </row>
    <row r="9">
      <c r="A9" s="9">
        <f t="shared" si="1"/>
        <v>8</v>
      </c>
      <c r="B9" s="11">
        <v>46233.66743055556</v>
      </c>
      <c r="C9" s="10" t="s">
        <v>234</v>
      </c>
      <c r="D9" s="10" t="s">
        <v>36</v>
      </c>
      <c r="E9" s="10" t="s">
        <v>37</v>
      </c>
      <c r="F9" s="13">
        <v>2.0</v>
      </c>
      <c r="G9" s="14">
        <v>62.9</v>
      </c>
      <c r="H9" s="10" t="s">
        <v>5373</v>
      </c>
      <c r="I9" s="10">
        <v>92.3</v>
      </c>
      <c r="O9" s="15">
        <f>IFERROR(__xludf.DUMMYFUNCTION("IF(ISBLANK($C9), """", GOOGLEFINANCE($C9, ""price""))"),63.81)</f>
        <v>63.81</v>
      </c>
      <c r="P9" s="16">
        <f t="shared" si="2"/>
        <v>0.01446740859</v>
      </c>
      <c r="Q9" s="16">
        <f>IFERROR(__xludf.DUMMYFUNCTION("IF(OR(ISBLANK($G9), IFERROR(INDEX(GOOGLEFINANCE($C9, ""price"", WORKDAY(INT($B9), 1)), 2, 2), """")=""""), """", IF($D9=""LONG"", (IFERROR(INDEX(GOOGLEFINANCE($C9, ""price"", WORKDAY(INT($B9), 1)), 2, 2), """")-$G9)/$G9, ($G9-IFERROR(INDEX(GOOGLEFINANCE($"&amp;"C9, ""price"", WORKDAY(INT($B9), 1)), 2, 2), """"))/$G9))"),0.0017488076311605633)</f>
        <v>0.001748807631</v>
      </c>
      <c r="R9" s="16">
        <f>IFERROR(__xludf.DUMMYFUNCTION("IF(OR(ISBLANK($G9), IFERROR(INDEX(GOOGLEFINANCE($C9, ""price"", WORKDAY(INT($B9), 5)), 2, 2), """")=""""), """", IF($D9=""LONG"", (IFERROR(INDEX(GOOGLEFINANCE($C9, ""price"", WORKDAY(INT($B9), 5)), 2, 2), """")-$G9)/$G9, ($G9-IFERROR(INDEX(GOOGLEFINANCE($"&amp;"C9, ""price"", WORKDAY(INT($B9), 5)), 2, 2), """"))/$G9))"),0.014467408585055703)</f>
        <v>0.01446740859</v>
      </c>
      <c r="S9" s="16" t="str">
        <f>IFERROR(__xludf.DUMMYFUNCTION("IF(OR(ISBLANK($G9), IFERROR(INDEX(GOOGLEFINANCE($C9, ""price"", WORKDAY(INT($B9), 20)), 2, 2), """")=""""), """", IF($D9=""LONG"", (IFERROR(INDEX(GOOGLEFINANCE($C9, ""price"", WORKDAY(INT($B9), 20)), 2, 2), """")-$G9)/$G9, ($G9-IFERROR(INDEX(GOOGLEFINANCE"&amp;"($C9, ""price"", WORKDAY(INT($B9), 20)), 2, 2), """"))/$G9))"),"")</f>
        <v/>
      </c>
      <c r="T9" s="10" t="s">
        <v>5378</v>
      </c>
    </row>
    <row r="10">
      <c r="A10" s="9">
        <f t="shared" si="1"/>
        <v>9</v>
      </c>
      <c r="B10" s="11">
        <v>46233.66743055556</v>
      </c>
      <c r="C10" s="10" t="s">
        <v>3699</v>
      </c>
      <c r="D10" s="10" t="s">
        <v>36</v>
      </c>
      <c r="E10" s="10" t="s">
        <v>37</v>
      </c>
      <c r="F10" s="13">
        <v>2.0</v>
      </c>
      <c r="G10" s="14">
        <v>865.77</v>
      </c>
      <c r="H10" s="10" t="s">
        <v>5379</v>
      </c>
      <c r="I10" s="10">
        <v>92.9</v>
      </c>
      <c r="O10" s="15">
        <f>IFERROR(__xludf.DUMMYFUNCTION("IF(ISBLANK($C10), """", GOOGLEFINANCE($C10, ""price""))"),871.38)</f>
        <v>871.38</v>
      </c>
      <c r="P10" s="16">
        <f t="shared" si="2"/>
        <v>0.006479781004</v>
      </c>
      <c r="Q10" s="16">
        <f>IFERROR(__xludf.DUMMYFUNCTION("IF(OR(ISBLANK($G10), IFERROR(INDEX(GOOGLEFINANCE($C10, ""price"", WORKDAY(INT($B10), 1)), 2, 2), """")=""""), """", IF($D10=""LONG"", (IFERROR(INDEX(GOOGLEFINANCE($C10, ""price"", WORKDAY(INT($B10), 1)), 2, 2), """")-$G10)/$G10, ($G10-IFERROR(INDEX(GOOGLE"&amp;"FINANCE($C10, ""price"", WORKDAY(INT($B10), 1)), 2, 2), """"))/$G10))"),-0.011065294477748048)</f>
        <v>-0.01106529448</v>
      </c>
      <c r="R10" s="16">
        <f>IFERROR(__xludf.DUMMYFUNCTION("IF(OR(ISBLANK($G10), IFERROR(INDEX(GOOGLEFINANCE($C10, ""price"", WORKDAY(INT($B10), 5)), 2, 2), """")=""""), """", IF($D10=""LONG"", (IFERROR(INDEX(GOOGLEFINANCE($C10, ""price"", WORKDAY(INT($B10), 5)), 2, 2), """")-$G10)/$G10, ($G10-IFERROR(INDEX(GOOGLE"&amp;"FINANCE($C10, ""price"", WORKDAY(INT($B10), 5)), 2, 2), """"))/$G10))"),0.006479781004192816)</f>
        <v>0.006479781004</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5384</v>
      </c>
    </row>
    <row r="11">
      <c r="A11" s="9">
        <f t="shared" si="1"/>
        <v>10</v>
      </c>
      <c r="B11" s="11">
        <v>46233.66740740741</v>
      </c>
      <c r="C11" s="10" t="s">
        <v>1555</v>
      </c>
      <c r="D11" s="10" t="s">
        <v>36</v>
      </c>
      <c r="E11" s="10" t="s">
        <v>37</v>
      </c>
      <c r="F11" s="13">
        <v>2.0</v>
      </c>
      <c r="G11" s="14">
        <v>375.45</v>
      </c>
      <c r="H11" s="10" t="s">
        <v>5385</v>
      </c>
      <c r="I11" s="10">
        <v>83.6</v>
      </c>
      <c r="O11" s="15">
        <f>IFERROR(__xludf.DUMMYFUNCTION("IF(ISBLANK($C11), """", GOOGLEFINANCE($C11, ""price""))"),370.35)</f>
        <v>370.35</v>
      </c>
      <c r="P11" s="16">
        <f t="shared" si="2"/>
        <v>-0.01358369956</v>
      </c>
      <c r="Q11" s="16">
        <f>IFERROR(__xludf.DUMMYFUNCTION("IF(OR(ISBLANK($G11), IFERROR(INDEX(GOOGLEFINANCE($C11, ""price"", WORKDAY(INT($B11), 1)), 2, 2), """")=""""), """", IF($D11=""LONG"", (IFERROR(INDEX(GOOGLEFINANCE($C11, ""price"", WORKDAY(INT($B11), 1)), 2, 2), """")-$G11)/$G11, ($G11-IFERROR(INDEX(GOOGLE"&amp;"FINANCE($C11, ""price"", WORKDAY(INT($B11), 1)), 2, 2), """"))/$G11))"),-0.003462511652683477)</f>
        <v>-0.003462511653</v>
      </c>
      <c r="R11" s="16">
        <f>IFERROR(__xludf.DUMMYFUNCTION("IF(OR(ISBLANK($G11), IFERROR(INDEX(GOOGLEFINANCE($C11, ""price"", WORKDAY(INT($B11), 5)), 2, 2), """")=""""), """", IF($D11=""LONG"", (IFERROR(INDEX(GOOGLEFINANCE($C11, ""price"", WORKDAY(INT($B11), 5)), 2, 2), """")-$G11)/$G11, ($G11-IFERROR(INDEX(GOOGLE"&amp;"FINANCE($C11, ""price"", WORKDAY(INT($B11), 5)), 2, 2), """"))/$G11))"),-0.013583699560527277)</f>
        <v>-0.01358369956</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5388</v>
      </c>
    </row>
    <row r="12">
      <c r="A12" s="9">
        <f t="shared" si="1"/>
        <v>11</v>
      </c>
      <c r="B12" s="11">
        <v>46233.66743055556</v>
      </c>
      <c r="C12" s="10" t="s">
        <v>392</v>
      </c>
      <c r="D12" s="10" t="s">
        <v>36</v>
      </c>
      <c r="E12" s="10" t="s">
        <v>37</v>
      </c>
      <c r="F12" s="13">
        <v>2.0</v>
      </c>
      <c r="G12" s="14">
        <v>238.85</v>
      </c>
      <c r="H12" s="10" t="s">
        <v>5389</v>
      </c>
      <c r="I12" s="10">
        <v>93.1</v>
      </c>
      <c r="O12" s="15">
        <f>IFERROR(__xludf.DUMMYFUNCTION("IF(ISBLANK($C12), """", GOOGLEFINANCE($C12, ""price""))"),180.67)</f>
        <v>180.67</v>
      </c>
      <c r="P12" s="16">
        <f t="shared" si="2"/>
        <v>-0.2435838392</v>
      </c>
      <c r="Q12" s="16">
        <f>IFERROR(__xludf.DUMMYFUNCTION("IF(OR(ISBLANK($G12), IFERROR(INDEX(GOOGLEFINANCE($C12, ""price"", WORKDAY(INT($B12), 1)), 2, 2), """")=""""), """", IF($D12=""LONG"", (IFERROR(INDEX(GOOGLEFINANCE($C12, ""price"", WORKDAY(INT($B12), 1)), 2, 2), """")-$G12)/$G12, ($G12-IFERROR(INDEX(GOOGLE"&amp;"FINANCE($C12, ""price"", WORKDAY(INT($B12), 1)), 2, 2), """"))/$G12))"),0.0051915428092945744)</f>
        <v>0.005191542809</v>
      </c>
      <c r="R12" s="16">
        <f>IFERROR(__xludf.DUMMYFUNCTION("IF(OR(ISBLANK($G12), IFERROR(INDEX(GOOGLEFINANCE($C12, ""price"", WORKDAY(INT($B12), 5)), 2, 2), """")=""""), """", IF($D12=""LONG"", (IFERROR(INDEX(GOOGLEFINANCE($C12, ""price"", WORKDAY(INT($B12), 5)), 2, 2), """")-$G12)/$G12, ($G12-IFERROR(INDEX(GOOGLE"&amp;"FINANCE($C12, ""price"", WORKDAY(INT($B12), 5)), 2, 2), """"))/$G12))"),-0.24358383922964208)</f>
        <v>-0.2435838392</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5392</v>
      </c>
    </row>
    <row r="13">
      <c r="A13" s="9">
        <f t="shared" si="1"/>
        <v>12</v>
      </c>
      <c r="B13" s="11">
        <v>46233.66747685185</v>
      </c>
      <c r="C13" s="10" t="s">
        <v>499</v>
      </c>
      <c r="D13" s="10" t="s">
        <v>36</v>
      </c>
      <c r="E13" s="10" t="s">
        <v>37</v>
      </c>
      <c r="F13" s="13">
        <v>2.0</v>
      </c>
      <c r="G13" s="14">
        <v>116.37</v>
      </c>
      <c r="H13" s="10" t="s">
        <v>5393</v>
      </c>
      <c r="I13" s="10">
        <v>87.8</v>
      </c>
      <c r="O13" s="15">
        <f>IFERROR(__xludf.DUMMYFUNCTION("IF(ISBLANK($C13), """", GOOGLEFINANCE($C13, ""price""))"),115.98)</f>
        <v>115.98</v>
      </c>
      <c r="P13" s="16">
        <f t="shared" si="2"/>
        <v>-0.003351379221</v>
      </c>
      <c r="Q13" s="16">
        <f>IFERROR(__xludf.DUMMYFUNCTION("IF(OR(ISBLANK($G13), IFERROR(INDEX(GOOGLEFINANCE($C13, ""price"", WORKDAY(INT($B13), 1)), 2, 2), """")=""""), """", IF($D13=""LONG"", (IFERROR(INDEX(GOOGLEFINANCE($C13, ""price"", WORKDAY(INT($B13), 1)), 2, 2), """")-$G13)/$G13, ($G13-IFERROR(INDEX(GOOGLE"&amp;"FINANCE($C13, ""price"", WORKDAY(INT($B13), 1)), 2, 2), """"))/$G13))"),-0.003093580819798912)</f>
        <v>-0.00309358082</v>
      </c>
      <c r="R13" s="16">
        <f>IFERROR(__xludf.DUMMYFUNCTION("IF(OR(ISBLANK($G13), IFERROR(INDEX(GOOGLEFINANCE($C13, ""price"", WORKDAY(INT($B13), 5)), 2, 2), """")=""""), """", IF($D13=""LONG"", (IFERROR(INDEX(GOOGLEFINANCE($C13, ""price"", WORKDAY(INT($B13), 5)), 2, 2), """")-$G13)/$G13, ($G13-IFERROR(INDEX(GOOGLE"&amp;"FINANCE($C13, ""price"", WORKDAY(INT($B13), 5)), 2, 2), """"))/$G13))"),-0.0033513792214488317)</f>
        <v>-0.003351379221</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5396</v>
      </c>
    </row>
    <row r="14">
      <c r="A14" s="9">
        <f t="shared" si="1"/>
        <v>13</v>
      </c>
      <c r="B14" s="11">
        <v>46233.66740740741</v>
      </c>
      <c r="C14" s="10" t="s">
        <v>66</v>
      </c>
      <c r="D14" s="10" t="s">
        <v>36</v>
      </c>
      <c r="E14" s="10" t="s">
        <v>37</v>
      </c>
      <c r="F14" s="13">
        <v>2.0</v>
      </c>
      <c r="G14" s="14">
        <v>282.7</v>
      </c>
      <c r="H14" s="10" t="s">
        <v>5397</v>
      </c>
      <c r="I14" s="10">
        <v>78.1</v>
      </c>
      <c r="O14" s="15">
        <f>IFERROR(__xludf.DUMMYFUNCTION("IF(ISBLANK($C14), """", GOOGLEFINANCE($C14, ""price""))"),296.4)</f>
        <v>296.4</v>
      </c>
      <c r="P14" s="16">
        <f t="shared" si="2"/>
        <v>0.04846126636</v>
      </c>
      <c r="Q14" s="16">
        <f>IFERROR(__xludf.DUMMYFUNCTION("IF(OR(ISBLANK($G14), IFERROR(INDEX(GOOGLEFINANCE($C14, ""price"", WORKDAY(INT($B14), 1)), 2, 2), """")=""""), """", IF($D14=""LONG"", (IFERROR(INDEX(GOOGLEFINANCE($C14, ""price"", WORKDAY(INT($B14), 1)), 2, 2), """")-$G14)/$G14, ($G14-IFERROR(INDEX(GOOGLE"&amp;"FINANCE($C14, ""price"", WORKDAY(INT($B14), 1)), 2, 2), """"))/$G14))"),-0.012415988680580088)</f>
        <v>-0.01241598868</v>
      </c>
      <c r="R14" s="16">
        <f>IFERROR(__xludf.DUMMYFUNCTION("IF(OR(ISBLANK($G14), IFERROR(INDEX(GOOGLEFINANCE($C14, ""price"", WORKDAY(INT($B14), 5)), 2, 2), """")=""""), """", IF($D14=""LONG"", (IFERROR(INDEX(GOOGLEFINANCE($C14, ""price"", WORKDAY(INT($B14), 5)), 2, 2), """")-$G14)/$G14, ($G14-IFERROR(INDEX(GOOGLE"&amp;"FINANCE($C14, ""price"", WORKDAY(INT($B14), 5)), 2, 2), """"))/$G14))"),0.04846126636009901)</f>
        <v>0.04846126636</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5400</v>
      </c>
    </row>
    <row r="15">
      <c r="A15" s="9">
        <f t="shared" si="1"/>
        <v>14</v>
      </c>
      <c r="B15" s="11">
        <v>46233.66740740741</v>
      </c>
      <c r="C15" s="10" t="s">
        <v>41</v>
      </c>
      <c r="D15" s="10" t="s">
        <v>36</v>
      </c>
      <c r="E15" s="10" t="s">
        <v>37</v>
      </c>
      <c r="F15" s="13">
        <v>2.0</v>
      </c>
      <c r="G15" s="14">
        <v>182.98</v>
      </c>
      <c r="H15" s="10" t="s">
        <v>5401</v>
      </c>
      <c r="I15" s="10">
        <v>79.8</v>
      </c>
      <c r="O15" s="15">
        <f>IFERROR(__xludf.DUMMYFUNCTION("IF(ISBLANK($C15), """", GOOGLEFINANCE($C15, ""price""))"),186.02)</f>
        <v>186.02</v>
      </c>
      <c r="P15" s="16">
        <f t="shared" si="2"/>
        <v>0.01661383758</v>
      </c>
      <c r="Q15" s="16">
        <f>IFERROR(__xludf.DUMMYFUNCTION("IF(OR(ISBLANK($G15), IFERROR(INDEX(GOOGLEFINANCE($C15, ""price"", WORKDAY(INT($B15), 1)), 2, 2), """")=""""), """", IF($D15=""LONG"", (IFERROR(INDEX(GOOGLEFINANCE($C15, ""price"", WORKDAY(INT($B15), 1)), 2, 2), """")-$G15)/$G15, ($G15-IFERROR(INDEX(GOOGLE"&amp;"FINANCE($C15, ""price"", WORKDAY(INT($B15), 1)), 2, 2), """"))/$G15))"),-0.003989507049950759)</f>
        <v>-0.00398950705</v>
      </c>
      <c r="R15" s="16">
        <f>IFERROR(__xludf.DUMMYFUNCTION("IF(OR(ISBLANK($G15), IFERROR(INDEX(GOOGLEFINANCE($C15, ""price"", WORKDAY(INT($B15), 5)), 2, 2), """")=""""), """", IF($D15=""LONG"", (IFERROR(INDEX(GOOGLEFINANCE($C15, ""price"", WORKDAY(INT($B15), 5)), 2, 2), """")-$G15)/$G15, ($G15-IFERROR(INDEX(GOOGLE"&amp;"FINANCE($C15, ""price"", WORKDAY(INT($B15), 5)), 2, 2), """"))/$G15))"),0.016613837577877478)</f>
        <v>0.01661383758</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5404</v>
      </c>
    </row>
    <row r="16">
      <c r="A16" s="9">
        <f t="shared" si="1"/>
        <v>15</v>
      </c>
      <c r="B16" s="11">
        <v>46233.66746527778</v>
      </c>
      <c r="C16" s="10" t="s">
        <v>108</v>
      </c>
      <c r="D16" s="10" t="s">
        <v>36</v>
      </c>
      <c r="E16" s="10" t="s">
        <v>37</v>
      </c>
      <c r="F16" s="13">
        <v>2.0</v>
      </c>
      <c r="G16" s="14">
        <v>128.61</v>
      </c>
      <c r="H16" s="10" t="s">
        <v>5405</v>
      </c>
      <c r="I16" s="10">
        <v>93.8</v>
      </c>
      <c r="O16" s="15">
        <f>IFERROR(__xludf.DUMMYFUNCTION("IF(ISBLANK($C16), """", GOOGLEFINANCE($C16, ""price""))"),129.68)</f>
        <v>129.68</v>
      </c>
      <c r="P16" s="16">
        <f t="shared" si="2"/>
        <v>0.008319726304</v>
      </c>
      <c r="Q16" s="16">
        <f>IFERROR(__xludf.DUMMYFUNCTION("IF(OR(ISBLANK($G16), IFERROR(INDEX(GOOGLEFINANCE($C16, ""price"", WORKDAY(INT($B16), 1)), 2, 2), """")=""""), """", IF($D16=""LONG"", (IFERROR(INDEX(GOOGLEFINANCE($C16, ""price"", WORKDAY(INT($B16), 1)), 2, 2), """")-$G16)/$G16, ($G16-IFERROR(INDEX(GOOGLE"&amp;"FINANCE($C16, ""price"", WORKDAY(INT($B16), 1)), 2, 2), """"))/$G16))"),-0.010885623201928464)</f>
        <v>-0.0108856232</v>
      </c>
      <c r="R16" s="16">
        <f>IFERROR(__xludf.DUMMYFUNCTION("IF(OR(ISBLANK($G16), IFERROR(INDEX(GOOGLEFINANCE($C16, ""price"", WORKDAY(INT($B16), 5)), 2, 2), """")=""""), """", IF($D16=""LONG"", (IFERROR(INDEX(GOOGLEFINANCE($C16, ""price"", WORKDAY(INT($B16), 5)), 2, 2), """")-$G16)/$G16, ($G16-IFERROR(INDEX(GOOGLE"&amp;"FINANCE($C16, ""price"", WORKDAY(INT($B16), 5)), 2, 2), """"))/$G16))"),0.008319726304330869)</f>
        <v>0.008319726304</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5408</v>
      </c>
    </row>
    <row r="17">
      <c r="A17" s="9">
        <f t="shared" si="1"/>
        <v>16</v>
      </c>
      <c r="B17" s="11">
        <v>46233.66744212963</v>
      </c>
      <c r="C17" s="10" t="s">
        <v>2692</v>
      </c>
      <c r="D17" s="10" t="s">
        <v>36</v>
      </c>
      <c r="E17" s="10" t="s">
        <v>37</v>
      </c>
      <c r="F17" s="13">
        <v>2.0</v>
      </c>
      <c r="G17" s="14">
        <v>64.45</v>
      </c>
      <c r="H17" s="10" t="s">
        <v>5409</v>
      </c>
      <c r="I17" s="10">
        <v>93.5</v>
      </c>
      <c r="O17" s="15">
        <f>IFERROR(__xludf.DUMMYFUNCTION("IF(ISBLANK($C17), """", GOOGLEFINANCE($C17, ""price""))"),62.36)</f>
        <v>62.36</v>
      </c>
      <c r="P17" s="16">
        <f t="shared" si="2"/>
        <v>-0.03242823894</v>
      </c>
      <c r="Q17" s="16">
        <f>IFERROR(__xludf.DUMMYFUNCTION("IF(OR(ISBLANK($G17), IFERROR(INDEX(GOOGLEFINANCE($C17, ""price"", WORKDAY(INT($B17), 1)), 2, 2), """")=""""), """", IF($D17=""LONG"", (IFERROR(INDEX(GOOGLEFINANCE($C17, ""price"", WORKDAY(INT($B17), 1)), 2, 2), """")-$G17)/$G17, ($G17-IFERROR(INDEX(GOOGLE"&amp;"FINANCE($C17, ""price"", WORKDAY(INT($B17), 1)), 2, 2), """"))/$G17))"),-0.008999224204810013)</f>
        <v>-0.008999224205</v>
      </c>
      <c r="R17" s="16">
        <f>IFERROR(__xludf.DUMMYFUNCTION("IF(OR(ISBLANK($G17), IFERROR(INDEX(GOOGLEFINANCE($C17, ""price"", WORKDAY(INT($B17), 5)), 2, 2), """")=""""), """", IF($D17=""LONG"", (IFERROR(INDEX(GOOGLEFINANCE($C17, ""price"", WORKDAY(INT($B17), 5)), 2, 2), """")-$G17)/$G17, ($G17-IFERROR(INDEX(GOOGLE"&amp;"FINANCE($C17, ""price"", WORKDAY(INT($B17), 5)), 2, 2), """"))/$G17))"),-0.03242823894491859)</f>
        <v>-0.03242823894</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5412</v>
      </c>
    </row>
    <row r="18">
      <c r="A18" s="9">
        <f t="shared" si="1"/>
        <v>17</v>
      </c>
      <c r="B18" s="11">
        <v>46233.66740740741</v>
      </c>
      <c r="C18" s="10" t="s">
        <v>367</v>
      </c>
      <c r="D18" s="10" t="s">
        <v>36</v>
      </c>
      <c r="E18" s="10" t="s">
        <v>4224</v>
      </c>
      <c r="F18" s="13">
        <v>4.0</v>
      </c>
      <c r="G18" s="14">
        <v>101.35</v>
      </c>
      <c r="H18" s="10" t="s">
        <v>5413</v>
      </c>
      <c r="I18" s="10">
        <v>61.0</v>
      </c>
      <c r="O18" s="15">
        <f>IFERROR(__xludf.DUMMYFUNCTION("IF(ISBLANK($C18), """", GOOGLEFINANCE($C18, ""price""))"),100.82)</f>
        <v>100.82</v>
      </c>
      <c r="P18" s="16">
        <f t="shared" si="2"/>
        <v>-0.005229403059</v>
      </c>
      <c r="Q18" s="16">
        <f>IFERROR(__xludf.DUMMYFUNCTION("IF(OR(ISBLANK($G18), IFERROR(INDEX(GOOGLEFINANCE($C18, ""price"", WORKDAY(INT($B18), 1)), 2, 2), """")=""""), """", IF($D18=""LONG"", (IFERROR(INDEX(GOOGLEFINANCE($C18, ""price"", WORKDAY(INT($B18), 1)), 2, 2), """")-$G18)/$G18, ($G18-IFERROR(INDEX(GOOGLE"&amp;"FINANCE($C18, ""price"", WORKDAY(INT($B18), 1)), 2, 2), """"))/$G18))"),-0.0035520473606314696)</f>
        <v>-0.003552047361</v>
      </c>
      <c r="R18" s="16">
        <f>IFERROR(__xludf.DUMMYFUNCTION("IF(OR(ISBLANK($G18), IFERROR(INDEX(GOOGLEFINANCE($C18, ""price"", WORKDAY(INT($B18), 5)), 2, 2), """")=""""), """", IF($D18=""LONG"", (IFERROR(INDEX(GOOGLEFINANCE($C18, ""price"", WORKDAY(INT($B18), 5)), 2, 2), """")-$G18)/$G18, ($G18-IFERROR(INDEX(GOOGLE"&amp;"FINANCE($C18, ""price"", WORKDAY(INT($B18), 5)), 2, 2), """"))/$G18))"),-0.005229403058707461)</f>
        <v>-0.005229403059</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5416</v>
      </c>
    </row>
    <row r="19">
      <c r="A19" s="9">
        <f t="shared" si="1"/>
        <v>18</v>
      </c>
      <c r="B19" s="11">
        <v>46233.66747685185</v>
      </c>
      <c r="C19" s="10" t="s">
        <v>2311</v>
      </c>
      <c r="D19" s="10" t="s">
        <v>36</v>
      </c>
      <c r="E19" s="10" t="s">
        <v>37</v>
      </c>
      <c r="F19" s="13">
        <v>2.0</v>
      </c>
      <c r="G19" s="14">
        <v>226.39</v>
      </c>
      <c r="H19" s="10" t="s">
        <v>4125</v>
      </c>
      <c r="I19" s="10">
        <v>95.3</v>
      </c>
      <c r="O19" s="15">
        <f>IFERROR(__xludf.DUMMYFUNCTION("IF(ISBLANK($C19), """", GOOGLEFINANCE($C19, ""price""))"),229.01)</f>
        <v>229.01</v>
      </c>
      <c r="P19" s="16">
        <f t="shared" si="2"/>
        <v>0.01157294934</v>
      </c>
      <c r="Q19" s="16">
        <f>IFERROR(__xludf.DUMMYFUNCTION("IF(OR(ISBLANK($G19), IFERROR(INDEX(GOOGLEFINANCE($C19, ""price"", WORKDAY(INT($B19), 1)), 2, 2), """")=""""), """", IF($D19=""LONG"", (IFERROR(INDEX(GOOGLEFINANCE($C19, ""price"", WORKDAY(INT($B19), 1)), 2, 2), """")-$G19)/$G19, ($G19-IFERROR(INDEX(GOOGLE"&amp;"FINANCE($C19, ""price"", WORKDAY(INT($B19), 1)), 2, 2), """"))/$G19))"),7.067449975706745E-4)</f>
        <v>0.0007067449976</v>
      </c>
      <c r="R19" s="16">
        <f>IFERROR(__xludf.DUMMYFUNCTION("IF(OR(ISBLANK($G19), IFERROR(INDEX(GOOGLEFINANCE($C19, ""price"", WORKDAY(INT($B19), 5)), 2, 2), """")=""""), """", IF($D19=""LONG"", (IFERROR(INDEX(GOOGLEFINANCE($C19, ""price"", WORKDAY(INT($B19), 5)), 2, 2), """")-$G19)/$G19, ($G19-IFERROR(INDEX(GOOGLE"&amp;"FINANCE($C19, ""price"", WORKDAY(INT($B19), 5)), 2, 2), """"))/$G19))"),0.011572949335218007)</f>
        <v>0.01157294934</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5419</v>
      </c>
    </row>
    <row r="20">
      <c r="A20" s="9">
        <f t="shared" si="1"/>
        <v>19</v>
      </c>
      <c r="B20" s="11">
        <v>46233.66747685185</v>
      </c>
      <c r="C20" s="10" t="s">
        <v>104</v>
      </c>
      <c r="D20" s="10" t="s">
        <v>36</v>
      </c>
      <c r="E20" s="10" t="s">
        <v>37</v>
      </c>
      <c r="F20" s="13">
        <v>2.0</v>
      </c>
      <c r="G20" s="14">
        <v>127.54</v>
      </c>
      <c r="H20" s="10" t="s">
        <v>5420</v>
      </c>
      <c r="I20" s="10">
        <v>95.7</v>
      </c>
      <c r="O20" s="15">
        <f>IFERROR(__xludf.DUMMYFUNCTION("IF(ISBLANK($C20), """", GOOGLEFINANCE($C20, ""price""))"),127.45)</f>
        <v>127.45</v>
      </c>
      <c r="P20" s="16">
        <f t="shared" si="2"/>
        <v>-0.0007056609691</v>
      </c>
      <c r="Q20" s="16">
        <f>IFERROR(__xludf.DUMMYFUNCTION("IF(OR(ISBLANK($G20), IFERROR(INDEX(GOOGLEFINANCE($C20, ""price"", WORKDAY(INT($B20), 1)), 2, 2), """")=""""), """", IF($D20=""LONG"", (IFERROR(INDEX(GOOGLEFINANCE($C20, ""price"", WORKDAY(INT($B20), 1)), 2, 2), """")-$G20)/$G20, ($G20-IFERROR(INDEX(GOOGLE"&amp;"FINANCE($C20, ""price"", WORKDAY(INT($B20), 1)), 2, 2), """"))/$G20))"),-0.0038419319429199394)</f>
        <v>-0.003841931943</v>
      </c>
      <c r="R20" s="16">
        <f>IFERROR(__xludf.DUMMYFUNCTION("IF(OR(ISBLANK($G20), IFERROR(INDEX(GOOGLEFINANCE($C20, ""price"", WORKDAY(INT($B20), 5)), 2, 2), """")=""""), """", IF($D20=""LONG"", (IFERROR(INDEX(GOOGLEFINANCE($C20, ""price"", WORKDAY(INT($B20), 5)), 2, 2), """")-$G20)/$G20, ($G20-IFERROR(INDEX(GOOGLE"&amp;"FINANCE($C20, ""price"", WORKDAY(INT($B20), 5)), 2, 2), """"))/$G20))"),-7.056609691077576E-4)</f>
        <v>-0.0007056609691</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5423</v>
      </c>
    </row>
    <row r="21">
      <c r="A21" s="9">
        <f t="shared" si="1"/>
        <v>20</v>
      </c>
      <c r="B21" s="11">
        <v>46233.66748842593</v>
      </c>
      <c r="C21" s="10" t="s">
        <v>4984</v>
      </c>
      <c r="D21" s="10" t="s">
        <v>36</v>
      </c>
      <c r="E21" s="10" t="s">
        <v>1892</v>
      </c>
      <c r="F21" s="13">
        <v>2.0</v>
      </c>
      <c r="G21" s="14">
        <v>95.58</v>
      </c>
      <c r="H21" s="10" t="s">
        <v>5424</v>
      </c>
      <c r="I21" s="10">
        <v>75.8</v>
      </c>
      <c r="O21" s="15">
        <f>IFERROR(__xludf.DUMMYFUNCTION("IF(ISBLANK($C21), """", GOOGLEFINANCE($C21, ""price""))"),101.04)</f>
        <v>101.04</v>
      </c>
      <c r="P21" s="16">
        <f t="shared" si="2"/>
        <v>0.05712492153</v>
      </c>
      <c r="Q21" s="16">
        <f>IFERROR(__xludf.DUMMYFUNCTION("IF(OR(ISBLANK($G21), IFERROR(INDEX(GOOGLEFINANCE($C21, ""price"", WORKDAY(INT($B21), 1)), 2, 2), """")=""""), """", IF($D21=""LONG"", (IFERROR(INDEX(GOOGLEFINANCE($C21, ""price"", WORKDAY(INT($B21), 1)), 2, 2), """")-$G21)/$G21, ($G21-IFERROR(INDEX(GOOGLE"&amp;"FINANCE($C21, ""price"", WORKDAY(INT($B21), 1)), 2, 2), """"))/$G21))"),-0.010462439840970915)</f>
        <v>-0.01046243984</v>
      </c>
      <c r="R21" s="16">
        <f>IFERROR(__xludf.DUMMYFUNCTION("IF(OR(ISBLANK($G21), IFERROR(INDEX(GOOGLEFINANCE($C21, ""price"", WORKDAY(INT($B21), 5)), 2, 2), """")=""""), """", IF($D21=""LONG"", (IFERROR(INDEX(GOOGLEFINANCE($C21, ""price"", WORKDAY(INT($B21), 5)), 2, 2), """")-$G21)/$G21, ($G21-IFERROR(INDEX(GOOGLE"&amp;"FINANCE($C21, ""price"", WORKDAY(INT($B21), 5)), 2, 2), """"))/$G21))"),0.057124921531701275)</f>
        <v>0.05712492153</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5427</v>
      </c>
    </row>
    <row r="22">
      <c r="A22" s="9">
        <f t="shared" si="1"/>
        <v>21</v>
      </c>
      <c r="B22" s="11">
        <v>46233.6674537037</v>
      </c>
      <c r="C22" s="10" t="s">
        <v>800</v>
      </c>
      <c r="D22" s="10" t="s">
        <v>36</v>
      </c>
      <c r="E22" s="10" t="s">
        <v>37</v>
      </c>
      <c r="F22" s="13">
        <v>2.0</v>
      </c>
      <c r="G22" s="14">
        <v>312.19</v>
      </c>
      <c r="H22" s="10" t="s">
        <v>5428</v>
      </c>
      <c r="I22" s="10">
        <v>92.2</v>
      </c>
      <c r="O22" s="15">
        <f>IFERROR(__xludf.DUMMYFUNCTION("IF(ISBLANK($C22), """", GOOGLEFINANCE($C22, ""price""))"),325.01)</f>
        <v>325.01</v>
      </c>
      <c r="P22" s="16">
        <f t="shared" si="2"/>
        <v>0.04106473622</v>
      </c>
      <c r="Q22" s="16">
        <f>IFERROR(__xludf.DUMMYFUNCTION("IF(OR(ISBLANK($G22), IFERROR(INDEX(GOOGLEFINANCE($C22, ""price"", WORKDAY(INT($B22), 1)), 2, 2), """")=""""), """", IF($D22=""LONG"", (IFERROR(INDEX(GOOGLEFINANCE($C22, ""price"", WORKDAY(INT($B22), 1)), 2, 2), """")-$G22)/$G22, ($G22-IFERROR(INDEX(GOOGLE"&amp;"FINANCE($C22, ""price"", WORKDAY(INT($B22), 1)), 2, 2), """"))/$G22))"),-0.0027227009193120304)</f>
        <v>-0.002722700919</v>
      </c>
      <c r="R22" s="16">
        <f>IFERROR(__xludf.DUMMYFUNCTION("IF(OR(ISBLANK($G22), IFERROR(INDEX(GOOGLEFINANCE($C22, ""price"", WORKDAY(INT($B22), 5)), 2, 2), """")=""""), """", IF($D22=""LONG"", (IFERROR(INDEX(GOOGLEFINANCE($C22, ""price"", WORKDAY(INT($B22), 5)), 2, 2), """")-$G22)/$G22, ($G22-IFERROR(INDEX(GOOGLE"&amp;"FINANCE($C22, ""price"", WORKDAY(INT($B22), 5)), 2, 2), """"))/$G22))"),0.04106473621832856)</f>
        <v>0.04106473622</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5432</v>
      </c>
    </row>
    <row r="23">
      <c r="A23" s="9">
        <f t="shared" si="1"/>
        <v>22</v>
      </c>
      <c r="B23" s="11">
        <v>46233.667546296296</v>
      </c>
      <c r="C23" s="10" t="s">
        <v>2229</v>
      </c>
      <c r="D23" s="10" t="s">
        <v>36</v>
      </c>
      <c r="E23" s="10" t="s">
        <v>37</v>
      </c>
      <c r="F23" s="13">
        <v>2.0</v>
      </c>
      <c r="G23" s="14">
        <v>116.79</v>
      </c>
      <c r="H23" s="10" t="s">
        <v>5433</v>
      </c>
      <c r="I23" s="10">
        <v>96.9</v>
      </c>
      <c r="O23" s="15">
        <f>IFERROR(__xludf.DUMMYFUNCTION("IF(ISBLANK($C23), """", GOOGLEFINANCE($C23, ""price""))"),120.76)</f>
        <v>120.76</v>
      </c>
      <c r="P23" s="16">
        <f t="shared" si="2"/>
        <v>0.03399263636</v>
      </c>
      <c r="Q23" s="16">
        <f>IFERROR(__xludf.DUMMYFUNCTION("IF(OR(ISBLANK($G23), IFERROR(INDEX(GOOGLEFINANCE($C23, ""price"", WORKDAY(INT($B23), 1)), 2, 2), """")=""""), """", IF($D23=""LONG"", (IFERROR(INDEX(GOOGLEFINANCE($C23, ""price"", WORKDAY(INT($B23), 1)), 2, 2), """")-$G23)/$G23, ($G23-IFERROR(INDEX(GOOGLE"&amp;"FINANCE($C23, ""price"", WORKDAY(INT($B23), 1)), 2, 2), """"))/$G23))"),0.0015412278448496668)</f>
        <v>0.001541227845</v>
      </c>
      <c r="R23" s="16">
        <f>IFERROR(__xludf.DUMMYFUNCTION("IF(OR(ISBLANK($G23), IFERROR(INDEX(GOOGLEFINANCE($C23, ""price"", WORKDAY(INT($B23), 5)), 2, 2), """")=""""), """", IF($D23=""LONG"", (IFERROR(INDEX(GOOGLEFINANCE($C23, ""price"", WORKDAY(INT($B23), 5)), 2, 2), """")-$G23)/$G23, ($G23-IFERROR(INDEX(GOOGLE"&amp;"FINANCE($C23, ""price"", WORKDAY(INT($B23), 5)), 2, 2), """"))/$G23))"),0.033992636355852375)</f>
        <v>0.03399263636</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5436</v>
      </c>
    </row>
    <row r="24">
      <c r="A24" s="9">
        <f t="shared" si="1"/>
        <v>23</v>
      </c>
      <c r="B24" s="11">
        <v>46233.66746527778</v>
      </c>
      <c r="C24" s="10" t="s">
        <v>86</v>
      </c>
      <c r="D24" s="10" t="s">
        <v>36</v>
      </c>
      <c r="E24" s="10" t="s">
        <v>37</v>
      </c>
      <c r="F24" s="13">
        <v>2.0</v>
      </c>
      <c r="G24" s="14">
        <v>84.29</v>
      </c>
      <c r="H24" s="10" t="s">
        <v>5437</v>
      </c>
      <c r="I24" s="10">
        <v>95.3</v>
      </c>
      <c r="O24" s="15">
        <f>IFERROR(__xludf.DUMMYFUNCTION("IF(ISBLANK($C24), """", GOOGLEFINANCE($C24, ""price""))"),88.24)</f>
        <v>88.24</v>
      </c>
      <c r="P24" s="16">
        <f t="shared" si="2"/>
        <v>0.04686202396</v>
      </c>
      <c r="Q24" s="16">
        <f>IFERROR(__xludf.DUMMYFUNCTION("IF(OR(ISBLANK($G24), IFERROR(INDEX(GOOGLEFINANCE($C24, ""price"", WORKDAY(INT($B24), 1)), 2, 2), """")=""""), """", IF($D24=""LONG"", (IFERROR(INDEX(GOOGLEFINANCE($C24, ""price"", WORKDAY(INT($B24), 1)), 2, 2), """")-$G24)/$G24, ($G24-IFERROR(INDEX(GOOGLE"&amp;"FINANCE($C24, ""price"", WORKDAY(INT($B24), 1)), 2, 2), """"))/$G24))"),-0.01079606121722637)</f>
        <v>-0.01079606122</v>
      </c>
      <c r="R24" s="16">
        <f>IFERROR(__xludf.DUMMYFUNCTION("IF(OR(ISBLANK($G24), IFERROR(INDEX(GOOGLEFINANCE($C24, ""price"", WORKDAY(INT($B24), 5)), 2, 2), """")=""""), """", IF($D24=""LONG"", (IFERROR(INDEX(GOOGLEFINANCE($C24, ""price"", WORKDAY(INT($B24), 5)), 2, 2), """")-$G24)/$G24, ($G24-IFERROR(INDEX(GOOGLE"&amp;"FINANCE($C24, ""price"", WORKDAY(INT($B24), 5)), 2, 2), """"))/$G24))"),0.046862023964883)</f>
        <v>0.04686202396</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5440</v>
      </c>
    </row>
    <row r="25">
      <c r="A25" s="9">
        <f t="shared" si="1"/>
        <v>24</v>
      </c>
      <c r="B25" s="11">
        <v>46233.667546296296</v>
      </c>
      <c r="C25" s="10" t="s">
        <v>2861</v>
      </c>
      <c r="D25" s="10" t="s">
        <v>36</v>
      </c>
      <c r="E25" s="10" t="s">
        <v>4224</v>
      </c>
      <c r="F25" s="13">
        <v>4.0</v>
      </c>
      <c r="G25" s="14">
        <v>269.1</v>
      </c>
      <c r="H25" s="10" t="s">
        <v>5441</v>
      </c>
      <c r="I25" s="10">
        <v>22.9</v>
      </c>
      <c r="O25" s="15">
        <f>IFERROR(__xludf.DUMMYFUNCTION("IF(ISBLANK($C25), """", GOOGLEFINANCE($C25, ""price""))"),267.25)</f>
        <v>267.25</v>
      </c>
      <c r="P25" s="16">
        <f t="shared" si="2"/>
        <v>-0.006874767744</v>
      </c>
      <c r="Q25" s="16">
        <f>IFERROR(__xludf.DUMMYFUNCTION("IF(OR(ISBLANK($G25), IFERROR(INDEX(GOOGLEFINANCE($C25, ""price"", WORKDAY(INT($B25), 1)), 2, 2), """")=""""), """", IF($D25=""LONG"", (IFERROR(INDEX(GOOGLEFINANCE($C25, ""price"", WORKDAY(INT($B25), 1)), 2, 2), """")-$G25)/$G25, ($G25-IFERROR(INDEX(GOOGLE"&amp;"FINANCE($C25, ""price"", WORKDAY(INT($B25), 1)), 2, 2), """"))/$G25))"),0.009847640282422805)</f>
        <v>0.009847640282</v>
      </c>
      <c r="R25" s="16">
        <f>IFERROR(__xludf.DUMMYFUNCTION("IF(OR(ISBLANK($G25), IFERROR(INDEX(GOOGLEFINANCE($C25, ""price"", WORKDAY(INT($B25), 5)), 2, 2), """")=""""), """", IF($D25=""LONG"", (IFERROR(INDEX(GOOGLEFINANCE($C25, ""price"", WORKDAY(INT($B25), 5)), 2, 2), """")-$G25)/$G25, ($G25-IFERROR(INDEX(GOOGLE"&amp;"FINANCE($C25, ""price"", WORKDAY(INT($B25), 5)), 2, 2), """"))/$G25))"),-0.007023411371237618)</f>
        <v>-0.007023411371</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5444</v>
      </c>
    </row>
    <row r="26">
      <c r="A26" s="9">
        <f t="shared" si="1"/>
        <v>25</v>
      </c>
      <c r="B26" s="11">
        <v>46233.66758101852</v>
      </c>
      <c r="C26" s="10" t="s">
        <v>166</v>
      </c>
      <c r="D26" s="10" t="s">
        <v>36</v>
      </c>
      <c r="E26" s="10" t="s">
        <v>37</v>
      </c>
      <c r="F26" s="13">
        <v>2.0</v>
      </c>
      <c r="G26" s="14">
        <v>133.73</v>
      </c>
      <c r="H26" s="10" t="s">
        <v>5445</v>
      </c>
      <c r="I26" s="10">
        <v>93.3</v>
      </c>
      <c r="O26" s="15">
        <f>IFERROR(__xludf.DUMMYFUNCTION("IF(ISBLANK($C26), """", GOOGLEFINANCE($C26, ""price""))"),132.06)</f>
        <v>132.06</v>
      </c>
      <c r="P26" s="16">
        <f t="shared" si="2"/>
        <v>-0.01248784865</v>
      </c>
      <c r="Q26" s="16">
        <f>IFERROR(__xludf.DUMMYFUNCTION("IF(OR(ISBLANK($G26), IFERROR(INDEX(GOOGLEFINANCE($C26, ""price"", WORKDAY(INT($B26), 1)), 2, 2), """")=""""), """", IF($D26=""LONG"", (IFERROR(INDEX(GOOGLEFINANCE($C26, ""price"", WORKDAY(INT($B26), 1)), 2, 2), """")-$G26)/$G26, ($G26-IFERROR(INDEX(GOOGLE"&amp;"FINANCE($C26, ""price"", WORKDAY(INT($B26), 1)), 2, 2), """"))/$G26))"),-0.007851641366933247)</f>
        <v>-0.007851641367</v>
      </c>
      <c r="R26" s="16">
        <f>IFERROR(__xludf.DUMMYFUNCTION("IF(OR(ISBLANK($G26), IFERROR(INDEX(GOOGLEFINANCE($C26, ""price"", WORKDAY(INT($B26), 5)), 2, 2), """")=""""), """", IF($D26=""LONG"", (IFERROR(INDEX(GOOGLEFINANCE($C26, ""price"", WORKDAY(INT($B26), 5)), 2, 2), """")-$G26)/$G26, ($G26-IFERROR(INDEX(GOOGLE"&amp;"FINANCE($C26, ""price"", WORKDAY(INT($B26), 5)), 2, 2), """"))/$G26))"),-0.012487848650265367)</f>
        <v>-0.01248784865</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5448</v>
      </c>
    </row>
    <row r="27">
      <c r="A27" s="9">
        <f t="shared" si="1"/>
        <v>26</v>
      </c>
      <c r="B27" s="11">
        <v>46233.66751157407</v>
      </c>
      <c r="C27" s="10" t="s">
        <v>34</v>
      </c>
      <c r="D27" s="10" t="s">
        <v>36</v>
      </c>
      <c r="E27" s="10" t="s">
        <v>37</v>
      </c>
      <c r="F27" s="13">
        <v>2.0</v>
      </c>
      <c r="G27" s="14">
        <v>200.25</v>
      </c>
      <c r="H27" s="10" t="s">
        <v>5449</v>
      </c>
      <c r="I27" s="10">
        <v>96.7</v>
      </c>
      <c r="O27" s="15">
        <f>IFERROR(__xludf.DUMMYFUNCTION("IF(ISBLANK($C27), """", GOOGLEFINANCE($C27, ""price""))"),189.75)</f>
        <v>189.75</v>
      </c>
      <c r="P27" s="16">
        <f t="shared" si="2"/>
        <v>-0.05243445693</v>
      </c>
      <c r="Q27" s="16">
        <f>IFERROR(__xludf.DUMMYFUNCTION("IF(OR(ISBLANK($G27), IFERROR(INDEX(GOOGLEFINANCE($C27, ""price"", WORKDAY(INT($B27), 1)), 2, 2), """")=""""), """", IF($D27=""LONG"", (IFERROR(INDEX(GOOGLEFINANCE($C27, ""price"", WORKDAY(INT($B27), 1)), 2, 2), """")-$G27)/$G27, ($G27-IFERROR(INDEX(GOOGLE"&amp;"FINANCE($C27, ""price"", WORKDAY(INT($B27), 1)), 2, 2), """"))/$G27))"),-0.02696629213483149)</f>
        <v>-0.02696629213</v>
      </c>
      <c r="R27" s="16">
        <f>IFERROR(__xludf.DUMMYFUNCTION("IF(OR(ISBLANK($G27), IFERROR(INDEX(GOOGLEFINANCE($C27, ""price"", WORKDAY(INT($B27), 5)), 2, 2), """")=""""), """", IF($D27=""LONG"", (IFERROR(INDEX(GOOGLEFINANCE($C27, ""price"", WORKDAY(INT($B27), 5)), 2, 2), """")-$G27)/$G27, ($G27-IFERROR(INDEX(GOOGLE"&amp;"FINANCE($C27, ""price"", WORKDAY(INT($B27), 5)), 2, 2), """"))/$G27))"),-0.05223470661672913)</f>
        <v>-0.05223470662</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5452</v>
      </c>
    </row>
    <row r="28">
      <c r="A28" s="9">
        <f t="shared" si="1"/>
        <v>27</v>
      </c>
      <c r="B28" s="11">
        <v>46233.66782407407</v>
      </c>
      <c r="C28" s="10" t="s">
        <v>3702</v>
      </c>
      <c r="D28" s="10" t="s">
        <v>36</v>
      </c>
      <c r="E28" s="10" t="s">
        <v>1892</v>
      </c>
      <c r="F28" s="13">
        <v>2.0</v>
      </c>
      <c r="G28" s="14">
        <v>577.37</v>
      </c>
      <c r="H28" s="10" t="s">
        <v>5453</v>
      </c>
      <c r="I28" s="10">
        <v>58.9</v>
      </c>
      <c r="O28" s="15">
        <f>IFERROR(__xludf.DUMMYFUNCTION("IF(ISBLANK($C28), """", GOOGLEFINANCE($C28, ""price""))"),575.95)</f>
        <v>575.95</v>
      </c>
      <c r="P28" s="16">
        <f t="shared" si="2"/>
        <v>-0.002459428096</v>
      </c>
      <c r="Q28" s="16">
        <f>IFERROR(__xludf.DUMMYFUNCTION("IF(OR(ISBLANK($G28), IFERROR(INDEX(GOOGLEFINANCE($C28, ""price"", WORKDAY(INT($B28), 1)), 2, 2), """")=""""), """", IF($D28=""LONG"", (IFERROR(INDEX(GOOGLEFINANCE($C28, ""price"", WORKDAY(INT($B28), 1)), 2, 2), """")-$G28)/$G28, ($G28-IFERROR(INDEX(GOOGLE"&amp;"FINANCE($C28, ""price"", WORKDAY(INT($B28), 1)), 2, 2), """"))/$G28))"),-0.007395604205275615)</f>
        <v>-0.007395604205</v>
      </c>
      <c r="R28" s="16">
        <f>IFERROR(__xludf.DUMMYFUNCTION("IF(OR(ISBLANK($G28), IFERROR(INDEX(GOOGLEFINANCE($C28, ""price"", WORKDAY(INT($B28), 5)), 2, 2), """")=""""), """", IF($D28=""LONG"", (IFERROR(INDEX(GOOGLEFINANCE($C28, ""price"", WORKDAY(INT($B28), 5)), 2, 2), """")-$G28)/$G28, ($G28-IFERROR(INDEX(GOOGLE"&amp;"FINANCE($C28, ""price"", WORKDAY(INT($B28), 5)), 2, 2), """"))/$G28))"),-0.0024594280963679428)</f>
        <v>-0.002459428096</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5456</v>
      </c>
    </row>
    <row r="29">
      <c r="A29" s="9">
        <f t="shared" si="1"/>
        <v>28</v>
      </c>
      <c r="B29" s="11">
        <v>46233.66762731481</v>
      </c>
      <c r="C29" s="10" t="s">
        <v>3364</v>
      </c>
      <c r="D29" s="10" t="s">
        <v>36</v>
      </c>
      <c r="E29" s="10" t="s">
        <v>37</v>
      </c>
      <c r="F29" s="13">
        <v>2.0</v>
      </c>
      <c r="G29" s="14">
        <v>201.57</v>
      </c>
      <c r="H29" s="10" t="s">
        <v>5457</v>
      </c>
      <c r="I29" s="10">
        <v>98.4</v>
      </c>
      <c r="O29" s="15">
        <f>IFERROR(__xludf.DUMMYFUNCTION("IF(ISBLANK($C29), """", GOOGLEFINANCE($C29, ""price""))"),217.8)</f>
        <v>217.8</v>
      </c>
      <c r="P29" s="16">
        <f t="shared" si="2"/>
        <v>0.08051793422</v>
      </c>
      <c r="Q29" s="16">
        <f>IFERROR(__xludf.DUMMYFUNCTION("IF(OR(ISBLANK($G29), IFERROR(INDEX(GOOGLEFINANCE($C29, ""price"", WORKDAY(INT($B29), 1)), 2, 2), """")=""""), """", IF($D29=""LONG"", (IFERROR(INDEX(GOOGLEFINANCE($C29, ""price"", WORKDAY(INT($B29), 1)), 2, 2), """")-$G29)/$G29, ($G29-IFERROR(INDEX(GOOGLE"&amp;"FINANCE($C29, ""price"", WORKDAY(INT($B29), 1)), 2, 2), """"))/$G29))"),0.010963933124969034)</f>
        <v>0.01096393312</v>
      </c>
      <c r="R29" s="16">
        <f>IFERROR(__xludf.DUMMYFUNCTION("IF(OR(ISBLANK($G29), IFERROR(INDEX(GOOGLEFINANCE($C29, ""price"", WORKDAY(INT($B29), 5)), 2, 2), """")=""""), """", IF($D29=""LONG"", (IFERROR(INDEX(GOOGLEFINANCE($C29, ""price"", WORKDAY(INT($B29), 5)), 2, 2), """")-$G29)/$G29, ($G29-IFERROR(INDEX(GOOGLE"&amp;"FINANCE($C29, ""price"", WORKDAY(INT($B29), 5)), 2, 2), """"))/$G29))"),0.08051793421640134)</f>
        <v>0.08051793422</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5460</v>
      </c>
    </row>
    <row r="30">
      <c r="A30" s="9">
        <f t="shared" si="1"/>
        <v>29</v>
      </c>
      <c r="B30" s="11">
        <v>46233.66756944444</v>
      </c>
      <c r="C30" s="10" t="s">
        <v>440</v>
      </c>
      <c r="D30" s="10" t="s">
        <v>36</v>
      </c>
      <c r="E30" s="10" t="s">
        <v>37</v>
      </c>
      <c r="F30" s="13">
        <v>2.0</v>
      </c>
      <c r="G30" s="14">
        <v>97.09</v>
      </c>
      <c r="H30" s="10" t="s">
        <v>5461</v>
      </c>
      <c r="I30" s="10">
        <v>75.5</v>
      </c>
      <c r="O30" s="15">
        <f>IFERROR(__xludf.DUMMYFUNCTION("IF(ISBLANK($C30), """", GOOGLEFINANCE($C30, ""price""))"),99.95)</f>
        <v>99.95</v>
      </c>
      <c r="P30" s="16">
        <f t="shared" si="2"/>
        <v>0.02945720466</v>
      </c>
      <c r="Q30" s="16">
        <f>IFERROR(__xludf.DUMMYFUNCTION("IF(OR(ISBLANK($G30), IFERROR(INDEX(GOOGLEFINANCE($C30, ""price"", WORKDAY(INT($B30), 1)), 2, 2), """")=""""), """", IF($D30=""LONG"", (IFERROR(INDEX(GOOGLEFINANCE($C30, ""price"", WORKDAY(INT($B30), 1)), 2, 2), """")-$G30)/$G30, ($G30-IFERROR(INDEX(GOOGLE"&amp;"FINANCE($C30, ""price"", WORKDAY(INT($B30), 1)), 2, 2), """"))/$G30))"),-0.009887733031208238)</f>
        <v>-0.009887733031</v>
      </c>
      <c r="R30" s="16">
        <f>IFERROR(__xludf.DUMMYFUNCTION("IF(OR(ISBLANK($G30), IFERROR(INDEX(GOOGLEFINANCE($C30, ""price"", WORKDAY(INT($B30), 5)), 2, 2), """")=""""), """", IF($D30=""LONG"", (IFERROR(INDEX(GOOGLEFINANCE($C30, ""price"", WORKDAY(INT($B30), 5)), 2, 2), """")-$G30)/$G30, ($G30-IFERROR(INDEX(GOOGLE"&amp;"FINANCE($C30, ""price"", WORKDAY(INT($B30), 5)), 2, 2), """"))/$G30))"),0.029457204655474294)</f>
        <v>0.02945720466</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5464</v>
      </c>
    </row>
    <row r="31">
      <c r="A31" s="9">
        <f t="shared" si="1"/>
        <v>30</v>
      </c>
      <c r="B31" s="11">
        <v>46233.66787037037</v>
      </c>
      <c r="C31" s="10" t="s">
        <v>332</v>
      </c>
      <c r="D31" s="10" t="s">
        <v>36</v>
      </c>
      <c r="E31" s="10" t="s">
        <v>37</v>
      </c>
      <c r="F31" s="13">
        <v>2.0</v>
      </c>
      <c r="G31" s="14">
        <v>85.14</v>
      </c>
      <c r="H31" s="10" t="s">
        <v>5465</v>
      </c>
      <c r="I31" s="10">
        <v>92.1</v>
      </c>
      <c r="O31" s="15">
        <f>IFERROR(__xludf.DUMMYFUNCTION("IF(ISBLANK($C31), """", GOOGLEFINANCE($C31, ""price""))"),88.23)</f>
        <v>88.23</v>
      </c>
      <c r="P31" s="16">
        <f t="shared" si="2"/>
        <v>0.0362931642</v>
      </c>
      <c r="Q31" s="16">
        <f>IFERROR(__xludf.DUMMYFUNCTION("IF(OR(ISBLANK($G31), IFERROR(INDEX(GOOGLEFINANCE($C31, ""price"", WORKDAY(INT($B31), 1)), 2, 2), """")=""""), """", IF($D31=""LONG"", (IFERROR(INDEX(GOOGLEFINANCE($C31, ""price"", WORKDAY(INT($B31), 1)), 2, 2), """")-$G31)/$G31, ($G31-IFERROR(INDEX(GOOGLE"&amp;"FINANCE($C31, ""price"", WORKDAY(INT($B31), 1)), 2, 2), """"))/$G31))"),0.007164669955367623)</f>
        <v>0.007164669955</v>
      </c>
      <c r="R31" s="16">
        <f>IFERROR(__xludf.DUMMYFUNCTION("IF(OR(ISBLANK($G31), IFERROR(INDEX(GOOGLEFINANCE($C31, ""price"", WORKDAY(INT($B31), 5)), 2, 2), """")=""""), """", IF($D31=""LONG"", (IFERROR(INDEX(GOOGLEFINANCE($C31, ""price"", WORKDAY(INT($B31), 5)), 2, 2), """")-$G31)/$G31, ($G31-IFERROR(INDEX(GOOGLE"&amp;"FINANCE($C31, ""price"", WORKDAY(INT($B31), 5)), 2, 2), """"))/$G31))"),0.03629316420014098)</f>
        <v>0.0362931642</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5467</v>
      </c>
    </row>
    <row r="32">
      <c r="A32" s="9">
        <f t="shared" si="1"/>
        <v>31</v>
      </c>
      <c r="B32" s="11">
        <v>46233.66755787037</v>
      </c>
      <c r="C32" s="10" t="s">
        <v>691</v>
      </c>
      <c r="D32" s="10" t="s">
        <v>36</v>
      </c>
      <c r="E32" s="10" t="s">
        <v>37</v>
      </c>
      <c r="F32" s="13">
        <v>2.0</v>
      </c>
      <c r="G32" s="14">
        <v>29.41</v>
      </c>
      <c r="H32" s="10" t="s">
        <v>5468</v>
      </c>
      <c r="I32" s="10">
        <v>83.7</v>
      </c>
      <c r="O32" s="15">
        <f>IFERROR(__xludf.DUMMYFUNCTION("IF(ISBLANK($C32), """", GOOGLEFINANCE($C32, ""price""))"),31.69)</f>
        <v>31.69</v>
      </c>
      <c r="P32" s="16">
        <f t="shared" si="2"/>
        <v>0.07752465148</v>
      </c>
      <c r="Q32" s="16">
        <f>IFERROR(__xludf.DUMMYFUNCTION("IF(OR(ISBLANK($G32), IFERROR(INDEX(GOOGLEFINANCE($C32, ""price"", WORKDAY(INT($B32), 1)), 2, 2), """")=""""), """", IF($D32=""LONG"", (IFERROR(INDEX(GOOGLEFINANCE($C32, ""price"", WORKDAY(INT($B32), 1)), 2, 2), """")-$G32)/$G32, ($G32-IFERROR(INDEX(GOOGLE"&amp;"FINANCE($C32, ""price"", WORKDAY(INT($B32), 1)), 2, 2), """"))/$G32))"),0.006460387623257439)</f>
        <v>0.006460387623</v>
      </c>
      <c r="R32" s="16">
        <f>IFERROR(__xludf.DUMMYFUNCTION("IF(OR(ISBLANK($G32), IFERROR(INDEX(GOOGLEFINANCE($C32, ""price"", WORKDAY(INT($B32), 5)), 2, 2), """")=""""), """", IF($D32=""LONG"", (IFERROR(INDEX(GOOGLEFINANCE($C32, ""price"", WORKDAY(INT($B32), 5)), 2, 2), """")-$G32)/$G32, ($G32-IFERROR(INDEX(GOOGLE"&amp;"FINANCE($C32, ""price"", WORKDAY(INT($B32), 5)), 2, 2), """"))/$G32))"),0.07752465147908878)</f>
        <v>0.07752465148</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5469</v>
      </c>
    </row>
    <row r="33">
      <c r="A33" s="9">
        <f t="shared" si="1"/>
        <v>32</v>
      </c>
      <c r="B33" s="11">
        <v>46233.66758101852</v>
      </c>
      <c r="C33" s="10" t="s">
        <v>228</v>
      </c>
      <c r="D33" s="10" t="s">
        <v>36</v>
      </c>
      <c r="E33" s="10" t="s">
        <v>37</v>
      </c>
      <c r="F33" s="13">
        <v>2.0</v>
      </c>
      <c r="G33" s="14">
        <v>73.39</v>
      </c>
      <c r="H33" s="10" t="s">
        <v>5470</v>
      </c>
      <c r="I33" s="10">
        <v>95.6</v>
      </c>
      <c r="O33" s="15">
        <f>IFERROR(__xludf.DUMMYFUNCTION("IF(ISBLANK($C33), """", GOOGLEFINANCE($C33, ""price""))"),72.13)</f>
        <v>72.13</v>
      </c>
      <c r="P33" s="16">
        <f t="shared" si="2"/>
        <v>-0.01716855157</v>
      </c>
      <c r="Q33" s="16">
        <f>IFERROR(__xludf.DUMMYFUNCTION("IF(OR(ISBLANK($G33), IFERROR(INDEX(GOOGLEFINANCE($C33, ""price"", WORKDAY(INT($B33), 1)), 2, 2), """")=""""), """", IF($D33=""LONG"", (IFERROR(INDEX(GOOGLEFINANCE($C33, ""price"", WORKDAY(INT($B33), 1)), 2, 2), """")-$G33)/$G33, ($G33-IFERROR(INDEX(GOOGLE"&amp;"FINANCE($C33, ""price"", WORKDAY(INT($B33), 1)), 2, 2), """"))/$G33))"),-0.011581959395012867)</f>
        <v>-0.0115819594</v>
      </c>
      <c r="R33" s="16">
        <f>IFERROR(__xludf.DUMMYFUNCTION("IF(OR(ISBLANK($G33), IFERROR(INDEX(GOOGLEFINANCE($C33, ""price"", WORKDAY(INT($B33), 5)), 2, 2), """")=""""), """", IF($D33=""LONG"", (IFERROR(INDEX(GOOGLEFINANCE($C33, ""price"", WORKDAY(INT($B33), 5)), 2, 2), """")-$G33)/$G33, ($G33-IFERROR(INDEX(GOOGLE"&amp;"FINANCE($C33, ""price"", WORKDAY(INT($B33), 5)), 2, 2), """"))/$G33))"),-0.017168551573783965)</f>
        <v>-0.01716855157</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5471</v>
      </c>
    </row>
    <row r="34">
      <c r="A34" s="9">
        <f t="shared" si="1"/>
        <v>33</v>
      </c>
      <c r="B34" s="11">
        <v>46233.66762731481</v>
      </c>
      <c r="C34" s="10" t="s">
        <v>1255</v>
      </c>
      <c r="D34" s="10" t="s">
        <v>36</v>
      </c>
      <c r="E34" s="10" t="s">
        <v>37</v>
      </c>
      <c r="F34" s="13">
        <v>2.0</v>
      </c>
      <c r="G34" s="14">
        <v>78.68</v>
      </c>
      <c r="H34" s="10" t="s">
        <v>5472</v>
      </c>
      <c r="I34" s="10">
        <v>90.0</v>
      </c>
      <c r="O34" s="15">
        <f>IFERROR(__xludf.DUMMYFUNCTION("IF(ISBLANK($C34), """", GOOGLEFINANCE($C34, ""price""))"),67.23)</f>
        <v>67.23</v>
      </c>
      <c r="P34" s="16">
        <f t="shared" si="2"/>
        <v>-0.145526182</v>
      </c>
      <c r="Q34" s="16">
        <f>IFERROR(__xludf.DUMMYFUNCTION("IF(OR(ISBLANK($G34), IFERROR(INDEX(GOOGLEFINANCE($C34, ""price"", WORKDAY(INT($B34), 1)), 2, 2), """")=""""), """", IF($D34=""LONG"", (IFERROR(INDEX(GOOGLEFINANCE($C34, ""price"", WORKDAY(INT($B34), 1)), 2, 2), """")-$G34)/$G34, ($G34-IFERROR(INDEX(GOOGLE"&amp;"FINANCE($C34, ""price"", WORKDAY(INT($B34), 1)), 2, 2), """"))/$G34))"),-0.06748856126080327)</f>
        <v>-0.06748856126</v>
      </c>
      <c r="R34" s="16">
        <f>IFERROR(__xludf.DUMMYFUNCTION("IF(OR(ISBLANK($G34), IFERROR(INDEX(GOOGLEFINANCE($C34, ""price"", WORKDAY(INT($B34), 5)), 2, 2), """")=""""), """", IF($D34=""LONG"", (IFERROR(INDEX(GOOGLEFINANCE($C34, ""price"", WORKDAY(INT($B34), 5)), 2, 2), """")-$G34)/$G34, ($G34-IFERROR(INDEX(GOOGLE"&amp;"FINANCE($C34, ""price"", WORKDAY(INT($B34), 5)), 2, 2), """"))/$G34))"),-0.14552618200305034)</f>
        <v>-0.145526182</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5473</v>
      </c>
    </row>
    <row r="35">
      <c r="A35" s="9">
        <f t="shared" si="1"/>
        <v>34</v>
      </c>
      <c r="B35" s="11">
        <v>46233.66744212963</v>
      </c>
      <c r="C35" s="10" t="s">
        <v>156</v>
      </c>
      <c r="D35" s="10" t="s">
        <v>36</v>
      </c>
      <c r="E35" s="10" t="s">
        <v>4224</v>
      </c>
      <c r="F35" s="13">
        <v>4.0</v>
      </c>
      <c r="G35" s="14">
        <v>105.07</v>
      </c>
      <c r="H35" s="10" t="s">
        <v>5474</v>
      </c>
      <c r="I35" s="10">
        <v>73.4</v>
      </c>
      <c r="O35" s="15">
        <f>IFERROR(__xludf.DUMMYFUNCTION("IF(ISBLANK($C35), """", GOOGLEFINANCE($C35, ""price""))"),109.0)</f>
        <v>109</v>
      </c>
      <c r="P35" s="16">
        <f t="shared" si="2"/>
        <v>0.03740363567</v>
      </c>
      <c r="Q35" s="16">
        <f>IFERROR(__xludf.DUMMYFUNCTION("IF(OR(ISBLANK($G35), IFERROR(INDEX(GOOGLEFINANCE($C35, ""price"", WORKDAY(INT($B35), 1)), 2, 2), """")=""""), """", IF($D35=""LONG"", (IFERROR(INDEX(GOOGLEFINANCE($C35, ""price"", WORKDAY(INT($B35), 1)), 2, 2), """")-$G35)/$G35, ($G35-IFERROR(INDEX(GOOGLE"&amp;"FINANCE($C35, ""price"", WORKDAY(INT($B35), 1)), 2, 2), """"))/$G35))"),0.011040258875035795)</f>
        <v>0.01104025888</v>
      </c>
      <c r="R35" s="16">
        <f>IFERROR(__xludf.DUMMYFUNCTION("IF(OR(ISBLANK($G35), IFERROR(INDEX(GOOGLEFINANCE($C35, ""price"", WORKDAY(INT($B35), 5)), 2, 2), """")=""""), """", IF($D35=""LONG"", (IFERROR(INDEX(GOOGLEFINANCE($C35, ""price"", WORKDAY(INT($B35), 5)), 2, 2), """")-$G35)/$G35, ($G35-IFERROR(INDEX(GOOGLE"&amp;"FINANCE($C35, ""price"", WORKDAY(INT($B35), 5)), 2, 2), """"))/$G35))"),0.03740363567145719)</f>
        <v>0.03740363567</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5475</v>
      </c>
    </row>
    <row r="36">
      <c r="A36" s="9">
        <f t="shared" si="1"/>
        <v>35</v>
      </c>
      <c r="B36" s="11">
        <v>46233.66758101852</v>
      </c>
      <c r="C36" s="10" t="s">
        <v>826</v>
      </c>
      <c r="D36" s="10" t="s">
        <v>36</v>
      </c>
      <c r="E36" s="10" t="s">
        <v>87</v>
      </c>
      <c r="F36" s="13">
        <v>2.0</v>
      </c>
      <c r="G36" s="14">
        <v>366.19</v>
      </c>
      <c r="H36" s="10" t="s">
        <v>5476</v>
      </c>
      <c r="I36" s="10">
        <v>95.9</v>
      </c>
      <c r="O36" s="15">
        <f>IFERROR(__xludf.DUMMYFUNCTION("IF(ISBLANK($C36), """", GOOGLEFINANCE($C36, ""price""))"),370.47)</f>
        <v>370.47</v>
      </c>
      <c r="P36" s="16">
        <f t="shared" si="2"/>
        <v>0.01168792157</v>
      </c>
      <c r="Q36" s="16">
        <f>IFERROR(__xludf.DUMMYFUNCTION("IF(OR(ISBLANK($G36), IFERROR(INDEX(GOOGLEFINANCE($C36, ""price"", WORKDAY(INT($B36), 1)), 2, 2), """")=""""), """", IF($D36=""LONG"", (IFERROR(INDEX(GOOGLEFINANCE($C36, ""price"", WORKDAY(INT($B36), 1)), 2, 2), """")-$G36)/$G36, ($G36-IFERROR(INDEX(GOOGLE"&amp;"FINANCE($C36, ""price"", WORKDAY(INT($B36), 1)), 2, 2), """"))/$G36))"),-1.6384936781452874E-4)</f>
        <v>-0.0001638493678</v>
      </c>
      <c r="R36" s="16">
        <f>IFERROR(__xludf.DUMMYFUNCTION("IF(OR(ISBLANK($G36), IFERROR(INDEX(GOOGLEFINANCE($C36, ""price"", WORKDAY(INT($B36), 5)), 2, 2), """")=""""), """", IF($D36=""LONG"", (IFERROR(INDEX(GOOGLEFINANCE($C36, ""price"", WORKDAY(INT($B36), 5)), 2, 2), """")-$G36)/$G36, ($G36-IFERROR(INDEX(GOOGLE"&amp;"FINANCE($C36, ""price"", WORKDAY(INT($B36), 5)), 2, 2), """"))/$G36))"),0.011687921570769354)</f>
        <v>0.01168792157</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5477</v>
      </c>
    </row>
    <row r="37">
      <c r="A37" s="9">
        <f t="shared" si="1"/>
        <v>36</v>
      </c>
      <c r="B37" s="11">
        <v>46233.667650462965</v>
      </c>
      <c r="C37" s="10" t="s">
        <v>3242</v>
      </c>
      <c r="D37" s="10" t="s">
        <v>36</v>
      </c>
      <c r="E37" s="10" t="s">
        <v>37</v>
      </c>
      <c r="F37" s="13">
        <v>2.0</v>
      </c>
      <c r="G37" s="14">
        <v>333.87</v>
      </c>
      <c r="H37" s="10" t="s">
        <v>5478</v>
      </c>
      <c r="I37" s="10">
        <v>92.2</v>
      </c>
      <c r="O37" s="15">
        <f>IFERROR(__xludf.DUMMYFUNCTION("IF(ISBLANK($C37), """", GOOGLEFINANCE($C37, ""price""))"),312.41)</f>
        <v>312.41</v>
      </c>
      <c r="P37" s="16">
        <f t="shared" si="2"/>
        <v>-0.06427651481</v>
      </c>
      <c r="Q37" s="16">
        <f>IFERROR(__xludf.DUMMYFUNCTION("IF(OR(ISBLANK($G37), IFERROR(INDEX(GOOGLEFINANCE($C37, ""price"", WORKDAY(INT($B37), 1)), 2, 2), """")=""""), """", IF($D37=""LONG"", (IFERROR(INDEX(GOOGLEFINANCE($C37, ""price"", WORKDAY(INT($B37), 1)), 2, 2), """")-$G37)/$G37, ($G37-IFERROR(INDEX(GOOGLE"&amp;"FINANCE($C37, ""price"", WORKDAY(INT($B37), 1)), 2, 2), """"))/$G37))"),-0.07475963698445497)</f>
        <v>-0.07475963698</v>
      </c>
      <c r="R37" s="16">
        <f>IFERROR(__xludf.DUMMYFUNCTION("IF(OR(ISBLANK($G37), IFERROR(INDEX(GOOGLEFINANCE($C37, ""price"", WORKDAY(INT($B37), 5)), 2, 2), """")=""""), """", IF($D37=""LONG"", (IFERROR(INDEX(GOOGLEFINANCE($C37, ""price"", WORKDAY(INT($B37), 5)), 2, 2), """")-$G37)/$G37, ($G37-IFERROR(INDEX(GOOGLE"&amp;"FINANCE($C37, ""price"", WORKDAY(INT($B37), 5)), 2, 2), """"))/$G37))"),-0.06427651481115398)</f>
        <v>-0.06427651481</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5479</v>
      </c>
    </row>
    <row r="38">
      <c r="A38" s="9">
        <f t="shared" si="1"/>
        <v>37</v>
      </c>
      <c r="B38" s="11">
        <v>46233.66763888889</v>
      </c>
      <c r="C38" s="10" t="s">
        <v>288</v>
      </c>
      <c r="D38" s="10" t="s">
        <v>36</v>
      </c>
      <c r="E38" s="10" t="s">
        <v>37</v>
      </c>
      <c r="F38" s="13">
        <v>2.0</v>
      </c>
      <c r="G38" s="14">
        <v>19.3</v>
      </c>
      <c r="H38" s="10" t="s">
        <v>5480</v>
      </c>
      <c r="I38" s="10">
        <v>81.3</v>
      </c>
      <c r="O38" s="15">
        <f>IFERROR(__xludf.DUMMYFUNCTION("IF(ISBLANK($C38), """", GOOGLEFINANCE($C38, ""price""))"),19.18)</f>
        <v>19.18</v>
      </c>
      <c r="P38" s="16">
        <f t="shared" si="2"/>
        <v>-0.00621761658</v>
      </c>
      <c r="Q38" s="16">
        <f>IFERROR(__xludf.DUMMYFUNCTION("IF(OR(ISBLANK($G38), IFERROR(INDEX(GOOGLEFINANCE($C38, ""price"", WORKDAY(INT($B38), 1)), 2, 2), """")=""""), """", IF($D38=""LONG"", (IFERROR(INDEX(GOOGLEFINANCE($C38, ""price"", WORKDAY(INT($B38), 1)), 2, 2), """")-$G38)/$G38, ($G38-IFERROR(INDEX(GOOGLE"&amp;"FINANCE($C38, ""price"", WORKDAY(INT($B38), 1)), 2, 2), """"))/$G38))"),-0.0031088082901555582)</f>
        <v>-0.00310880829</v>
      </c>
      <c r="R38" s="16">
        <f>IFERROR(__xludf.DUMMYFUNCTION("IF(OR(ISBLANK($G38), IFERROR(INDEX(GOOGLEFINANCE($C38, ""price"", WORKDAY(INT($B38), 5)), 2, 2), """")=""""), """", IF($D38=""LONG"", (IFERROR(INDEX(GOOGLEFINANCE($C38, ""price"", WORKDAY(INT($B38), 5)), 2, 2), """")-$G38)/$G38, ($G38-IFERROR(INDEX(GOOGLE"&amp;"FINANCE($C38, ""price"", WORKDAY(INT($B38), 5)), 2, 2), """"))/$G38))"),-0.006217616580310932)</f>
        <v>-0.00621761658</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5481</v>
      </c>
    </row>
    <row r="39">
      <c r="A39" s="9">
        <f t="shared" si="1"/>
        <v>38</v>
      </c>
      <c r="B39" s="11">
        <v>46233.66761574074</v>
      </c>
      <c r="C39" s="10" t="s">
        <v>4135</v>
      </c>
      <c r="D39" s="10" t="s">
        <v>36</v>
      </c>
      <c r="E39" s="10" t="s">
        <v>37</v>
      </c>
      <c r="F39" s="13">
        <v>2.0</v>
      </c>
      <c r="G39" s="14">
        <v>387.67</v>
      </c>
      <c r="H39" s="10" t="s">
        <v>5482</v>
      </c>
      <c r="I39" s="10">
        <v>89.2</v>
      </c>
      <c r="O39" s="15">
        <f>IFERROR(__xludf.DUMMYFUNCTION("IF(ISBLANK($C39), """", GOOGLEFINANCE($C39, ""price""))"),404.85)</f>
        <v>404.85</v>
      </c>
      <c r="P39" s="16">
        <f t="shared" si="2"/>
        <v>0.04431604199</v>
      </c>
      <c r="Q39" s="16">
        <f>IFERROR(__xludf.DUMMYFUNCTION("IF(OR(ISBLANK($G39), IFERROR(INDEX(GOOGLEFINANCE($C39, ""price"", WORKDAY(INT($B39), 1)), 2, 2), """")=""""), """", IF($D39=""LONG"", (IFERROR(INDEX(GOOGLEFINANCE($C39, ""price"", WORKDAY(INT($B39), 1)), 2, 2), """")-$G39)/$G39, ($G39-IFERROR(INDEX(GOOGLE"&amp;"FINANCE($C39, ""price"", WORKDAY(INT($B39), 1)), 2, 2), """"))/$G39))"),-0.006474578894420489)</f>
        <v>-0.006474578894</v>
      </c>
      <c r="R39" s="16">
        <f>IFERROR(__xludf.DUMMYFUNCTION("IF(OR(ISBLANK($G39), IFERROR(INDEX(GOOGLEFINANCE($C39, ""price"", WORKDAY(INT($B39), 5)), 2, 2), """")=""""), """", IF($D39=""LONG"", (IFERROR(INDEX(GOOGLEFINANCE($C39, ""price"", WORKDAY(INT($B39), 5)), 2, 2), """")-$G39)/$G39, ($G39-IFERROR(INDEX(GOOGLE"&amp;"FINANCE($C39, ""price"", WORKDAY(INT($B39), 5)), 2, 2), """"))/$G39))"),0.04431604199447986)</f>
        <v>0.04431604199</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5483</v>
      </c>
    </row>
    <row r="40">
      <c r="A40" s="9">
        <f t="shared" si="1"/>
        <v>39</v>
      </c>
      <c r="B40" s="11">
        <v>46233.66763888889</v>
      </c>
      <c r="C40" s="10" t="s">
        <v>3690</v>
      </c>
      <c r="D40" s="10" t="s">
        <v>36</v>
      </c>
      <c r="E40" s="10" t="s">
        <v>37</v>
      </c>
      <c r="F40" s="13">
        <v>2.0</v>
      </c>
      <c r="G40" s="14">
        <v>648.94</v>
      </c>
      <c r="H40" s="10" t="s">
        <v>5484</v>
      </c>
      <c r="I40" s="10">
        <v>95.4</v>
      </c>
      <c r="O40" s="15">
        <f>IFERROR(__xludf.DUMMYFUNCTION("IF(ISBLANK($C40), """", GOOGLEFINANCE($C40, ""price""))"),687.52)</f>
        <v>687.52</v>
      </c>
      <c r="P40" s="16">
        <f t="shared" si="2"/>
        <v>0.05945079668</v>
      </c>
      <c r="Q40" s="16">
        <f>IFERROR(__xludf.DUMMYFUNCTION("IF(OR(ISBLANK($G40), IFERROR(INDEX(GOOGLEFINANCE($C40, ""price"", WORKDAY(INT($B40), 1)), 2, 2), """")=""""), """", IF($D40=""LONG"", (IFERROR(INDEX(GOOGLEFINANCE($C40, ""price"", WORKDAY(INT($B40), 1)), 2, 2), """")-$G40)/$G40, ($G40-IFERROR(INDEX(GOOGLE"&amp;"FINANCE($C40, ""price"", WORKDAY(INT($B40), 1)), 2, 2), """"))/$G40))"),0.01021666101642678)</f>
        <v>0.01021666102</v>
      </c>
      <c r="R40" s="16">
        <f>IFERROR(__xludf.DUMMYFUNCTION("IF(OR(ISBLANK($G40), IFERROR(INDEX(GOOGLEFINANCE($C40, ""price"", WORKDAY(INT($B40), 5)), 2, 2), """")=""""), """", IF($D40=""LONG"", (IFERROR(INDEX(GOOGLEFINANCE($C40, ""price"", WORKDAY(INT($B40), 5)), 2, 2), """")-$G40)/$G40, ($G40-IFERROR(INDEX(GOOGLE"&amp;"FINANCE($C40, ""price"", WORKDAY(INT($B40), 5)), 2, 2), """"))/$G40))"),0.059450796683822735)</f>
        <v>0.05945079668</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5485</v>
      </c>
    </row>
    <row r="41">
      <c r="A41" s="9">
        <f t="shared" si="1"/>
        <v>40</v>
      </c>
      <c r="B41" s="11">
        <v>46233.66762731481</v>
      </c>
      <c r="C41" s="10" t="s">
        <v>2793</v>
      </c>
      <c r="D41" s="10" t="s">
        <v>36</v>
      </c>
      <c r="E41" s="10" t="s">
        <v>37</v>
      </c>
      <c r="F41" s="13">
        <v>2.0</v>
      </c>
      <c r="G41" s="14">
        <v>48.71</v>
      </c>
      <c r="H41" s="10" t="s">
        <v>5486</v>
      </c>
      <c r="I41" s="10">
        <v>88.9</v>
      </c>
      <c r="O41" s="15">
        <f>IFERROR(__xludf.DUMMYFUNCTION("IF(ISBLANK($C41), """", GOOGLEFINANCE($C41, ""price""))"),47.37)</f>
        <v>47.37</v>
      </c>
      <c r="P41" s="16">
        <f t="shared" si="2"/>
        <v>-0.02750975159</v>
      </c>
      <c r="Q41" s="16">
        <f>IFERROR(__xludf.DUMMYFUNCTION("IF(OR(ISBLANK($G41), IFERROR(INDEX(GOOGLEFINANCE($C41, ""price"", WORKDAY(INT($B41), 1)), 2, 2), """")=""""), """", IF($D41=""LONG"", (IFERROR(INDEX(GOOGLEFINANCE($C41, ""price"", WORKDAY(INT($B41), 1)), 2, 2), """")-$G41)/$G41, ($G41-IFERROR(INDEX(GOOGLE"&amp;"FINANCE($C41, ""price"", WORKDAY(INT($B41), 1)), 2, 2), """"))/$G41))"),-0.008211866146581781)</f>
        <v>-0.008211866147</v>
      </c>
      <c r="R41" s="16">
        <f>IFERROR(__xludf.DUMMYFUNCTION("IF(OR(ISBLANK($G41), IFERROR(INDEX(GOOGLEFINANCE($C41, ""price"", WORKDAY(INT($B41), 5)), 2, 2), """")=""""), """", IF($D41=""LONG"", (IFERROR(INDEX(GOOGLEFINANCE($C41, ""price"", WORKDAY(INT($B41), 5)), 2, 2), """")-$G41)/$G41, ($G41-IFERROR(INDEX(GOOGLE"&amp;"FINANCE($C41, ""price"", WORKDAY(INT($B41), 5)), 2, 2), """"))/$G41))"),-0.027509751591049136)</f>
        <v>-0.02750975159</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5487</v>
      </c>
    </row>
    <row r="42">
      <c r="A42" s="9">
        <f t="shared" si="1"/>
        <v>41</v>
      </c>
      <c r="B42" s="11">
        <v>46233.667604166665</v>
      </c>
      <c r="C42" s="10" t="s">
        <v>95</v>
      </c>
      <c r="D42" s="10" t="s">
        <v>36</v>
      </c>
      <c r="E42" s="10" t="s">
        <v>1892</v>
      </c>
      <c r="F42" s="13">
        <v>2.0</v>
      </c>
      <c r="G42" s="14">
        <v>183.63</v>
      </c>
      <c r="H42" s="10" t="s">
        <v>5488</v>
      </c>
      <c r="I42" s="10">
        <v>65.3</v>
      </c>
      <c r="O42" s="15">
        <f>IFERROR(__xludf.DUMMYFUNCTION("IF(ISBLANK($C42), """", GOOGLEFINANCE($C42, ""price""))"),181.77)</f>
        <v>181.77</v>
      </c>
      <c r="P42" s="16">
        <f t="shared" si="2"/>
        <v>-0.01012906388</v>
      </c>
      <c r="Q42" s="16">
        <f>IFERROR(__xludf.DUMMYFUNCTION("IF(OR(ISBLANK($G42), IFERROR(INDEX(GOOGLEFINANCE($C42, ""price"", WORKDAY(INT($B42), 1)), 2, 2), """")=""""), """", IF($D42=""LONG"", (IFERROR(INDEX(GOOGLEFINANCE($C42, ""price"", WORKDAY(INT($B42), 1)), 2, 2), """")-$G42)/$G42, ($G42-IFERROR(INDEX(GOOGLE"&amp;"FINANCE($C42, ""price"", WORKDAY(INT($B42), 1)), 2, 2), """"))/$G42))"),-0.05173446604585308)</f>
        <v>-0.05173446605</v>
      </c>
      <c r="R42" s="16">
        <f>IFERROR(__xludf.DUMMYFUNCTION("IF(OR(ISBLANK($G42), IFERROR(INDEX(GOOGLEFINANCE($C42, ""price"", WORKDAY(INT($B42), 5)), 2, 2), """")=""""), """", IF($D42=""LONG"", (IFERROR(INDEX(GOOGLEFINANCE($C42, ""price"", WORKDAY(INT($B42), 5)), 2, 2), """")-$G42)/$G42, ($G42-IFERROR(INDEX(GOOGLE"&amp;"FINANCE($C42, ""price"", WORKDAY(INT($B42), 5)), 2, 2), """"))/$G42))"),-0.010129063878451153)</f>
        <v>-0.01012906388</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5489</v>
      </c>
    </row>
    <row r="43">
      <c r="A43" s="9">
        <f t="shared" si="1"/>
        <v>42</v>
      </c>
      <c r="B43" s="11">
        <v>46233.667650462965</v>
      </c>
      <c r="C43" s="10" t="s">
        <v>226</v>
      </c>
      <c r="D43" s="10" t="s">
        <v>36</v>
      </c>
      <c r="E43" s="10" t="s">
        <v>37</v>
      </c>
      <c r="F43" s="13">
        <v>2.0</v>
      </c>
      <c r="G43" s="14">
        <v>22.06</v>
      </c>
      <c r="H43" s="10" t="s">
        <v>5490</v>
      </c>
      <c r="I43" s="10">
        <v>93.1</v>
      </c>
      <c r="O43" s="15">
        <f>IFERROR(__xludf.DUMMYFUNCTION("IF(ISBLANK($C43), """", GOOGLEFINANCE($C43, ""price""))"),21.1)</f>
        <v>21.1</v>
      </c>
      <c r="P43" s="16">
        <f t="shared" si="2"/>
        <v>-0.04351767906</v>
      </c>
      <c r="Q43" s="16">
        <f>IFERROR(__xludf.DUMMYFUNCTION("IF(OR(ISBLANK($G43), IFERROR(INDEX(GOOGLEFINANCE($C43, ""price"", WORKDAY(INT($B43), 1)), 2, 2), """")=""""), """", IF($D43=""LONG"", (IFERROR(INDEX(GOOGLEFINANCE($C43, ""price"", WORKDAY(INT($B43), 1)), 2, 2), """")-$G43)/$G43, ($G43-IFERROR(INDEX(GOOGLE"&amp;"FINANCE($C43, ""price"", WORKDAY(INT($B43), 1)), 2, 2), """"))/$G43))"),-0.010426110607434291)</f>
        <v>-0.01042611061</v>
      </c>
      <c r="R43" s="16">
        <f>IFERROR(__xludf.DUMMYFUNCTION("IF(OR(ISBLANK($G43), IFERROR(INDEX(GOOGLEFINANCE($C43, ""price"", WORKDAY(INT($B43), 5)), 2, 2), """")=""""), """", IF($D43=""LONG"", (IFERROR(INDEX(GOOGLEFINANCE($C43, ""price"", WORKDAY(INT($B43), 5)), 2, 2), """")-$G43)/$G43, ($G43-IFERROR(INDEX(GOOGLE"&amp;"FINANCE($C43, ""price"", WORKDAY(INT($B43), 5)), 2, 2), """"))/$G43))"),-0.043517679057116836)</f>
        <v>-0.04351767906</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5491</v>
      </c>
    </row>
    <row r="44">
      <c r="A44" s="9">
        <f t="shared" si="1"/>
        <v>43</v>
      </c>
      <c r="B44" s="11">
        <v>46233.66767361111</v>
      </c>
      <c r="C44" s="10" t="s">
        <v>3081</v>
      </c>
      <c r="D44" s="10" t="s">
        <v>36</v>
      </c>
      <c r="E44" s="10" t="s">
        <v>37</v>
      </c>
      <c r="F44" s="13">
        <v>2.0</v>
      </c>
      <c r="G44" s="14">
        <v>17.78</v>
      </c>
      <c r="H44" s="10" t="s">
        <v>5492</v>
      </c>
      <c r="I44" s="10">
        <v>90.7</v>
      </c>
      <c r="O44" s="15">
        <f>IFERROR(__xludf.DUMMYFUNCTION("IF(ISBLANK($C44), """", GOOGLEFINANCE($C44, ""price""))"),17.0)</f>
        <v>17</v>
      </c>
      <c r="P44" s="16">
        <f t="shared" si="2"/>
        <v>-0.04386951631</v>
      </c>
      <c r="Q44" s="16">
        <f>IFERROR(__xludf.DUMMYFUNCTION("IF(OR(ISBLANK($G44), IFERROR(INDEX(GOOGLEFINANCE($C44, ""price"", WORKDAY(INT($B44), 1)), 2, 2), """")=""""), """", IF($D44=""LONG"", (IFERROR(INDEX(GOOGLEFINANCE($C44, ""price"", WORKDAY(INT($B44), 1)), 2, 2), """")-$G44)/$G44, ($G44-IFERROR(INDEX(GOOGLE"&amp;"FINANCE($C44, ""price"", WORKDAY(INT($B44), 1)), 2, 2), """"))/$G44))"),-0.02249718785151868)</f>
        <v>-0.02249718785</v>
      </c>
      <c r="R44" s="16">
        <f>IFERROR(__xludf.DUMMYFUNCTION("IF(OR(ISBLANK($G44), IFERROR(INDEX(GOOGLEFINANCE($C44, ""price"", WORKDAY(INT($B44), 5)), 2, 2), """")=""""), """", IF($D44=""LONG"", (IFERROR(INDEX(GOOGLEFINANCE($C44, ""price"", WORKDAY(INT($B44), 5)), 2, 2), """")-$G44)/$G44, ($G44-IFERROR(INDEX(GOOGLE"&amp;"FINANCE($C44, ""price"", WORKDAY(INT($B44), 5)), 2, 2), """"))/$G44))"),-0.04386951631046125)</f>
        <v>-0.04386951631</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5493</v>
      </c>
    </row>
    <row r="45">
      <c r="A45" s="9">
        <f t="shared" si="1"/>
        <v>44</v>
      </c>
      <c r="B45" s="11">
        <v>46233.66777777778</v>
      </c>
      <c r="C45" s="10" t="s">
        <v>424</v>
      </c>
      <c r="D45" s="10" t="s">
        <v>36</v>
      </c>
      <c r="E45" s="10" t="s">
        <v>37</v>
      </c>
      <c r="F45" s="13">
        <v>2.0</v>
      </c>
      <c r="G45" s="14">
        <v>84.71</v>
      </c>
      <c r="H45" s="10" t="s">
        <v>5494</v>
      </c>
      <c r="I45" s="10">
        <v>91.0</v>
      </c>
      <c r="O45" s="15">
        <f>IFERROR(__xludf.DUMMYFUNCTION("IF(ISBLANK($C45), """", GOOGLEFINANCE($C45, ""price""))"),84.35)</f>
        <v>84.35</v>
      </c>
      <c r="P45" s="16">
        <f t="shared" si="2"/>
        <v>-0.004249793413</v>
      </c>
      <c r="Q45" s="16">
        <f>IFERROR(__xludf.DUMMYFUNCTION("IF(OR(ISBLANK($G45), IFERROR(INDEX(GOOGLEFINANCE($C45, ""price"", WORKDAY(INT($B45), 1)), 2, 2), """")=""""), """", IF($D45=""LONG"", (IFERROR(INDEX(GOOGLEFINANCE($C45, ""price"", WORKDAY(INT($B45), 1)), 2, 2), """")-$G45)/$G45, ($G45-IFERROR(INDEX(GOOGLE"&amp;"FINANCE($C45, ""price"", WORKDAY(INT($B45), 1)), 2, 2), """"))/$G45))"),0.006256640302207545)</f>
        <v>0.006256640302</v>
      </c>
      <c r="R45" s="16">
        <f>IFERROR(__xludf.DUMMYFUNCTION("IF(OR(ISBLANK($G45), IFERROR(INDEX(GOOGLEFINANCE($C45, ""price"", WORKDAY(INT($B45), 5)), 2, 2), """")=""""), """", IF($D45=""LONG"", (IFERROR(INDEX(GOOGLEFINANCE($C45, ""price"", WORKDAY(INT($B45), 5)), 2, 2), """")-$G45)/$G45, ($G45-IFERROR(INDEX(GOOGLE"&amp;"FINANCE($C45, ""price"", WORKDAY(INT($B45), 5)), 2, 2), """"))/$G45))"),-0.004249793412820203)</f>
        <v>-0.004249793413</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5495</v>
      </c>
    </row>
    <row r="46">
      <c r="A46" s="9">
        <f t="shared" si="1"/>
        <v>45</v>
      </c>
      <c r="B46" s="11">
        <v>46233.667708333334</v>
      </c>
      <c r="C46" s="10" t="s">
        <v>222</v>
      </c>
      <c r="D46" s="10" t="s">
        <v>36</v>
      </c>
      <c r="E46" s="10" t="s">
        <v>37</v>
      </c>
      <c r="F46" s="13">
        <v>2.0</v>
      </c>
      <c r="G46" s="14">
        <v>481.77</v>
      </c>
      <c r="H46" s="10" t="s">
        <v>5496</v>
      </c>
      <c r="I46" s="10">
        <v>83.8</v>
      </c>
      <c r="O46" s="15">
        <f>IFERROR(__xludf.DUMMYFUNCTION("IF(ISBLANK($C46), """", GOOGLEFINANCE($C46, ""price""))"),484.03)</f>
        <v>484.03</v>
      </c>
      <c r="P46" s="16">
        <f t="shared" si="2"/>
        <v>0.004691035141</v>
      </c>
      <c r="Q46" s="16">
        <f>IFERROR(__xludf.DUMMYFUNCTION("IF(OR(ISBLANK($G46), IFERROR(INDEX(GOOGLEFINANCE($C46, ""price"", WORKDAY(INT($B46), 1)), 2, 2), """")=""""), """", IF($D46=""LONG"", (IFERROR(INDEX(GOOGLEFINANCE($C46, ""price"", WORKDAY(INT($B46), 1)), 2, 2), """")-$G46)/$G46, ($G46-IFERROR(INDEX(GOOGLE"&amp;"FINANCE($C46, ""price"", WORKDAY(INT($B46), 1)), 2, 2), """"))/$G46))"),-0.009693422172405835)</f>
        <v>-0.009693422172</v>
      </c>
      <c r="R46" s="16">
        <f>IFERROR(__xludf.DUMMYFUNCTION("IF(OR(ISBLANK($G46), IFERROR(INDEX(GOOGLEFINANCE($C46, ""price"", WORKDAY(INT($B46), 5)), 2, 2), """")=""""), """", IF($D46=""LONG"", (IFERROR(INDEX(GOOGLEFINANCE($C46, ""price"", WORKDAY(INT($B46), 5)), 2, 2), """")-$G46)/$G46, ($G46-IFERROR(INDEX(GOOGLE"&amp;"FINANCE($C46, ""price"", WORKDAY(INT($B46), 5)), 2, 2), """"))/$G46))"),0.004691035141249955)</f>
        <v>0.004691035141</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5497</v>
      </c>
    </row>
    <row r="47">
      <c r="A47" s="9">
        <f t="shared" si="1"/>
        <v>46</v>
      </c>
      <c r="B47" s="11">
        <v>46233.667662037034</v>
      </c>
      <c r="C47" s="10" t="s">
        <v>114</v>
      </c>
      <c r="D47" s="10" t="s">
        <v>36</v>
      </c>
      <c r="E47" s="10" t="s">
        <v>37</v>
      </c>
      <c r="F47" s="13">
        <v>2.0</v>
      </c>
      <c r="G47" s="14">
        <v>227.12</v>
      </c>
      <c r="H47" s="10" t="s">
        <v>5498</v>
      </c>
      <c r="I47" s="10">
        <v>83.3</v>
      </c>
      <c r="O47" s="15">
        <f>IFERROR(__xludf.DUMMYFUNCTION("IF(ISBLANK($C47), """", GOOGLEFINANCE($C47, ""price""))"),237.66)</f>
        <v>237.66</v>
      </c>
      <c r="P47" s="16">
        <f t="shared" si="2"/>
        <v>0.04640718563</v>
      </c>
      <c r="Q47" s="16">
        <f>IFERROR(__xludf.DUMMYFUNCTION("IF(OR(ISBLANK($G47), IFERROR(INDEX(GOOGLEFINANCE($C47, ""price"", WORKDAY(INT($B47), 1)), 2, 2), """")=""""), """", IF($D47=""LONG"", (IFERROR(INDEX(GOOGLEFINANCE($C47, ""price"", WORKDAY(INT($B47), 1)), 2, 2), """")-$G47)/$G47, ($G47-IFERROR(INDEX(GOOGLE"&amp;"FINANCE($C47, ""price"", WORKDAY(INT($B47), 1)), 2, 2), """"))/$G47))"),0.012812610073969692)</f>
        <v>0.01281261007</v>
      </c>
      <c r="R47" s="16">
        <f>IFERROR(__xludf.DUMMYFUNCTION("IF(OR(ISBLANK($G47), IFERROR(INDEX(GOOGLEFINANCE($C47, ""price"", WORKDAY(INT($B47), 5)), 2, 2), """")=""""), """", IF($D47=""LONG"", (IFERROR(INDEX(GOOGLEFINANCE($C47, ""price"", WORKDAY(INT($B47), 5)), 2, 2), """")-$G47)/$G47, ($G47-IFERROR(INDEX(GOOGLE"&amp;"FINANCE($C47, ""price"", WORKDAY(INT($B47), 5)), 2, 2), """"))/$G47))"),0.04640718562874248)</f>
        <v>0.04640718563</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5499</v>
      </c>
    </row>
    <row r="48">
      <c r="A48" s="9">
        <f t="shared" si="1"/>
        <v>47</v>
      </c>
      <c r="B48" s="11">
        <v>46233.66777777778</v>
      </c>
      <c r="C48" s="10" t="s">
        <v>1171</v>
      </c>
      <c r="D48" s="10" t="s">
        <v>36</v>
      </c>
      <c r="E48" s="10" t="s">
        <v>37</v>
      </c>
      <c r="F48" s="13">
        <v>2.0</v>
      </c>
      <c r="G48" s="14">
        <v>235.45</v>
      </c>
      <c r="H48" s="10" t="s">
        <v>5500</v>
      </c>
      <c r="I48" s="10">
        <v>90.1</v>
      </c>
      <c r="O48" s="15">
        <f>IFERROR(__xludf.DUMMYFUNCTION("IF(ISBLANK($C48), """", GOOGLEFINANCE($C48, ""price""))"),236.0)</f>
        <v>236</v>
      </c>
      <c r="P48" s="16">
        <f t="shared" si="2"/>
        <v>0.002335952432</v>
      </c>
      <c r="Q48" s="16">
        <f>IFERROR(__xludf.DUMMYFUNCTION("IF(OR(ISBLANK($G48), IFERROR(INDEX(GOOGLEFINANCE($C48, ""price"", WORKDAY(INT($B48), 1)), 2, 2), """")=""""), """", IF($D48=""LONG"", (IFERROR(INDEX(GOOGLEFINANCE($C48, ""price"", WORKDAY(INT($B48), 1)), 2, 2), """")-$G48)/$G48, ($G48-IFERROR(INDEX(GOOGLE"&amp;"FINANCE($C48, ""price"", WORKDAY(INT($B48), 1)), 2, 2), """"))/$G48))"),-0.004289658101507713)</f>
        <v>-0.004289658102</v>
      </c>
      <c r="R48" s="16">
        <f>IFERROR(__xludf.DUMMYFUNCTION("IF(OR(ISBLANK($G48), IFERROR(INDEX(GOOGLEFINANCE($C48, ""price"", WORKDAY(INT($B48), 5)), 2, 2), """")=""""), """", IF($D48=""LONG"", (IFERROR(INDEX(GOOGLEFINANCE($C48, ""price"", WORKDAY(INT($B48), 5)), 2, 2), """")-$G48)/$G48, ($G48-IFERROR(INDEX(GOOGLE"&amp;"FINANCE($C48, ""price"", WORKDAY(INT($B48), 5)), 2, 2), """"))/$G48))"),0.0023359524315141704)</f>
        <v>0.002335952432</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5501</v>
      </c>
    </row>
    <row r="49">
      <c r="A49" s="9">
        <f t="shared" si="1"/>
        <v>48</v>
      </c>
      <c r="B49" s="11">
        <v>46233.66767361111</v>
      </c>
      <c r="C49" s="10" t="s">
        <v>4463</v>
      </c>
      <c r="D49" s="10" t="s">
        <v>36</v>
      </c>
      <c r="E49" s="10" t="s">
        <v>37</v>
      </c>
      <c r="F49" s="13">
        <v>2.0</v>
      </c>
      <c r="G49" s="14">
        <v>26.39</v>
      </c>
      <c r="H49" s="10" t="s">
        <v>5502</v>
      </c>
      <c r="I49" s="10">
        <v>94.1</v>
      </c>
      <c r="O49" s="15">
        <f>IFERROR(__xludf.DUMMYFUNCTION("IF(ISBLANK($C49), """", GOOGLEFINANCE($C49, ""price""))"),24.96)</f>
        <v>24.96</v>
      </c>
      <c r="P49" s="16">
        <f t="shared" si="2"/>
        <v>-0.05418719212</v>
      </c>
      <c r="Q49" s="16">
        <f>IFERROR(__xludf.DUMMYFUNCTION("IF(OR(ISBLANK($G49), IFERROR(INDEX(GOOGLEFINANCE($C49, ""price"", WORKDAY(INT($B49), 1)), 2, 2), """")=""""), """", IF($D49=""LONG"", (IFERROR(INDEX(GOOGLEFINANCE($C49, ""price"", WORKDAY(INT($B49), 1)), 2, 2), """")-$G49)/$G49, ($G49-IFERROR(INDEX(GOOGLE"&amp;"FINANCE($C49, ""price"", WORKDAY(INT($B49), 1)), 2, 2), """"))/$G49))"),-0.020462296324365258)</f>
        <v>-0.02046229632</v>
      </c>
      <c r="R49" s="16">
        <f>IFERROR(__xludf.DUMMYFUNCTION("IF(OR(ISBLANK($G49), IFERROR(INDEX(GOOGLEFINANCE($C49, ""price"", WORKDAY(INT($B49), 5)), 2, 2), """")=""""), """", IF($D49=""LONG"", (IFERROR(INDEX(GOOGLEFINANCE($C49, ""price"", WORKDAY(INT($B49), 5)), 2, 2), """")-$G49)/$G49, ($G49-IFERROR(INDEX(GOOGLE"&amp;"FINANCE($C49, ""price"", WORKDAY(INT($B49), 5)), 2, 2), """"))/$G49))"),-0.05418719211822659)</f>
        <v>-0.05418719212</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5503</v>
      </c>
    </row>
    <row r="50">
      <c r="A50" s="9">
        <f t="shared" si="1"/>
        <v>49</v>
      </c>
      <c r="B50" s="11">
        <v>46233.66758101852</v>
      </c>
      <c r="C50" s="10" t="s">
        <v>67</v>
      </c>
      <c r="D50" s="10" t="s">
        <v>36</v>
      </c>
      <c r="E50" s="10" t="s">
        <v>37</v>
      </c>
      <c r="F50" s="13">
        <v>2.0</v>
      </c>
      <c r="G50" s="14">
        <v>87.78</v>
      </c>
      <c r="H50" s="10" t="s">
        <v>5504</v>
      </c>
      <c r="I50" s="10">
        <v>91.9</v>
      </c>
      <c r="O50" s="15">
        <f>IFERROR(__xludf.DUMMYFUNCTION("IF(ISBLANK($C50), """", GOOGLEFINANCE($C50, ""price""))"),80.02)</f>
        <v>80.02</v>
      </c>
      <c r="P50" s="16">
        <f t="shared" si="2"/>
        <v>-0.08840282524</v>
      </c>
      <c r="Q50" s="16">
        <f>IFERROR(__xludf.DUMMYFUNCTION("IF(OR(ISBLANK($G50), IFERROR(INDEX(GOOGLEFINANCE($C50, ""price"", WORKDAY(INT($B50), 1)), 2, 2), """")=""""), """", IF($D50=""LONG"", (IFERROR(INDEX(GOOGLEFINANCE($C50, ""price"", WORKDAY(INT($B50), 1)), 2, 2), """")-$G50)/$G50, ($G50-IFERROR(INDEX(GOOGLE"&amp;"FINANCE($C50, ""price"", WORKDAY(INT($B50), 1)), 2, 2), """"))/$G50))"),-0.01731601731601727)</f>
        <v>-0.01731601732</v>
      </c>
      <c r="R50" s="16">
        <f>IFERROR(__xludf.DUMMYFUNCTION("IF(OR(ISBLANK($G50), IFERROR(INDEX(GOOGLEFINANCE($C50, ""price"", WORKDAY(INT($B50), 5)), 2, 2), """")=""""), """", IF($D50=""LONG"", (IFERROR(INDEX(GOOGLEFINANCE($C50, ""price"", WORKDAY(INT($B50), 5)), 2, 2), """")-$G50)/$G50, ($G50-IFERROR(INDEX(GOOGLE"&amp;"FINANCE($C50, ""price"", WORKDAY(INT($B50), 5)), 2, 2), """"))/$G50))"),-0.08840282524493057)</f>
        <v>-0.08840282524</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5505</v>
      </c>
    </row>
    <row r="51">
      <c r="A51" s="9">
        <f t="shared" si="1"/>
        <v>50</v>
      </c>
      <c r="B51" s="11">
        <v>46233.667719907404</v>
      </c>
      <c r="C51" s="10" t="s">
        <v>398</v>
      </c>
      <c r="D51" s="10" t="s">
        <v>36</v>
      </c>
      <c r="E51" s="10" t="s">
        <v>37</v>
      </c>
      <c r="F51" s="13">
        <v>2.0</v>
      </c>
      <c r="G51" s="14">
        <v>72.04</v>
      </c>
      <c r="H51" s="10" t="s">
        <v>5506</v>
      </c>
      <c r="I51" s="10">
        <v>92.9</v>
      </c>
      <c r="O51" s="15">
        <f>IFERROR(__xludf.DUMMYFUNCTION("IF(ISBLANK($C51), """", GOOGLEFINANCE($C51, ""price""))"),71.9)</f>
        <v>71.9</v>
      </c>
      <c r="P51" s="16">
        <f t="shared" si="2"/>
        <v>-0.001943364797</v>
      </c>
      <c r="Q51" s="16">
        <f>IFERROR(__xludf.DUMMYFUNCTION("IF(OR(ISBLANK($G51), IFERROR(INDEX(GOOGLEFINANCE($C51, ""price"", WORKDAY(INT($B51), 1)), 2, 2), """")=""""), """", IF($D51=""LONG"", (IFERROR(INDEX(GOOGLEFINANCE($C51, ""price"", WORKDAY(INT($B51), 1)), 2, 2), """")-$G51)/$G51, ($G51-IFERROR(INDEX(GOOGLE"&amp;"FINANCE($C51, ""price"", WORKDAY(INT($B51), 1)), 2, 2), """"))/$G51))"),6.940588561909655E-4)</f>
        <v>0.0006940588562</v>
      </c>
      <c r="R51" s="16">
        <f>IFERROR(__xludf.DUMMYFUNCTION("IF(OR(ISBLANK($G51), IFERROR(INDEX(GOOGLEFINANCE($C51, ""price"", WORKDAY(INT($B51), 5)), 2, 2), """")=""""), """", IF($D51=""LONG"", (IFERROR(INDEX(GOOGLEFINANCE($C51, ""price"", WORKDAY(INT($B51), 5)), 2, 2), """")-$G51)/$G51, ($G51-IFERROR(INDEX(GOOGLE"&amp;"FINANCE($C51, ""price"", WORKDAY(INT($B51), 5)), 2, 2), """"))/$G51))"),-0.001526929483620203)</f>
        <v>-0.001526929484</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5507</v>
      </c>
    </row>
    <row r="52">
      <c r="A52" s="9">
        <f t="shared" si="1"/>
        <v>51</v>
      </c>
      <c r="B52" s="11">
        <v>46233.66820601852</v>
      </c>
      <c r="C52" s="10" t="s">
        <v>4394</v>
      </c>
      <c r="D52" s="10" t="s">
        <v>36</v>
      </c>
      <c r="E52" s="10" t="s">
        <v>37</v>
      </c>
      <c r="F52" s="13">
        <v>2.0</v>
      </c>
      <c r="G52" s="14">
        <v>311.51</v>
      </c>
      <c r="H52" s="10" t="s">
        <v>5508</v>
      </c>
      <c r="I52" s="10">
        <v>94.0</v>
      </c>
      <c r="O52" s="15">
        <f>IFERROR(__xludf.DUMMYFUNCTION("IF(ISBLANK($C52), """", GOOGLEFINANCE($C52, ""price""))"),302.99)</f>
        <v>302.99</v>
      </c>
      <c r="P52" s="16">
        <f t="shared" si="2"/>
        <v>-0.02735064685</v>
      </c>
      <c r="Q52" s="16">
        <f>IFERROR(__xludf.DUMMYFUNCTION("IF(OR(ISBLANK($G52), IFERROR(INDEX(GOOGLEFINANCE($C52, ""price"", WORKDAY(INT($B52), 1)), 2, 2), """")=""""), """", IF($D52=""LONG"", (IFERROR(INDEX(GOOGLEFINANCE($C52, ""price"", WORKDAY(INT($B52), 1)), 2, 2), """")-$G52)/$G52, ($G52-IFERROR(INDEX(GOOGLE"&amp;"FINANCE($C52, ""price"", WORKDAY(INT($B52), 1)), 2, 2), """"))/$G52))"),0.004462136046996842)</f>
        <v>0.004462136047</v>
      </c>
      <c r="R52" s="16">
        <f>IFERROR(__xludf.DUMMYFUNCTION("IF(OR(ISBLANK($G52), IFERROR(INDEX(GOOGLEFINANCE($C52, ""price"", WORKDAY(INT($B52), 5)), 2, 2), """")=""""), """", IF($D52=""LONG"", (IFERROR(INDEX(GOOGLEFINANCE($C52, ""price"", WORKDAY(INT($B52), 5)), 2, 2), """")-$G52)/$G52, ($G52-IFERROR(INDEX(GOOGLE"&amp;"FINANCE($C52, ""price"", WORKDAY(INT($B52), 5)), 2, 2), """"))/$G52))"),-0.027350646849218264)</f>
        <v>-0.02735064685</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5509</v>
      </c>
    </row>
    <row r="53">
      <c r="A53" s="9">
        <f t="shared" si="1"/>
        <v>52</v>
      </c>
      <c r="B53" s="11">
        <v>46233.668217592596</v>
      </c>
      <c r="C53" s="10" t="s">
        <v>248</v>
      </c>
      <c r="D53" s="10" t="s">
        <v>36</v>
      </c>
      <c r="E53" s="10" t="s">
        <v>37</v>
      </c>
      <c r="F53" s="13">
        <v>2.0</v>
      </c>
      <c r="G53" s="14">
        <v>71.72</v>
      </c>
      <c r="H53" s="10" t="s">
        <v>1976</v>
      </c>
      <c r="I53" s="10">
        <v>89.1</v>
      </c>
      <c r="O53" s="15">
        <f>IFERROR(__xludf.DUMMYFUNCTION("IF(ISBLANK($C53), """", GOOGLEFINANCE($C53, ""price""))"),72.43)</f>
        <v>72.43</v>
      </c>
      <c r="P53" s="16">
        <f t="shared" si="2"/>
        <v>0.009899609593</v>
      </c>
      <c r="Q53" s="16">
        <f>IFERROR(__xludf.DUMMYFUNCTION("IF(OR(ISBLANK($G53), IFERROR(INDEX(GOOGLEFINANCE($C53, ""price"", WORKDAY(INT($B53), 1)), 2, 2), """")=""""), """", IF($D53=""LONG"", (IFERROR(INDEX(GOOGLEFINANCE($C53, ""price"", WORKDAY(INT($B53), 1)), 2, 2), """")-$G53)/$G53, ($G53-IFERROR(INDEX(GOOGLE"&amp;"FINANCE($C53, ""price"", WORKDAY(INT($B53), 1)), 2, 2), """"))/$G53))"),-9.760178471833963E-4)</f>
        <v>-0.0009760178472</v>
      </c>
      <c r="R53" s="16">
        <f>IFERROR(__xludf.DUMMYFUNCTION("IF(OR(ISBLANK($G53), IFERROR(INDEX(GOOGLEFINANCE($C53, ""price"", WORKDAY(INT($B53), 5)), 2, 2), """")=""""), """", IF($D53=""LONG"", (IFERROR(INDEX(GOOGLEFINANCE($C53, ""price"", WORKDAY(INT($B53), 5)), 2, 2), """")-$G53)/$G53, ($G53-IFERROR(INDEX(GOOGLE"&amp;"FINANCE($C53, ""price"", WORKDAY(INT($B53), 5)), 2, 2), """"))/$G53))"),0.009899609592861238)</f>
        <v>0.009899609593</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5510</v>
      </c>
    </row>
    <row r="54">
      <c r="A54" s="9">
        <f t="shared" si="1"/>
        <v>53</v>
      </c>
      <c r="B54" s="11">
        <v>46233.667719907404</v>
      </c>
      <c r="C54" s="10" t="s">
        <v>141</v>
      </c>
      <c r="D54" s="10" t="s">
        <v>36</v>
      </c>
      <c r="E54" s="10" t="s">
        <v>37</v>
      </c>
      <c r="F54" s="13">
        <v>2.0</v>
      </c>
      <c r="G54" s="14">
        <v>129.84</v>
      </c>
      <c r="H54" s="10" t="s">
        <v>5511</v>
      </c>
      <c r="I54" s="10">
        <v>88.3</v>
      </c>
      <c r="O54" s="15">
        <f>IFERROR(__xludf.DUMMYFUNCTION("IF(ISBLANK($C54), """", GOOGLEFINANCE($C54, ""price""))"),128.37)</f>
        <v>128.37</v>
      </c>
      <c r="P54" s="16">
        <f t="shared" si="2"/>
        <v>-0.01132162662</v>
      </c>
      <c r="Q54" s="16">
        <f>IFERROR(__xludf.DUMMYFUNCTION("IF(OR(ISBLANK($G54), IFERROR(INDEX(GOOGLEFINANCE($C54, ""price"", WORKDAY(INT($B54), 1)), 2, 2), """")=""""), """", IF($D54=""LONG"", (IFERROR(INDEX(GOOGLEFINANCE($C54, ""price"", WORKDAY(INT($B54), 1)), 2, 2), """")-$G54)/$G54, ($G54-IFERROR(INDEX(GOOGLE"&amp;"FINANCE($C54, ""price"", WORKDAY(INT($B54), 1)), 2, 2), """"))/$G54))"),0.0027726432532346364)</f>
        <v>0.002772643253</v>
      </c>
      <c r="R54" s="16">
        <f>IFERROR(__xludf.DUMMYFUNCTION("IF(OR(ISBLANK($G54), IFERROR(INDEX(GOOGLEFINANCE($C54, ""price"", WORKDAY(INT($B54), 5)), 2, 2), """")=""""), """", IF($D54=""LONG"", (IFERROR(INDEX(GOOGLEFINANCE($C54, ""price"", WORKDAY(INT($B54), 5)), 2, 2), """")-$G54)/$G54, ($G54-IFERROR(INDEX(GOOGLE"&amp;"FINANCE($C54, ""price"", WORKDAY(INT($B54), 5)), 2, 2), """"))/$G54))"),-0.011321626617375222)</f>
        <v>-0.01132162662</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5513</v>
      </c>
    </row>
    <row r="55">
      <c r="A55" s="9">
        <f t="shared" si="1"/>
        <v>54</v>
      </c>
      <c r="B55" s="11">
        <v>46233.668229166666</v>
      </c>
      <c r="C55" s="10" t="s">
        <v>3721</v>
      </c>
      <c r="D55" s="10" t="s">
        <v>36</v>
      </c>
      <c r="E55" s="10" t="s">
        <v>37</v>
      </c>
      <c r="F55" s="13">
        <v>2.0</v>
      </c>
      <c r="G55" s="14">
        <v>104.34</v>
      </c>
      <c r="H55" s="10" t="s">
        <v>5514</v>
      </c>
      <c r="I55" s="10">
        <v>96.7</v>
      </c>
      <c r="O55" s="15">
        <f>IFERROR(__xludf.DUMMYFUNCTION("IF(ISBLANK($C55), """", GOOGLEFINANCE($C55, ""price""))"),107.66)</f>
        <v>107.66</v>
      </c>
      <c r="P55" s="16">
        <f t="shared" si="2"/>
        <v>0.0318190531</v>
      </c>
      <c r="Q55" s="16">
        <f>IFERROR(__xludf.DUMMYFUNCTION("IF(OR(ISBLANK($G55), IFERROR(INDEX(GOOGLEFINANCE($C55, ""price"", WORKDAY(INT($B55), 1)), 2, 2), """")=""""), """", IF($D55=""LONG"", (IFERROR(INDEX(GOOGLEFINANCE($C55, ""price"", WORKDAY(INT($B55), 1)), 2, 2), """")-$G55)/$G55, ($G55-IFERROR(INDEX(GOOGLE"&amp;"FINANCE($C55, ""price"", WORKDAY(INT($B55), 1)), 2, 2), """"))/$G55))"),0.008625646923519182)</f>
        <v>0.008625646924</v>
      </c>
      <c r="R55" s="16">
        <f>IFERROR(__xludf.DUMMYFUNCTION("IF(OR(ISBLANK($G55), IFERROR(INDEX(GOOGLEFINANCE($C55, ""price"", WORKDAY(INT($B55), 5)), 2, 2), """")=""""), """", IF($D55=""LONG"", (IFERROR(INDEX(GOOGLEFINANCE($C55, ""price"", WORKDAY(INT($B55), 5)), 2, 2), """")-$G55)/$G55, ($G55-IFERROR(INDEX(GOOGLE"&amp;"FINANCE($C55, ""price"", WORKDAY(INT($B55), 5)), 2, 2), """"))/$G55))"),0.031819053095648774)</f>
        <v>0.0318190531</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5515</v>
      </c>
    </row>
    <row r="56">
      <c r="A56" s="9">
        <f t="shared" si="1"/>
        <v>55</v>
      </c>
      <c r="B56" s="11">
        <v>46233.66769675926</v>
      </c>
      <c r="C56" s="10" t="s">
        <v>3049</v>
      </c>
      <c r="D56" s="10" t="s">
        <v>36</v>
      </c>
      <c r="E56" s="10" t="s">
        <v>37</v>
      </c>
      <c r="F56" s="13">
        <v>2.0</v>
      </c>
      <c r="G56" s="14">
        <v>192.01</v>
      </c>
      <c r="H56" s="10" t="s">
        <v>5517</v>
      </c>
      <c r="I56" s="10">
        <v>94.3</v>
      </c>
      <c r="O56" s="15">
        <f>IFERROR(__xludf.DUMMYFUNCTION("IF(ISBLANK($C56), """", GOOGLEFINANCE($C56, ""price""))"),188.05)</f>
        <v>188.05</v>
      </c>
      <c r="P56" s="16">
        <f t="shared" si="2"/>
        <v>-0.02062392584</v>
      </c>
      <c r="Q56" s="16">
        <f>IFERROR(__xludf.DUMMYFUNCTION("IF(OR(ISBLANK($G56), IFERROR(INDEX(GOOGLEFINANCE($C56, ""price"", WORKDAY(INT($B56), 1)), 2, 2), """")=""""), """", IF($D56=""LONG"", (IFERROR(INDEX(GOOGLEFINANCE($C56, ""price"", WORKDAY(INT($B56), 1)), 2, 2), """")-$G56)/$G56, ($G56-IFERROR(INDEX(GOOGLE"&amp;"FINANCE($C56, ""price"", WORKDAY(INT($B56), 1)), 2, 2), """"))/$G56))"),-0.006197593875318983)</f>
        <v>-0.006197593875</v>
      </c>
      <c r="R56" s="16">
        <f>IFERROR(__xludf.DUMMYFUNCTION("IF(OR(ISBLANK($G56), IFERROR(INDEX(GOOGLEFINANCE($C56, ""price"", WORKDAY(INT($B56), 5)), 2, 2), """")=""""), """", IF($D56=""LONG"", (IFERROR(INDEX(GOOGLEFINANCE($C56, ""price"", WORKDAY(INT($B56), 5)), 2, 2), """")-$G56)/$G56, ($G56-IFERROR(INDEX(GOOGLE"&amp;"FINANCE($C56, ""price"", WORKDAY(INT($B56), 5)), 2, 2), """"))/$G56))"),-0.020623925837195873)</f>
        <v>-0.02062392584</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5520</v>
      </c>
    </row>
    <row r="57">
      <c r="A57" s="9">
        <f t="shared" si="1"/>
        <v>56</v>
      </c>
      <c r="B57" s="11">
        <v>46233.66769675926</v>
      </c>
      <c r="C57" s="10" t="s">
        <v>707</v>
      </c>
      <c r="D57" s="10" t="s">
        <v>36</v>
      </c>
      <c r="E57" s="10" t="s">
        <v>37</v>
      </c>
      <c r="F57" s="13">
        <v>2.0</v>
      </c>
      <c r="G57" s="14">
        <v>109.66</v>
      </c>
      <c r="H57" s="10" t="s">
        <v>5522</v>
      </c>
      <c r="I57" s="10">
        <v>93.8</v>
      </c>
      <c r="O57" s="15">
        <f>IFERROR(__xludf.DUMMYFUNCTION("IF(ISBLANK($C57), """", GOOGLEFINANCE($C57, ""price""))"),108.95)</f>
        <v>108.95</v>
      </c>
      <c r="P57" s="16">
        <f t="shared" si="2"/>
        <v>-0.006474557724</v>
      </c>
      <c r="Q57" s="16">
        <f>IFERROR(__xludf.DUMMYFUNCTION("IF(OR(ISBLANK($G57), IFERROR(INDEX(GOOGLEFINANCE($C57, ""price"", WORKDAY(INT($B57), 1)), 2, 2), """")=""""), """", IF($D57=""LONG"", (IFERROR(INDEX(GOOGLEFINANCE($C57, ""price"", WORKDAY(INT($B57), 1)), 2, 2), """")-$G57)/$G57, ($G57-IFERROR(INDEX(GOOGLE"&amp;"FINANCE($C57, ""price"", WORKDAY(INT($B57), 1)), 2, 2), """"))/$G57))"),-0.007386467262447586)</f>
        <v>-0.007386467262</v>
      </c>
      <c r="R57" s="16">
        <f>IFERROR(__xludf.DUMMYFUNCTION("IF(OR(ISBLANK($G57), IFERROR(INDEX(GOOGLEFINANCE($C57, ""price"", WORKDAY(INT($B57), 5)), 2, 2), """")=""""), """", IF($D57=""LONG"", (IFERROR(INDEX(GOOGLEFINANCE($C57, ""price"", WORKDAY(INT($B57), 5)), 2, 2), """")-$G57)/$G57, ($G57-IFERROR(INDEX(GOOGLE"&amp;"FINANCE($C57, ""price"", WORKDAY(INT($B57), 5)), 2, 2), """"))/$G57))"),-0.006474557723873735)</f>
        <v>-0.006474557724</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5524</v>
      </c>
    </row>
    <row r="58">
      <c r="A58" s="9">
        <f t="shared" si="1"/>
        <v>57</v>
      </c>
      <c r="B58" s="11">
        <v>46233.6678125</v>
      </c>
      <c r="C58" s="10" t="s">
        <v>471</v>
      </c>
      <c r="D58" s="10" t="s">
        <v>36</v>
      </c>
      <c r="E58" s="10" t="s">
        <v>37</v>
      </c>
      <c r="F58" s="13">
        <v>2.0</v>
      </c>
      <c r="G58" s="14">
        <v>382.22</v>
      </c>
      <c r="H58" s="10" t="s">
        <v>5526</v>
      </c>
      <c r="I58" s="10">
        <v>94.6</v>
      </c>
      <c r="O58" s="15">
        <f>IFERROR(__xludf.DUMMYFUNCTION("IF(ISBLANK($C58), """", GOOGLEFINANCE($C58, ""price""))"),386.92)</f>
        <v>386.92</v>
      </c>
      <c r="P58" s="16">
        <f t="shared" si="2"/>
        <v>0.01229658312</v>
      </c>
      <c r="Q58" s="16">
        <f>IFERROR(__xludf.DUMMYFUNCTION("IF(OR(ISBLANK($G58), IFERROR(INDEX(GOOGLEFINANCE($C58, ""price"", WORKDAY(INT($B58), 1)), 2, 2), """")=""""), """", IF($D58=""LONG"", (IFERROR(INDEX(GOOGLEFINANCE($C58, ""price"", WORKDAY(INT($B58), 1)), 2, 2), """")-$G58)/$G58, ($G58-IFERROR(INDEX(GOOGLE"&amp;"FINANCE($C58, ""price"", WORKDAY(INT($B58), 1)), 2, 2), """"))/$G58))"),0.003139553136936813)</f>
        <v>0.003139553137</v>
      </c>
      <c r="R58" s="16">
        <f>IFERROR(__xludf.DUMMYFUNCTION("IF(OR(ISBLANK($G58), IFERROR(INDEX(GOOGLEFINANCE($C58, ""price"", WORKDAY(INT($B58), 5)), 2, 2), """")=""""), """", IF($D58=""LONG"", (IFERROR(INDEX(GOOGLEFINANCE($C58, ""price"", WORKDAY(INT($B58), 5)), 2, 2), """")-$G58)/$G58, ($G58-IFERROR(INDEX(GOOGLE"&amp;"FINANCE($C58, ""price"", WORKDAY(INT($B58), 5)), 2, 2), """"))/$G58))"),0.012296583119669269)</f>
        <v>0.01229658312</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5528</v>
      </c>
    </row>
    <row r="59">
      <c r="A59" s="9">
        <f t="shared" si="1"/>
        <v>58</v>
      </c>
      <c r="B59" s="11">
        <v>46233.66780092593</v>
      </c>
      <c r="C59" s="10" t="s">
        <v>4586</v>
      </c>
      <c r="D59" s="10" t="s">
        <v>36</v>
      </c>
      <c r="E59" s="10" t="s">
        <v>37</v>
      </c>
      <c r="F59" s="13">
        <v>2.0</v>
      </c>
      <c r="G59" s="14">
        <v>313.99</v>
      </c>
      <c r="H59" s="10" t="s">
        <v>5530</v>
      </c>
      <c r="I59" s="10">
        <v>94.5</v>
      </c>
      <c r="O59" s="15">
        <f>IFERROR(__xludf.DUMMYFUNCTION("IF(ISBLANK($C59), """", GOOGLEFINANCE($C59, ""price""))"),299.25)</f>
        <v>299.25</v>
      </c>
      <c r="P59" s="16">
        <f t="shared" si="2"/>
        <v>-0.0469441702</v>
      </c>
      <c r="Q59" s="16">
        <f>IFERROR(__xludf.DUMMYFUNCTION("IF(OR(ISBLANK($G59), IFERROR(INDEX(GOOGLEFINANCE($C59, ""price"", WORKDAY(INT($B59), 1)), 2, 2), """")=""""), """", IF($D59=""LONG"", (IFERROR(INDEX(GOOGLEFINANCE($C59, ""price"", WORKDAY(INT($B59), 1)), 2, 2), """")-$G59)/$G59, ($G59-IFERROR(INDEX(GOOGLE"&amp;"FINANCE($C59, ""price"", WORKDAY(INT($B59), 1)), 2, 2), """"))/$G59))"),0.007898340711487685)</f>
        <v>0.007898340711</v>
      </c>
      <c r="R59" s="16">
        <f>IFERROR(__xludf.DUMMYFUNCTION("IF(OR(ISBLANK($G59), IFERROR(INDEX(GOOGLEFINANCE($C59, ""price"", WORKDAY(INT($B59), 5)), 2, 2), """")=""""), """", IF($D59=""LONG"", (IFERROR(INDEX(GOOGLEFINANCE($C59, ""price"", WORKDAY(INT($B59), 5)), 2, 2), """")-$G59)/$G59, ($G59-IFERROR(INDEX(GOOGLE"&amp;"FINANCE($C59, ""price"", WORKDAY(INT($B59), 5)), 2, 2), """"))/$G59))"),-0.0469441701965031)</f>
        <v>-0.0469441702</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5532</v>
      </c>
    </row>
    <row r="60">
      <c r="A60" s="9">
        <f t="shared" si="1"/>
        <v>59</v>
      </c>
      <c r="B60" s="11">
        <v>46233.66758101852</v>
      </c>
      <c r="C60" s="10" t="s">
        <v>455</v>
      </c>
      <c r="D60" s="10" t="s">
        <v>36</v>
      </c>
      <c r="E60" s="10" t="s">
        <v>37</v>
      </c>
      <c r="F60" s="13">
        <v>2.0</v>
      </c>
      <c r="G60" s="14">
        <v>110.19</v>
      </c>
      <c r="H60" s="10" t="s">
        <v>5534</v>
      </c>
      <c r="I60" s="10">
        <v>91.7</v>
      </c>
      <c r="O60" s="15">
        <f>IFERROR(__xludf.DUMMYFUNCTION("IF(ISBLANK($C60), """", GOOGLEFINANCE($C60, ""price""))"),108.66)</f>
        <v>108.66</v>
      </c>
      <c r="P60" s="16">
        <f t="shared" si="2"/>
        <v>-0.01388510754</v>
      </c>
      <c r="Q60" s="16">
        <f>IFERROR(__xludf.DUMMYFUNCTION("IF(OR(ISBLANK($G60), IFERROR(INDEX(GOOGLEFINANCE($C60, ""price"", WORKDAY(INT($B60), 1)), 2, 2), """")=""""), """", IF($D60=""LONG"", (IFERROR(INDEX(GOOGLEFINANCE($C60, ""price"", WORKDAY(INT($B60), 1)), 2, 2), """")-$G60)/$G60, ($G60-IFERROR(INDEX(GOOGLE"&amp;"FINANCE($C60, ""price"", WORKDAY(INT($B60), 1)), 2, 2), """"))/$G60))"),-0.007986205644795312)</f>
        <v>-0.007986205645</v>
      </c>
      <c r="R60" s="16">
        <f>IFERROR(__xludf.DUMMYFUNCTION("IF(OR(ISBLANK($G60), IFERROR(INDEX(GOOGLEFINANCE($C60, ""price"", WORKDAY(INT($B60), 5)), 2, 2), """")=""""), """", IF($D60=""LONG"", (IFERROR(INDEX(GOOGLEFINANCE($C60, ""price"", WORKDAY(INT($B60), 5)), 2, 2), """")-$G60)/$G60, ($G60-IFERROR(INDEX(GOOGLE"&amp;"FINANCE($C60, ""price"", WORKDAY(INT($B60), 5)), 2, 2), """"))/$G60))"),-0.013885107541519205)</f>
        <v>-0.01388510754</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5536</v>
      </c>
    </row>
    <row r="61">
      <c r="A61" s="9">
        <f t="shared" si="1"/>
        <v>60</v>
      </c>
      <c r="B61" s="11">
        <v>46233.667604166665</v>
      </c>
      <c r="C61" s="10" t="s">
        <v>374</v>
      </c>
      <c r="D61" s="10" t="s">
        <v>36</v>
      </c>
      <c r="E61" s="10" t="s">
        <v>37</v>
      </c>
      <c r="F61" s="13">
        <v>2.0</v>
      </c>
      <c r="G61" s="14">
        <v>72.64</v>
      </c>
      <c r="H61" s="10" t="s">
        <v>5538</v>
      </c>
      <c r="I61" s="10">
        <v>77.5</v>
      </c>
      <c r="O61" s="15">
        <f>IFERROR(__xludf.DUMMYFUNCTION("IF(ISBLANK($C61), """", GOOGLEFINANCE($C61, ""price""))"),73.32)</f>
        <v>73.32</v>
      </c>
      <c r="P61" s="16">
        <f t="shared" si="2"/>
        <v>0.00936123348</v>
      </c>
      <c r="Q61" s="16">
        <f>IFERROR(__xludf.DUMMYFUNCTION("IF(OR(ISBLANK($G61), IFERROR(INDEX(GOOGLEFINANCE($C61, ""price"", WORKDAY(INT($B61), 1)), 2, 2), """")=""""), """", IF($D61=""LONG"", (IFERROR(INDEX(GOOGLEFINANCE($C61, ""price"", WORKDAY(INT($B61), 1)), 2, 2), """")-$G61)/$G61, ($G61-IFERROR(INDEX(GOOGLE"&amp;"FINANCE($C61, ""price"", WORKDAY(INT($B61), 1)), 2, 2), """"))/$G61))"),-0.004405286343612437)</f>
        <v>-0.004405286344</v>
      </c>
      <c r="R61" s="16">
        <f>IFERROR(__xludf.DUMMYFUNCTION("IF(OR(ISBLANK($G61), IFERROR(INDEX(GOOGLEFINANCE($C61, ""price"", WORKDAY(INT($B61), 5)), 2, 2), """")=""""), """", IF($D61=""LONG"", (IFERROR(INDEX(GOOGLEFINANCE($C61, ""price"", WORKDAY(INT($B61), 5)), 2, 2), """")-$G61)/$G61, ($G61-IFERROR(INDEX(GOOGLE"&amp;"FINANCE($C61, ""price"", WORKDAY(INT($B61), 5)), 2, 2), """"))/$G61))"),0.009361233480176109)</f>
        <v>0.00936123348</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5541</v>
      </c>
    </row>
    <row r="62">
      <c r="A62" s="9">
        <f t="shared" si="1"/>
        <v>61</v>
      </c>
      <c r="B62" s="11">
        <v>46233.667719907404</v>
      </c>
      <c r="C62" s="10" t="s">
        <v>351</v>
      </c>
      <c r="D62" s="10" t="s">
        <v>36</v>
      </c>
      <c r="E62" s="10" t="s">
        <v>37</v>
      </c>
      <c r="F62" s="13">
        <v>2.0</v>
      </c>
      <c r="G62" s="14">
        <v>230.39</v>
      </c>
      <c r="H62" s="10" t="s">
        <v>5542</v>
      </c>
      <c r="I62" s="10">
        <v>75.7</v>
      </c>
      <c r="O62" s="15">
        <f>IFERROR(__xludf.DUMMYFUNCTION("IF(ISBLANK($C62), """", GOOGLEFINANCE($C62, ""price""))"),221.83)</f>
        <v>221.83</v>
      </c>
      <c r="P62" s="16">
        <f t="shared" si="2"/>
        <v>-0.03715439038</v>
      </c>
      <c r="Q62" s="16">
        <f>IFERROR(__xludf.DUMMYFUNCTION("IF(OR(ISBLANK($G62), IFERROR(INDEX(GOOGLEFINANCE($C62, ""price"", WORKDAY(INT($B62), 1)), 2, 2), """")=""""), """", IF($D62=""LONG"", (IFERROR(INDEX(GOOGLEFINANCE($C62, ""price"", WORKDAY(INT($B62), 1)), 2, 2), """")-$G62)/$G62, ($G62-IFERROR(INDEX(GOOGLE"&amp;"FINANCE($C62, ""price"", WORKDAY(INT($B62), 1)), 2, 2), """"))/$G62))"),-0.0044272754893874815)</f>
        <v>-0.004427275489</v>
      </c>
      <c r="R62" s="16">
        <f>IFERROR(__xludf.DUMMYFUNCTION("IF(OR(ISBLANK($G62), IFERROR(INDEX(GOOGLEFINANCE($C62, ""price"", WORKDAY(INT($B62), 5)), 2, 2), """")=""""), """", IF($D62=""LONG"", (IFERROR(INDEX(GOOGLEFINANCE($C62, ""price"", WORKDAY(INT($B62), 5)), 2, 2), """")-$G62)/$G62, ($G62-IFERROR(INDEX(GOOGLE"&amp;"FINANCE($C62, ""price"", WORKDAY(INT($B62), 5)), 2, 2), """"))/$G62))"),-0.03715439038152687)</f>
        <v>-0.03715439038</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5545</v>
      </c>
    </row>
    <row r="63">
      <c r="A63" s="9">
        <f t="shared" si="1"/>
        <v>62</v>
      </c>
      <c r="B63" s="11">
        <v>46233.6678125</v>
      </c>
      <c r="C63" s="10" t="s">
        <v>98</v>
      </c>
      <c r="D63" s="10" t="s">
        <v>36</v>
      </c>
      <c r="E63" s="10" t="s">
        <v>37</v>
      </c>
      <c r="F63" s="13">
        <v>2.0</v>
      </c>
      <c r="G63" s="14">
        <v>30.85</v>
      </c>
      <c r="H63" s="10" t="s">
        <v>5547</v>
      </c>
      <c r="I63" s="10">
        <v>84.0</v>
      </c>
      <c r="O63" s="15">
        <f>IFERROR(__xludf.DUMMYFUNCTION("IF(ISBLANK($C63), """", GOOGLEFINANCE($C63, ""price""))"),31.39)</f>
        <v>31.39</v>
      </c>
      <c r="P63" s="16">
        <f t="shared" si="2"/>
        <v>0.01750405186</v>
      </c>
      <c r="Q63" s="16">
        <f>IFERROR(__xludf.DUMMYFUNCTION("IF(OR(ISBLANK($G63), IFERROR(INDEX(GOOGLEFINANCE($C63, ""price"", WORKDAY(INT($B63), 1)), 2, 2), """")=""""), """", IF($D63=""LONG"", (IFERROR(INDEX(GOOGLEFINANCE($C63, ""price"", WORKDAY(INT($B63), 1)), 2, 2), """")-$G63)/$G63, ($G63-IFERROR(INDEX(GOOGLE"&amp;"FINANCE($C63, ""price"", WORKDAY(INT($B63), 1)), 2, 2), """"))/$G63))"),0.0032414910858994447)</f>
        <v>0.003241491086</v>
      </c>
      <c r="R63" s="16">
        <f>IFERROR(__xludf.DUMMYFUNCTION("IF(OR(ISBLANK($G63), IFERROR(INDEX(GOOGLEFINANCE($C63, ""price"", WORKDAY(INT($B63), 5)), 2, 2), """")=""""), """", IF($D63=""LONG"", (IFERROR(INDEX(GOOGLEFINANCE($C63, ""price"", WORKDAY(INT($B63), 5)), 2, 2), """")-$G63)/$G63, ($G63-IFERROR(INDEX(GOOGLE"&amp;"FINANCE($C63, ""price"", WORKDAY(INT($B63), 5)), 2, 2), """"))/$G63))"),0.017504051863857346)</f>
        <v>0.01750405186</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5550</v>
      </c>
    </row>
    <row r="64">
      <c r="A64" s="9">
        <f t="shared" si="1"/>
        <v>63</v>
      </c>
      <c r="B64" s="11">
        <v>46233.667962962965</v>
      </c>
      <c r="C64" s="10" t="s">
        <v>342</v>
      </c>
      <c r="D64" s="10" t="s">
        <v>36</v>
      </c>
      <c r="E64" s="10" t="s">
        <v>37</v>
      </c>
      <c r="F64" s="13">
        <v>2.0</v>
      </c>
      <c r="G64" s="14">
        <v>61.75</v>
      </c>
      <c r="H64" s="10" t="s">
        <v>5552</v>
      </c>
      <c r="I64" s="10">
        <v>90.4</v>
      </c>
      <c r="O64" s="15">
        <f>IFERROR(__xludf.DUMMYFUNCTION("IF(ISBLANK($C64), """", GOOGLEFINANCE($C64, ""price""))"),63.0)</f>
        <v>63</v>
      </c>
      <c r="P64" s="16">
        <f t="shared" si="2"/>
        <v>0.02024291498</v>
      </c>
      <c r="Q64" s="16">
        <f>IFERROR(__xludf.DUMMYFUNCTION("IF(OR(ISBLANK($G64), IFERROR(INDEX(GOOGLEFINANCE($C64, ""price"", WORKDAY(INT($B64), 1)), 2, 2), """")=""""), """", IF($D64=""LONG"", (IFERROR(INDEX(GOOGLEFINANCE($C64, ""price"", WORKDAY(INT($B64), 1)), 2, 2), """")-$G64)/$G64, ($G64-IFERROR(INDEX(GOOGLE"&amp;"FINANCE($C64, ""price"", WORKDAY(INT($B64), 1)), 2, 2), """"))/$G64))"),0.0032388663967611794)</f>
        <v>0.003238866397</v>
      </c>
      <c r="R64" s="16">
        <f>IFERROR(__xludf.DUMMYFUNCTION("IF(OR(ISBLANK($G64), IFERROR(INDEX(GOOGLEFINANCE($C64, ""price"", WORKDAY(INT($B64), 5)), 2, 2), """")=""""), """", IF($D64=""LONG"", (IFERROR(INDEX(GOOGLEFINANCE($C64, ""price"", WORKDAY(INT($B64), 5)), 2, 2), """")-$G64)/$G64, ($G64-IFERROR(INDEX(GOOGLE"&amp;"FINANCE($C64, ""price"", WORKDAY(INT($B64), 5)), 2, 2), """"))/$G64))"),0.020242914979757085)</f>
        <v>0.02024291498</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5555</v>
      </c>
    </row>
    <row r="65">
      <c r="A65" s="9">
        <f t="shared" si="1"/>
        <v>64</v>
      </c>
      <c r="B65" s="11">
        <v>46233.66775462963</v>
      </c>
      <c r="C65" s="10" t="s">
        <v>5556</v>
      </c>
      <c r="D65" s="10" t="s">
        <v>36</v>
      </c>
      <c r="E65" s="10" t="s">
        <v>37</v>
      </c>
      <c r="F65" s="13">
        <v>2.0</v>
      </c>
      <c r="G65" s="14">
        <v>263.08</v>
      </c>
      <c r="H65" s="10" t="s">
        <v>5557</v>
      </c>
      <c r="I65" s="10">
        <v>87.4</v>
      </c>
      <c r="O65" s="15">
        <f>IFERROR(__xludf.DUMMYFUNCTION("IF(ISBLANK($C65), """", GOOGLEFINANCE($C65, ""price""))"),274.58)</f>
        <v>274.58</v>
      </c>
      <c r="P65" s="16">
        <f t="shared" si="2"/>
        <v>0.04371293903</v>
      </c>
      <c r="Q65" s="16">
        <f>IFERROR(__xludf.DUMMYFUNCTION("IF(OR(ISBLANK($G65), IFERROR(INDEX(GOOGLEFINANCE($C65, ""price"", WORKDAY(INT($B65), 1)), 2, 2), """")=""""), """", IF($D65=""LONG"", (IFERROR(INDEX(GOOGLEFINANCE($C65, ""price"", WORKDAY(INT($B65), 1)), 2, 2), """")-$G65)/$G65, ($G65-IFERROR(INDEX(GOOGLE"&amp;"FINANCE($C65, ""price"", WORKDAY(INT($B65), 1)), 2, 2), """"))/$G65))"),4.5613501596474286E-4)</f>
        <v>0.000456135016</v>
      </c>
      <c r="R65" s="16">
        <f>IFERROR(__xludf.DUMMYFUNCTION("IF(OR(ISBLANK($G65), IFERROR(INDEX(GOOGLEFINANCE($C65, ""price"", WORKDAY(INT($B65), 5)), 2, 2), """")=""""), """", IF($D65=""LONG"", (IFERROR(INDEX(GOOGLEFINANCE($C65, ""price"", WORKDAY(INT($B65), 5)), 2, 2), """")-$G65)/$G65, ($G65-IFERROR(INDEX(GOOGLE"&amp;"FINANCE($C65, ""price"", WORKDAY(INT($B65), 5)), 2, 2), """"))/$G65))"),0.043712939029952866)</f>
        <v>0.04371293903</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5562</v>
      </c>
    </row>
    <row r="66">
      <c r="A66" s="9">
        <f t="shared" si="1"/>
        <v>65</v>
      </c>
      <c r="B66" s="11">
        <v>46233.667905092596</v>
      </c>
      <c r="C66" s="10" t="s">
        <v>80</v>
      </c>
      <c r="D66" s="10" t="s">
        <v>36</v>
      </c>
      <c r="E66" s="10" t="s">
        <v>37</v>
      </c>
      <c r="F66" s="13">
        <v>2.0</v>
      </c>
      <c r="G66" s="14">
        <v>257.64</v>
      </c>
      <c r="H66" s="10" t="s">
        <v>5563</v>
      </c>
      <c r="I66" s="10">
        <v>85.7</v>
      </c>
      <c r="O66" s="15">
        <f>IFERROR(__xludf.DUMMYFUNCTION("IF(ISBLANK($C66), """", GOOGLEFINANCE($C66, ""price""))"),243.87)</f>
        <v>243.87</v>
      </c>
      <c r="P66" s="16">
        <f t="shared" si="2"/>
        <v>-0.05344666977</v>
      </c>
      <c r="Q66" s="16">
        <f>IFERROR(__xludf.DUMMYFUNCTION("IF(OR(ISBLANK($G66), IFERROR(INDEX(GOOGLEFINANCE($C66, ""price"", WORKDAY(INT($B66), 1)), 2, 2), """")=""""), """", IF($D66=""LONG"", (IFERROR(INDEX(GOOGLEFINANCE($C66, ""price"", WORKDAY(INT($B66), 1)), 2, 2), """")-$G66)/$G66, ($G66-IFERROR(INDEX(GOOGLE"&amp;"FINANCE($C66, ""price"", WORKDAY(INT($B66), 1)), 2, 2), """"))/$G66))"),-0.026005278683434208)</f>
        <v>-0.02600527868</v>
      </c>
      <c r="R66" s="16">
        <f>IFERROR(__xludf.DUMMYFUNCTION("IF(OR(ISBLANK($G66), IFERROR(INDEX(GOOGLEFINANCE($C66, ""price"", WORKDAY(INT($B66), 5)), 2, 2), """")=""""), """", IF($D66=""LONG"", (IFERROR(INDEX(GOOGLEFINANCE($C66, ""price"", WORKDAY(INT($B66), 5)), 2, 2), """")-$G66)/$G66, ($G66-IFERROR(INDEX(GOOGLE"&amp;"FINANCE($C66, ""price"", WORKDAY(INT($B66), 5)), 2, 2), """"))/$G66))"),-0.0534466697717745)</f>
        <v>-0.05344666977</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5566</v>
      </c>
    </row>
    <row r="67">
      <c r="A67" s="9">
        <f t="shared" si="1"/>
        <v>66</v>
      </c>
      <c r="B67" s="11">
        <v>46233.6678125</v>
      </c>
      <c r="C67" s="10" t="s">
        <v>1154</v>
      </c>
      <c r="D67" s="10" t="s">
        <v>36</v>
      </c>
      <c r="E67" s="10" t="s">
        <v>37</v>
      </c>
      <c r="F67" s="13">
        <v>2.0</v>
      </c>
      <c r="G67" s="14">
        <v>1380.89</v>
      </c>
      <c r="H67" s="10" t="s">
        <v>5568</v>
      </c>
      <c r="I67" s="10">
        <v>93.6</v>
      </c>
      <c r="O67" s="15">
        <f>IFERROR(__xludf.DUMMYFUNCTION("IF(ISBLANK($C67), """", GOOGLEFINANCE($C67, ""price""))"),1421.24)</f>
        <v>1421.24</v>
      </c>
      <c r="P67" s="16">
        <f t="shared" si="2"/>
        <v>0.02922028547</v>
      </c>
      <c r="Q67" s="16">
        <f>IFERROR(__xludf.DUMMYFUNCTION("IF(OR(ISBLANK($G67), IFERROR(INDEX(GOOGLEFINANCE($C67, ""price"", WORKDAY(INT($B67), 1)), 2, 2), """")=""""), """", IF($D67=""LONG"", (IFERROR(INDEX(GOOGLEFINANCE($C67, ""price"", WORKDAY(INT($B67), 1)), 2, 2), """")-$G67)/$G67, ($G67-IFERROR(INDEX(GOOGLE"&amp;"FINANCE($C67, ""price"", WORKDAY(INT($B67), 1)), 2, 2), """"))/$G67))"),0.02564288248882956)</f>
        <v>0.02564288249</v>
      </c>
      <c r="R67" s="16">
        <f>IFERROR(__xludf.DUMMYFUNCTION("IF(OR(ISBLANK($G67), IFERROR(INDEX(GOOGLEFINANCE($C67, ""price"", WORKDAY(INT($B67), 5)), 2, 2), """")=""""), """", IF($D67=""LONG"", (IFERROR(INDEX(GOOGLEFINANCE($C67, ""price"", WORKDAY(INT($B67), 5)), 2, 2), """")-$G67)/$G67, ($G67-IFERROR(INDEX(GOOGLE"&amp;"FINANCE($C67, ""price"", WORKDAY(INT($B67), 5)), 2, 2), """"))/$G67))"),0.02922028546806763)</f>
        <v>0.02922028547</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5572</v>
      </c>
    </row>
    <row r="68">
      <c r="A68" s="9">
        <f t="shared" si="1"/>
        <v>67</v>
      </c>
      <c r="B68" s="11">
        <v>46233.66788194444</v>
      </c>
      <c r="C68" s="10" t="s">
        <v>4646</v>
      </c>
      <c r="D68" s="10" t="s">
        <v>36</v>
      </c>
      <c r="E68" s="10" t="s">
        <v>37</v>
      </c>
      <c r="F68" s="13">
        <v>2.0</v>
      </c>
      <c r="G68" s="14">
        <v>132.81</v>
      </c>
      <c r="H68" s="10" t="s">
        <v>3237</v>
      </c>
      <c r="I68" s="10">
        <v>96.1</v>
      </c>
      <c r="O68" s="15">
        <f>IFERROR(__xludf.DUMMYFUNCTION("IF(ISBLANK($C68), """", GOOGLEFINANCE($C68, ""price""))"),144.03)</f>
        <v>144.03</v>
      </c>
      <c r="P68" s="16">
        <f t="shared" si="2"/>
        <v>0.08448159024</v>
      </c>
      <c r="Q68" s="16">
        <f>IFERROR(__xludf.DUMMYFUNCTION("IF(OR(ISBLANK($G68), IFERROR(INDEX(GOOGLEFINANCE($C68, ""price"", WORKDAY(INT($B68), 1)), 2, 2), """")=""""), """", IF($D68=""LONG"", (IFERROR(INDEX(GOOGLEFINANCE($C68, ""price"", WORKDAY(INT($B68), 1)), 2, 2), """")-$G68)/$G68, ($G68-IFERROR(INDEX(GOOGLE"&amp;"FINANCE($C68, ""price"", WORKDAY(INT($B68), 1)), 2, 2), """"))/$G68))"),0.015962653414652545)</f>
        <v>0.01596265341</v>
      </c>
      <c r="R68" s="16">
        <f>IFERROR(__xludf.DUMMYFUNCTION("IF(OR(ISBLANK($G68), IFERROR(INDEX(GOOGLEFINANCE($C68, ""price"", WORKDAY(INT($B68), 5)), 2, 2), """")=""""), """", IF($D68=""LONG"", (IFERROR(INDEX(GOOGLEFINANCE($C68, ""price"", WORKDAY(INT($B68), 5)), 2, 2), """")-$G68)/$G68, ($G68-IFERROR(INDEX(GOOGLE"&amp;"FINANCE($C68, ""price"", WORKDAY(INT($B68), 5)), 2, 2), """"))/$G68))"),0.08448159024169866)</f>
        <v>0.08448159024</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5576</v>
      </c>
    </row>
    <row r="69">
      <c r="A69" s="9">
        <f t="shared" si="1"/>
        <v>68</v>
      </c>
      <c r="B69" s="11">
        <v>46233.66782407407</v>
      </c>
      <c r="C69" s="10" t="s">
        <v>348</v>
      </c>
      <c r="D69" s="10" t="s">
        <v>36</v>
      </c>
      <c r="E69" s="10" t="s">
        <v>87</v>
      </c>
      <c r="F69" s="13">
        <v>2.0</v>
      </c>
      <c r="G69" s="14">
        <v>288.77</v>
      </c>
      <c r="H69" s="10" t="s">
        <v>5578</v>
      </c>
      <c r="I69" s="10">
        <v>79.9</v>
      </c>
      <c r="O69" s="15">
        <f>IFERROR(__xludf.DUMMYFUNCTION("IF(ISBLANK($C69), """", GOOGLEFINANCE($C69, ""price""))"),364.24)</f>
        <v>364.24</v>
      </c>
      <c r="P69" s="16">
        <f t="shared" si="2"/>
        <v>0.2613498632</v>
      </c>
      <c r="Q69" s="16">
        <f>IFERROR(__xludf.DUMMYFUNCTION("IF(OR(ISBLANK($G69), IFERROR(INDEX(GOOGLEFINANCE($C69, ""price"", WORKDAY(INT($B69), 1)), 2, 2), """")=""""), """", IF($D69=""LONG"", (IFERROR(INDEX(GOOGLEFINANCE($C69, ""price"", WORKDAY(INT($B69), 1)), 2, 2), """")-$G69)/$G69, ($G69-IFERROR(INDEX(GOOGLE"&amp;"FINANCE($C69, ""price"", WORKDAY(INT($B69), 1)), 2, 2), """"))/$G69))"),0.017487966201475264)</f>
        <v>0.0174879662</v>
      </c>
      <c r="R69" s="16">
        <f>IFERROR(__xludf.DUMMYFUNCTION("IF(OR(ISBLANK($G69), IFERROR(INDEX(GOOGLEFINANCE($C69, ""price"", WORKDAY(INT($B69), 5)), 2, 2), """")=""""), """", IF($D69=""LONG"", (IFERROR(INDEX(GOOGLEFINANCE($C69, ""price"", WORKDAY(INT($B69), 5)), 2, 2), """")-$G69)/$G69, ($G69-IFERROR(INDEX(GOOGLE"&amp;"FINANCE($C69, ""price"", WORKDAY(INT($B69), 5)), 2, 2), """"))/$G69))"),0.2605533815839596)</f>
        <v>0.2605533816</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5582</v>
      </c>
    </row>
    <row r="70">
      <c r="A70" s="9">
        <f t="shared" si="1"/>
        <v>69</v>
      </c>
      <c r="B70" s="11">
        <v>46233.66783564815</v>
      </c>
      <c r="C70" s="10" t="s">
        <v>442</v>
      </c>
      <c r="D70" s="10" t="s">
        <v>36</v>
      </c>
      <c r="E70" s="10" t="s">
        <v>37</v>
      </c>
      <c r="F70" s="13">
        <v>2.0</v>
      </c>
      <c r="G70" s="14">
        <v>525.17</v>
      </c>
      <c r="H70" s="10" t="s">
        <v>5583</v>
      </c>
      <c r="I70" s="10">
        <v>89.0</v>
      </c>
      <c r="O70" s="15">
        <f>IFERROR(__xludf.DUMMYFUNCTION("IF(ISBLANK($C70), """", GOOGLEFINANCE($C70, ""price""))"),522.46)</f>
        <v>522.46</v>
      </c>
      <c r="P70" s="16">
        <f t="shared" si="2"/>
        <v>-0.005160233829</v>
      </c>
      <c r="Q70" s="16">
        <f>IFERROR(__xludf.DUMMYFUNCTION("IF(OR(ISBLANK($G70), IFERROR(INDEX(GOOGLEFINANCE($C70, ""price"", WORKDAY(INT($B70), 1)), 2, 2), """")=""""), """", IF($D70=""LONG"", (IFERROR(INDEX(GOOGLEFINANCE($C70, ""price"", WORKDAY(INT($B70), 1)), 2, 2), """")-$G70)/$G70, ($G70-IFERROR(INDEX(GOOGLE"&amp;"FINANCE($C70, ""price"", WORKDAY(INT($B70), 1)), 2, 2), """"))/$G70))"),0.004931736390121355)</f>
        <v>0.00493173639</v>
      </c>
      <c r="R70" s="16">
        <f>IFERROR(__xludf.DUMMYFUNCTION("IF(OR(ISBLANK($G70), IFERROR(INDEX(GOOGLEFINANCE($C70, ""price"", WORKDAY(INT($B70), 5)), 2, 2), """")=""""), """", IF($D70=""LONG"", (IFERROR(INDEX(GOOGLEFINANCE($C70, ""price"", WORKDAY(INT($B70), 5)), 2, 2), """")-$G70)/$G70, ($G70-IFERROR(INDEX(GOOGLE"&amp;"FINANCE($C70, ""price"", WORKDAY(INT($B70), 5)), 2, 2), """"))/$G70))"),-0.005160233829045686)</f>
        <v>-0.005160233829</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5586</v>
      </c>
    </row>
    <row r="71">
      <c r="A71" s="9">
        <f t="shared" si="1"/>
        <v>70</v>
      </c>
      <c r="B71" s="11">
        <v>46233.667650462965</v>
      </c>
      <c r="C71" s="10" t="s">
        <v>312</v>
      </c>
      <c r="D71" s="10" t="s">
        <v>36</v>
      </c>
      <c r="E71" s="10" t="s">
        <v>37</v>
      </c>
      <c r="F71" s="13">
        <v>2.0</v>
      </c>
      <c r="G71" s="14">
        <v>14.85</v>
      </c>
      <c r="H71" s="10" t="s">
        <v>5587</v>
      </c>
      <c r="I71" s="10">
        <v>91.2</v>
      </c>
      <c r="O71" s="15">
        <f>IFERROR(__xludf.DUMMYFUNCTION("IF(ISBLANK($C71), """", GOOGLEFINANCE($C71, ""price""))"),14.7)</f>
        <v>14.7</v>
      </c>
      <c r="P71" s="16">
        <f t="shared" si="2"/>
        <v>-0.0101010101</v>
      </c>
      <c r="Q71" s="16">
        <f>IFERROR(__xludf.DUMMYFUNCTION("IF(OR(ISBLANK($G71), IFERROR(INDEX(GOOGLEFINANCE($C71, ""price"", WORKDAY(INT($B71), 1)), 2, 2), """")=""""), """", IF($D71=""LONG"", (IFERROR(INDEX(GOOGLEFINANCE($C71, ""price"", WORKDAY(INT($B71), 1)), 2, 2), """")-$G71)/$G71, ($G71-IFERROR(INDEX(GOOGLE"&amp;"FINANCE($C71, ""price"", WORKDAY(INT($B71), 1)), 2, 2), """"))/$G71))"),-0.011447811447811443)</f>
        <v>-0.01144781145</v>
      </c>
      <c r="R71" s="16">
        <f>IFERROR(__xludf.DUMMYFUNCTION("IF(OR(ISBLANK($G71), IFERROR(INDEX(GOOGLEFINANCE($C71, ""price"", WORKDAY(INT($B71), 5)), 2, 2), """")=""""), """", IF($D71=""LONG"", (IFERROR(INDEX(GOOGLEFINANCE($C71, ""price"", WORKDAY(INT($B71), 5)), 2, 2), """")-$G71)/$G71, ($G71-IFERROR(INDEX(GOOGLE"&amp;"FINANCE($C71, ""price"", WORKDAY(INT($B71), 5)), 2, 2), """"))/$G71))"),-0.010101010101010124)</f>
        <v>-0.0101010101</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5590</v>
      </c>
    </row>
    <row r="72">
      <c r="A72" s="9">
        <f t="shared" si="1"/>
        <v>71</v>
      </c>
      <c r="B72" s="11">
        <v>46233.66800925926</v>
      </c>
      <c r="C72" s="10" t="s">
        <v>258</v>
      </c>
      <c r="D72" s="10" t="s">
        <v>36</v>
      </c>
      <c r="E72" s="10" t="s">
        <v>37</v>
      </c>
      <c r="F72" s="13">
        <v>2.0</v>
      </c>
      <c r="G72" s="14">
        <v>119.4</v>
      </c>
      <c r="H72" s="10" t="s">
        <v>5592</v>
      </c>
      <c r="I72" s="10">
        <v>91.6</v>
      </c>
      <c r="O72" s="15">
        <f>IFERROR(__xludf.DUMMYFUNCTION("IF(ISBLANK($C72), """", GOOGLEFINANCE($C72, ""price""))"),113.62)</f>
        <v>113.62</v>
      </c>
      <c r="P72" s="16">
        <f t="shared" si="2"/>
        <v>-0.04840871022</v>
      </c>
      <c r="Q72" s="16">
        <f>IFERROR(__xludf.DUMMYFUNCTION("IF(OR(ISBLANK($G72), IFERROR(INDEX(GOOGLEFINANCE($C72, ""price"", WORKDAY(INT($B72), 1)), 2, 2), """")=""""), """", IF($D72=""LONG"", (IFERROR(INDEX(GOOGLEFINANCE($C72, ""price"", WORKDAY(INT($B72), 1)), 2, 2), """")-$G72)/$G72, ($G72-IFERROR(INDEX(GOOGLE"&amp;"FINANCE($C72, ""price"", WORKDAY(INT($B72), 1)), 2, 2), """"))/$G72))"),-0.06407035175879401)</f>
        <v>-0.06407035176</v>
      </c>
      <c r="R72" s="16">
        <f>IFERROR(__xludf.DUMMYFUNCTION("IF(OR(ISBLANK($G72), IFERROR(INDEX(GOOGLEFINANCE($C72, ""price"", WORKDAY(INT($B72), 5)), 2, 2), """")=""""), """", IF($D72=""LONG"", (IFERROR(INDEX(GOOGLEFINANCE($C72, ""price"", WORKDAY(INT($B72), 5)), 2, 2), """")-$G72)/$G72, ($G72-IFERROR(INDEX(GOOGLE"&amp;"FINANCE($C72, ""price"", WORKDAY(INT($B72), 5)), 2, 2), """"))/$G72))"),-0.04840871021775545)</f>
        <v>-0.04840871022</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5596</v>
      </c>
    </row>
    <row r="73">
      <c r="A73" s="9">
        <f t="shared" si="1"/>
        <v>72</v>
      </c>
      <c r="B73" s="11">
        <v>46233.66778935185</v>
      </c>
      <c r="C73" s="10" t="s">
        <v>267</v>
      </c>
      <c r="D73" s="10" t="s">
        <v>36</v>
      </c>
      <c r="E73" s="10" t="s">
        <v>37</v>
      </c>
      <c r="F73" s="13">
        <v>2.0</v>
      </c>
      <c r="G73" s="14">
        <v>197.44</v>
      </c>
      <c r="H73" s="10" t="s">
        <v>5597</v>
      </c>
      <c r="I73" s="10">
        <v>90.0</v>
      </c>
      <c r="O73" s="15">
        <f>IFERROR(__xludf.DUMMYFUNCTION("IF(ISBLANK($C73), """", GOOGLEFINANCE($C73, ""price""))"),213.26)</f>
        <v>213.26</v>
      </c>
      <c r="P73" s="16">
        <f t="shared" si="2"/>
        <v>0.08012560778</v>
      </c>
      <c r="Q73" s="16">
        <f>IFERROR(__xludf.DUMMYFUNCTION("IF(OR(ISBLANK($G73), IFERROR(INDEX(GOOGLEFINANCE($C73, ""price"", WORKDAY(INT($B73), 1)), 2, 2), """")=""""), """", IF($D73=""LONG"", (IFERROR(INDEX(GOOGLEFINANCE($C73, ""price"", WORKDAY(INT($B73), 1)), 2, 2), """")-$G73)/$G73, ($G73-IFERROR(INDEX(GOOGLE"&amp;"FINANCE($C73, ""price"", WORKDAY(INT($B73), 1)), 2, 2), """"))/$G73))"),-0.006482982171799033)</f>
        <v>-0.006482982172</v>
      </c>
      <c r="R73" s="16">
        <f>IFERROR(__xludf.DUMMYFUNCTION("IF(OR(ISBLANK($G73), IFERROR(INDEX(GOOGLEFINANCE($C73, ""price"", WORKDAY(INT($B73), 5)), 2, 2), """")=""""), """", IF($D73=""LONG"", (IFERROR(INDEX(GOOGLEFINANCE($C73, ""price"", WORKDAY(INT($B73), 5)), 2, 2), """")-$G73)/$G73, ($G73-IFERROR(INDEX(GOOGLE"&amp;"FINANCE($C73, ""price"", WORKDAY(INT($B73), 5)), 2, 2), """"))/$G73))"),0.08012560777957857)</f>
        <v>0.08012560778</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5600</v>
      </c>
    </row>
    <row r="74">
      <c r="A74" s="9">
        <f t="shared" si="1"/>
        <v>73</v>
      </c>
      <c r="B74" s="11">
        <v>46233.66774305556</v>
      </c>
      <c r="C74" s="10" t="s">
        <v>149</v>
      </c>
      <c r="D74" s="10" t="s">
        <v>36</v>
      </c>
      <c r="E74" s="10" t="s">
        <v>37</v>
      </c>
      <c r="F74" s="13">
        <v>2.0</v>
      </c>
      <c r="G74" s="14">
        <v>124.84</v>
      </c>
      <c r="H74" s="10" t="s">
        <v>5603</v>
      </c>
      <c r="I74" s="10">
        <v>89.2</v>
      </c>
      <c r="O74" s="15">
        <f>IFERROR(__xludf.DUMMYFUNCTION("IF(ISBLANK($C74), """", GOOGLEFINANCE($C74, ""price""))"),132.79)</f>
        <v>132.79</v>
      </c>
      <c r="P74" s="16">
        <f t="shared" si="2"/>
        <v>0.06368151234</v>
      </c>
      <c r="Q74" s="16">
        <f>IFERROR(__xludf.DUMMYFUNCTION("IF(OR(ISBLANK($G74), IFERROR(INDEX(GOOGLEFINANCE($C74, ""price"", WORKDAY(INT($B74), 1)), 2, 2), """")=""""), """", IF($D74=""LONG"", (IFERROR(INDEX(GOOGLEFINANCE($C74, ""price"", WORKDAY(INT($B74), 1)), 2, 2), """")-$G74)/$G74, ($G74-IFERROR(INDEX(GOOGLE"&amp;"FINANCE($C74, ""price"", WORKDAY(INT($B74), 1)), 2, 2), """"))/$G74))"),-0.0037648189682793886)</f>
        <v>-0.003764818968</v>
      </c>
      <c r="R74" s="16">
        <f>IFERROR(__xludf.DUMMYFUNCTION("IF(OR(ISBLANK($G74), IFERROR(INDEX(GOOGLEFINANCE($C74, ""price"", WORKDAY(INT($B74), 5)), 2, 2), """")=""""), """", IF($D74=""LONG"", (IFERROR(INDEX(GOOGLEFINANCE($C74, ""price"", WORKDAY(INT($B74), 5)), 2, 2), """")-$G74)/$G74, ($G74-IFERROR(INDEX(GOOGLE"&amp;"FINANCE($C74, ""price"", WORKDAY(INT($B74), 5)), 2, 2), """"))/$G74))"),0.06368151233578973)</f>
        <v>0.06368151234</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5606</v>
      </c>
    </row>
    <row r="75">
      <c r="A75" s="9">
        <f t="shared" si="1"/>
        <v>74</v>
      </c>
      <c r="B75" s="11">
        <v>46233.667708333334</v>
      </c>
      <c r="C75" s="10" t="s">
        <v>148</v>
      </c>
      <c r="D75" s="10" t="s">
        <v>36</v>
      </c>
      <c r="E75" s="10" t="s">
        <v>37</v>
      </c>
      <c r="F75" s="13">
        <v>2.0</v>
      </c>
      <c r="G75" s="14">
        <v>196.2</v>
      </c>
      <c r="H75" s="10" t="s">
        <v>5607</v>
      </c>
      <c r="I75" s="10">
        <v>84.7</v>
      </c>
      <c r="O75" s="15">
        <f>IFERROR(__xludf.DUMMYFUNCTION("IF(ISBLANK($C75), """", GOOGLEFINANCE($C75, ""price""))"),199.98)</f>
        <v>199.98</v>
      </c>
      <c r="P75" s="16">
        <f t="shared" si="2"/>
        <v>0.01926605505</v>
      </c>
      <c r="Q75" s="16">
        <f>IFERROR(__xludf.DUMMYFUNCTION("IF(OR(ISBLANK($G75), IFERROR(INDEX(GOOGLEFINANCE($C75, ""price"", WORKDAY(INT($B75), 1)), 2, 2), """")=""""), """", IF($D75=""LONG"", (IFERROR(INDEX(GOOGLEFINANCE($C75, ""price"", WORKDAY(INT($B75), 1)), 2, 2), """")-$G75)/$G75, ($G75-IFERROR(INDEX(GOOGLE"&amp;"FINANCE($C75, ""price"", WORKDAY(INT($B75), 1)), 2, 2), """"))/$G75))"),-0.006218144750254837)</f>
        <v>-0.00621814475</v>
      </c>
      <c r="R75" s="16">
        <f>IFERROR(__xludf.DUMMYFUNCTION("IF(OR(ISBLANK($G75), IFERROR(INDEX(GOOGLEFINANCE($C75, ""price"", WORKDAY(INT($B75), 5)), 2, 2), """")=""""), """", IF($D75=""LONG"", (IFERROR(INDEX(GOOGLEFINANCE($C75, ""price"", WORKDAY(INT($B75), 5)), 2, 2), """")-$G75)/$G75, ($G75-IFERROR(INDEX(GOOGLE"&amp;"FINANCE($C75, ""price"", WORKDAY(INT($B75), 5)), 2, 2), """"))/$G75))"),0.019266055045871568)</f>
        <v>0.01926605505</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5610</v>
      </c>
    </row>
    <row r="76">
      <c r="A76" s="9">
        <f t="shared" si="1"/>
        <v>75</v>
      </c>
      <c r="B76" s="11">
        <v>46233.6678125</v>
      </c>
      <c r="C76" s="10" t="s">
        <v>52</v>
      </c>
      <c r="D76" s="10" t="s">
        <v>36</v>
      </c>
      <c r="E76" s="10" t="s">
        <v>37</v>
      </c>
      <c r="F76" s="13">
        <v>2.0</v>
      </c>
      <c r="G76" s="14">
        <v>123.11</v>
      </c>
      <c r="H76" s="10" t="s">
        <v>5611</v>
      </c>
      <c r="I76" s="10">
        <v>88.2</v>
      </c>
      <c r="O76" s="15">
        <f>IFERROR(__xludf.DUMMYFUNCTION("IF(ISBLANK($C76), """", GOOGLEFINANCE($C76, ""price""))"),118.38)</f>
        <v>118.38</v>
      </c>
      <c r="P76" s="16">
        <f t="shared" si="2"/>
        <v>-0.03842092438</v>
      </c>
      <c r="Q76" s="16">
        <f>IFERROR(__xludf.DUMMYFUNCTION("IF(OR(ISBLANK($G76), IFERROR(INDEX(GOOGLEFINANCE($C76, ""price"", WORKDAY(INT($B76), 1)), 2, 2), """")=""""), """", IF($D76=""LONG"", (IFERROR(INDEX(GOOGLEFINANCE($C76, ""price"", WORKDAY(INT($B76), 1)), 2, 2), """")-$G76)/$G76, ($G76-IFERROR(INDEX(GOOGLE"&amp;"FINANCE($C76, ""price"", WORKDAY(INT($B76), 1)), 2, 2), """"))/$G76))"),-0.029160913004630033)</f>
        <v>-0.029160913</v>
      </c>
      <c r="R76" s="16">
        <f>IFERROR(__xludf.DUMMYFUNCTION("IF(OR(ISBLANK($G76), IFERROR(INDEX(GOOGLEFINANCE($C76, ""price"", WORKDAY(INT($B76), 5)), 2, 2), """")=""""), """", IF($D76=""LONG"", (IFERROR(INDEX(GOOGLEFINANCE($C76, ""price"", WORKDAY(INT($B76), 5)), 2, 2), """")-$G76)/$G76, ($G76-IFERROR(INDEX(GOOGLE"&amp;"FINANCE($C76, ""price"", WORKDAY(INT($B76), 5)), 2, 2), """"))/$G76))"),-0.03833969620664446)</f>
        <v>-0.03833969621</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5614</v>
      </c>
    </row>
    <row r="77">
      <c r="A77" s="9">
        <f t="shared" si="1"/>
        <v>76</v>
      </c>
      <c r="B77" s="11">
        <v>46233.66793981481</v>
      </c>
      <c r="C77" s="10" t="s">
        <v>1672</v>
      </c>
      <c r="D77" s="10" t="s">
        <v>36</v>
      </c>
      <c r="E77" s="10" t="s">
        <v>37</v>
      </c>
      <c r="F77" s="13">
        <v>2.0</v>
      </c>
      <c r="G77" s="14">
        <v>101.14</v>
      </c>
      <c r="H77" s="10" t="s">
        <v>5616</v>
      </c>
      <c r="I77" s="10">
        <v>91.9</v>
      </c>
      <c r="O77" s="15">
        <f>IFERROR(__xludf.DUMMYFUNCTION("IF(ISBLANK($C77), """", GOOGLEFINANCE($C77, ""price""))"),99.29)</f>
        <v>99.29</v>
      </c>
      <c r="P77" s="16">
        <f t="shared" si="2"/>
        <v>-0.01829147716</v>
      </c>
      <c r="Q77" s="16">
        <f>IFERROR(__xludf.DUMMYFUNCTION("IF(OR(ISBLANK($G77), IFERROR(INDEX(GOOGLEFINANCE($C77, ""price"", WORKDAY(INT($B77), 1)), 2, 2), """")=""""), """", IF($D77=""LONG"", (IFERROR(INDEX(GOOGLEFINANCE($C77, ""price"", WORKDAY(INT($B77), 1)), 2, 2), """")-$G77)/$G77, ($G77-IFERROR(INDEX(GOOGLE"&amp;"FINANCE($C77, ""price"", WORKDAY(INT($B77), 1)), 2, 2), """"))/$G77))"),-0.0060312438204469)</f>
        <v>-0.00603124382</v>
      </c>
      <c r="R77" s="16">
        <f>IFERROR(__xludf.DUMMYFUNCTION("IF(OR(ISBLANK($G77), IFERROR(INDEX(GOOGLEFINANCE($C77, ""price"", WORKDAY(INT($B77), 5)), 2, 2), """")=""""), """", IF($D77=""LONG"", (IFERROR(INDEX(GOOGLEFINANCE($C77, ""price"", WORKDAY(INT($B77), 5)), 2, 2), """")-$G77)/$G77, ($G77-IFERROR(INDEX(GOOGLE"&amp;"FINANCE($C77, ""price"", WORKDAY(INT($B77), 5)), 2, 2), """"))/$G77))"),-0.018291477160371706)</f>
        <v>-0.01829147716</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5620</v>
      </c>
    </row>
    <row r="78">
      <c r="A78" s="9">
        <f t="shared" si="1"/>
        <v>77</v>
      </c>
      <c r="B78" s="11">
        <v>46233.66780092593</v>
      </c>
      <c r="C78" s="10" t="s">
        <v>2066</v>
      </c>
      <c r="D78" s="10" t="s">
        <v>36</v>
      </c>
      <c r="E78" s="10" t="s">
        <v>37</v>
      </c>
      <c r="F78" s="13">
        <v>2.0</v>
      </c>
      <c r="G78" s="14">
        <v>94.76</v>
      </c>
      <c r="H78" s="10" t="s">
        <v>5621</v>
      </c>
      <c r="I78" s="10">
        <v>97.8</v>
      </c>
      <c r="O78" s="15">
        <f>IFERROR(__xludf.DUMMYFUNCTION("IF(ISBLANK($C78), """", GOOGLEFINANCE($C78, ""price""))"),98.02)</f>
        <v>98.02</v>
      </c>
      <c r="P78" s="16">
        <f t="shared" si="2"/>
        <v>0.03440270156</v>
      </c>
      <c r="Q78" s="16">
        <f>IFERROR(__xludf.DUMMYFUNCTION("IF(OR(ISBLANK($G78), IFERROR(INDEX(GOOGLEFINANCE($C78, ""price"", WORKDAY(INT($B78), 1)), 2, 2), """")=""""), """", IF($D78=""LONG"", (IFERROR(INDEX(GOOGLEFINANCE($C78, ""price"", WORKDAY(INT($B78), 1)), 2, 2), """")-$G78)/$G78, ($G78-IFERROR(INDEX(GOOGLE"&amp;"FINANCE($C78, ""price"", WORKDAY(INT($B78), 1)), 2, 2), """"))/$G78))"),-0.006226255804136802)</f>
        <v>-0.006226255804</v>
      </c>
      <c r="R78" s="16">
        <f>IFERROR(__xludf.DUMMYFUNCTION("IF(OR(ISBLANK($G78), IFERROR(INDEX(GOOGLEFINANCE($C78, ""price"", WORKDAY(INT($B78), 5)), 2, 2), """")=""""), """", IF($D78=""LONG"", (IFERROR(INDEX(GOOGLEFINANCE($C78, ""price"", WORKDAY(INT($B78), 5)), 2, 2), """")-$G78)/$G78, ($G78-IFERROR(INDEX(GOOGLE"&amp;"FINANCE($C78, ""price"", WORKDAY(INT($B78), 5)), 2, 2), """"))/$G78))"),0.03440270156184034)</f>
        <v>0.03440270156</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5626</v>
      </c>
    </row>
    <row r="79">
      <c r="A79" s="9">
        <f t="shared" si="1"/>
        <v>78</v>
      </c>
      <c r="B79" s="11">
        <v>46233.667905092596</v>
      </c>
      <c r="C79" s="10" t="s">
        <v>1739</v>
      </c>
      <c r="D79" s="10" t="s">
        <v>36</v>
      </c>
      <c r="E79" s="10" t="s">
        <v>37</v>
      </c>
      <c r="F79" s="13">
        <v>2.0</v>
      </c>
      <c r="G79" s="14">
        <v>265.37</v>
      </c>
      <c r="H79" s="10" t="s">
        <v>5627</v>
      </c>
      <c r="I79" s="10">
        <v>87.6</v>
      </c>
      <c r="O79" s="15">
        <f>IFERROR(__xludf.DUMMYFUNCTION("IF(ISBLANK($C79), """", GOOGLEFINANCE($C79, ""price""))"),275.11)</f>
        <v>275.11</v>
      </c>
      <c r="P79" s="16">
        <f t="shared" si="2"/>
        <v>0.03670347063</v>
      </c>
      <c r="Q79" s="16">
        <f>IFERROR(__xludf.DUMMYFUNCTION("IF(OR(ISBLANK($G79), IFERROR(INDEX(GOOGLEFINANCE($C79, ""price"", WORKDAY(INT($B79), 1)), 2, 2), """")=""""), """", IF($D79=""LONG"", (IFERROR(INDEX(GOOGLEFINANCE($C79, ""price"", WORKDAY(INT($B79), 1)), 2, 2), """")-$G79)/$G79, ($G79-IFERROR(INDEX(GOOGLE"&amp;"FINANCE($C79, ""price"", WORKDAY(INT($B79), 1)), 2, 2), """"))/$G79))"),-0.0048611372800241946)</f>
        <v>-0.00486113728</v>
      </c>
      <c r="R79" s="16">
        <f>IFERROR(__xludf.DUMMYFUNCTION("IF(OR(ISBLANK($G79), IFERROR(INDEX(GOOGLEFINANCE($C79, ""price"", WORKDAY(INT($B79), 5)), 2, 2), """")=""""), """", IF($D79=""LONG"", (IFERROR(INDEX(GOOGLEFINANCE($C79, ""price"", WORKDAY(INT($B79), 5)), 2, 2), """")-$G79)/$G79, ($G79-IFERROR(INDEX(GOOGLE"&amp;"FINANCE($C79, ""price"", WORKDAY(INT($B79), 5)), 2, 2), """"))/$G79))"),0.03670347062591856)</f>
        <v>0.03670347063</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5630</v>
      </c>
    </row>
    <row r="80">
      <c r="A80" s="9">
        <f t="shared" si="1"/>
        <v>79</v>
      </c>
      <c r="B80" s="11">
        <v>46233.66782407407</v>
      </c>
      <c r="C80" s="10" t="s">
        <v>3104</v>
      </c>
      <c r="D80" s="10" t="s">
        <v>36</v>
      </c>
      <c r="E80" s="10" t="s">
        <v>37</v>
      </c>
      <c r="F80" s="13">
        <v>2.0</v>
      </c>
      <c r="G80" s="14">
        <v>175.02</v>
      </c>
      <c r="H80" s="10" t="s">
        <v>5632</v>
      </c>
      <c r="I80" s="10">
        <v>88.5</v>
      </c>
      <c r="O80" s="15">
        <f>IFERROR(__xludf.DUMMYFUNCTION("IF(ISBLANK($C80), """", GOOGLEFINANCE($C80, ""price""))"),179.33)</f>
        <v>179.33</v>
      </c>
      <c r="P80" s="16">
        <f t="shared" si="2"/>
        <v>0.02462575706</v>
      </c>
      <c r="Q80" s="16">
        <f>IFERROR(__xludf.DUMMYFUNCTION("IF(OR(ISBLANK($G80), IFERROR(INDEX(GOOGLEFINANCE($C80, ""price"", WORKDAY(INT($B80), 1)), 2, 2), """")=""""), """", IF($D80=""LONG"", (IFERROR(INDEX(GOOGLEFINANCE($C80, ""price"", WORKDAY(INT($B80), 1)), 2, 2), """")-$G80)/$G80, ($G80-IFERROR(INDEX(GOOGLE"&amp;"FINANCE($C80, ""price"", WORKDAY(INT($B80), 1)), 2, 2), """"))/$G80))"),0.005485087418580617)</f>
        <v>0.005485087419</v>
      </c>
      <c r="R80" s="16">
        <f>IFERROR(__xludf.DUMMYFUNCTION("IF(OR(ISBLANK($G80), IFERROR(INDEX(GOOGLEFINANCE($C80, ""price"", WORKDAY(INT($B80), 5)), 2, 2), """")=""""), """", IF($D80=""LONG"", (IFERROR(INDEX(GOOGLEFINANCE($C80, ""price"", WORKDAY(INT($B80), 5)), 2, 2), """")-$G80)/$G80, ($G80-IFERROR(INDEX(GOOGLE"&amp;"FINANCE($C80, ""price"", WORKDAY(INT($B80), 5)), 2, 2), """"))/$G80))"),0.02462575705633643)</f>
        <v>0.02462575706</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5635</v>
      </c>
    </row>
    <row r="81">
      <c r="A81" s="9">
        <f t="shared" si="1"/>
        <v>80</v>
      </c>
      <c r="B81" s="11">
        <v>46233.667916666665</v>
      </c>
      <c r="C81" s="10" t="s">
        <v>257</v>
      </c>
      <c r="D81" s="10" t="s">
        <v>36</v>
      </c>
      <c r="E81" s="10" t="s">
        <v>37</v>
      </c>
      <c r="F81" s="13">
        <v>2.0</v>
      </c>
      <c r="G81" s="14">
        <v>71.69</v>
      </c>
      <c r="H81" s="10" t="s">
        <v>5636</v>
      </c>
      <c r="I81" s="10">
        <v>88.7</v>
      </c>
      <c r="O81" s="15">
        <f>IFERROR(__xludf.DUMMYFUNCTION("IF(ISBLANK($C81), """", GOOGLEFINANCE($C81, ""price""))"),68.81)</f>
        <v>68.81</v>
      </c>
      <c r="P81" s="16">
        <f t="shared" si="2"/>
        <v>-0.04017296694</v>
      </c>
      <c r="Q81" s="16">
        <f>IFERROR(__xludf.DUMMYFUNCTION("IF(OR(ISBLANK($G81), IFERROR(INDEX(GOOGLEFINANCE($C81, ""price"", WORKDAY(INT($B81), 1)), 2, 2), """")=""""), """", IF($D81=""LONG"", (IFERROR(INDEX(GOOGLEFINANCE($C81, ""price"", WORKDAY(INT($B81), 1)), 2, 2), """")-$G81)/$G81, ($G81-IFERROR(INDEX(GOOGLE"&amp;"FINANCE($C81, ""price"", WORKDAY(INT($B81), 1)), 2, 2), """"))/$G81))"),-0.021899846561584505)</f>
        <v>-0.02189984656</v>
      </c>
      <c r="R81" s="16">
        <f>IFERROR(__xludf.DUMMYFUNCTION("IF(OR(ISBLANK($G81), IFERROR(INDEX(GOOGLEFINANCE($C81, ""price"", WORKDAY(INT($B81), 5)), 2, 2), """")=""""), """", IF($D81=""LONG"", (IFERROR(INDEX(GOOGLEFINANCE($C81, ""price"", WORKDAY(INT($B81), 5)), 2, 2), """")-$G81)/$G81, ($G81-IFERROR(INDEX(GOOGLE"&amp;"FINANCE($C81, ""price"", WORKDAY(INT($B81), 5)), 2, 2), """"))/$G81))"),-0.04017296694099589)</f>
        <v>-0.04017296694</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5639</v>
      </c>
    </row>
    <row r="82">
      <c r="A82" s="9">
        <f t="shared" si="1"/>
        <v>81</v>
      </c>
      <c r="B82" s="11">
        <v>46233.66804398148</v>
      </c>
      <c r="C82" s="10" t="s">
        <v>207</v>
      </c>
      <c r="D82" s="10" t="s">
        <v>36</v>
      </c>
      <c r="E82" s="10" t="s">
        <v>37</v>
      </c>
      <c r="F82" s="13">
        <v>2.0</v>
      </c>
      <c r="G82" s="14">
        <v>344.91</v>
      </c>
      <c r="H82" s="10" t="s">
        <v>5640</v>
      </c>
      <c r="I82" s="10">
        <v>90.4</v>
      </c>
      <c r="O82" s="15">
        <f>IFERROR(__xludf.DUMMYFUNCTION("IF(ISBLANK($C82), """", GOOGLEFINANCE($C82, ""price""))"),363.42)</f>
        <v>363.42</v>
      </c>
      <c r="P82" s="16">
        <f t="shared" si="2"/>
        <v>0.05366617378</v>
      </c>
      <c r="Q82" s="16">
        <f>IFERROR(__xludf.DUMMYFUNCTION("IF(OR(ISBLANK($G82), IFERROR(INDEX(GOOGLEFINANCE($C82, ""price"", WORKDAY(INT($B82), 1)), 2, 2), """")=""""), """", IF($D82=""LONG"", (IFERROR(INDEX(GOOGLEFINANCE($C82, ""price"", WORKDAY(INT($B82), 1)), 2, 2), """")-$G82)/$G82, ($G82-IFERROR(INDEX(GOOGLE"&amp;"FINANCE($C82, ""price"", WORKDAY(INT($B82), 1)), 2, 2), """"))/$G82))"),-0.011771186686381961)</f>
        <v>-0.01177118669</v>
      </c>
      <c r="R82" s="16">
        <f>IFERROR(__xludf.DUMMYFUNCTION("IF(OR(ISBLANK($G82), IFERROR(INDEX(GOOGLEFINANCE($C82, ""price"", WORKDAY(INT($B82), 5)), 2, 2), """")=""""), """", IF($D82=""LONG"", (IFERROR(INDEX(GOOGLEFINANCE($C82, ""price"", WORKDAY(INT($B82), 5)), 2, 2), """")-$G82)/$G82, ($G82-IFERROR(INDEX(GOOGLE"&amp;"FINANCE($C82, ""price"", WORKDAY(INT($B82), 5)), 2, 2), """"))/$G82))"),0.05366617378446548)</f>
        <v>0.05366617378</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5644</v>
      </c>
    </row>
    <row r="83">
      <c r="A83" s="9">
        <f t="shared" si="1"/>
        <v>82</v>
      </c>
      <c r="B83" s="11">
        <v>46233.66793981481</v>
      </c>
      <c r="C83" s="10" t="s">
        <v>4993</v>
      </c>
      <c r="D83" s="10" t="s">
        <v>36</v>
      </c>
      <c r="E83" s="10" t="s">
        <v>1892</v>
      </c>
      <c r="F83" s="13">
        <v>2.0</v>
      </c>
      <c r="G83" s="14">
        <v>323.03</v>
      </c>
      <c r="H83" s="10" t="s">
        <v>5646</v>
      </c>
      <c r="I83" s="10">
        <v>99.3</v>
      </c>
      <c r="O83" s="15">
        <f>IFERROR(__xludf.DUMMYFUNCTION("IF(ISBLANK($C83), """", GOOGLEFINANCE($C83, ""price""))"),306.33)</f>
        <v>306.33</v>
      </c>
      <c r="P83" s="16">
        <f t="shared" si="2"/>
        <v>-0.05169798471</v>
      </c>
      <c r="Q83" s="16">
        <f>IFERROR(__xludf.DUMMYFUNCTION("IF(OR(ISBLANK($G83), IFERROR(INDEX(GOOGLEFINANCE($C83, ""price"", WORKDAY(INT($B83), 1)), 2, 2), """")=""""), """", IF($D83=""LONG"", (IFERROR(INDEX(GOOGLEFINANCE($C83, ""price"", WORKDAY(INT($B83), 1)), 2, 2), """")-$G83)/$G83, ($G83-IFERROR(INDEX(GOOGLE"&amp;"FINANCE($C83, ""price"", WORKDAY(INT($B83), 1)), 2, 2), """"))/$G83))"),-0.041575085905333715)</f>
        <v>-0.04157508591</v>
      </c>
      <c r="R83" s="16">
        <f>IFERROR(__xludf.DUMMYFUNCTION("IF(OR(ISBLANK($G83), IFERROR(INDEX(GOOGLEFINANCE($C83, ""price"", WORKDAY(INT($B83), 5)), 2, 2), """")=""""), """", IF($D83=""LONG"", (IFERROR(INDEX(GOOGLEFINANCE($C83, ""price"", WORKDAY(INT($B83), 5)), 2, 2), """")-$G83)/$G83, ($G83-IFERROR(INDEX(GOOGLE"&amp;"FINANCE($C83, ""price"", WORKDAY(INT($B83), 5)), 2, 2), """"))/$G83))"),-0.0516979847073027)</f>
        <v>-0.05169798471</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5648</v>
      </c>
    </row>
    <row r="84">
      <c r="A84" s="9">
        <f t="shared" si="1"/>
        <v>83</v>
      </c>
      <c r="B84" s="11">
        <v>46233.66795138889</v>
      </c>
      <c r="C84" s="10" t="s">
        <v>145</v>
      </c>
      <c r="D84" s="10" t="s">
        <v>36</v>
      </c>
      <c r="E84" s="10" t="s">
        <v>37</v>
      </c>
      <c r="F84" s="13">
        <v>2.0</v>
      </c>
      <c r="G84" s="14">
        <v>599.44</v>
      </c>
      <c r="H84" s="10" t="s">
        <v>5649</v>
      </c>
      <c r="I84" s="10">
        <v>89.6</v>
      </c>
      <c r="O84" s="15">
        <f>IFERROR(__xludf.DUMMYFUNCTION("IF(ISBLANK($C84), """", GOOGLEFINANCE($C84, ""price""))"),614.84)</f>
        <v>614.84</v>
      </c>
      <c r="P84" s="16">
        <f t="shared" si="2"/>
        <v>0.0256906446</v>
      </c>
      <c r="Q84" s="16">
        <f>IFERROR(__xludf.DUMMYFUNCTION("IF(OR(ISBLANK($G84), IFERROR(INDEX(GOOGLEFINANCE($C84, ""price"", WORKDAY(INT($B84), 1)), 2, 2), """")=""""), """", IF($D84=""LONG"", (IFERROR(INDEX(GOOGLEFINANCE($C84, ""price"", WORKDAY(INT($B84), 1)), 2, 2), """")-$G84)/$G84, ($G84-IFERROR(INDEX(GOOGLE"&amp;"FINANCE($C84, ""price"", WORKDAY(INT($B84), 1)), 2, 2), """"))/$G84))"),-0.011293874282663978)</f>
        <v>-0.01129387428</v>
      </c>
      <c r="R84" s="16">
        <f>IFERROR(__xludf.DUMMYFUNCTION("IF(OR(ISBLANK($G84), IFERROR(INDEX(GOOGLEFINANCE($C84, ""price"", WORKDAY(INT($B84), 5)), 2, 2), """")=""""), """", IF($D84=""LONG"", (IFERROR(INDEX(GOOGLEFINANCE($C84, ""price"", WORKDAY(INT($B84), 5)), 2, 2), """")-$G84)/$G84, ($G84-IFERROR(INDEX(GOOGLE"&amp;"FINANCE($C84, ""price"", WORKDAY(INT($B84), 5)), 2, 2), """"))/$G84))"),0.025690644601628145)</f>
        <v>0.0256906446</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5652</v>
      </c>
    </row>
    <row r="85">
      <c r="A85" s="9">
        <f t="shared" si="1"/>
        <v>84</v>
      </c>
      <c r="B85" s="11">
        <v>46233.6678125</v>
      </c>
      <c r="C85" s="10" t="s">
        <v>158</v>
      </c>
      <c r="D85" s="10" t="s">
        <v>36</v>
      </c>
      <c r="E85" s="10" t="s">
        <v>37</v>
      </c>
      <c r="F85" s="13">
        <v>2.0</v>
      </c>
      <c r="G85" s="14">
        <v>73.82</v>
      </c>
      <c r="H85" s="10" t="s">
        <v>5655</v>
      </c>
      <c r="I85" s="10">
        <v>89.4</v>
      </c>
      <c r="O85" s="15">
        <f>IFERROR(__xludf.DUMMYFUNCTION("IF(ISBLANK($C85), """", GOOGLEFINANCE($C85, ""price""))"),72.06)</f>
        <v>72.06</v>
      </c>
      <c r="P85" s="16">
        <f t="shared" si="2"/>
        <v>-0.0238417773</v>
      </c>
      <c r="Q85" s="16">
        <f>IFERROR(__xludf.DUMMYFUNCTION("IF(OR(ISBLANK($G85), IFERROR(INDEX(GOOGLEFINANCE($C85, ""price"", WORKDAY(INT($B85), 1)), 2, 2), """")=""""), """", IF($D85=""LONG"", (IFERROR(INDEX(GOOGLEFINANCE($C85, ""price"", WORKDAY(INT($B85), 1)), 2, 2), """")-$G85)/$G85, ($G85-IFERROR(INDEX(GOOGLE"&amp;"FINANCE($C85, ""price"", WORKDAY(INT($B85), 1)), 2, 2), """"))/$G85))"),-0.030208615551340964)</f>
        <v>-0.03020861555</v>
      </c>
      <c r="R85" s="16">
        <f>IFERROR(__xludf.DUMMYFUNCTION("IF(OR(ISBLANK($G85), IFERROR(INDEX(GOOGLEFINANCE($C85, ""price"", WORKDAY(INT($B85), 5)), 2, 2), """")=""""), """", IF($D85=""LONG"", (IFERROR(INDEX(GOOGLEFINANCE($C85, ""price"", WORKDAY(INT($B85), 5)), 2, 2), """")-$G85)/$G85, ($G85-IFERROR(INDEX(GOOGLE"&amp;"FINANCE($C85, ""price"", WORKDAY(INT($B85), 5)), 2, 2), """"))/$G85))"),-0.02384177729612559)</f>
        <v>-0.0238417773</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5659</v>
      </c>
    </row>
    <row r="86">
      <c r="A86" s="9">
        <f t="shared" si="1"/>
        <v>85</v>
      </c>
      <c r="B86" s="11">
        <v>46233.66806712963</v>
      </c>
      <c r="C86" s="10" t="s">
        <v>331</v>
      </c>
      <c r="D86" s="10" t="s">
        <v>36</v>
      </c>
      <c r="E86" s="10" t="s">
        <v>37</v>
      </c>
      <c r="F86" s="13">
        <v>2.0</v>
      </c>
      <c r="G86" s="14">
        <v>248.73</v>
      </c>
      <c r="H86" s="10" t="s">
        <v>5660</v>
      </c>
      <c r="I86" s="10">
        <v>92.8</v>
      </c>
      <c r="O86" s="15">
        <f>IFERROR(__xludf.DUMMYFUNCTION("IF(ISBLANK($C86), """", GOOGLEFINANCE($C86, ""price""))"),252.76)</f>
        <v>252.76</v>
      </c>
      <c r="P86" s="16">
        <f t="shared" si="2"/>
        <v>0.01620230772</v>
      </c>
      <c r="Q86" s="16">
        <f>IFERROR(__xludf.DUMMYFUNCTION("IF(OR(ISBLANK($G86), IFERROR(INDEX(GOOGLEFINANCE($C86, ""price"", WORKDAY(INT($B86), 1)), 2, 2), """")=""""), """", IF($D86=""LONG"", (IFERROR(INDEX(GOOGLEFINANCE($C86, ""price"", WORKDAY(INT($B86), 1)), 2, 2), """")-$G86)/$G86, ($G86-IFERROR(INDEX(GOOGLE"&amp;"FINANCE($C86, ""price"", WORKDAY(INT($B86), 1)), 2, 2), """"))/$G86))"),0.004583283078036485)</f>
        <v>0.004583283078</v>
      </c>
      <c r="R86" s="16">
        <f>IFERROR(__xludf.DUMMYFUNCTION("IF(OR(ISBLANK($G86), IFERROR(INDEX(GOOGLEFINANCE($C86, ""price"", WORKDAY(INT($B86), 5)), 2, 2), """")=""""), """", IF($D86=""LONG"", (IFERROR(INDEX(GOOGLEFINANCE($C86, ""price"", WORKDAY(INT($B86), 5)), 2, 2), """")-$G86)/$G86, ($G86-IFERROR(INDEX(GOOGLE"&amp;"FINANCE($C86, ""price"", WORKDAY(INT($B86), 5)), 2, 2), """"))/$G86))"),0.016202307723234034)</f>
        <v>0.01620230772</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5663</v>
      </c>
    </row>
    <row r="87">
      <c r="A87" s="9">
        <f t="shared" si="1"/>
        <v>86</v>
      </c>
      <c r="B87" s="11">
        <v>46233.66798611111</v>
      </c>
      <c r="C87" s="10" t="s">
        <v>3828</v>
      </c>
      <c r="D87" s="10" t="s">
        <v>36</v>
      </c>
      <c r="E87" s="10" t="s">
        <v>37</v>
      </c>
      <c r="F87" s="13">
        <v>2.0</v>
      </c>
      <c r="G87" s="14">
        <v>154.15</v>
      </c>
      <c r="H87" s="10" t="s">
        <v>4585</v>
      </c>
      <c r="I87" s="10">
        <v>97.7</v>
      </c>
      <c r="O87" s="15">
        <f>IFERROR(__xludf.DUMMYFUNCTION("IF(ISBLANK($C87), """", GOOGLEFINANCE($C87, ""price""))"),156.94)</f>
        <v>156.94</v>
      </c>
      <c r="P87" s="16">
        <f t="shared" si="2"/>
        <v>0.01809925397</v>
      </c>
      <c r="Q87" s="16">
        <f>IFERROR(__xludf.DUMMYFUNCTION("IF(OR(ISBLANK($G87), IFERROR(INDEX(GOOGLEFINANCE($C87, ""price"", WORKDAY(INT($B87), 1)), 2, 2), """")=""""), """", IF($D87=""LONG"", (IFERROR(INDEX(GOOGLEFINANCE($C87, ""price"", WORKDAY(INT($B87), 1)), 2, 2), """")-$G87)/$G87, ($G87-IFERROR(INDEX(GOOGLE"&amp;"FINANCE($C87, ""price"", WORKDAY(INT($B87), 1)), 2, 2), """"))/$G87))"),-7.135906584496505E-4)</f>
        <v>-0.0007135906584</v>
      </c>
      <c r="R87" s="16">
        <f>IFERROR(__xludf.DUMMYFUNCTION("IF(OR(ISBLANK($G87), IFERROR(INDEX(GOOGLEFINANCE($C87, ""price"", WORKDAY(INT($B87), 5)), 2, 2), """")=""""), """", IF($D87=""LONG"", (IFERROR(INDEX(GOOGLEFINANCE($C87, ""price"", WORKDAY(INT($B87), 5)), 2, 2), """")-$G87)/$G87, ($G87-IFERROR(INDEX(GOOGLE"&amp;"FINANCE($C87, ""price"", WORKDAY(INT($B87), 5)), 2, 2), """"))/$G87))"),0.018488485241647708)</f>
        <v>0.01848848524</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5668</v>
      </c>
    </row>
    <row r="88">
      <c r="A88" s="9">
        <f t="shared" si="1"/>
        <v>87</v>
      </c>
      <c r="B88" s="11">
        <v>46233.668032407404</v>
      </c>
      <c r="C88" s="10" t="s">
        <v>3574</v>
      </c>
      <c r="D88" s="10" t="s">
        <v>36</v>
      </c>
      <c r="E88" s="10" t="s">
        <v>37</v>
      </c>
      <c r="F88" s="13">
        <v>2.0</v>
      </c>
      <c r="G88" s="14">
        <v>333.93</v>
      </c>
      <c r="H88" s="10" t="s">
        <v>5670</v>
      </c>
      <c r="I88" s="10">
        <v>94.0</v>
      </c>
      <c r="O88" s="15">
        <f>IFERROR(__xludf.DUMMYFUNCTION("IF(ISBLANK($C88), """", GOOGLEFINANCE($C88, ""price""))"),342.46)</f>
        <v>342.46</v>
      </c>
      <c r="P88" s="16">
        <f t="shared" si="2"/>
        <v>0.02554427575</v>
      </c>
      <c r="Q88" s="16">
        <f>IFERROR(__xludf.DUMMYFUNCTION("IF(OR(ISBLANK($G88), IFERROR(INDEX(GOOGLEFINANCE($C88, ""price"", WORKDAY(INT($B88), 1)), 2, 2), """")=""""), """", IF($D88=""LONG"", (IFERROR(INDEX(GOOGLEFINANCE($C88, ""price"", WORKDAY(INT($B88), 1)), 2, 2), """")-$G88)/$G88, ($G88-IFERROR(INDEX(GOOGLE"&amp;"FINANCE($C88, ""price"", WORKDAY(INT($B88), 1)), 2, 2), """"))/$G88))"),0.004641691372443361)</f>
        <v>0.004641691372</v>
      </c>
      <c r="R88" s="16">
        <f>IFERROR(__xludf.DUMMYFUNCTION("IF(OR(ISBLANK($G88), IFERROR(INDEX(GOOGLEFINANCE($C88, ""price"", WORKDAY(INT($B88), 5)), 2, 2), """")=""""), """", IF($D88=""LONG"", (IFERROR(INDEX(GOOGLEFINANCE($C88, ""price"", WORKDAY(INT($B88), 5)), 2, 2), """")-$G88)/$G88, ($G88-IFERROR(INDEX(GOOGLE"&amp;"FINANCE($C88, ""price"", WORKDAY(INT($B88), 5)), 2, 2), """"))/$G88))"),0.025544275746413835)</f>
        <v>0.02554427575</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5673</v>
      </c>
    </row>
    <row r="89">
      <c r="A89" s="9">
        <f t="shared" si="1"/>
        <v>88</v>
      </c>
      <c r="B89" s="11">
        <v>46233.66787037037</v>
      </c>
      <c r="C89" s="10" t="s">
        <v>76</v>
      </c>
      <c r="D89" s="10" t="s">
        <v>36</v>
      </c>
      <c r="E89" s="10" t="s">
        <v>37</v>
      </c>
      <c r="F89" s="13">
        <v>2.0</v>
      </c>
      <c r="G89" s="14">
        <v>283.7</v>
      </c>
      <c r="H89" s="10" t="s">
        <v>5674</v>
      </c>
      <c r="I89" s="10">
        <v>92.9</v>
      </c>
      <c r="O89" s="15">
        <f>IFERROR(__xludf.DUMMYFUNCTION("IF(ISBLANK($C89), """", GOOGLEFINANCE($C89, ""price""))"),294.7)</f>
        <v>294.7</v>
      </c>
      <c r="P89" s="16">
        <f t="shared" si="2"/>
        <v>0.03877335213</v>
      </c>
      <c r="Q89" s="16">
        <f>IFERROR(__xludf.DUMMYFUNCTION("IF(OR(ISBLANK($G89), IFERROR(INDEX(GOOGLEFINANCE($C89, ""price"", WORKDAY(INT($B89), 1)), 2, 2), """")=""""), """", IF($D89=""LONG"", (IFERROR(INDEX(GOOGLEFINANCE($C89, ""price"", WORKDAY(INT($B89), 1)), 2, 2), """")-$G89)/$G89, ($G89-IFERROR(INDEX(GOOGLE"&amp;"FINANCE($C89, ""price"", WORKDAY(INT($B89), 1)), 2, 2), """"))/$G89))"),0.011455763130066972)</f>
        <v>0.01145576313</v>
      </c>
      <c r="R89" s="16">
        <f>IFERROR(__xludf.DUMMYFUNCTION("IF(OR(ISBLANK($G89), IFERROR(INDEX(GOOGLEFINANCE($C89, ""price"", WORKDAY(INT($B89), 5)), 2, 2), """")=""""), """", IF($D89=""LONG"", (IFERROR(INDEX(GOOGLEFINANCE($C89, ""price"", WORKDAY(INT($B89), 5)), 2, 2), """")-$G89)/$G89, ($G89-IFERROR(INDEX(GOOGLE"&amp;"FINANCE($C89, ""price"", WORKDAY(INT($B89), 5)), 2, 2), """"))/$G89))"),0.03877335213253437)</f>
        <v>0.03877335213</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5677</v>
      </c>
    </row>
    <row r="90">
      <c r="A90" s="9">
        <f t="shared" si="1"/>
        <v>89</v>
      </c>
      <c r="B90" s="11">
        <v>46233.66810185185</v>
      </c>
      <c r="C90" s="10" t="s">
        <v>548</v>
      </c>
      <c r="D90" s="10" t="s">
        <v>36</v>
      </c>
      <c r="E90" s="10" t="s">
        <v>37</v>
      </c>
      <c r="F90" s="13">
        <v>2.0</v>
      </c>
      <c r="G90" s="14">
        <v>91.93</v>
      </c>
      <c r="H90" s="10" t="s">
        <v>5679</v>
      </c>
      <c r="I90" s="10">
        <v>89.5</v>
      </c>
      <c r="O90" s="15">
        <f>IFERROR(__xludf.DUMMYFUNCTION("IF(ISBLANK($C90), """", GOOGLEFINANCE($C90, ""price""))"),92.26)</f>
        <v>92.26</v>
      </c>
      <c r="P90" s="16">
        <f t="shared" si="2"/>
        <v>0.003589687806</v>
      </c>
      <c r="Q90" s="16">
        <f>IFERROR(__xludf.DUMMYFUNCTION("IF(OR(ISBLANK($G90), IFERROR(INDEX(GOOGLEFINANCE($C90, ""price"", WORKDAY(INT($B90), 1)), 2, 2), """")=""""), """", IF($D90=""LONG"", (IFERROR(INDEX(GOOGLEFINANCE($C90, ""price"", WORKDAY(INT($B90), 1)), 2, 2), """")-$G90)/$G90, ($G90-IFERROR(INDEX(GOOGLE"&amp;"FINANCE($C90, ""price"", WORKDAY(INT($B90), 1)), 2, 2), """"))/$G90))"),0.01718699010116391)</f>
        <v>0.0171869901</v>
      </c>
      <c r="R90" s="16">
        <f>IFERROR(__xludf.DUMMYFUNCTION("IF(OR(ISBLANK($G90), IFERROR(INDEX(GOOGLEFINANCE($C90, ""price"", WORKDAY(INT($B90), 5)), 2, 2), """")=""""), """", IF($D90=""LONG"", (IFERROR(INDEX(GOOGLEFINANCE($C90, ""price"", WORKDAY(INT($B90), 5)), 2, 2), """")-$G90)/$G90, ($G90-IFERROR(INDEX(GOOGLE"&amp;"FINANCE($C90, ""price"", WORKDAY(INT($B90), 5)), 2, 2), """"))/$G90))"),0.003589687805939283)</f>
        <v>0.003589687806</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5684</v>
      </c>
    </row>
    <row r="91">
      <c r="A91" s="9">
        <f t="shared" si="1"/>
        <v>90</v>
      </c>
      <c r="B91" s="11">
        <v>46233.66798611111</v>
      </c>
      <c r="C91" s="10" t="s">
        <v>60</v>
      </c>
      <c r="D91" s="10" t="s">
        <v>36</v>
      </c>
      <c r="E91" s="10" t="s">
        <v>37</v>
      </c>
      <c r="F91" s="13">
        <v>2.0</v>
      </c>
      <c r="G91" s="14">
        <v>45.15</v>
      </c>
      <c r="H91" s="10" t="s">
        <v>5685</v>
      </c>
      <c r="I91" s="10">
        <v>85.9</v>
      </c>
      <c r="O91" s="15">
        <f>IFERROR(__xludf.DUMMYFUNCTION("IF(ISBLANK($C91), """", GOOGLEFINANCE($C91, ""price""))"),47.06)</f>
        <v>47.06</v>
      </c>
      <c r="P91" s="16">
        <f t="shared" si="2"/>
        <v>0.042303433</v>
      </c>
      <c r="Q91" s="16">
        <f>IFERROR(__xludf.DUMMYFUNCTION("IF(OR(ISBLANK($G91), IFERROR(INDEX(GOOGLEFINANCE($C91, ""price"", WORKDAY(INT($B91), 1)), 2, 2), """")=""""), """", IF($D91=""LONG"", (IFERROR(INDEX(GOOGLEFINANCE($C91, ""price"", WORKDAY(INT($B91), 1)), 2, 2), """")-$G91)/$G91, ($G91-IFERROR(INDEX(GOOGLE"&amp;"FINANCE($C91, ""price"", WORKDAY(INT($B91), 1)), 2, 2), """"))/$G91))"),-0.0059800664451826364)</f>
        <v>-0.005980066445</v>
      </c>
      <c r="R91" s="16">
        <f>IFERROR(__xludf.DUMMYFUNCTION("IF(OR(ISBLANK($G91), IFERROR(INDEX(GOOGLEFINANCE($C91, ""price"", WORKDAY(INT($B91), 5)), 2, 2), """")=""""), """", IF($D91=""LONG"", (IFERROR(INDEX(GOOGLEFINANCE($C91, ""price"", WORKDAY(INT($B91), 5)), 2, 2), """")-$G91)/$G91, ($G91-IFERROR(INDEX(GOOGLE"&amp;"FINANCE($C91, ""price"", WORKDAY(INT($B91), 5)), 2, 2), """"))/$G91))"),0.042303433001107504)</f>
        <v>0.042303433</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5688</v>
      </c>
    </row>
    <row r="92">
      <c r="A92" s="9">
        <f t="shared" si="1"/>
        <v>91</v>
      </c>
      <c r="B92" s="11">
        <v>46233.667974537035</v>
      </c>
      <c r="C92" s="10" t="s">
        <v>5228</v>
      </c>
      <c r="D92" s="10" t="s">
        <v>36</v>
      </c>
      <c r="E92" s="10" t="s">
        <v>37</v>
      </c>
      <c r="F92" s="13">
        <v>2.0</v>
      </c>
      <c r="G92" s="14">
        <v>17.77</v>
      </c>
      <c r="H92" s="10" t="s">
        <v>5690</v>
      </c>
      <c r="I92" s="10">
        <v>80.1</v>
      </c>
      <c r="O92" s="15">
        <f>IFERROR(__xludf.DUMMYFUNCTION("IF(ISBLANK($C92), """", GOOGLEFINANCE($C92, ""price""))"),16.29)</f>
        <v>16.29</v>
      </c>
      <c r="P92" s="16">
        <f t="shared" si="2"/>
        <v>-0.08328643782</v>
      </c>
      <c r="Q92" s="16">
        <f>IFERROR(__xludf.DUMMYFUNCTION("IF(OR(ISBLANK($G92), IFERROR(INDEX(GOOGLEFINANCE($C92, ""price"", WORKDAY(INT($B92), 1)), 2, 2), """")=""""), """", IF($D92=""LONG"", (IFERROR(INDEX(GOOGLEFINANCE($C92, ""price"", WORKDAY(INT($B92), 1)), 2, 2), """")-$G92)/$G92, ($G92-IFERROR(INDEX(GOOGLE"&amp;"FINANCE($C92, ""price"", WORKDAY(INT($B92), 1)), 2, 2), """"))/$G92))"),-0.011817670230725991)</f>
        <v>-0.01181767023</v>
      </c>
      <c r="R92" s="16">
        <f>IFERROR(__xludf.DUMMYFUNCTION("IF(OR(ISBLANK($G92), IFERROR(INDEX(GOOGLEFINANCE($C92, ""price"", WORKDAY(INT($B92), 5)), 2, 2), """")=""""), """", IF($D92=""LONG"", (IFERROR(INDEX(GOOGLEFINANCE($C92, ""price"", WORKDAY(INT($B92), 5)), 2, 2), """")-$G92)/$G92, ($G92-IFERROR(INDEX(GOOGLE"&amp;"FINANCE($C92, ""price"", WORKDAY(INT($B92), 5)), 2, 2), """"))/$G92))"),-0.08328643781654477)</f>
        <v>-0.08328643782</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5694</v>
      </c>
    </row>
    <row r="93">
      <c r="A93" s="9">
        <f t="shared" si="1"/>
        <v>92</v>
      </c>
      <c r="B93" s="11">
        <v>46233.66799768519</v>
      </c>
      <c r="C93" s="10" t="s">
        <v>1216</v>
      </c>
      <c r="D93" s="10" t="s">
        <v>36</v>
      </c>
      <c r="E93" s="10" t="s">
        <v>37</v>
      </c>
      <c r="F93" s="13">
        <v>2.0</v>
      </c>
      <c r="G93" s="14">
        <v>82.61</v>
      </c>
      <c r="H93" s="10" t="s">
        <v>5695</v>
      </c>
      <c r="I93" s="10">
        <v>91.6</v>
      </c>
      <c r="O93" s="15">
        <f>IFERROR(__xludf.DUMMYFUNCTION("IF(ISBLANK($C93), """", GOOGLEFINANCE($C93, ""price""))"),79.02)</f>
        <v>79.02</v>
      </c>
      <c r="P93" s="16">
        <f t="shared" si="2"/>
        <v>-0.04345720857</v>
      </c>
      <c r="Q93" s="16">
        <f>IFERROR(__xludf.DUMMYFUNCTION("IF(OR(ISBLANK($G93), IFERROR(INDEX(GOOGLEFINANCE($C93, ""price"", WORKDAY(INT($B93), 1)), 2, 2), """")=""""), """", IF($D93=""LONG"", (IFERROR(INDEX(GOOGLEFINANCE($C93, ""price"", WORKDAY(INT($B93), 1)), 2, 2), """")-$G93)/$G93, ($G93-IFERROR(INDEX(GOOGLE"&amp;"FINANCE($C93, ""price"", WORKDAY(INT($B93), 1)), 2, 2), """"))/$G93))"),-0.01658394867449467)</f>
        <v>-0.01658394867</v>
      </c>
      <c r="R93" s="16">
        <f>IFERROR(__xludf.DUMMYFUNCTION("IF(OR(ISBLANK($G93), IFERROR(INDEX(GOOGLEFINANCE($C93, ""price"", WORKDAY(INT($B93), 5)), 2, 2), """")=""""), """", IF($D93=""LONG"", (IFERROR(INDEX(GOOGLEFINANCE($C93, ""price"", WORKDAY(INT($B93), 5)), 2, 2), """")-$G93)/$G93, ($G93-IFERROR(INDEX(GOOGLE"&amp;"FINANCE($C93, ""price"", WORKDAY(INT($B93), 5)), 2, 2), """"))/$G93))"),-0.04345720857039104)</f>
        <v>-0.04345720857</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5698</v>
      </c>
    </row>
    <row r="94">
      <c r="A94" s="9">
        <f t="shared" si="1"/>
        <v>93</v>
      </c>
      <c r="B94" s="11">
        <v>46233.667905092596</v>
      </c>
      <c r="C94" s="10" t="s">
        <v>174</v>
      </c>
      <c r="D94" s="10" t="s">
        <v>36</v>
      </c>
      <c r="E94" s="10" t="s">
        <v>37</v>
      </c>
      <c r="F94" s="13">
        <v>2.0</v>
      </c>
      <c r="G94" s="14">
        <v>25.37</v>
      </c>
      <c r="H94" s="10" t="s">
        <v>5700</v>
      </c>
      <c r="I94" s="10">
        <v>86.1</v>
      </c>
      <c r="O94" s="15">
        <f>IFERROR(__xludf.DUMMYFUNCTION("IF(ISBLANK($C94), """", GOOGLEFINANCE($C94, ""price""))"),25.09)</f>
        <v>25.09</v>
      </c>
      <c r="P94" s="16">
        <f t="shared" si="2"/>
        <v>-0.01103665747</v>
      </c>
      <c r="Q94" s="16">
        <f>IFERROR(__xludf.DUMMYFUNCTION("IF(OR(ISBLANK($G94), IFERROR(INDEX(GOOGLEFINANCE($C94, ""price"", WORKDAY(INT($B94), 1)), 2, 2), """")=""""), """", IF($D94=""LONG"", (IFERROR(INDEX(GOOGLEFINANCE($C94, ""price"", WORKDAY(INT($B94), 1)), 2, 2), """")-$G94)/$G94, ($G94-IFERROR(INDEX(GOOGLE"&amp;"FINANCE($C94, ""price"", WORKDAY(INT($B94), 1)), 2, 2), """"))/$G94))"),-0.014189988175009832)</f>
        <v>-0.01418998818</v>
      </c>
      <c r="R94" s="16">
        <f>IFERROR(__xludf.DUMMYFUNCTION("IF(OR(ISBLANK($G94), IFERROR(INDEX(GOOGLEFINANCE($C94, ""price"", WORKDAY(INT($B94), 5)), 2, 2), """")=""""), """", IF($D94=""LONG"", (IFERROR(INDEX(GOOGLEFINANCE($C94, ""price"", WORKDAY(INT($B94), 5)), 2, 2), """")-$G94)/$G94, ($G94-IFERROR(INDEX(GOOGLE"&amp;"FINANCE($C94, ""price"", WORKDAY(INT($B94), 5)), 2, 2), """"))/$G94))"),-0.011036657469452153)</f>
        <v>-0.01103665747</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5702</v>
      </c>
    </row>
    <row r="95">
      <c r="A95" s="9">
        <f t="shared" si="1"/>
        <v>94</v>
      </c>
      <c r="B95" s="11">
        <v>46233.66795138889</v>
      </c>
      <c r="C95" s="10" t="s">
        <v>641</v>
      </c>
      <c r="D95" s="10" t="s">
        <v>36</v>
      </c>
      <c r="E95" s="10" t="s">
        <v>37</v>
      </c>
      <c r="F95" s="13">
        <v>2.0</v>
      </c>
      <c r="G95" s="14">
        <v>65.32</v>
      </c>
      <c r="H95" s="10" t="s">
        <v>5704</v>
      </c>
      <c r="I95" s="10">
        <v>88.3</v>
      </c>
      <c r="O95" s="15">
        <f>IFERROR(__xludf.DUMMYFUNCTION("IF(ISBLANK($C95), """", GOOGLEFINANCE($C95, ""price""))"),63.13)</f>
        <v>63.13</v>
      </c>
      <c r="P95" s="16">
        <f t="shared" si="2"/>
        <v>-0.03352725046</v>
      </c>
      <c r="Q95" s="16">
        <f>IFERROR(__xludf.DUMMYFUNCTION("IF(OR(ISBLANK($G95), IFERROR(INDEX(GOOGLEFINANCE($C95, ""price"", WORKDAY(INT($B95), 1)), 2, 2), """")=""""), """", IF($D95=""LONG"", (IFERROR(INDEX(GOOGLEFINANCE($C95, ""price"", WORKDAY(INT($B95), 1)), 2, 2), """")-$G95)/$G95, ($G95-IFERROR(INDEX(GOOGLE"&amp;"FINANCE($C95, ""price"", WORKDAY(INT($B95), 1)), 2, 2), """"))/$G95))"),-0.006429883649724243)</f>
        <v>-0.00642988365</v>
      </c>
      <c r="R95" s="16">
        <f>IFERROR(__xludf.DUMMYFUNCTION("IF(OR(ISBLANK($G95), IFERROR(INDEX(GOOGLEFINANCE($C95, ""price"", WORKDAY(INT($B95), 5)), 2, 2), """")=""""), """", IF($D95=""LONG"", (IFERROR(INDEX(GOOGLEFINANCE($C95, ""price"", WORKDAY(INT($B95), 5)), 2, 2), """")-$G95)/$G95, ($G95-IFERROR(INDEX(GOOGLE"&amp;"FINANCE($C95, ""price"", WORKDAY(INT($B95), 5)), 2, 2), """"))/$G95))"),-0.033527250459277264)</f>
        <v>-0.03352725046</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5706</v>
      </c>
    </row>
    <row r="96">
      <c r="A96" s="9">
        <f t="shared" si="1"/>
        <v>95</v>
      </c>
      <c r="B96" s="11">
        <v>46233.66798611111</v>
      </c>
      <c r="C96" s="10" t="s">
        <v>397</v>
      </c>
      <c r="D96" s="10" t="s">
        <v>36</v>
      </c>
      <c r="E96" s="10" t="s">
        <v>37</v>
      </c>
      <c r="F96" s="13">
        <v>2.0</v>
      </c>
      <c r="G96" s="14">
        <v>293.09</v>
      </c>
      <c r="H96" s="10" t="s">
        <v>5708</v>
      </c>
      <c r="I96" s="10">
        <v>81.1</v>
      </c>
      <c r="O96" s="15">
        <f>IFERROR(__xludf.DUMMYFUNCTION("IF(ISBLANK($C96), """", GOOGLEFINANCE($C96, ""price""))"),306.57)</f>
        <v>306.57</v>
      </c>
      <c r="P96" s="16">
        <f t="shared" si="2"/>
        <v>0.04599269849</v>
      </c>
      <c r="Q96" s="16">
        <f>IFERROR(__xludf.DUMMYFUNCTION("IF(OR(ISBLANK($G96), IFERROR(INDEX(GOOGLEFINANCE($C96, ""price"", WORKDAY(INT($B96), 1)), 2, 2), """")=""""), """", IF($D96=""LONG"", (IFERROR(INDEX(GOOGLEFINANCE($C96, ""price"", WORKDAY(INT($B96), 1)), 2, 2), """")-$G96)/$G96, ($G96-IFERROR(INDEX(GOOGLE"&amp;"FINANCE($C96, ""price"", WORKDAY(INT($B96), 1)), 2, 2), """"))/$G96))"),0.005629670067214965)</f>
        <v>0.005629670067</v>
      </c>
      <c r="R96" s="16">
        <f>IFERROR(__xludf.DUMMYFUNCTION("IF(OR(ISBLANK($G96), IFERROR(INDEX(GOOGLEFINANCE($C96, ""price"", WORKDAY(INT($B96), 5)), 2, 2), """")=""""), """", IF($D96=""LONG"", (IFERROR(INDEX(GOOGLEFINANCE($C96, ""price"", WORKDAY(INT($B96), 5)), 2, 2), """")-$G96)/$G96, ($G96-IFERROR(INDEX(GOOGLE"&amp;"FINANCE($C96, ""price"", WORKDAY(INT($B96), 5)), 2, 2), """"))/$G96))"),0.04599269848851895)</f>
        <v>0.04599269849</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5712</v>
      </c>
    </row>
    <row r="97">
      <c r="A97" s="9">
        <f t="shared" si="1"/>
        <v>96</v>
      </c>
      <c r="B97" s="11">
        <v>46233.667916666665</v>
      </c>
      <c r="C97" s="10" t="s">
        <v>408</v>
      </c>
      <c r="D97" s="10" t="s">
        <v>36</v>
      </c>
      <c r="E97" s="10" t="s">
        <v>37</v>
      </c>
      <c r="F97" s="13">
        <v>2.0</v>
      </c>
      <c r="G97" s="14">
        <v>246.97</v>
      </c>
      <c r="H97" s="10" t="s">
        <v>5714</v>
      </c>
      <c r="I97" s="10">
        <v>94.2</v>
      </c>
      <c r="O97" s="15">
        <f>IFERROR(__xludf.DUMMYFUNCTION("IF(ISBLANK($C97), """", GOOGLEFINANCE($C97, ""price""))"),250.14)</f>
        <v>250.14</v>
      </c>
      <c r="P97" s="16">
        <f t="shared" si="2"/>
        <v>0.01283556707</v>
      </c>
      <c r="Q97" s="16">
        <f>IFERROR(__xludf.DUMMYFUNCTION("IF(OR(ISBLANK($G97), IFERROR(INDEX(GOOGLEFINANCE($C97, ""price"", WORKDAY(INT($B97), 1)), 2, 2), """")=""""), """", IF($D97=""LONG"", (IFERROR(INDEX(GOOGLEFINANCE($C97, ""price"", WORKDAY(INT($B97), 1)), 2, 2), """")-$G97)/$G97, ($G97-IFERROR(INDEX(GOOGLE"&amp;"FINANCE($C97, ""price"", WORKDAY(INT($B97), 1)), 2, 2), """"))/$G97))"),-0.002753370854759715)</f>
        <v>-0.002753370855</v>
      </c>
      <c r="R97" s="16">
        <f>IFERROR(__xludf.DUMMYFUNCTION("IF(OR(ISBLANK($G97), IFERROR(INDEX(GOOGLEFINANCE($C97, ""price"", WORKDAY(INT($B97), 5)), 2, 2), """")=""""), """", IF($D97=""LONG"", (IFERROR(INDEX(GOOGLEFINANCE($C97, ""price"", WORKDAY(INT($B97), 5)), 2, 2), """")-$G97)/$G97, ($G97-IFERROR(INDEX(GOOGLE"&amp;"FINANCE($C97, ""price"", WORKDAY(INT($B97), 5)), 2, 2), """"))/$G97))"),0.012835567072923786)</f>
        <v>0.01283556707</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5716</v>
      </c>
    </row>
    <row r="98">
      <c r="A98" s="9">
        <f t="shared" si="1"/>
        <v>97</v>
      </c>
      <c r="B98" s="11">
        <v>46233.66813657407</v>
      </c>
      <c r="C98" s="10" t="s">
        <v>3688</v>
      </c>
      <c r="D98" s="10" t="s">
        <v>36</v>
      </c>
      <c r="E98" s="10" t="s">
        <v>37</v>
      </c>
      <c r="F98" s="13">
        <v>2.0</v>
      </c>
      <c r="G98" s="14">
        <v>28.1</v>
      </c>
      <c r="H98" s="10" t="s">
        <v>5718</v>
      </c>
      <c r="I98" s="10">
        <v>94.1</v>
      </c>
      <c r="O98" s="15">
        <f>IFERROR(__xludf.DUMMYFUNCTION("IF(ISBLANK($C98), """", GOOGLEFINANCE($C98, ""price""))"),29.67)</f>
        <v>29.67</v>
      </c>
      <c r="P98" s="16">
        <f t="shared" si="2"/>
        <v>0.05587188612</v>
      </c>
      <c r="Q98" s="16">
        <f>IFERROR(__xludf.DUMMYFUNCTION("IF(OR(ISBLANK($G98), IFERROR(INDEX(GOOGLEFINANCE($C98, ""price"", WORKDAY(INT($B98), 1)), 2, 2), """")=""""), """", IF($D98=""LONG"", (IFERROR(INDEX(GOOGLEFINANCE($C98, ""price"", WORKDAY(INT($B98), 1)), 2, 2), """")-$G98)/$G98, ($G98-IFERROR(INDEX(GOOGLE"&amp;"FINANCE($C98, ""price"", WORKDAY(INT($B98), 1)), 2, 2), """"))/$G98))"),-0.019217081850533904)</f>
        <v>-0.01921708185</v>
      </c>
      <c r="R98" s="16">
        <f>IFERROR(__xludf.DUMMYFUNCTION("IF(OR(ISBLANK($G98), IFERROR(INDEX(GOOGLEFINANCE($C98, ""price"", WORKDAY(INT($B98), 5)), 2, 2), """")=""""), """", IF($D98=""LONG"", (IFERROR(INDEX(GOOGLEFINANCE($C98, ""price"", WORKDAY(INT($B98), 5)), 2, 2), """")-$G98)/$G98, ($G98-IFERROR(INDEX(GOOGLE"&amp;"FINANCE($C98, ""price"", WORKDAY(INT($B98), 5)), 2, 2), """"))/$G98))"),0.05516014234875435)</f>
        <v>0.05516014235</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5722</v>
      </c>
    </row>
    <row r="99">
      <c r="A99" s="9">
        <f t="shared" si="1"/>
        <v>98</v>
      </c>
      <c r="B99" s="11">
        <v>46233.66805555556</v>
      </c>
      <c r="C99" s="10" t="s">
        <v>5099</v>
      </c>
      <c r="D99" s="10" t="s">
        <v>36</v>
      </c>
      <c r="E99" s="10" t="s">
        <v>37</v>
      </c>
      <c r="F99" s="13">
        <v>2.0</v>
      </c>
      <c r="G99" s="14">
        <v>210.6</v>
      </c>
      <c r="H99" s="10" t="s">
        <v>5723</v>
      </c>
      <c r="I99" s="10">
        <v>93.8</v>
      </c>
      <c r="O99" s="15">
        <f>IFERROR(__xludf.DUMMYFUNCTION("IF(ISBLANK($C99), """", GOOGLEFINANCE($C99, ""price""))"),205.52)</f>
        <v>205.52</v>
      </c>
      <c r="P99" s="16">
        <f t="shared" si="2"/>
        <v>-0.02412155745</v>
      </c>
      <c r="Q99" s="16">
        <f>IFERROR(__xludf.DUMMYFUNCTION("IF(OR(ISBLANK($G99), IFERROR(INDEX(GOOGLEFINANCE($C99, ""price"", WORKDAY(INT($B99), 1)), 2, 2), """")=""""), """", IF($D99=""LONG"", (IFERROR(INDEX(GOOGLEFINANCE($C99, ""price"", WORKDAY(INT($B99), 1)), 2, 2), """")-$G99)/$G99, ($G99-IFERROR(INDEX(GOOGLE"&amp;"FINANCE($C99, ""price"", WORKDAY(INT($B99), 1)), 2, 2), """"))/$G99))"),0.005128205128205188)</f>
        <v>0.005128205128</v>
      </c>
      <c r="R99" s="16">
        <f>IFERROR(__xludf.DUMMYFUNCTION("IF(OR(ISBLANK($G99), IFERROR(INDEX(GOOGLEFINANCE($C99, ""price"", WORKDAY(INT($B99), 5)), 2, 2), """")=""""), """", IF($D99=""LONG"", (IFERROR(INDEX(GOOGLEFINANCE($C99, ""price"", WORKDAY(INT($B99), 5)), 2, 2), """")-$G99)/$G99, ($G99-IFERROR(INDEX(GOOGLE"&amp;"FINANCE($C99, ""price"", WORKDAY(INT($B99), 5)), 2, 2), """"))/$G99))"),-0.024121557454890714)</f>
        <v>-0.02412155745</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5726</v>
      </c>
    </row>
    <row r="100">
      <c r="A100" s="9">
        <f t="shared" si="1"/>
        <v>99</v>
      </c>
      <c r="B100" s="11">
        <v>46233.668078703704</v>
      </c>
      <c r="C100" s="10" t="s">
        <v>3566</v>
      </c>
      <c r="D100" s="10" t="s">
        <v>36</v>
      </c>
      <c r="E100" s="10" t="s">
        <v>37</v>
      </c>
      <c r="F100" s="13">
        <v>2.0</v>
      </c>
      <c r="G100" s="14">
        <v>366.57</v>
      </c>
      <c r="H100" s="10" t="s">
        <v>5727</v>
      </c>
      <c r="I100" s="10">
        <v>89.5</v>
      </c>
      <c r="O100" s="15">
        <f>IFERROR(__xludf.DUMMYFUNCTION("IF(ISBLANK($C100), """", GOOGLEFINANCE($C100, ""price""))"),360.75)</f>
        <v>360.75</v>
      </c>
      <c r="P100" s="16">
        <f t="shared" si="2"/>
        <v>-0.015876913</v>
      </c>
      <c r="Q100" s="16">
        <f>IFERROR(__xludf.DUMMYFUNCTION("IF(OR(ISBLANK($G100), IFERROR(INDEX(GOOGLEFINANCE($C100, ""price"", WORKDAY(INT($B100), 1)), 2, 2), """")=""""), """", IF($D100=""LONG"", (IFERROR(INDEX(GOOGLEFINANCE($C100, ""price"", WORKDAY(INT($B100), 1)), 2, 2), """")-$G100)/$G100, ($G100-IFERROR(IND"&amp;"EX(GOOGLEFINANCE($C100, ""price"", WORKDAY(INT($B100), 1)), 2, 2), """"))/$G100))"),-0.016422511389366238)</f>
        <v>-0.01642251139</v>
      </c>
      <c r="R100" s="16">
        <f>IFERROR(__xludf.DUMMYFUNCTION("IF(OR(ISBLANK($G100), IFERROR(INDEX(GOOGLEFINANCE($C100, ""price"", WORKDAY(INT($B100), 5)), 2, 2), """")=""""), """", IF($D100=""LONG"", (IFERROR(INDEX(GOOGLEFINANCE($C100, ""price"", WORKDAY(INT($B100), 5)), 2, 2), """")-$G100)/$G100, ($G100-IFERROR(IND"&amp;"EX(GOOGLEFINANCE($C100, ""price"", WORKDAY(INT($B100), 5)), 2, 2), """"))/$G100))"),-0.015876913004337488)</f>
        <v>-0.015876913</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5729</v>
      </c>
    </row>
    <row r="101">
      <c r="A101" s="9">
        <f t="shared" si="1"/>
        <v>100</v>
      </c>
      <c r="B101" s="11">
        <v>46233.66799768519</v>
      </c>
      <c r="C101" s="10" t="s">
        <v>323</v>
      </c>
      <c r="D101" s="10" t="s">
        <v>36</v>
      </c>
      <c r="E101" s="10" t="s">
        <v>1892</v>
      </c>
      <c r="F101" s="13">
        <v>2.0</v>
      </c>
      <c r="G101" s="14">
        <v>209.59</v>
      </c>
      <c r="H101" s="10" t="s">
        <v>5730</v>
      </c>
      <c r="I101" s="10">
        <v>83.1</v>
      </c>
      <c r="O101" s="15">
        <f>IFERROR(__xludf.DUMMYFUNCTION("IF(ISBLANK($C101), """", GOOGLEFINANCE($C101, ""price""))"),209.7)</f>
        <v>209.7</v>
      </c>
      <c r="P101" s="16">
        <f t="shared" si="2"/>
        <v>0.0005248342001</v>
      </c>
      <c r="Q101" s="16">
        <f>IFERROR(__xludf.DUMMYFUNCTION("IF(OR(ISBLANK($G101), IFERROR(INDEX(GOOGLEFINANCE($C101, ""price"", WORKDAY(INT($B101), 1)), 2, 2), """")=""""), """", IF($D101=""LONG"", (IFERROR(INDEX(GOOGLEFINANCE($C101, ""price"", WORKDAY(INT($B101), 1)), 2, 2), """")-$G101)/$G101, ($G101-IFERROR(IND"&amp;"EX(GOOGLEFINANCE($C101, ""price"", WORKDAY(INT($B101), 1)), 2, 2), """"))/$G101))"),0.0012882294002576947)</f>
        <v>0.0012882294</v>
      </c>
      <c r="R101" s="16" t="str">
        <f>IFERROR(__xludf.DUMMYFUNCTION("IF(OR(ISBLANK($G101), IFERROR(INDEX(GOOGLEFINANCE($C101, ""price"", WORKDAY(INT($B101), 5)), 2, 2), """")=""""), """", IF($D101=""LONG"", (IFERROR(INDEX(GOOGLEFINANCE($C101, ""price"", WORKDAY(INT($B101), 5)), 2, 2), """")-$G101)/$G101, ($G101-IFERROR(IND"&amp;"EX(GOOGLEFINANCE($C101, ""price"", WORKDAY(INT($B101), 5)), 2, 2), """"))/$G101))"),"")</f>
        <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5733</v>
      </c>
    </row>
    <row r="102">
      <c r="A102" s="9">
        <f t="shared" si="1"/>
        <v>101</v>
      </c>
      <c r="B102" s="11">
        <v>46233.668125</v>
      </c>
      <c r="C102" s="10" t="s">
        <v>94</v>
      </c>
      <c r="D102" s="10" t="s">
        <v>36</v>
      </c>
      <c r="E102" s="10" t="s">
        <v>37</v>
      </c>
      <c r="F102" s="13">
        <v>2.0</v>
      </c>
      <c r="G102" s="14">
        <v>56.6</v>
      </c>
      <c r="H102" s="10" t="s">
        <v>5735</v>
      </c>
      <c r="I102" s="10">
        <v>90.6</v>
      </c>
      <c r="O102" s="15">
        <f>IFERROR(__xludf.DUMMYFUNCTION("IF(ISBLANK($C102), """", GOOGLEFINANCE($C102, ""price""))"),56.96)</f>
        <v>56.96</v>
      </c>
      <c r="P102" s="16">
        <f t="shared" si="2"/>
        <v>0.006360424028</v>
      </c>
      <c r="Q102" s="16">
        <f>IFERROR(__xludf.DUMMYFUNCTION("IF(OR(ISBLANK($G102), IFERROR(INDEX(GOOGLEFINANCE($C102, ""price"", WORKDAY(INT($B102), 1)), 2, 2), """")=""""), """", IF($D102=""LONG"", (IFERROR(INDEX(GOOGLEFINANCE($C102, ""price"", WORKDAY(INT($B102), 1)), 2, 2), """")-$G102)/$G102, ($G102-IFERROR(IND"&amp;"EX(GOOGLEFINANCE($C102, ""price"", WORKDAY(INT($B102), 1)), 2, 2), """"))/$G102))"),-0.001766784452296845)</f>
        <v>-0.001766784452</v>
      </c>
      <c r="R102" s="16">
        <f>IFERROR(__xludf.DUMMYFUNCTION("IF(OR(ISBLANK($G102), IFERROR(INDEX(GOOGLEFINANCE($C102, ""price"", WORKDAY(INT($B102), 5)), 2, 2), """")=""""), """", IF($D102=""LONG"", (IFERROR(INDEX(GOOGLEFINANCE($C102, ""price"", WORKDAY(INT($B102), 5)), 2, 2), """")-$G102)/$G102, ($G102-IFERROR(IND"&amp;"EX(GOOGLEFINANCE($C102, ""price"", WORKDAY(INT($B102), 5)), 2, 2), """"))/$G102))"),0.006360424028268541)</f>
        <v>0.006360424028</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5738</v>
      </c>
    </row>
    <row r="103">
      <c r="A103" s="9">
        <f t="shared" si="1"/>
        <v>102</v>
      </c>
      <c r="B103" s="11">
        <v>46233.668032407404</v>
      </c>
      <c r="C103" s="10" t="s">
        <v>2535</v>
      </c>
      <c r="D103" s="10" t="s">
        <v>36</v>
      </c>
      <c r="E103" s="10" t="s">
        <v>1892</v>
      </c>
      <c r="F103" s="13">
        <v>2.0</v>
      </c>
      <c r="G103" s="14">
        <v>233.77</v>
      </c>
      <c r="H103" s="10" t="s">
        <v>5739</v>
      </c>
      <c r="I103" s="10">
        <v>63.3</v>
      </c>
      <c r="O103" s="15">
        <f>IFERROR(__xludf.DUMMYFUNCTION("IF(ISBLANK($C103), """", GOOGLEFINANCE($C103, ""price""))"),233.71)</f>
        <v>233.71</v>
      </c>
      <c r="P103" s="16">
        <f t="shared" si="2"/>
        <v>-0.0002566625315</v>
      </c>
      <c r="Q103" s="16">
        <f>IFERROR(__xludf.DUMMYFUNCTION("IF(OR(ISBLANK($G103), IFERROR(INDEX(GOOGLEFINANCE($C103, ""price"", WORKDAY(INT($B103), 1)), 2, 2), """")=""""), """", IF($D103=""LONG"", (IFERROR(INDEX(GOOGLEFINANCE($C103, ""price"", WORKDAY(INT($B103), 1)), 2, 2), """")-$G103)/$G103, ($G103-IFERROR(IND"&amp;"EX(GOOGLEFINANCE($C103, ""price"", WORKDAY(INT($B103), 1)), 2, 2), """"))/$G103))"),-0.014201993412328449)</f>
        <v>-0.01420199341</v>
      </c>
      <c r="R103" s="16">
        <f>IFERROR(__xludf.DUMMYFUNCTION("IF(OR(ISBLANK($G103), IFERROR(INDEX(GOOGLEFINANCE($C103, ""price"", WORKDAY(INT($B103), 5)), 2, 2), """")=""""), """", IF($D103=""LONG"", (IFERROR(INDEX(GOOGLEFINANCE($C103, ""price"", WORKDAY(INT($B103), 5)), 2, 2), """")-$G103)/$G103, ($G103-IFERROR(IND"&amp;"EX(GOOGLEFINANCE($C103, ""price"", WORKDAY(INT($B103), 5)), 2, 2), """"))/$G103))"),-2.5666253154811255E-4)</f>
        <v>-0.0002566625315</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5742</v>
      </c>
    </row>
    <row r="104">
      <c r="A104" s="9">
        <f t="shared" si="1"/>
        <v>103</v>
      </c>
      <c r="B104" s="11">
        <v>46233.668125</v>
      </c>
      <c r="C104" s="10" t="s">
        <v>69</v>
      </c>
      <c r="D104" s="10" t="s">
        <v>36</v>
      </c>
      <c r="E104" s="10" t="s">
        <v>37</v>
      </c>
      <c r="F104" s="13">
        <v>2.0</v>
      </c>
      <c r="G104" s="14">
        <v>255.88</v>
      </c>
      <c r="H104" s="10" t="s">
        <v>5744</v>
      </c>
      <c r="I104" s="10">
        <v>90.9</v>
      </c>
      <c r="O104" s="15">
        <f>IFERROR(__xludf.DUMMYFUNCTION("IF(ISBLANK($C104), """", GOOGLEFINANCE($C104, ""price""))"),256.98)</f>
        <v>256.98</v>
      </c>
      <c r="P104" s="16">
        <f t="shared" si="2"/>
        <v>0.004298890105</v>
      </c>
      <c r="Q104" s="16">
        <f>IFERROR(__xludf.DUMMYFUNCTION("IF(OR(ISBLANK($G104), IFERROR(INDEX(GOOGLEFINANCE($C104, ""price"", WORKDAY(INT($B104), 1)), 2, 2), """")=""""), """", IF($D104=""LONG"", (IFERROR(INDEX(GOOGLEFINANCE($C104, ""price"", WORKDAY(INT($B104), 1)), 2, 2), """")-$G104)/$G104, ($G104-IFERROR(IND"&amp;"EX(GOOGLEFINANCE($C104, ""price"", WORKDAY(INT($B104), 1)), 2, 2), """"))/$G104))"),0.001836798499296652)</f>
        <v>0.001836798499</v>
      </c>
      <c r="R104" s="16">
        <f>IFERROR(__xludf.DUMMYFUNCTION("IF(OR(ISBLANK($G104), IFERROR(INDEX(GOOGLEFINANCE($C104, ""price"", WORKDAY(INT($B104), 5)), 2, 2), """")=""""), """", IF($D104=""LONG"", (IFERROR(INDEX(GOOGLEFINANCE($C104, ""price"", WORKDAY(INT($B104), 5)), 2, 2), """")-$G104)/$G104, ($G104-IFERROR(IND"&amp;"EX(GOOGLEFINANCE($C104, ""price"", WORKDAY(INT($B104), 5)), 2, 2), """"))/$G104))"),0.004298890104736684)</f>
        <v>0.004298890105</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5747</v>
      </c>
    </row>
    <row r="105">
      <c r="A105" s="9">
        <f t="shared" si="1"/>
        <v>104</v>
      </c>
      <c r="B105" s="11">
        <v>46233.667974537035</v>
      </c>
      <c r="C105" s="10" t="s">
        <v>3615</v>
      </c>
      <c r="D105" s="10" t="s">
        <v>36</v>
      </c>
      <c r="E105" s="10" t="s">
        <v>37</v>
      </c>
      <c r="F105" s="13">
        <v>2.0</v>
      </c>
      <c r="G105" s="14">
        <v>31.79</v>
      </c>
      <c r="H105" s="10" t="s">
        <v>5751</v>
      </c>
      <c r="I105" s="10">
        <v>96.3</v>
      </c>
      <c r="O105" s="15">
        <f>IFERROR(__xludf.DUMMYFUNCTION("IF(ISBLANK($C105), """", GOOGLEFINANCE($C105, ""price""))"),33.87)</f>
        <v>33.87</v>
      </c>
      <c r="P105" s="16">
        <f t="shared" si="2"/>
        <v>0.06542938031</v>
      </c>
      <c r="Q105" s="16">
        <f>IFERROR(__xludf.DUMMYFUNCTION("IF(OR(ISBLANK($G105), IFERROR(INDEX(GOOGLEFINANCE($C105, ""price"", WORKDAY(INT($B105), 1)), 2, 2), """")=""""), """", IF($D105=""LONG"", (IFERROR(INDEX(GOOGLEFINANCE($C105, ""price"", WORKDAY(INT($B105), 1)), 2, 2), """")-$G105)/$G105, ($G105-IFERROR(IND"&amp;"EX(GOOGLEFINANCE($C105, ""price"", WORKDAY(INT($B105), 1)), 2, 2), """"))/$G105))"),-0.016357345077068246)</f>
        <v>-0.01635734508</v>
      </c>
      <c r="R105" s="16">
        <f>IFERROR(__xludf.DUMMYFUNCTION("IF(OR(ISBLANK($G105), IFERROR(INDEX(GOOGLEFINANCE($C105, ""price"", WORKDAY(INT($B105), 5)), 2, 2), """")=""""), """", IF($D105=""LONG"", (IFERROR(INDEX(GOOGLEFINANCE($C105, ""price"", WORKDAY(INT($B105), 5)), 2, 2), """")-$G105)/$G105, ($G105-IFERROR(IND"&amp;"EX(GOOGLEFINANCE($C105, ""price"", WORKDAY(INT($B105), 5)), 2, 2), """"))/$G105))"),0.06542938030827299)</f>
        <v>0.06542938031</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5756</v>
      </c>
    </row>
    <row r="106">
      <c r="A106" s="9">
        <f t="shared" si="1"/>
        <v>105</v>
      </c>
      <c r="B106" s="11">
        <v>46233.66815972222</v>
      </c>
      <c r="C106" s="10" t="s">
        <v>2048</v>
      </c>
      <c r="D106" s="10" t="s">
        <v>36</v>
      </c>
      <c r="E106" s="10" t="s">
        <v>37</v>
      </c>
      <c r="F106" s="13">
        <v>2.0</v>
      </c>
      <c r="G106" s="14">
        <v>289.42</v>
      </c>
      <c r="H106" s="10" t="s">
        <v>5757</v>
      </c>
      <c r="I106" s="10">
        <v>91.0</v>
      </c>
      <c r="O106" s="15">
        <f>IFERROR(__xludf.DUMMYFUNCTION("IF(ISBLANK($C106), """", GOOGLEFINANCE($C106, ""price""))"),295.38)</f>
        <v>295.38</v>
      </c>
      <c r="P106" s="16">
        <f t="shared" si="2"/>
        <v>0.02059290996</v>
      </c>
      <c r="Q106" s="16">
        <f>IFERROR(__xludf.DUMMYFUNCTION("IF(OR(ISBLANK($G106), IFERROR(INDEX(GOOGLEFINANCE($C106, ""price"", WORKDAY(INT($B106), 1)), 2, 2), """")=""""), """", IF($D106=""LONG"", (IFERROR(INDEX(GOOGLEFINANCE($C106, ""price"", WORKDAY(INT($B106), 1)), 2, 2), """")-$G106)/$G106, ($G106-IFERROR(IND"&amp;"EX(GOOGLEFINANCE($C106, ""price"", WORKDAY(INT($B106), 1)), 2, 2), """"))/$G106))"),0.009363554695598022)</f>
        <v>0.009363554696</v>
      </c>
      <c r="R106" s="16">
        <f>IFERROR(__xludf.DUMMYFUNCTION("IF(OR(ISBLANK($G106), IFERROR(INDEX(GOOGLEFINANCE($C106, ""price"", WORKDAY(INT($B106), 5)), 2, 2), """")=""""), """", IF($D106=""LONG"", (IFERROR(INDEX(GOOGLEFINANCE($C106, ""price"", WORKDAY(INT($B106), 5)), 2, 2), """")-$G106)/$G106, ($G106-IFERROR(IND"&amp;"EX(GOOGLEFINANCE($C106, ""price"", WORKDAY(INT($B106), 5)), 2, 2), """"))/$G106))"),0.020592909957846656)</f>
        <v>0.02059290996</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5760</v>
      </c>
    </row>
    <row r="107">
      <c r="B107" s="43"/>
      <c r="G107" s="15"/>
      <c r="O107" s="15"/>
      <c r="P107" s="16"/>
      <c r="Q107" s="16"/>
      <c r="R107" s="16"/>
      <c r="S107" s="16"/>
    </row>
    <row r="108">
      <c r="B108" s="43"/>
      <c r="G108" s="15"/>
      <c r="O108" s="15"/>
      <c r="P108" s="16"/>
      <c r="Q108" s="16"/>
      <c r="R108" s="16"/>
      <c r="S108" s="16"/>
    </row>
    <row r="109">
      <c r="B109" s="43"/>
      <c r="G109" s="15"/>
      <c r="O109" s="15"/>
      <c r="P109" s="16"/>
      <c r="Q109" s="16"/>
      <c r="R109" s="16"/>
      <c r="S109" s="16"/>
    </row>
    <row r="110">
      <c r="B110" s="43"/>
      <c r="G110" s="15"/>
      <c r="O110" s="15"/>
      <c r="P110" s="16"/>
      <c r="Q110" s="16"/>
      <c r="R110" s="16"/>
      <c r="S110" s="16"/>
    </row>
    <row r="111">
      <c r="B111" s="43"/>
      <c r="G111" s="15"/>
      <c r="O111" s="15"/>
      <c r="P111" s="16"/>
      <c r="Q111" s="16"/>
      <c r="R111" s="16"/>
      <c r="S111" s="16"/>
    </row>
    <row r="112">
      <c r="B112" s="43"/>
      <c r="G112" s="15"/>
      <c r="O112" s="15"/>
      <c r="P112" s="16"/>
      <c r="Q112" s="16"/>
      <c r="R112" s="16"/>
      <c r="S112" s="16"/>
    </row>
    <row r="113">
      <c r="B113" s="43"/>
      <c r="G113" s="15"/>
      <c r="O113" s="15"/>
      <c r="P113" s="16"/>
      <c r="Q113" s="16"/>
      <c r="R113" s="16"/>
      <c r="S113" s="16"/>
    </row>
    <row r="114">
      <c r="B114" s="43"/>
      <c r="G114" s="15"/>
      <c r="O114" s="15"/>
      <c r="P114" s="16"/>
      <c r="Q114" s="16"/>
      <c r="R114" s="16"/>
      <c r="S114" s="16"/>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113" si="1">ROW()-1</f>
        <v>1</v>
      </c>
      <c r="B2" s="11">
        <v>46234.667604166665</v>
      </c>
      <c r="C2" s="10" t="s">
        <v>5228</v>
      </c>
      <c r="D2" s="10" t="s">
        <v>36</v>
      </c>
      <c r="E2" s="10" t="s">
        <v>37</v>
      </c>
      <c r="F2" s="13">
        <v>2.0</v>
      </c>
      <c r="G2" s="14">
        <v>17.57</v>
      </c>
      <c r="H2" s="10" t="s">
        <v>5512</v>
      </c>
      <c r="I2" s="10">
        <v>82.2</v>
      </c>
      <c r="O2" s="15">
        <f>IFERROR(__xludf.DUMMYFUNCTION("IF(ISBLANK($C2), """", GOOGLEFINANCE($C2, ""price""))"),16.29)</f>
        <v>16.29</v>
      </c>
      <c r="P2" s="16">
        <f t="shared" ref="P2:P113" si="2">IF(OR(ISBLANK($G2), ISBLANK($O2)), "", IF($D2="LONG", ($O2-$G2)/$G2, ($G2-$O2)/$G2))</f>
        <v>-0.07285145134</v>
      </c>
      <c r="Q2" s="16">
        <f>IFERROR(__xludf.DUMMYFUNCTION("IF(OR(ISBLANK($G2), IFERROR(INDEX(GOOGLEFINANCE($C2, ""price"", WORKDAY(INT($B2), 1)), 2, 2), """")=""""), """", IF($D2=""LONG"", (IFERROR(INDEX(GOOGLEFINANCE($C2, ""price"", WORKDAY(INT($B2), 1)), 2, 2), """")-$G2)/$G2, ($G2-IFERROR(INDEX(GOOGLEFINANCE($"&amp;"C2, ""price"", WORKDAY(INT($B2), 1)), 2, 2), """"))/$G2))"),0.0034149117814455733)</f>
        <v>0.003414911781</v>
      </c>
      <c r="R2" s="16" t="str">
        <f>IFERROR(__xludf.DUMMYFUNCTION("IF(OR(ISBLANK($G2), IFERROR(INDEX(GOOGLEFINANCE($C2, ""price"", WORKDAY(INT($B2), 5)), 2, 2), """")=""""), """", IF($D2=""LONG"", (IFERROR(INDEX(GOOGLEFINANCE($C2, ""price"", WORKDAY(INT($B2), 5)), 2, 2), """")-$G2)/$G2, ($G2-IFERROR(INDEX(GOOGLEFINANCE($"&amp;"C2, ""price"", WORKDAY(INT($B2), 5)), 2, 2), """"))/$G2))"),"")</f>
        <v/>
      </c>
      <c r="S2" s="16" t="str">
        <f>IFERROR(__xludf.DUMMYFUNCTION("IF(OR(ISBLANK($G2), IFERROR(INDEX(GOOGLEFINANCE($C2, ""price"", WORKDAY(INT($B2), 20)), 2, 2), """")=""""), """", IF($D2=""LONG"", (IFERROR(INDEX(GOOGLEFINANCE($C2, ""price"", WORKDAY(INT($B2), 20)), 2, 2), """")-$G2)/$G2, ($G2-IFERROR(INDEX(GOOGLEFINANCE"&amp;"($C2, ""price"", WORKDAY(INT($B2), 20)), 2, 2), """"))/$G2))"),"")</f>
        <v/>
      </c>
      <c r="T2" s="10" t="s">
        <v>5516</v>
      </c>
    </row>
    <row r="3">
      <c r="A3" s="9">
        <f t="shared" si="1"/>
        <v>2</v>
      </c>
      <c r="B3" s="11">
        <v>46234.66740740741</v>
      </c>
      <c r="C3" s="10" t="s">
        <v>691</v>
      </c>
      <c r="D3" s="10" t="s">
        <v>36</v>
      </c>
      <c r="E3" s="10" t="s">
        <v>37</v>
      </c>
      <c r="F3" s="13">
        <v>2.0</v>
      </c>
      <c r="G3" s="14">
        <v>29.62</v>
      </c>
      <c r="H3" s="10" t="s">
        <v>5518</v>
      </c>
      <c r="I3" s="10">
        <v>87.7</v>
      </c>
      <c r="O3" s="15">
        <f>IFERROR(__xludf.DUMMYFUNCTION("IF(ISBLANK($C3), """", GOOGLEFINANCE($C3, ""price""))"),31.69)</f>
        <v>31.69</v>
      </c>
      <c r="P3" s="16">
        <f t="shared" si="2"/>
        <v>0.06988521269</v>
      </c>
      <c r="Q3" s="16">
        <f>IFERROR(__xludf.DUMMYFUNCTION("IF(OR(ISBLANK($G3), IFERROR(INDEX(GOOGLEFINANCE($C3, ""price"", WORKDAY(INT($B3), 1)), 2, 2), """")=""""), """", IF($D3=""LONG"", (IFERROR(INDEX(GOOGLEFINANCE($C3, ""price"", WORKDAY(INT($B3), 1)), 2, 2), """")-$G3)/$G3, ($G3-IFERROR(INDEX(GOOGLEFINANCE($"&amp;"C3, ""price"", WORKDAY(INT($B3), 1)), 2, 2), """"))/$G3))"),0.04355165428764345)</f>
        <v>0.04355165429</v>
      </c>
      <c r="R3" s="16" t="str">
        <f>IFERROR(__xludf.DUMMYFUNCTION("IF(OR(ISBLANK($G3), IFERROR(INDEX(GOOGLEFINANCE($C3, ""price"", WORKDAY(INT($B3), 5)), 2, 2), """")=""""), """", IF($D3=""LONG"", (IFERROR(INDEX(GOOGLEFINANCE($C3, ""price"", WORKDAY(INT($B3), 5)), 2, 2), """")-$G3)/$G3, ($G3-IFERROR(INDEX(GOOGLEFINANCE($"&amp;"C3, ""price"", WORKDAY(INT($B3), 5)), 2, 2), """"))/$G3))"),"")</f>
        <v/>
      </c>
      <c r="S3" s="16" t="str">
        <f>IFERROR(__xludf.DUMMYFUNCTION("IF(OR(ISBLANK($G3), IFERROR(INDEX(GOOGLEFINANCE($C3, ""price"", WORKDAY(INT($B3), 20)), 2, 2), """")=""""), """", IF($D3=""LONG"", (IFERROR(INDEX(GOOGLEFINANCE($C3, ""price"", WORKDAY(INT($B3), 20)), 2, 2), """")-$G3)/$G3, ($G3-IFERROR(INDEX(GOOGLEFINANCE"&amp;"($C3, ""price"", WORKDAY(INT($B3), 20)), 2, 2), """"))/$G3))"),"")</f>
        <v/>
      </c>
      <c r="T3" s="10" t="s">
        <v>5519</v>
      </c>
    </row>
    <row r="4">
      <c r="A4" s="9">
        <f t="shared" si="1"/>
        <v>3</v>
      </c>
      <c r="B4" s="11">
        <v>46234.667395833334</v>
      </c>
      <c r="C4" s="10" t="s">
        <v>2156</v>
      </c>
      <c r="D4" s="10" t="s">
        <v>36</v>
      </c>
      <c r="E4" s="10" t="s">
        <v>37</v>
      </c>
      <c r="F4" s="13">
        <v>2.0</v>
      </c>
      <c r="G4" s="14">
        <v>94.2</v>
      </c>
      <c r="H4" s="10" t="s">
        <v>5521</v>
      </c>
      <c r="I4" s="10">
        <v>95.1</v>
      </c>
      <c r="O4" s="15">
        <f>IFERROR(__xludf.DUMMYFUNCTION("IF(ISBLANK($C4), """", GOOGLEFINANCE($C4, ""price""))"),94.7)</f>
        <v>94.7</v>
      </c>
      <c r="P4" s="16">
        <f t="shared" si="2"/>
        <v>0.005307855626</v>
      </c>
      <c r="Q4" s="16">
        <f>IFERROR(__xludf.DUMMYFUNCTION("IF(OR(ISBLANK($G4), IFERROR(INDEX(GOOGLEFINANCE($C4, ""price"", WORKDAY(INT($B4), 1)), 2, 2), """")=""""), """", IF($D4=""LONG"", (IFERROR(INDEX(GOOGLEFINANCE($C4, ""price"", WORKDAY(INT($B4), 1)), 2, 2), """")-$G4)/$G4, ($G4-IFERROR(INDEX(GOOGLEFINANCE($"&amp;"C4, ""price"", WORKDAY(INT($B4), 1)), 2, 2), """"))/$G4))"),-6.369426751592598E-4)</f>
        <v>-0.0006369426752</v>
      </c>
      <c r="R4" s="16" t="str">
        <f>IFERROR(__xludf.DUMMYFUNCTION("IF(OR(ISBLANK($G4), IFERROR(INDEX(GOOGLEFINANCE($C4, ""price"", WORKDAY(INT($B4), 5)), 2, 2), """")=""""), """", IF($D4=""LONG"", (IFERROR(INDEX(GOOGLEFINANCE($C4, ""price"", WORKDAY(INT($B4), 5)), 2, 2), """")-$G4)/$G4, ($G4-IFERROR(INDEX(GOOGLEFINANCE($"&amp;"C4, ""price"", WORKDAY(INT($B4), 5)), 2, 2), """"))/$G4))"),"")</f>
        <v/>
      </c>
      <c r="S4" s="16" t="str">
        <f>IFERROR(__xludf.DUMMYFUNCTION("IF(OR(ISBLANK($G4), IFERROR(INDEX(GOOGLEFINANCE($C4, ""price"", WORKDAY(INT($B4), 20)), 2, 2), """")=""""), """", IF($D4=""LONG"", (IFERROR(INDEX(GOOGLEFINANCE($C4, ""price"", WORKDAY(INT($B4), 20)), 2, 2), """")-$G4)/$G4, ($G4-IFERROR(INDEX(GOOGLEFINANCE"&amp;"($C4, ""price"", WORKDAY(INT($B4), 20)), 2, 2), """"))/$G4))"),"")</f>
        <v/>
      </c>
      <c r="T4" s="10" t="s">
        <v>5523</v>
      </c>
    </row>
    <row r="5">
      <c r="A5" s="9">
        <f t="shared" si="1"/>
        <v>4</v>
      </c>
      <c r="B5" s="11">
        <v>46234.667604166665</v>
      </c>
      <c r="C5" s="10" t="s">
        <v>1555</v>
      </c>
      <c r="D5" s="10" t="s">
        <v>36</v>
      </c>
      <c r="E5" s="10" t="s">
        <v>37</v>
      </c>
      <c r="F5" s="13">
        <v>2.0</v>
      </c>
      <c r="G5" s="14">
        <v>374.0</v>
      </c>
      <c r="H5" s="10" t="s">
        <v>5525</v>
      </c>
      <c r="I5" s="10">
        <v>85.0</v>
      </c>
      <c r="O5" s="15">
        <f>IFERROR(__xludf.DUMMYFUNCTION("IF(ISBLANK($C5), """", GOOGLEFINANCE($C5, ""price""))"),370.35)</f>
        <v>370.35</v>
      </c>
      <c r="P5" s="16">
        <f t="shared" si="2"/>
        <v>-0.009759358289</v>
      </c>
      <c r="Q5" s="16">
        <f>IFERROR(__xludf.DUMMYFUNCTION("IF(OR(ISBLANK($G5), IFERROR(INDEX(GOOGLEFINANCE($C5, ""price"", WORKDAY(INT($B5), 1)), 2, 2), """")=""""), """", IF($D5=""LONG"", (IFERROR(INDEX(GOOGLEFINANCE($C5, ""price"", WORKDAY(INT($B5), 1)), 2, 2), """")-$G5)/$G5, ($G5-IFERROR(INDEX(GOOGLEFINANCE($"&amp;"C5, ""price"", WORKDAY(INT($B5), 1)), 2, 2), """"))/$G5))"),-0.0052139037433154775)</f>
        <v>-0.005213903743</v>
      </c>
      <c r="R5" s="16" t="str">
        <f>IFERROR(__xludf.DUMMYFUNCTION("IF(OR(ISBLANK($G5), IFERROR(INDEX(GOOGLEFINANCE($C5, ""price"", WORKDAY(INT($B5), 5)), 2, 2), """")=""""), """", IF($D5=""LONG"", (IFERROR(INDEX(GOOGLEFINANCE($C5, ""price"", WORKDAY(INT($B5), 5)), 2, 2), """")-$G5)/$G5, ($G5-IFERROR(INDEX(GOOGLEFINANCE($"&amp;"C5, ""price"", WORKDAY(INT($B5), 5)), 2, 2), """"))/$G5))"),"")</f>
        <v/>
      </c>
      <c r="S5" s="16" t="str">
        <f>IFERROR(__xludf.DUMMYFUNCTION("IF(OR(ISBLANK($G5), IFERROR(INDEX(GOOGLEFINANCE($C5, ""price"", WORKDAY(INT($B5), 20)), 2, 2), """")=""""), """", IF($D5=""LONG"", (IFERROR(INDEX(GOOGLEFINANCE($C5, ""price"", WORKDAY(INT($B5), 20)), 2, 2), """")-$G5)/$G5, ($G5-IFERROR(INDEX(GOOGLEFINANCE"&amp;"($C5, ""price"", WORKDAY(INT($B5), 20)), 2, 2), """"))/$G5))"),"")</f>
        <v/>
      </c>
      <c r="T5" s="10" t="s">
        <v>5527</v>
      </c>
    </row>
    <row r="6">
      <c r="A6" s="9">
        <f t="shared" si="1"/>
        <v>5</v>
      </c>
      <c r="B6" s="11">
        <v>46234.66741898148</v>
      </c>
      <c r="C6" s="10" t="s">
        <v>408</v>
      </c>
      <c r="D6" s="10" t="s">
        <v>36</v>
      </c>
      <c r="E6" s="10" t="s">
        <v>37</v>
      </c>
      <c r="F6" s="13">
        <v>2.0</v>
      </c>
      <c r="G6" s="14">
        <v>246.35</v>
      </c>
      <c r="H6" s="10" t="s">
        <v>5529</v>
      </c>
      <c r="I6" s="10">
        <v>92.7</v>
      </c>
      <c r="O6" s="15">
        <f>IFERROR(__xludf.DUMMYFUNCTION("IF(ISBLANK($C6), """", GOOGLEFINANCE($C6, ""price""))"),250.14)</f>
        <v>250.14</v>
      </c>
      <c r="P6" s="16">
        <f t="shared" si="2"/>
        <v>0.01538461538</v>
      </c>
      <c r="Q6" s="16">
        <f>IFERROR(__xludf.DUMMYFUNCTION("IF(OR(ISBLANK($G6), IFERROR(INDEX(GOOGLEFINANCE($C6, ""price"", WORKDAY(INT($B6), 1)), 2, 2), """")=""""), """", IF($D6=""LONG"", (IFERROR(INDEX(GOOGLEFINANCE($C6, ""price"", WORKDAY(INT($B6), 1)), 2, 2), """")-$G6)/$G6, ($G6-IFERROR(INDEX(GOOGLEFINANCE($"&amp;"C6, ""price"", WORKDAY(INT($B6), 1)), 2, 2), """"))/$G6))"),0.012705500304444877)</f>
        <v>0.0127055003</v>
      </c>
      <c r="R6" s="16" t="str">
        <f>IFERROR(__xludf.DUMMYFUNCTION("IF(OR(ISBLANK($G6), IFERROR(INDEX(GOOGLEFINANCE($C6, ""price"", WORKDAY(INT($B6), 5)), 2, 2), """")=""""), """", IF($D6=""LONG"", (IFERROR(INDEX(GOOGLEFINANCE($C6, ""price"", WORKDAY(INT($B6), 5)), 2, 2), """")-$G6)/$G6, ($G6-IFERROR(INDEX(GOOGLEFINANCE($"&amp;"C6, ""price"", WORKDAY(INT($B6), 5)), 2, 2), """"))/$G6))"),"")</f>
        <v/>
      </c>
      <c r="S6" s="16" t="str">
        <f>IFERROR(__xludf.DUMMYFUNCTION("IF(OR(ISBLANK($G6), IFERROR(INDEX(GOOGLEFINANCE($C6, ""price"", WORKDAY(INT($B6), 20)), 2, 2), """")=""""), """", IF($D6=""LONG"", (IFERROR(INDEX(GOOGLEFINANCE($C6, ""price"", WORKDAY(INT($B6), 20)), 2, 2), """")-$G6)/$G6, ($G6-IFERROR(INDEX(GOOGLEFINANCE"&amp;"($C6, ""price"", WORKDAY(INT($B6), 20)), 2, 2), """"))/$G6))"),"")</f>
        <v/>
      </c>
      <c r="T6" s="10" t="s">
        <v>5531</v>
      </c>
    </row>
    <row r="7">
      <c r="A7" s="9">
        <f t="shared" si="1"/>
        <v>6</v>
      </c>
      <c r="B7" s="11">
        <v>46234.66736111111</v>
      </c>
      <c r="C7" s="10" t="s">
        <v>41</v>
      </c>
      <c r="D7" s="10" t="s">
        <v>36</v>
      </c>
      <c r="E7" s="10" t="s">
        <v>37</v>
      </c>
      <c r="F7" s="13">
        <v>2.0</v>
      </c>
      <c r="G7" s="14">
        <v>182.15</v>
      </c>
      <c r="H7" s="10" t="s">
        <v>5533</v>
      </c>
      <c r="I7" s="10">
        <v>81.4</v>
      </c>
      <c r="O7" s="15">
        <f>IFERROR(__xludf.DUMMYFUNCTION("IF(ISBLANK($C7), """", GOOGLEFINANCE($C7, ""price""))"),186.02)</f>
        <v>186.02</v>
      </c>
      <c r="P7" s="16">
        <f t="shared" si="2"/>
        <v>0.02124622564</v>
      </c>
      <c r="Q7" s="16">
        <f>IFERROR(__xludf.DUMMYFUNCTION("IF(OR(ISBLANK($G7), IFERROR(INDEX(GOOGLEFINANCE($C7, ""price"", WORKDAY(INT($B7), 1)), 2, 2), """")=""""), """", IF($D7=""LONG"", (IFERROR(INDEX(GOOGLEFINANCE($C7, ""price"", WORKDAY(INT($B7), 1)), 2, 2), """")-$G7)/$G7, ($G7-IFERROR(INDEX(GOOGLEFINANCE($"&amp;"C7, ""price"", WORKDAY(INT($B7), 1)), 2, 2), """"))/$G7))"),0.010650562723030457)</f>
        <v>0.01065056272</v>
      </c>
      <c r="R7" s="16" t="str">
        <f>IFERROR(__xludf.DUMMYFUNCTION("IF(OR(ISBLANK($G7), IFERROR(INDEX(GOOGLEFINANCE($C7, ""price"", WORKDAY(INT($B7), 5)), 2, 2), """")=""""), """", IF($D7=""LONG"", (IFERROR(INDEX(GOOGLEFINANCE($C7, ""price"", WORKDAY(INT($B7), 5)), 2, 2), """")-$G7)/$G7, ($G7-IFERROR(INDEX(GOOGLEFINANCE($"&amp;"C7, ""price"", WORKDAY(INT($B7), 5)), 2, 2), """"))/$G7))"),"")</f>
        <v/>
      </c>
      <c r="S7" s="16" t="str">
        <f>IFERROR(__xludf.DUMMYFUNCTION("IF(OR(ISBLANK($G7), IFERROR(INDEX(GOOGLEFINANCE($C7, ""price"", WORKDAY(INT($B7), 20)), 2, 2), """")=""""), """", IF($D7=""LONG"", (IFERROR(INDEX(GOOGLEFINANCE($C7, ""price"", WORKDAY(INT($B7), 20)), 2, 2), """")-$G7)/$G7, ($G7-IFERROR(INDEX(GOOGLEFINANCE"&amp;"($C7, ""price"", WORKDAY(INT($B7), 20)), 2, 2), """"))/$G7))"),"")</f>
        <v/>
      </c>
      <c r="T7" s="10" t="s">
        <v>5535</v>
      </c>
    </row>
    <row r="8">
      <c r="A8" s="9">
        <f t="shared" si="1"/>
        <v>7</v>
      </c>
      <c r="B8" s="11">
        <v>46234.66736111111</v>
      </c>
      <c r="C8" s="10" t="s">
        <v>4394</v>
      </c>
      <c r="D8" s="10" t="s">
        <v>36</v>
      </c>
      <c r="E8" s="10" t="s">
        <v>37</v>
      </c>
      <c r="F8" s="13">
        <v>2.0</v>
      </c>
      <c r="G8" s="14">
        <v>312.9</v>
      </c>
      <c r="H8" s="10" t="s">
        <v>5537</v>
      </c>
      <c r="I8" s="10">
        <v>93.5</v>
      </c>
      <c r="O8" s="15">
        <f>IFERROR(__xludf.DUMMYFUNCTION("IF(ISBLANK($C8), """", GOOGLEFINANCE($C8, ""price""))"),302.99)</f>
        <v>302.99</v>
      </c>
      <c r="P8" s="16">
        <f t="shared" si="2"/>
        <v>-0.03167146053</v>
      </c>
      <c r="Q8" s="16">
        <f>IFERROR(__xludf.DUMMYFUNCTION("IF(OR(ISBLANK($G8), IFERROR(INDEX(GOOGLEFINANCE($C8, ""price"", WORKDAY(INT($B8), 1)), 2, 2), """")=""""), """", IF($D8=""LONG"", (IFERROR(INDEX(GOOGLEFINANCE($C8, ""price"", WORKDAY(INT($B8), 1)), 2, 2), """")-$G8)/$G8, ($G8-IFERROR(INDEX(GOOGLEFINANCE($"&amp;"C8, ""price"", WORKDAY(INT($B8), 1)), 2, 2), """"))/$G8))"),-0.017130073505912294)</f>
        <v>-0.01713007351</v>
      </c>
      <c r="R8" s="16" t="str">
        <f>IFERROR(__xludf.DUMMYFUNCTION("IF(OR(ISBLANK($G8), IFERROR(INDEX(GOOGLEFINANCE($C8, ""price"", WORKDAY(INT($B8), 5)), 2, 2), """")=""""), """", IF($D8=""LONG"", (IFERROR(INDEX(GOOGLEFINANCE($C8, ""price"", WORKDAY(INT($B8), 5)), 2, 2), """")-$G8)/$G8, ($G8-IFERROR(INDEX(GOOGLEFINANCE($"&amp;"C8, ""price"", WORKDAY(INT($B8), 5)), 2, 2), """"))/$G8))"),"")</f>
        <v/>
      </c>
      <c r="S8" s="16" t="str">
        <f>IFERROR(__xludf.DUMMYFUNCTION("IF(OR(ISBLANK($G8), IFERROR(INDEX(GOOGLEFINANCE($C8, ""price"", WORKDAY(INT($B8), 20)), 2, 2), """")=""""), """", IF($D8=""LONG"", (IFERROR(INDEX(GOOGLEFINANCE($C8, ""price"", WORKDAY(INT($B8), 20)), 2, 2), """")-$G8)/$G8, ($G8-IFERROR(INDEX(GOOGLEFINANCE"&amp;"($C8, ""price"", WORKDAY(INT($B8), 20)), 2, 2), """"))/$G8))"),"")</f>
        <v/>
      </c>
      <c r="T8" s="10" t="s">
        <v>5539</v>
      </c>
    </row>
    <row r="9">
      <c r="A9" s="9">
        <f t="shared" si="1"/>
        <v>8</v>
      </c>
      <c r="B9" s="11">
        <v>46234.667395833334</v>
      </c>
      <c r="C9" s="10" t="s">
        <v>3364</v>
      </c>
      <c r="D9" s="10" t="s">
        <v>36</v>
      </c>
      <c r="E9" s="10" t="s">
        <v>37</v>
      </c>
      <c r="F9" s="13">
        <v>2.0</v>
      </c>
      <c r="G9" s="14">
        <v>203.83</v>
      </c>
      <c r="H9" s="10" t="s">
        <v>5540</v>
      </c>
      <c r="I9" s="10">
        <v>97.7</v>
      </c>
      <c r="O9" s="15">
        <f>IFERROR(__xludf.DUMMYFUNCTION("IF(ISBLANK($C9), """", GOOGLEFINANCE($C9, ""price""))"),217.8)</f>
        <v>217.8</v>
      </c>
      <c r="P9" s="16">
        <f t="shared" si="2"/>
        <v>0.06853750675</v>
      </c>
      <c r="Q9" s="16">
        <f>IFERROR(__xludf.DUMMYFUNCTION("IF(OR(ISBLANK($G9), IFERROR(INDEX(GOOGLEFINANCE($C9, ""price"", WORKDAY(INT($B9), 1)), 2, 2), """")=""""), """", IF($D9=""LONG"", (IFERROR(INDEX(GOOGLEFINANCE($C9, ""price"", WORKDAY(INT($B9), 1)), 2, 2), """")-$G9)/$G9, ($G9-IFERROR(INDEX(GOOGLEFINANCE($"&amp;"C9, ""price"", WORKDAY(INT($B9), 1)), 2, 2), """"))/$G9))"),0.011872638963842356)</f>
        <v>0.01187263896</v>
      </c>
      <c r="R9" s="16" t="str">
        <f>IFERROR(__xludf.DUMMYFUNCTION("IF(OR(ISBLANK($G9), IFERROR(INDEX(GOOGLEFINANCE($C9, ""price"", WORKDAY(INT($B9), 5)), 2, 2), """")=""""), """", IF($D9=""LONG"", (IFERROR(INDEX(GOOGLEFINANCE($C9, ""price"", WORKDAY(INT($B9), 5)), 2, 2), """")-$G9)/$G9, ($G9-IFERROR(INDEX(GOOGLEFINANCE($"&amp;"C9, ""price"", WORKDAY(INT($B9), 5)), 2, 2), """"))/$G9))"),"")</f>
        <v/>
      </c>
      <c r="S9" s="16" t="str">
        <f>IFERROR(__xludf.DUMMYFUNCTION("IF(OR(ISBLANK($G9), IFERROR(INDEX(GOOGLEFINANCE($C9, ""price"", WORKDAY(INT($B9), 20)), 2, 2), """")=""""), """", IF($D9=""LONG"", (IFERROR(INDEX(GOOGLEFINANCE($C9, ""price"", WORKDAY(INT($B9), 20)), 2, 2), """")-$G9)/$G9, ($G9-IFERROR(INDEX(GOOGLEFINANCE"&amp;"($C9, ""price"", WORKDAY(INT($B9), 20)), 2, 2), """"))/$G9))"),"")</f>
        <v/>
      </c>
      <c r="T9" s="10" t="s">
        <v>5543</v>
      </c>
    </row>
    <row r="10">
      <c r="A10" s="9">
        <f t="shared" si="1"/>
        <v>9</v>
      </c>
      <c r="B10" s="11">
        <v>46234.66738425926</v>
      </c>
      <c r="C10" s="10" t="s">
        <v>1507</v>
      </c>
      <c r="D10" s="10" t="s">
        <v>36</v>
      </c>
      <c r="E10" s="10" t="s">
        <v>37</v>
      </c>
      <c r="F10" s="13">
        <v>2.0</v>
      </c>
      <c r="G10" s="14">
        <v>84.09</v>
      </c>
      <c r="H10" s="10" t="s">
        <v>5544</v>
      </c>
      <c r="I10" s="10">
        <v>97.7</v>
      </c>
      <c r="O10" s="15">
        <f>IFERROR(__xludf.DUMMYFUNCTION("IF(ISBLANK($C10), """", GOOGLEFINANCE($C10, ""price""))"),87.69)</f>
        <v>87.69</v>
      </c>
      <c r="P10" s="16">
        <f t="shared" si="2"/>
        <v>0.04281127364</v>
      </c>
      <c r="Q10" s="16">
        <f>IFERROR(__xludf.DUMMYFUNCTION("IF(OR(ISBLANK($G10), IFERROR(INDEX(GOOGLEFINANCE($C10, ""price"", WORKDAY(INT($B10), 1)), 2, 2), """")=""""), """", IF($D10=""LONG"", (IFERROR(INDEX(GOOGLEFINANCE($C10, ""price"", WORKDAY(INT($B10), 1)), 2, 2), """")-$G10)/$G10, ($G10-IFERROR(INDEX(GOOGLE"&amp;"FINANCE($C10, ""price"", WORKDAY(INT($B10), 1)), 2, 2), """"))/$G10))"),0.024973242953977813)</f>
        <v>0.02497324295</v>
      </c>
      <c r="R10" s="16" t="str">
        <f>IFERROR(__xludf.DUMMYFUNCTION("IF(OR(ISBLANK($G10), IFERROR(INDEX(GOOGLEFINANCE($C10, ""price"", WORKDAY(INT($B10), 5)), 2, 2), """")=""""), """", IF($D10=""LONG"", (IFERROR(INDEX(GOOGLEFINANCE($C10, ""price"", WORKDAY(INT($B10), 5)), 2, 2), """")-$G10)/$G10, ($G10-IFERROR(INDEX(GOOGLE"&amp;"FINANCE($C10, ""price"", WORKDAY(INT($B10), 5)), 2, 2), """"))/$G10))"),"")</f>
        <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5546</v>
      </c>
    </row>
    <row r="11">
      <c r="A11" s="9">
        <f t="shared" si="1"/>
        <v>10</v>
      </c>
      <c r="B11" s="11">
        <v>46234.667662037034</v>
      </c>
      <c r="C11" s="10" t="s">
        <v>2025</v>
      </c>
      <c r="D11" s="10" t="s">
        <v>36</v>
      </c>
      <c r="E11" s="10" t="s">
        <v>37</v>
      </c>
      <c r="F11" s="13">
        <v>2.0</v>
      </c>
      <c r="G11" s="14">
        <v>70.4</v>
      </c>
      <c r="H11" s="10" t="s">
        <v>5548</v>
      </c>
      <c r="I11" s="10">
        <v>99.3</v>
      </c>
      <c r="O11" s="15">
        <f>IFERROR(__xludf.DUMMYFUNCTION("IF(ISBLANK($C11), """", GOOGLEFINANCE($C11, ""price""))"),71.18)</f>
        <v>71.18</v>
      </c>
      <c r="P11" s="16">
        <f t="shared" si="2"/>
        <v>0.01107954545</v>
      </c>
      <c r="Q11" s="16">
        <f>IFERROR(__xludf.DUMMYFUNCTION("IF(OR(ISBLANK($G11), IFERROR(INDEX(GOOGLEFINANCE($C11, ""price"", WORKDAY(INT($B11), 1)), 2, 2), """")=""""), """", IF($D11=""LONG"", (IFERROR(INDEX(GOOGLEFINANCE($C11, ""price"", WORKDAY(INT($B11), 1)), 2, 2), """")-$G11)/$G11, ($G11-IFERROR(INDEX(GOOGLE"&amp;"FINANCE($C11, ""price"", WORKDAY(INT($B11), 1)), 2, 2), """"))/$G11))"),0.019602272727272663)</f>
        <v>0.01960227273</v>
      </c>
      <c r="R11" s="16" t="str">
        <f>IFERROR(__xludf.DUMMYFUNCTION("IF(OR(ISBLANK($G11), IFERROR(INDEX(GOOGLEFINANCE($C11, ""price"", WORKDAY(INT($B11), 5)), 2, 2), """")=""""), """", IF($D11=""LONG"", (IFERROR(INDEX(GOOGLEFINANCE($C11, ""price"", WORKDAY(INT($B11), 5)), 2, 2), """")-$G11)/$G11, ($G11-IFERROR(INDEX(GOOGLE"&amp;"FINANCE($C11, ""price"", WORKDAY(INT($B11), 5)), 2, 2), """"))/$G11))"),"")</f>
        <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5549</v>
      </c>
    </row>
    <row r="12">
      <c r="A12" s="9">
        <f t="shared" si="1"/>
        <v>11</v>
      </c>
      <c r="B12" s="11">
        <v>46234.66743055556</v>
      </c>
      <c r="C12" s="10" t="s">
        <v>548</v>
      </c>
      <c r="D12" s="10" t="s">
        <v>36</v>
      </c>
      <c r="E12" s="10" t="s">
        <v>37</v>
      </c>
      <c r="F12" s="13">
        <v>2.0</v>
      </c>
      <c r="G12" s="14">
        <v>93.55</v>
      </c>
      <c r="H12" s="10" t="s">
        <v>5551</v>
      </c>
      <c r="I12" s="10">
        <v>85.5</v>
      </c>
      <c r="O12" s="15">
        <f>IFERROR(__xludf.DUMMYFUNCTION("IF(ISBLANK($C12), """", GOOGLEFINANCE($C12, ""price""))"),92.26)</f>
        <v>92.26</v>
      </c>
      <c r="P12" s="16">
        <f t="shared" si="2"/>
        <v>-0.01378941742</v>
      </c>
      <c r="Q12" s="16">
        <f>IFERROR(__xludf.DUMMYFUNCTION("IF(OR(ISBLANK($G12), IFERROR(INDEX(GOOGLEFINANCE($C12, ""price"", WORKDAY(INT($B12), 1)), 2, 2), """")=""""), """", IF($D12=""LONG"", (IFERROR(INDEX(GOOGLEFINANCE($C12, ""price"", WORKDAY(INT($B12), 1)), 2, 2), """")-$G12)/$G12, ($G12-IFERROR(INDEX(GOOGLE"&amp;"FINANCE($C12, ""price"", WORKDAY(INT($B12), 1)), 2, 2), """"))/$G12))"),-0.028861571352218097)</f>
        <v>-0.02886157135</v>
      </c>
      <c r="R12" s="16" t="str">
        <f>IFERROR(__xludf.DUMMYFUNCTION("IF(OR(ISBLANK($G12), IFERROR(INDEX(GOOGLEFINANCE($C12, ""price"", WORKDAY(INT($B12), 5)), 2, 2), """")=""""), """", IF($D12=""LONG"", (IFERROR(INDEX(GOOGLEFINANCE($C12, ""price"", WORKDAY(INT($B12), 5)), 2, 2), """")-$G12)/$G12, ($G12-IFERROR(INDEX(GOOGLE"&amp;"FINANCE($C12, ""price"", WORKDAY(INT($B12), 5)), 2, 2), """"))/$G12))"),"")</f>
        <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5553</v>
      </c>
    </row>
    <row r="13">
      <c r="A13" s="9">
        <f t="shared" si="1"/>
        <v>12</v>
      </c>
      <c r="B13" s="11">
        <v>46234.66743055556</v>
      </c>
      <c r="C13" s="10" t="s">
        <v>254</v>
      </c>
      <c r="D13" s="10" t="s">
        <v>36</v>
      </c>
      <c r="E13" s="10" t="s">
        <v>4224</v>
      </c>
      <c r="F13" s="13">
        <v>4.0</v>
      </c>
      <c r="G13" s="14">
        <v>44.57</v>
      </c>
      <c r="H13" s="10" t="s">
        <v>5554</v>
      </c>
      <c r="I13" s="10">
        <v>19.6</v>
      </c>
      <c r="O13" s="15">
        <f>IFERROR(__xludf.DUMMYFUNCTION("IF(ISBLANK($C13), """", GOOGLEFINANCE($C13, ""price""))"),44.7)</f>
        <v>44.7</v>
      </c>
      <c r="P13" s="16">
        <f t="shared" si="2"/>
        <v>0.002916760153</v>
      </c>
      <c r="Q13" s="16">
        <f>IFERROR(__xludf.DUMMYFUNCTION("IF(OR(ISBLANK($G13), IFERROR(INDEX(GOOGLEFINANCE($C13, ""price"", WORKDAY(INT($B13), 1)), 2, 2), """")=""""), """", IF($D13=""LONG"", (IFERROR(INDEX(GOOGLEFINANCE($C13, ""price"", WORKDAY(INT($B13), 1)), 2, 2), """")-$G13)/$G13, ($G13-IFERROR(INDEX(GOOGLE"&amp;"FINANCE($C13, ""price"", WORKDAY(INT($B13), 1)), 2, 2), """"))/$G13))"),-0.0015705631590756178)</f>
        <v>-0.001570563159</v>
      </c>
      <c r="R13" s="16" t="str">
        <f>IFERROR(__xludf.DUMMYFUNCTION("IF(OR(ISBLANK($G13), IFERROR(INDEX(GOOGLEFINANCE($C13, ""price"", WORKDAY(INT($B13), 5)), 2, 2), """")=""""), """", IF($D13=""LONG"", (IFERROR(INDEX(GOOGLEFINANCE($C13, ""price"", WORKDAY(INT($B13), 5)), 2, 2), """")-$G13)/$G13, ($G13-IFERROR(INDEX(GOOGLE"&amp;"FINANCE($C13, ""price"", WORKDAY(INT($B13), 5)), 2, 2), """"))/$G13))"),"")</f>
        <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5558</v>
      </c>
    </row>
    <row r="14">
      <c r="A14" s="9">
        <f t="shared" si="1"/>
        <v>13</v>
      </c>
      <c r="B14" s="11">
        <v>46234.66744212963</v>
      </c>
      <c r="C14" s="10" t="s">
        <v>3690</v>
      </c>
      <c r="D14" s="10" t="s">
        <v>36</v>
      </c>
      <c r="E14" s="10" t="s">
        <v>37</v>
      </c>
      <c r="F14" s="13">
        <v>2.0</v>
      </c>
      <c r="G14" s="14">
        <v>655.77</v>
      </c>
      <c r="H14" s="10" t="s">
        <v>5559</v>
      </c>
      <c r="I14" s="10">
        <v>95.3</v>
      </c>
      <c r="O14" s="15">
        <f>IFERROR(__xludf.DUMMYFUNCTION("IF(ISBLANK($C14), """", GOOGLEFINANCE($C14, ""price""))"),687.52)</f>
        <v>687.52</v>
      </c>
      <c r="P14" s="16">
        <f t="shared" si="2"/>
        <v>0.04841636549</v>
      </c>
      <c r="Q14" s="16">
        <f>IFERROR(__xludf.DUMMYFUNCTION("IF(OR(ISBLANK($G14), IFERROR(INDEX(GOOGLEFINANCE($C14, ""price"", WORKDAY(INT($B14), 1)), 2, 2), """")=""""), """", IF($D14=""LONG"", (IFERROR(INDEX(GOOGLEFINANCE($C14, ""price"", WORKDAY(INT($B14), 1)), 2, 2), """")-$G14)/$G14, ($G14-IFERROR(INDEX(GOOGLE"&amp;"FINANCE($C14, ""price"", WORKDAY(INT($B14), 1)), 2, 2), """"))/$G14))"),0.022553639233267708)</f>
        <v>0.02255363923</v>
      </c>
      <c r="R14" s="16" t="str">
        <f>IFERROR(__xludf.DUMMYFUNCTION("IF(OR(ISBLANK($G14), IFERROR(INDEX(GOOGLEFINANCE($C14, ""price"", WORKDAY(INT($B14), 5)), 2, 2), """")=""""), """", IF($D14=""LONG"", (IFERROR(INDEX(GOOGLEFINANCE($C14, ""price"", WORKDAY(INT($B14), 5)), 2, 2), """")-$G14)/$G14, ($G14-IFERROR(INDEX(GOOGLE"&amp;"FINANCE($C14, ""price"", WORKDAY(INT($B14), 5)), 2, 2), """"))/$G14))"),"")</f>
        <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5560</v>
      </c>
    </row>
    <row r="15">
      <c r="A15" s="9">
        <f t="shared" si="1"/>
        <v>14</v>
      </c>
      <c r="B15" s="11">
        <v>46234.66747685185</v>
      </c>
      <c r="C15" s="10" t="s">
        <v>69</v>
      </c>
      <c r="D15" s="10" t="s">
        <v>36</v>
      </c>
      <c r="E15" s="10" t="s">
        <v>37</v>
      </c>
      <c r="F15" s="13">
        <v>2.0</v>
      </c>
      <c r="G15" s="14">
        <v>256.44</v>
      </c>
      <c r="H15" s="10" t="s">
        <v>5561</v>
      </c>
      <c r="I15" s="10">
        <v>91.3</v>
      </c>
      <c r="O15" s="15">
        <f>IFERROR(__xludf.DUMMYFUNCTION("IF(ISBLANK($C15), """", GOOGLEFINANCE($C15, ""price""))"),256.98)</f>
        <v>256.98</v>
      </c>
      <c r="P15" s="16">
        <f t="shared" si="2"/>
        <v>0.002105755732</v>
      </c>
      <c r="Q15" s="16">
        <f>IFERROR(__xludf.DUMMYFUNCTION("IF(OR(ISBLANK($G15), IFERROR(INDEX(GOOGLEFINANCE($C15, ""price"", WORKDAY(INT($B15), 1)), 2, 2), """")=""""), """", IF($D15=""LONG"", (IFERROR(INDEX(GOOGLEFINANCE($C15, ""price"", WORKDAY(INT($B15), 1)), 2, 2), """")-$G15)/$G15, ($G15-IFERROR(INDEX(GOOGLE"&amp;"FINANCE($C15, ""price"", WORKDAY(INT($B15), 1)), 2, 2), """"))/$G15))"),-0.0079160817345188)</f>
        <v>-0.007916081735</v>
      </c>
      <c r="R15" s="16" t="str">
        <f>IFERROR(__xludf.DUMMYFUNCTION("IF(OR(ISBLANK($G15), IFERROR(INDEX(GOOGLEFINANCE($C15, ""price"", WORKDAY(INT($B15), 5)), 2, 2), """")=""""), """", IF($D15=""LONG"", (IFERROR(INDEX(GOOGLEFINANCE($C15, ""price"", WORKDAY(INT($B15), 5)), 2, 2), """")-$G15)/$G15, ($G15-IFERROR(INDEX(GOOGLE"&amp;"FINANCE($C15, ""price"", WORKDAY(INT($B15), 5)), 2, 2), """"))/$G15))"),"")</f>
        <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5564</v>
      </c>
    </row>
    <row r="16">
      <c r="A16" s="9">
        <f t="shared" si="1"/>
        <v>15</v>
      </c>
      <c r="B16" s="11">
        <v>46234.66740740741</v>
      </c>
      <c r="C16" s="10" t="s">
        <v>60</v>
      </c>
      <c r="D16" s="10" t="s">
        <v>36</v>
      </c>
      <c r="E16" s="10" t="s">
        <v>37</v>
      </c>
      <c r="F16" s="13">
        <v>2.0</v>
      </c>
      <c r="G16" s="14">
        <v>44.89</v>
      </c>
      <c r="H16" s="10" t="s">
        <v>5565</v>
      </c>
      <c r="I16" s="10">
        <v>88.1</v>
      </c>
      <c r="O16" s="15">
        <f>IFERROR(__xludf.DUMMYFUNCTION("IF(ISBLANK($C16), """", GOOGLEFINANCE($C16, ""price""))"),47.06)</f>
        <v>47.06</v>
      </c>
      <c r="P16" s="16">
        <f t="shared" si="2"/>
        <v>0.04834038761</v>
      </c>
      <c r="Q16" s="16">
        <f>IFERROR(__xludf.DUMMYFUNCTION("IF(OR(ISBLANK($G16), IFERROR(INDEX(GOOGLEFINANCE($C16, ""price"", WORKDAY(INT($B16), 1)), 2, 2), """")=""""), """", IF($D16=""LONG"", (IFERROR(INDEX(GOOGLEFINANCE($C16, ""price"", WORKDAY(INT($B16), 1)), 2, 2), """")-$G16)/$G16, ($G16-IFERROR(INDEX(GOOGLE"&amp;"FINANCE($C16, ""price"", WORKDAY(INT($B16), 1)), 2, 2), """"))/$G16))"),0.025172644241479226)</f>
        <v>0.02517264424</v>
      </c>
      <c r="R16" s="16" t="str">
        <f>IFERROR(__xludf.DUMMYFUNCTION("IF(OR(ISBLANK($G16), IFERROR(INDEX(GOOGLEFINANCE($C16, ""price"", WORKDAY(INT($B16), 5)), 2, 2), """")=""""), """", IF($D16=""LONG"", (IFERROR(INDEX(GOOGLEFINANCE($C16, ""price"", WORKDAY(INT($B16), 5)), 2, 2), """")-$G16)/$G16, ($G16-IFERROR(INDEX(GOOGLE"&amp;"FINANCE($C16, ""price"", WORKDAY(INT($B16), 5)), 2, 2), """"))/$G16))"),"")</f>
        <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5567</v>
      </c>
    </row>
    <row r="17">
      <c r="A17" s="9">
        <f t="shared" si="1"/>
        <v>16</v>
      </c>
      <c r="B17" s="11">
        <v>46234.66740740741</v>
      </c>
      <c r="C17" s="10" t="s">
        <v>3081</v>
      </c>
      <c r="D17" s="10" t="s">
        <v>36</v>
      </c>
      <c r="E17" s="10" t="s">
        <v>37</v>
      </c>
      <c r="F17" s="13">
        <v>2.0</v>
      </c>
      <c r="G17" s="14">
        <v>17.38</v>
      </c>
      <c r="H17" s="10" t="s">
        <v>5569</v>
      </c>
      <c r="I17" s="10">
        <v>92.6</v>
      </c>
      <c r="O17" s="15">
        <f>IFERROR(__xludf.DUMMYFUNCTION("IF(ISBLANK($C17), """", GOOGLEFINANCE($C17, ""price""))"),17.0)</f>
        <v>17</v>
      </c>
      <c r="P17" s="16">
        <f t="shared" si="2"/>
        <v>-0.02186421174</v>
      </c>
      <c r="Q17" s="16">
        <f>IFERROR(__xludf.DUMMYFUNCTION("IF(OR(ISBLANK($G17), IFERROR(INDEX(GOOGLEFINANCE($C17, ""price"", WORKDAY(INT($B17), 1)), 2, 2), """")=""""), """", IF($D17=""LONG"", (IFERROR(INDEX(GOOGLEFINANCE($C17, ""price"", WORKDAY(INT($B17), 1)), 2, 2), """")-$G17)/$G17, ($G17-IFERROR(INDEX(GOOGLE"&amp;"FINANCE($C17, ""price"", WORKDAY(INT($B17), 1)), 2, 2), """"))/$G17))"),0.0028768699654776013)</f>
        <v>0.002876869965</v>
      </c>
      <c r="R17" s="16" t="str">
        <f>IFERROR(__xludf.DUMMYFUNCTION("IF(OR(ISBLANK($G17), IFERROR(INDEX(GOOGLEFINANCE($C17, ""price"", WORKDAY(INT($B17), 5)), 2, 2), """")=""""), """", IF($D17=""LONG"", (IFERROR(INDEX(GOOGLEFINANCE($C17, ""price"", WORKDAY(INT($B17), 5)), 2, 2), """")-$G17)/$G17, ($G17-IFERROR(INDEX(GOOGLE"&amp;"FINANCE($C17, ""price"", WORKDAY(INT($B17), 5)), 2, 2), """"))/$G17))"),"")</f>
        <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5570</v>
      </c>
    </row>
    <row r="18">
      <c r="A18" s="9">
        <f t="shared" si="1"/>
        <v>17</v>
      </c>
      <c r="B18" s="11">
        <v>46234.66751157407</v>
      </c>
      <c r="C18" s="10" t="s">
        <v>66</v>
      </c>
      <c r="D18" s="10" t="s">
        <v>36</v>
      </c>
      <c r="E18" s="10" t="s">
        <v>37</v>
      </c>
      <c r="F18" s="13">
        <v>2.0</v>
      </c>
      <c r="G18" s="14">
        <v>279.17</v>
      </c>
      <c r="H18" s="10" t="s">
        <v>5571</v>
      </c>
      <c r="I18" s="10">
        <v>78.2</v>
      </c>
      <c r="O18" s="15">
        <f>IFERROR(__xludf.DUMMYFUNCTION("IF(ISBLANK($C18), """", GOOGLEFINANCE($C18, ""price""))"),296.4)</f>
        <v>296.4</v>
      </c>
      <c r="P18" s="16">
        <f t="shared" si="2"/>
        <v>0.06171866605</v>
      </c>
      <c r="Q18" s="16">
        <f>IFERROR(__xludf.DUMMYFUNCTION("IF(OR(ISBLANK($G18), IFERROR(INDEX(GOOGLEFINANCE($C18, ""price"", WORKDAY(INT($B18), 1)), 2, 2), """")=""""), """", IF($D18=""LONG"", (IFERROR(INDEX(GOOGLEFINANCE($C18, ""price"", WORKDAY(INT($B18), 1)), 2, 2), """")-$G18)/$G18, ($G18-IFERROR(INDEX(GOOGLE"&amp;"FINANCE($C18, ""price"", WORKDAY(INT($B18), 1)), 2, 2), """"))/$G18))"),0.011534190636529607)</f>
        <v>0.01153419064</v>
      </c>
      <c r="R18" s="16" t="str">
        <f>IFERROR(__xludf.DUMMYFUNCTION("IF(OR(ISBLANK($G18), IFERROR(INDEX(GOOGLEFINANCE($C18, ""price"", WORKDAY(INT($B18), 5)), 2, 2), """")=""""), """", IF($D18=""LONG"", (IFERROR(INDEX(GOOGLEFINANCE($C18, ""price"", WORKDAY(INT($B18), 5)), 2, 2), """")-$G18)/$G18, ($G18-IFERROR(INDEX(GOOGLE"&amp;"FINANCE($C18, ""price"", WORKDAY(INT($B18), 5)), 2, 2), """"))/$G18))"),"")</f>
        <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5573</v>
      </c>
    </row>
    <row r="19">
      <c r="A19" s="9">
        <f t="shared" si="1"/>
        <v>18</v>
      </c>
      <c r="B19" s="11">
        <v>46234.66746527778</v>
      </c>
      <c r="C19" s="10" t="s">
        <v>5574</v>
      </c>
      <c r="D19" s="10" t="s">
        <v>36</v>
      </c>
      <c r="E19" s="10" t="s">
        <v>87</v>
      </c>
      <c r="F19" s="13">
        <v>2.0</v>
      </c>
      <c r="G19" s="14">
        <v>297.76</v>
      </c>
      <c r="H19" s="10" t="s">
        <v>5575</v>
      </c>
      <c r="I19" s="10">
        <v>84.3</v>
      </c>
      <c r="O19" s="15">
        <f>IFERROR(__xludf.DUMMYFUNCTION("IF(ISBLANK($C19), """", GOOGLEFINANCE($C19, ""price""))"),308.98)</f>
        <v>308.98</v>
      </c>
      <c r="P19" s="16">
        <f t="shared" si="2"/>
        <v>0.03768135411</v>
      </c>
      <c r="Q19" s="16">
        <f>IFERROR(__xludf.DUMMYFUNCTION("IF(OR(ISBLANK($G19), IFERROR(INDEX(GOOGLEFINANCE($C19, ""price"", WORKDAY(INT($B19), 1)), 2, 2), """")=""""), """", IF($D19=""LONG"", (IFERROR(INDEX(GOOGLEFINANCE($C19, ""price"", WORKDAY(INT($B19), 1)), 2, 2), """")-$G19)/$G19, ($G19-IFERROR(INDEX(GOOGLE"&amp;"FINANCE($C19, ""price"", WORKDAY(INT($B19), 1)), 2, 2), """"))/$G19))"),0.01632186996238586)</f>
        <v>0.01632186996</v>
      </c>
      <c r="R19" s="16" t="str">
        <f>IFERROR(__xludf.DUMMYFUNCTION("IF(OR(ISBLANK($G19), IFERROR(INDEX(GOOGLEFINANCE($C19, ""price"", WORKDAY(INT($B19), 5)), 2, 2), """")=""""), """", IF($D19=""LONG"", (IFERROR(INDEX(GOOGLEFINANCE($C19, ""price"", WORKDAY(INT($B19), 5)), 2, 2), """")-$G19)/$G19, ($G19-IFERROR(INDEX(GOOGLE"&amp;"FINANCE($C19, ""price"", WORKDAY(INT($B19), 5)), 2, 2), """"))/$G19))"),"")</f>
        <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5577</v>
      </c>
    </row>
    <row r="20">
      <c r="A20" s="9">
        <f t="shared" si="1"/>
        <v>19</v>
      </c>
      <c r="B20" s="11">
        <v>46234.66751157407</v>
      </c>
      <c r="C20" s="10" t="s">
        <v>332</v>
      </c>
      <c r="D20" s="10" t="s">
        <v>36</v>
      </c>
      <c r="E20" s="10" t="s">
        <v>37</v>
      </c>
      <c r="F20" s="13">
        <v>2.0</v>
      </c>
      <c r="G20" s="14">
        <v>85.75</v>
      </c>
      <c r="H20" s="10" t="s">
        <v>5579</v>
      </c>
      <c r="I20" s="10">
        <v>91.0</v>
      </c>
      <c r="O20" s="15">
        <f>IFERROR(__xludf.DUMMYFUNCTION("IF(ISBLANK($C20), """", GOOGLEFINANCE($C20, ""price""))"),88.23)</f>
        <v>88.23</v>
      </c>
      <c r="P20" s="16">
        <f t="shared" si="2"/>
        <v>0.0289212828</v>
      </c>
      <c r="Q20" s="16">
        <f>IFERROR(__xludf.DUMMYFUNCTION("IF(OR(ISBLANK($G20), IFERROR(INDEX(GOOGLEFINANCE($C20, ""price"", WORKDAY(INT($B20), 1)), 2, 2), """")=""""), """", IF($D20=""LONG"", (IFERROR(INDEX(GOOGLEFINANCE($C20, ""price"", WORKDAY(INT($B20), 1)), 2, 2), """")-$G20)/$G20, ($G20-IFERROR(INDEX(GOOGLE"&amp;"FINANCE($C20, ""price"", WORKDAY(INT($B20), 1)), 2, 2), """"))/$G20))"),0.008862973760933004)</f>
        <v>0.008862973761</v>
      </c>
      <c r="R20" s="16" t="str">
        <f>IFERROR(__xludf.DUMMYFUNCTION("IF(OR(ISBLANK($G20), IFERROR(INDEX(GOOGLEFINANCE($C20, ""price"", WORKDAY(INT($B20), 5)), 2, 2), """")=""""), """", IF($D20=""LONG"", (IFERROR(INDEX(GOOGLEFINANCE($C20, ""price"", WORKDAY(INT($B20), 5)), 2, 2), """")-$G20)/$G20, ($G20-IFERROR(INDEX(GOOGLE"&amp;"FINANCE($C20, ""price"", WORKDAY(INT($B20), 5)), 2, 2), """"))/$G20))"),"")</f>
        <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5580</v>
      </c>
    </row>
    <row r="21">
      <c r="A21" s="9">
        <f t="shared" si="1"/>
        <v>20</v>
      </c>
      <c r="B21" s="11">
        <v>46234.6675</v>
      </c>
      <c r="C21" s="10" t="s">
        <v>257</v>
      </c>
      <c r="D21" s="10" t="s">
        <v>36</v>
      </c>
      <c r="E21" s="10" t="s">
        <v>37</v>
      </c>
      <c r="F21" s="13">
        <v>2.0</v>
      </c>
      <c r="G21" s="14">
        <v>70.12</v>
      </c>
      <c r="H21" s="10" t="s">
        <v>5581</v>
      </c>
      <c r="I21" s="10">
        <v>90.3</v>
      </c>
      <c r="O21" s="15">
        <f>IFERROR(__xludf.DUMMYFUNCTION("IF(ISBLANK($C21), """", GOOGLEFINANCE($C21, ""price""))"),68.81)</f>
        <v>68.81</v>
      </c>
      <c r="P21" s="16">
        <f t="shared" si="2"/>
        <v>-0.01868225898</v>
      </c>
      <c r="Q21" s="16">
        <f>IFERROR(__xludf.DUMMYFUNCTION("IF(OR(ISBLANK($G21), IFERROR(INDEX(GOOGLEFINANCE($C21, ""price"", WORKDAY(INT($B21), 1)), 2, 2), """")=""""), """", IF($D21=""LONG"", (IFERROR(INDEX(GOOGLEFINANCE($C21, ""price"", WORKDAY(INT($B21), 1)), 2, 2), """")-$G21)/$G21, ($G21-IFERROR(INDEX(GOOGLE"&amp;"FINANCE($C21, ""price"", WORKDAY(INT($B21), 1)), 2, 2), """"))/$G21))"),0.004135767256132231)</f>
        <v>0.004135767256</v>
      </c>
      <c r="R21" s="16" t="str">
        <f>IFERROR(__xludf.DUMMYFUNCTION("IF(OR(ISBLANK($G21), IFERROR(INDEX(GOOGLEFINANCE($C21, ""price"", WORKDAY(INT($B21), 5)), 2, 2), """")=""""), """", IF($D21=""LONG"", (IFERROR(INDEX(GOOGLEFINANCE($C21, ""price"", WORKDAY(INT($B21), 5)), 2, 2), """")-$G21)/$G21, ($G21-IFERROR(INDEX(GOOGLE"&amp;"FINANCE($C21, ""price"", WORKDAY(INT($B21), 5)), 2, 2), """"))/$G21))"),"")</f>
        <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5584</v>
      </c>
    </row>
    <row r="22">
      <c r="A22" s="9">
        <f t="shared" si="1"/>
        <v>21</v>
      </c>
      <c r="B22" s="11">
        <v>46234.66748842593</v>
      </c>
      <c r="C22" s="10" t="s">
        <v>2229</v>
      </c>
      <c r="D22" s="10" t="s">
        <v>36</v>
      </c>
      <c r="E22" s="10" t="s">
        <v>37</v>
      </c>
      <c r="F22" s="13">
        <v>2.0</v>
      </c>
      <c r="G22" s="14">
        <v>117.02</v>
      </c>
      <c r="H22" s="10" t="s">
        <v>5585</v>
      </c>
      <c r="I22" s="10">
        <v>96.3</v>
      </c>
      <c r="O22" s="15">
        <f>IFERROR(__xludf.DUMMYFUNCTION("IF(ISBLANK($C22), """", GOOGLEFINANCE($C22, ""price""))"),120.76)</f>
        <v>120.76</v>
      </c>
      <c r="P22" s="16">
        <f t="shared" si="2"/>
        <v>0.03196034866</v>
      </c>
      <c r="Q22" s="16">
        <f>IFERROR(__xludf.DUMMYFUNCTION("IF(OR(ISBLANK($G22), IFERROR(INDEX(GOOGLEFINANCE($C22, ""price"", WORKDAY(INT($B22), 1)), 2, 2), """")=""""), """", IF($D22=""LONG"", (IFERROR(INDEX(GOOGLEFINANCE($C22, ""price"", WORKDAY(INT($B22), 1)), 2, 2), """")-$G22)/$G22, ($G22-IFERROR(INDEX(GOOGLE"&amp;"FINANCE($C22, ""price"", WORKDAY(INT($B22), 1)), 2, 2), """"))/$G22))"),0.017603828405400805)</f>
        <v>0.01760382841</v>
      </c>
      <c r="R22" s="16" t="str">
        <f>IFERROR(__xludf.DUMMYFUNCTION("IF(OR(ISBLANK($G22), IFERROR(INDEX(GOOGLEFINANCE($C22, ""price"", WORKDAY(INT($B22), 5)), 2, 2), """")=""""), """", IF($D22=""LONG"", (IFERROR(INDEX(GOOGLEFINANCE($C22, ""price"", WORKDAY(INT($B22), 5)), 2, 2), """")-$G22)/$G22, ($G22-IFERROR(INDEX(GOOGLE"&amp;"FINANCE($C22, ""price"", WORKDAY(INT($B22), 5)), 2, 2), """"))/$G22))"),"")</f>
        <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5588</v>
      </c>
    </row>
    <row r="23">
      <c r="A23" s="9">
        <f t="shared" si="1"/>
        <v>22</v>
      </c>
      <c r="B23" s="11">
        <v>46234.66751157407</v>
      </c>
      <c r="C23" s="10" t="s">
        <v>185</v>
      </c>
      <c r="D23" s="10" t="s">
        <v>36</v>
      </c>
      <c r="E23" s="10" t="s">
        <v>4224</v>
      </c>
      <c r="F23" s="13">
        <v>4.0</v>
      </c>
      <c r="G23" s="14">
        <v>71.48</v>
      </c>
      <c r="H23" s="10" t="s">
        <v>5589</v>
      </c>
      <c r="I23" s="10">
        <v>35.6</v>
      </c>
      <c r="O23" s="15">
        <f>IFERROR(__xludf.DUMMYFUNCTION("IF(ISBLANK($C23), """", GOOGLEFINANCE($C23, ""price""))"),75.47)</f>
        <v>75.47</v>
      </c>
      <c r="P23" s="16">
        <f t="shared" si="2"/>
        <v>0.05581980974</v>
      </c>
      <c r="Q23" s="16">
        <f>IFERROR(__xludf.DUMMYFUNCTION("IF(OR(ISBLANK($G23), IFERROR(INDEX(GOOGLEFINANCE($C23, ""price"", WORKDAY(INT($B23), 1)), 2, 2), """")=""""), """", IF($D23=""LONG"", (IFERROR(INDEX(GOOGLEFINANCE($C23, ""price"", WORKDAY(INT($B23), 1)), 2, 2), """")-$G23)/$G23, ($G23-IFERROR(INDEX(GOOGLE"&amp;"FINANCE($C23, ""price"", WORKDAY(INT($B23), 1)), 2, 2), """"))/$G23))"),0.045467263570229434)</f>
        <v>0.04546726357</v>
      </c>
      <c r="R23" s="16" t="str">
        <f>IFERROR(__xludf.DUMMYFUNCTION("IF(OR(ISBLANK($G23), IFERROR(INDEX(GOOGLEFINANCE($C23, ""price"", WORKDAY(INT($B23), 5)), 2, 2), """")=""""), """", IF($D23=""LONG"", (IFERROR(INDEX(GOOGLEFINANCE($C23, ""price"", WORKDAY(INT($B23), 5)), 2, 2), """")-$G23)/$G23, ($G23-IFERROR(INDEX(GOOGLE"&amp;"FINANCE($C23, ""price"", WORKDAY(INT($B23), 5)), 2, 2), """"))/$G23))"),"")</f>
        <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5591</v>
      </c>
    </row>
    <row r="24">
      <c r="A24" s="9">
        <f t="shared" si="1"/>
        <v>23</v>
      </c>
      <c r="B24" s="11">
        <v>46234.66752314815</v>
      </c>
      <c r="C24" s="10" t="s">
        <v>3688</v>
      </c>
      <c r="D24" s="10" t="s">
        <v>36</v>
      </c>
      <c r="E24" s="10" t="s">
        <v>37</v>
      </c>
      <c r="F24" s="13">
        <v>2.0</v>
      </c>
      <c r="G24" s="14">
        <v>27.56</v>
      </c>
      <c r="H24" s="10" t="s">
        <v>5593</v>
      </c>
      <c r="I24" s="10">
        <v>94.6</v>
      </c>
      <c r="O24" s="15">
        <f>IFERROR(__xludf.DUMMYFUNCTION("IF(ISBLANK($C24), """", GOOGLEFINANCE($C24, ""price""))"),29.67)</f>
        <v>29.67</v>
      </c>
      <c r="P24" s="16">
        <f t="shared" si="2"/>
        <v>0.07656023222</v>
      </c>
      <c r="Q24" s="16">
        <f>IFERROR(__xludf.DUMMYFUNCTION("IF(OR(ISBLANK($G24), IFERROR(INDEX(GOOGLEFINANCE($C24, ""price"", WORKDAY(INT($B24), 1)), 2, 2), """")=""""), """", IF($D24=""LONG"", (IFERROR(INDEX(GOOGLEFINANCE($C24, ""price"", WORKDAY(INT($B24), 1)), 2, 2), """")-$G24)/$G24, ($G24-IFERROR(INDEX(GOOGLE"&amp;"FINANCE($C24, ""price"", WORKDAY(INT($B24), 1)), 2, 2), """"))/$G24))"),0.013788098693759165)</f>
        <v>0.01378809869</v>
      </c>
      <c r="R24" s="16" t="str">
        <f>IFERROR(__xludf.DUMMYFUNCTION("IF(OR(ISBLANK($G24), IFERROR(INDEX(GOOGLEFINANCE($C24, ""price"", WORKDAY(INT($B24), 5)), 2, 2), """")=""""), """", IF($D24=""LONG"", (IFERROR(INDEX(GOOGLEFINANCE($C24, ""price"", WORKDAY(INT($B24), 5)), 2, 2), """")-$G24)/$G24, ($G24-IFERROR(INDEX(GOOGLE"&amp;"FINANCE($C24, ""price"", WORKDAY(INT($B24), 5)), 2, 2), """"))/$G24))"),"")</f>
        <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5594</v>
      </c>
    </row>
    <row r="25">
      <c r="A25" s="9">
        <f t="shared" si="1"/>
        <v>24</v>
      </c>
      <c r="B25" s="11">
        <v>46234.66799768519</v>
      </c>
      <c r="C25" s="10" t="s">
        <v>455</v>
      </c>
      <c r="D25" s="10" t="s">
        <v>36</v>
      </c>
      <c r="E25" s="10" t="s">
        <v>37</v>
      </c>
      <c r="F25" s="13">
        <v>2.0</v>
      </c>
      <c r="G25" s="14">
        <v>109.32</v>
      </c>
      <c r="H25" s="10" t="s">
        <v>5595</v>
      </c>
      <c r="I25" s="10">
        <v>94.1</v>
      </c>
      <c r="O25" s="15">
        <f>IFERROR(__xludf.DUMMYFUNCTION("IF(ISBLANK($C25), """", GOOGLEFINANCE($C25, ""price""))"),108.66)</f>
        <v>108.66</v>
      </c>
      <c r="P25" s="16">
        <f t="shared" si="2"/>
        <v>-0.006037321625</v>
      </c>
      <c r="Q25" s="16">
        <f>IFERROR(__xludf.DUMMYFUNCTION("IF(OR(ISBLANK($G25), IFERROR(INDEX(GOOGLEFINANCE($C25, ""price"", WORKDAY(INT($B25), 1)), 2, 2), """")=""""), """", IF($D25=""LONG"", (IFERROR(INDEX(GOOGLEFINANCE($C25, ""price"", WORKDAY(INT($B25), 1)), 2, 2), """")-$G25)/$G25, ($G25-IFERROR(INDEX(GOOGLE"&amp;"FINANCE($C25, ""price"", WORKDAY(INT($B25), 1)), 2, 2), """"))/$G25))"),-0.016099524332235556)</f>
        <v>-0.01609952433</v>
      </c>
      <c r="R25" s="16" t="str">
        <f>IFERROR(__xludf.DUMMYFUNCTION("IF(OR(ISBLANK($G25), IFERROR(INDEX(GOOGLEFINANCE($C25, ""price"", WORKDAY(INT($B25), 5)), 2, 2), """")=""""), """", IF($D25=""LONG"", (IFERROR(INDEX(GOOGLEFINANCE($C25, ""price"", WORKDAY(INT($B25), 5)), 2, 2), """")-$G25)/$G25, ($G25-IFERROR(INDEX(GOOGLE"&amp;"FINANCE($C25, ""price"", WORKDAY(INT($B25), 5)), 2, 2), """"))/$G25))"),"")</f>
        <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5598</v>
      </c>
    </row>
    <row r="26">
      <c r="A26" s="9">
        <f t="shared" si="1"/>
        <v>25</v>
      </c>
      <c r="B26" s="11">
        <v>46234.66753472222</v>
      </c>
      <c r="C26" s="10" t="s">
        <v>1739</v>
      </c>
      <c r="D26" s="10" t="s">
        <v>36</v>
      </c>
      <c r="E26" s="10" t="s">
        <v>37</v>
      </c>
      <c r="F26" s="13">
        <v>2.0</v>
      </c>
      <c r="G26" s="14">
        <v>264.17</v>
      </c>
      <c r="H26" s="10" t="s">
        <v>5599</v>
      </c>
      <c r="I26" s="10">
        <v>88.4</v>
      </c>
      <c r="O26" s="15">
        <f>IFERROR(__xludf.DUMMYFUNCTION("IF(ISBLANK($C26), """", GOOGLEFINANCE($C26, ""price""))"),275.11)</f>
        <v>275.11</v>
      </c>
      <c r="P26" s="16">
        <f t="shared" si="2"/>
        <v>0.04141272665</v>
      </c>
      <c r="Q26" s="16">
        <f>IFERROR(__xludf.DUMMYFUNCTION("IF(OR(ISBLANK($G26), IFERROR(INDEX(GOOGLEFINANCE($C26, ""price"", WORKDAY(INT($B26), 1)), 2, 2), """")=""""), """", IF($D26=""LONG"", (IFERROR(INDEX(GOOGLEFINANCE($C26, ""price"", WORKDAY(INT($B26), 1)), 2, 2), """")-$G26)/$G26, ($G26-IFERROR(INDEX(GOOGLE"&amp;"FINANCE($C26, ""price"", WORKDAY(INT($B26), 1)), 2, 2), """"))/$G26))"),-0.00564030737782492)</f>
        <v>-0.005640307378</v>
      </c>
      <c r="R26" s="16" t="str">
        <f>IFERROR(__xludf.DUMMYFUNCTION("IF(OR(ISBLANK($G26), IFERROR(INDEX(GOOGLEFINANCE($C26, ""price"", WORKDAY(INT($B26), 5)), 2, 2), """")=""""), """", IF($D26=""LONG"", (IFERROR(INDEX(GOOGLEFINANCE($C26, ""price"", WORKDAY(INT($B26), 5)), 2, 2), """")-$G26)/$G26, ($G26-IFERROR(INDEX(GOOGLE"&amp;"FINANCE($C26, ""price"", WORKDAY(INT($B26), 5)), 2, 2), """"))/$G26))"),"")</f>
        <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5601</v>
      </c>
    </row>
    <row r="27">
      <c r="A27" s="9">
        <f t="shared" si="1"/>
        <v>26</v>
      </c>
      <c r="B27" s="11">
        <v>46234.66756944444</v>
      </c>
      <c r="C27" s="10" t="s">
        <v>3699</v>
      </c>
      <c r="D27" s="10" t="s">
        <v>36</v>
      </c>
      <c r="E27" s="10" t="s">
        <v>37</v>
      </c>
      <c r="F27" s="13">
        <v>2.0</v>
      </c>
      <c r="G27" s="14">
        <v>856.19</v>
      </c>
      <c r="H27" s="10" t="s">
        <v>5602</v>
      </c>
      <c r="I27" s="10">
        <v>93.9</v>
      </c>
      <c r="O27" s="15">
        <f>IFERROR(__xludf.DUMMYFUNCTION("IF(ISBLANK($C27), """", GOOGLEFINANCE($C27, ""price""))"),871.38)</f>
        <v>871.38</v>
      </c>
      <c r="P27" s="16">
        <f t="shared" si="2"/>
        <v>0.01774138918</v>
      </c>
      <c r="Q27" s="16">
        <f>IFERROR(__xludf.DUMMYFUNCTION("IF(OR(ISBLANK($G27), IFERROR(INDEX(GOOGLEFINANCE($C27, ""price"", WORKDAY(INT($B27), 1)), 2, 2), """")=""""), """", IF($D27=""LONG"", (IFERROR(INDEX(GOOGLEFINANCE($C27, ""price"", WORKDAY(INT($B27), 1)), 2, 2), """")-$G27)/$G27, ($G27-IFERROR(INDEX(GOOGLE"&amp;"FINANCE($C27, ""price"", WORKDAY(INT($B27), 1)), 2, 2), """"))/$G27))"),-0.03392938483280588)</f>
        <v>-0.03392938483</v>
      </c>
      <c r="R27" s="16" t="str">
        <f>IFERROR(__xludf.DUMMYFUNCTION("IF(OR(ISBLANK($G27), IFERROR(INDEX(GOOGLEFINANCE($C27, ""price"", WORKDAY(INT($B27), 5)), 2, 2), """")=""""), """", IF($D27=""LONG"", (IFERROR(INDEX(GOOGLEFINANCE($C27, ""price"", WORKDAY(INT($B27), 5)), 2, 2), """")-$G27)/$G27, ($G27-IFERROR(INDEX(GOOGLE"&amp;"FINANCE($C27, ""price"", WORKDAY(INT($B27), 5)), 2, 2), """"))/$G27))"),"")</f>
        <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5604</v>
      </c>
    </row>
    <row r="28">
      <c r="A28" s="9">
        <f t="shared" si="1"/>
        <v>27</v>
      </c>
      <c r="B28" s="11">
        <v>46234.66752314815</v>
      </c>
      <c r="C28" s="10" t="s">
        <v>166</v>
      </c>
      <c r="D28" s="10" t="s">
        <v>36</v>
      </c>
      <c r="E28" s="10" t="s">
        <v>37</v>
      </c>
      <c r="F28" s="13">
        <v>2.0</v>
      </c>
      <c r="G28" s="14">
        <v>132.69</v>
      </c>
      <c r="H28" s="10" t="s">
        <v>5605</v>
      </c>
      <c r="I28" s="10">
        <v>92.7</v>
      </c>
      <c r="O28" s="15">
        <f>IFERROR(__xludf.DUMMYFUNCTION("IF(ISBLANK($C28), """", GOOGLEFINANCE($C28, ""price""))"),132.06)</f>
        <v>132.06</v>
      </c>
      <c r="P28" s="16">
        <f t="shared" si="2"/>
        <v>-0.004747908659</v>
      </c>
      <c r="Q28" s="16">
        <f>IFERROR(__xludf.DUMMYFUNCTION("IF(OR(ISBLANK($G28), IFERROR(INDEX(GOOGLEFINANCE($C28, ""price"", WORKDAY(INT($B28), 1)), 2, 2), """")=""""), """", IF($D28=""LONG"", (IFERROR(INDEX(GOOGLEFINANCE($C28, ""price"", WORKDAY(INT($B28), 1)), 2, 2), """")-$G28)/$G28, ($G28-IFERROR(INDEX(GOOGLE"&amp;"FINANCE($C28, ""price"", WORKDAY(INT($B28), 1)), 2, 2), """"))/$G28))"),-0.0047479086592809965)</f>
        <v>-0.004747908659</v>
      </c>
      <c r="R28" s="16" t="str">
        <f>IFERROR(__xludf.DUMMYFUNCTION("IF(OR(ISBLANK($G28), IFERROR(INDEX(GOOGLEFINANCE($C28, ""price"", WORKDAY(INT($B28), 5)), 2, 2), """")=""""), """", IF($D28=""LONG"", (IFERROR(INDEX(GOOGLEFINANCE($C28, ""price"", WORKDAY(INT($B28), 5)), 2, 2), """")-$G28)/$G28, ($G28-IFERROR(INDEX(GOOGLE"&amp;"FINANCE($C28, ""price"", WORKDAY(INT($B28), 5)), 2, 2), """"))/$G28))"),"")</f>
        <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5608</v>
      </c>
    </row>
    <row r="29">
      <c r="A29" s="9">
        <f t="shared" si="1"/>
        <v>28</v>
      </c>
      <c r="B29" s="11">
        <v>46234.66748842593</v>
      </c>
      <c r="C29" s="10" t="s">
        <v>641</v>
      </c>
      <c r="D29" s="10" t="s">
        <v>36</v>
      </c>
      <c r="E29" s="10" t="s">
        <v>37</v>
      </c>
      <c r="F29" s="13">
        <v>2.0</v>
      </c>
      <c r="G29" s="14">
        <v>64.89</v>
      </c>
      <c r="H29" s="10" t="s">
        <v>5609</v>
      </c>
      <c r="I29" s="10">
        <v>91.0</v>
      </c>
      <c r="O29" s="15">
        <f>IFERROR(__xludf.DUMMYFUNCTION("IF(ISBLANK($C29), """", GOOGLEFINANCE($C29, ""price""))"),63.13)</f>
        <v>63.13</v>
      </c>
      <c r="P29" s="16">
        <f t="shared" si="2"/>
        <v>-0.02712282324</v>
      </c>
      <c r="Q29" s="16">
        <f>IFERROR(__xludf.DUMMYFUNCTION("IF(OR(ISBLANK($G29), IFERROR(INDEX(GOOGLEFINANCE($C29, ""price"", WORKDAY(INT($B29), 1)), 2, 2), """")=""""), """", IF($D29=""LONG"", (IFERROR(INDEX(GOOGLEFINANCE($C29, ""price"", WORKDAY(INT($B29), 1)), 2, 2), """")-$G29)/$G29, ($G29-IFERROR(INDEX(GOOGLE"&amp;"FINANCE($C29, ""price"", WORKDAY(INT($B29), 1)), 2, 2), """"))/$G29))"),0.004006780705809911)</f>
        <v>0.004006780706</v>
      </c>
      <c r="R29" s="16" t="str">
        <f>IFERROR(__xludf.DUMMYFUNCTION("IF(OR(ISBLANK($G29), IFERROR(INDEX(GOOGLEFINANCE($C29, ""price"", WORKDAY(INT($B29), 5)), 2, 2), """")=""""), """", IF($D29=""LONG"", (IFERROR(INDEX(GOOGLEFINANCE($C29, ""price"", WORKDAY(INT($B29), 5)), 2, 2), """")-$G29)/$G29, ($G29-IFERROR(INDEX(GOOGLE"&amp;"FINANCE($C29, ""price"", WORKDAY(INT($B29), 5)), 2, 2), """"))/$G29))"),"")</f>
        <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5612</v>
      </c>
    </row>
    <row r="30">
      <c r="A30" s="9">
        <f t="shared" si="1"/>
        <v>29</v>
      </c>
      <c r="B30" s="11">
        <v>46234.66737268519</v>
      </c>
      <c r="C30" s="10" t="s">
        <v>234</v>
      </c>
      <c r="D30" s="10" t="s">
        <v>36</v>
      </c>
      <c r="E30" s="10" t="s">
        <v>37</v>
      </c>
      <c r="F30" s="13">
        <v>2.0</v>
      </c>
      <c r="G30" s="14">
        <v>63.01</v>
      </c>
      <c r="H30" s="10" t="s">
        <v>881</v>
      </c>
      <c r="I30" s="10">
        <v>91.8</v>
      </c>
      <c r="O30" s="15">
        <f>IFERROR(__xludf.DUMMYFUNCTION("IF(ISBLANK($C30), """", GOOGLEFINANCE($C30, ""price""))"),63.81)</f>
        <v>63.81</v>
      </c>
      <c r="P30" s="16">
        <f t="shared" si="2"/>
        <v>0.0126963974</v>
      </c>
      <c r="Q30" s="16">
        <f>IFERROR(__xludf.DUMMYFUNCTION("IF(OR(ISBLANK($G30), IFERROR(INDEX(GOOGLEFINANCE($C30, ""price"", WORKDAY(INT($B30), 1)), 2, 2), """")=""""), """", IF($D30=""LONG"", (IFERROR(INDEX(GOOGLEFINANCE($C30, ""price"", WORKDAY(INT($B30), 1)), 2, 2), """")-$G30)/$G30, ($G30-IFERROR(INDEX(GOOGLE"&amp;"FINANCE($C30, ""price"", WORKDAY(INT($B30), 1)), 2, 2), """"))/$G30))"),0.01475956197428979)</f>
        <v>0.01475956197</v>
      </c>
      <c r="R30" s="16" t="str">
        <f>IFERROR(__xludf.DUMMYFUNCTION("IF(OR(ISBLANK($G30), IFERROR(INDEX(GOOGLEFINANCE($C30, ""price"", WORKDAY(INT($B30), 5)), 2, 2), """")=""""), """", IF($D30=""LONG"", (IFERROR(INDEX(GOOGLEFINANCE($C30, ""price"", WORKDAY(INT($B30), 5)), 2, 2), """")-$G30)/$G30, ($G30-IFERROR(INDEX(GOOGLE"&amp;"FINANCE($C30, ""price"", WORKDAY(INT($B30), 5)), 2, 2), """"))/$G30))"),"")</f>
        <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5613</v>
      </c>
    </row>
    <row r="31">
      <c r="A31" s="9">
        <f t="shared" si="1"/>
        <v>30</v>
      </c>
      <c r="B31" s="11">
        <v>46234.66751157407</v>
      </c>
      <c r="C31" s="10" t="s">
        <v>397</v>
      </c>
      <c r="D31" s="10" t="s">
        <v>36</v>
      </c>
      <c r="E31" s="10" t="s">
        <v>37</v>
      </c>
      <c r="F31" s="13">
        <v>2.0</v>
      </c>
      <c r="G31" s="14">
        <v>294.74</v>
      </c>
      <c r="H31" s="10" t="s">
        <v>5615</v>
      </c>
      <c r="I31" s="10">
        <v>84.1</v>
      </c>
      <c r="O31" s="15">
        <f>IFERROR(__xludf.DUMMYFUNCTION("IF(ISBLANK($C31), """", GOOGLEFINANCE($C31, ""price""))"),306.57)</f>
        <v>306.57</v>
      </c>
      <c r="P31" s="16">
        <f t="shared" si="2"/>
        <v>0.04013706996</v>
      </c>
      <c r="Q31" s="16">
        <f>IFERROR(__xludf.DUMMYFUNCTION("IF(OR(ISBLANK($G31), IFERROR(INDEX(GOOGLEFINANCE($C31, ""price"", WORKDAY(INT($B31), 1)), 2, 2), """")=""""), """", IF($D31=""LONG"", (IFERROR(INDEX(GOOGLEFINANCE($C31, ""price"", WORKDAY(INT($B31), 1)), 2, 2), """")-$G31)/$G31, ($G31-IFERROR(INDEX(GOOGLE"&amp;"FINANCE($C31, ""price"", WORKDAY(INT($B31), 1)), 2, 2), """"))/$G31))"),0.011162380403066986)</f>
        <v>0.0111623804</v>
      </c>
      <c r="R31" s="16" t="str">
        <f>IFERROR(__xludf.DUMMYFUNCTION("IF(OR(ISBLANK($G31), IFERROR(INDEX(GOOGLEFINANCE($C31, ""price"", WORKDAY(INT($B31), 5)), 2, 2), """")=""""), """", IF($D31=""LONG"", (IFERROR(INDEX(GOOGLEFINANCE($C31, ""price"", WORKDAY(INT($B31), 5)), 2, 2), """")-$G31)/$G31, ($G31-IFERROR(INDEX(GOOGLE"&amp;"FINANCE($C31, ""price"", WORKDAY(INT($B31), 5)), 2, 2), """"))/$G31))"),"")</f>
        <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5617</v>
      </c>
    </row>
    <row r="32">
      <c r="A32" s="9">
        <f t="shared" si="1"/>
        <v>31</v>
      </c>
      <c r="B32" s="11">
        <v>46234.66762731481</v>
      </c>
      <c r="C32" s="10" t="s">
        <v>5618</v>
      </c>
      <c r="D32" s="10" t="s">
        <v>36</v>
      </c>
      <c r="E32" s="10" t="s">
        <v>4224</v>
      </c>
      <c r="F32" s="13">
        <v>4.0</v>
      </c>
      <c r="G32" s="14">
        <v>42.05</v>
      </c>
      <c r="H32" s="10" t="s">
        <v>5619</v>
      </c>
      <c r="I32" s="10">
        <v>45.7</v>
      </c>
      <c r="O32" s="15">
        <f>IFERROR(__xludf.DUMMYFUNCTION("IF(ISBLANK($C32), """", GOOGLEFINANCE($C32, ""price""))"),40.67)</f>
        <v>40.67</v>
      </c>
      <c r="P32" s="16">
        <f t="shared" si="2"/>
        <v>-0.03281807372</v>
      </c>
      <c r="Q32" s="16">
        <f>IFERROR(__xludf.DUMMYFUNCTION("IF(OR(ISBLANK($G32), IFERROR(INDEX(GOOGLEFINANCE($C32, ""price"", WORKDAY(INT($B32), 1)), 2, 2), """")=""""), """", IF($D32=""LONG"", (IFERROR(INDEX(GOOGLEFINANCE($C32, ""price"", WORKDAY(INT($B32), 1)), 2, 2), """")-$G32)/$G32, ($G32-IFERROR(INDEX(GOOGLE"&amp;"FINANCE($C32, ""price"", WORKDAY(INT($B32), 1)), 2, 2), """"))/$G32))"),-0.0030915576694410334)</f>
        <v>-0.003091557669</v>
      </c>
      <c r="R32" s="16" t="str">
        <f>IFERROR(__xludf.DUMMYFUNCTION("IF(OR(ISBLANK($G32), IFERROR(INDEX(GOOGLEFINANCE($C32, ""price"", WORKDAY(INT($B32), 5)), 2, 2), """")=""""), """", IF($D32=""LONG"", (IFERROR(INDEX(GOOGLEFINANCE($C32, ""price"", WORKDAY(INT($B32), 5)), 2, 2), """")-$G32)/$G32, ($G32-IFERROR(INDEX(GOOGLE"&amp;"FINANCE($C32, ""price"", WORKDAY(INT($B32), 5)), 2, 2), """"))/$G32))"),"")</f>
        <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5622</v>
      </c>
    </row>
    <row r="33">
      <c r="A33" s="9">
        <f t="shared" si="1"/>
        <v>32</v>
      </c>
      <c r="B33" s="11">
        <v>46234.66748842593</v>
      </c>
      <c r="C33" s="10" t="s">
        <v>800</v>
      </c>
      <c r="D33" s="10" t="s">
        <v>36</v>
      </c>
      <c r="E33" s="10" t="s">
        <v>37</v>
      </c>
      <c r="F33" s="13">
        <v>2.0</v>
      </c>
      <c r="G33" s="14">
        <v>311.32</v>
      </c>
      <c r="H33" s="10" t="s">
        <v>5623</v>
      </c>
      <c r="I33" s="10">
        <v>93.0</v>
      </c>
      <c r="O33" s="15">
        <f>IFERROR(__xludf.DUMMYFUNCTION("IF(ISBLANK($C33), """", GOOGLEFINANCE($C33, ""price""))"),325.01)</f>
        <v>325.01</v>
      </c>
      <c r="P33" s="16">
        <f t="shared" si="2"/>
        <v>0.043974046</v>
      </c>
      <c r="Q33" s="16">
        <f>IFERROR(__xludf.DUMMYFUNCTION("IF(OR(ISBLANK($G33), IFERROR(INDEX(GOOGLEFINANCE($C33, ""price"", WORKDAY(INT($B33), 1)), 2, 2), """")=""""), """", IF($D33=""LONG"", (IFERROR(INDEX(GOOGLEFINANCE($C33, ""price"", WORKDAY(INT($B33), 1)), 2, 2), """")-$G33)/$G33, ($G33-IFERROR(INDEX(GOOGLE"&amp;"FINANCE($C33, ""price"", WORKDAY(INT($B33), 1)), 2, 2), """"))/$G33))"),-0.009475780547346746)</f>
        <v>-0.009475780547</v>
      </c>
      <c r="R33" s="16" t="str">
        <f>IFERROR(__xludf.DUMMYFUNCTION("IF(OR(ISBLANK($G33), IFERROR(INDEX(GOOGLEFINANCE($C33, ""price"", WORKDAY(INT($B33), 5)), 2, 2), """")=""""), """", IF($D33=""LONG"", (IFERROR(INDEX(GOOGLEFINANCE($C33, ""price"", WORKDAY(INT($B33), 5)), 2, 2), """")-$G33)/$G33, ($G33-IFERROR(INDEX(GOOGLE"&amp;"FINANCE($C33, ""price"", WORKDAY(INT($B33), 5)), 2, 2), """"))/$G33))"),"")</f>
        <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5624</v>
      </c>
    </row>
    <row r="34">
      <c r="A34" s="9">
        <f t="shared" si="1"/>
        <v>33</v>
      </c>
      <c r="B34" s="11">
        <v>46234.66761574074</v>
      </c>
      <c r="C34" s="10" t="s">
        <v>108</v>
      </c>
      <c r="D34" s="10" t="s">
        <v>36</v>
      </c>
      <c r="E34" s="10" t="s">
        <v>37</v>
      </c>
      <c r="F34" s="13">
        <v>2.0</v>
      </c>
      <c r="G34" s="14">
        <v>127.21</v>
      </c>
      <c r="H34" s="10" t="s">
        <v>5625</v>
      </c>
      <c r="I34" s="10">
        <v>93.7</v>
      </c>
      <c r="O34" s="15">
        <f>IFERROR(__xludf.DUMMYFUNCTION("IF(ISBLANK($C34), """", GOOGLEFINANCE($C34, ""price""))"),129.68)</f>
        <v>129.68</v>
      </c>
      <c r="P34" s="16">
        <f t="shared" si="2"/>
        <v>0.01941671252</v>
      </c>
      <c r="Q34" s="16">
        <f>IFERROR(__xludf.DUMMYFUNCTION("IF(OR(ISBLANK($G34), IFERROR(INDEX(GOOGLEFINANCE($C34, ""price"", WORKDAY(INT($B34), 1)), 2, 2), """")=""""), """", IF($D34=""LONG"", (IFERROR(INDEX(GOOGLEFINANCE($C34, ""price"", WORKDAY(INT($B34), 1)), 2, 2), """")-$G34)/$G34, ($G34-IFERROR(INDEX(GOOGLE"&amp;"FINANCE($C34, ""price"", WORKDAY(INT($B34), 1)), 2, 2), """"))/$G34))"),0.01682257684144329)</f>
        <v>0.01682257684</v>
      </c>
      <c r="R34" s="16" t="str">
        <f>IFERROR(__xludf.DUMMYFUNCTION("IF(OR(ISBLANK($G34), IFERROR(INDEX(GOOGLEFINANCE($C34, ""price"", WORKDAY(INT($B34), 5)), 2, 2), """")=""""), """", IF($D34=""LONG"", (IFERROR(INDEX(GOOGLEFINANCE($C34, ""price"", WORKDAY(INT($B34), 5)), 2, 2), """")-$G34)/$G34, ($G34-IFERROR(INDEX(GOOGLE"&amp;"FINANCE($C34, ""price"", WORKDAY(INT($B34), 5)), 2, 2), """"))/$G34))"),"")</f>
        <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5628</v>
      </c>
    </row>
    <row r="35">
      <c r="A35" s="9">
        <f t="shared" si="1"/>
        <v>34</v>
      </c>
      <c r="B35" s="11">
        <v>46234.66758101852</v>
      </c>
      <c r="C35" s="10" t="s">
        <v>267</v>
      </c>
      <c r="D35" s="10" t="s">
        <v>36</v>
      </c>
      <c r="E35" s="10" t="s">
        <v>37</v>
      </c>
      <c r="F35" s="13">
        <v>2.0</v>
      </c>
      <c r="G35" s="14">
        <v>196.16</v>
      </c>
      <c r="H35" s="10" t="s">
        <v>5629</v>
      </c>
      <c r="I35" s="10">
        <v>89.7</v>
      </c>
      <c r="O35" s="15">
        <f>IFERROR(__xludf.DUMMYFUNCTION("IF(ISBLANK($C35), """", GOOGLEFINANCE($C35, ""price""))"),213.26)</f>
        <v>213.26</v>
      </c>
      <c r="P35" s="16">
        <f t="shared" si="2"/>
        <v>0.08717373573</v>
      </c>
      <c r="Q35" s="16">
        <f>IFERROR(__xludf.DUMMYFUNCTION("IF(OR(ISBLANK($G35), IFERROR(INDEX(GOOGLEFINANCE($C35, ""price"", WORKDAY(INT($B35), 1)), 2, 2), """")=""""), """", IF($D35=""LONG"", (IFERROR(INDEX(GOOGLEFINANCE($C35, ""price"", WORKDAY(INT($B35), 1)), 2, 2), """")-$G35)/$G35, ($G35-IFERROR(INDEX(GOOGLE"&amp;"FINANCE($C35, ""price"", WORKDAY(INT($B35), 1)), 2, 2), """"))/$G35))"),0.02212479608482873)</f>
        <v>0.02212479608</v>
      </c>
      <c r="R35" s="16" t="str">
        <f>IFERROR(__xludf.DUMMYFUNCTION("IF(OR(ISBLANK($G35), IFERROR(INDEX(GOOGLEFINANCE($C35, ""price"", WORKDAY(INT($B35), 5)), 2, 2), """")=""""), """", IF($D35=""LONG"", (IFERROR(INDEX(GOOGLEFINANCE($C35, ""price"", WORKDAY(INT($B35), 5)), 2, 2), """")-$G35)/$G35, ($G35-IFERROR(INDEX(GOOGLE"&amp;"FINANCE($C35, ""price"", WORKDAY(INT($B35), 5)), 2, 2), """"))/$G35))"),"")</f>
        <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5631</v>
      </c>
    </row>
    <row r="36">
      <c r="A36" s="9">
        <f t="shared" si="1"/>
        <v>35</v>
      </c>
      <c r="B36" s="11">
        <v>46234.66756944444</v>
      </c>
      <c r="C36" s="10" t="s">
        <v>3574</v>
      </c>
      <c r="D36" s="10" t="s">
        <v>36</v>
      </c>
      <c r="E36" s="10" t="s">
        <v>37</v>
      </c>
      <c r="F36" s="13">
        <v>2.0</v>
      </c>
      <c r="G36" s="14">
        <v>335.7</v>
      </c>
      <c r="H36" s="10" t="s">
        <v>5633</v>
      </c>
      <c r="I36" s="10">
        <v>92.6</v>
      </c>
      <c r="O36" s="15">
        <f>IFERROR(__xludf.DUMMYFUNCTION("IF(ISBLANK($C36), """", GOOGLEFINANCE($C36, ""price""))"),342.46)</f>
        <v>342.46</v>
      </c>
      <c r="P36" s="16">
        <f t="shared" si="2"/>
        <v>0.02013702711</v>
      </c>
      <c r="Q36" s="16">
        <f>IFERROR(__xludf.DUMMYFUNCTION("IF(OR(ISBLANK($G36), IFERROR(INDEX(GOOGLEFINANCE($C36, ""price"", WORKDAY(INT($B36), 1)), 2, 2), """")=""""), """", IF($D36=""LONG"", (IFERROR(INDEX(GOOGLEFINANCE($C36, ""price"", WORKDAY(INT($B36), 1)), 2, 2), """")-$G36)/$G36, ($G36-IFERROR(INDEX(GOOGLE"&amp;"FINANCE($C36, ""price"", WORKDAY(INT($B36), 1)), 2, 2), """"))/$G36))"),0.0028299076556448873)</f>
        <v>0.002829907656</v>
      </c>
      <c r="R36" s="16" t="str">
        <f>IFERROR(__xludf.DUMMYFUNCTION("IF(OR(ISBLANK($G36), IFERROR(INDEX(GOOGLEFINANCE($C36, ""price"", WORKDAY(INT($B36), 5)), 2, 2), """")=""""), """", IF($D36=""LONG"", (IFERROR(INDEX(GOOGLEFINANCE($C36, ""price"", WORKDAY(INT($B36), 5)), 2, 2), """")-$G36)/$G36, ($G36-IFERROR(INDEX(GOOGLE"&amp;"FINANCE($C36, ""price"", WORKDAY(INT($B36), 5)), 2, 2), """"))/$G36))"),"")</f>
        <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5634</v>
      </c>
    </row>
    <row r="37">
      <c r="A37" s="9">
        <f t="shared" si="1"/>
        <v>36</v>
      </c>
      <c r="B37" s="11">
        <v>46234.66753472222</v>
      </c>
      <c r="C37" s="10" t="s">
        <v>4463</v>
      </c>
      <c r="D37" s="10" t="s">
        <v>36</v>
      </c>
      <c r="E37" s="10" t="s">
        <v>37</v>
      </c>
      <c r="F37" s="13">
        <v>2.0</v>
      </c>
      <c r="G37" s="14">
        <v>25.86</v>
      </c>
      <c r="H37" s="10" t="s">
        <v>3463</v>
      </c>
      <c r="I37" s="10">
        <v>94.9</v>
      </c>
      <c r="O37" s="15">
        <f>IFERROR(__xludf.DUMMYFUNCTION("IF(ISBLANK($C37), """", GOOGLEFINANCE($C37, ""price""))"),24.96)</f>
        <v>24.96</v>
      </c>
      <c r="P37" s="16">
        <f t="shared" si="2"/>
        <v>-0.03480278422</v>
      </c>
      <c r="Q37" s="16">
        <f>IFERROR(__xludf.DUMMYFUNCTION("IF(OR(ISBLANK($G37), IFERROR(INDEX(GOOGLEFINANCE($C37, ""price"", WORKDAY(INT($B37), 1)), 2, 2), """")=""""), """", IF($D37=""LONG"", (IFERROR(INDEX(GOOGLEFINANCE($C37, ""price"", WORKDAY(INT($B37), 1)), 2, 2), """")-$G37)/$G37, ($G37-IFERROR(INDEX(GOOGLE"&amp;"FINANCE($C37, ""price"", WORKDAY(INT($B37), 1)), 2, 2), """"))/$G37))"),0.021655065738592508)</f>
        <v>0.02165506574</v>
      </c>
      <c r="R37" s="16" t="str">
        <f>IFERROR(__xludf.DUMMYFUNCTION("IF(OR(ISBLANK($G37), IFERROR(INDEX(GOOGLEFINANCE($C37, ""price"", WORKDAY(INT($B37), 5)), 2, 2), """")=""""), """", IF($D37=""LONG"", (IFERROR(INDEX(GOOGLEFINANCE($C37, ""price"", WORKDAY(INT($B37), 5)), 2, 2), """")-$G37)/$G37, ($G37-IFERROR(INDEX(GOOGLE"&amp;"FINANCE($C37, ""price"", WORKDAY(INT($B37), 5)), 2, 2), """"))/$G37))"),"")</f>
        <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5637</v>
      </c>
    </row>
    <row r="38">
      <c r="A38" s="9">
        <f t="shared" si="1"/>
        <v>37</v>
      </c>
      <c r="B38" s="11">
        <v>46234.667592592596</v>
      </c>
      <c r="C38" s="10" t="s">
        <v>228</v>
      </c>
      <c r="D38" s="10" t="s">
        <v>36</v>
      </c>
      <c r="E38" s="10" t="s">
        <v>37</v>
      </c>
      <c r="F38" s="13">
        <v>2.0</v>
      </c>
      <c r="G38" s="14">
        <v>72.58</v>
      </c>
      <c r="H38" s="10" t="s">
        <v>5638</v>
      </c>
      <c r="I38" s="10">
        <v>95.6</v>
      </c>
      <c r="O38" s="15">
        <f>IFERROR(__xludf.DUMMYFUNCTION("IF(ISBLANK($C38), """", GOOGLEFINANCE($C38, ""price""))"),72.13)</f>
        <v>72.13</v>
      </c>
      <c r="P38" s="16">
        <f t="shared" si="2"/>
        <v>-0.006200055112</v>
      </c>
      <c r="Q38" s="16">
        <f>IFERROR(__xludf.DUMMYFUNCTION("IF(OR(ISBLANK($G38), IFERROR(INDEX(GOOGLEFINANCE($C38, ""price"", WORKDAY(INT($B38), 1)), 2, 2), """")=""""), """", IF($D38=""LONG"", (IFERROR(INDEX(GOOGLEFINANCE($C38, ""price"", WORKDAY(INT($B38), 1)), 2, 2), """")-$G38)/$G38, ($G38-IFERROR(INDEX(GOOGLE"&amp;"FINANCE($C38, ""price"", WORKDAY(INT($B38), 1)), 2, 2), """"))/$G38))"),-0.00675117112152101)</f>
        <v>-0.006751171122</v>
      </c>
      <c r="R38" s="16" t="str">
        <f>IFERROR(__xludf.DUMMYFUNCTION("IF(OR(ISBLANK($G38), IFERROR(INDEX(GOOGLEFINANCE($C38, ""price"", WORKDAY(INT($B38), 5)), 2, 2), """")=""""), """", IF($D38=""LONG"", (IFERROR(INDEX(GOOGLEFINANCE($C38, ""price"", WORKDAY(INT($B38), 5)), 2, 2), """")-$G38)/$G38, ($G38-IFERROR(INDEX(GOOGLE"&amp;"FINANCE($C38, ""price"", WORKDAY(INT($B38), 5)), 2, 2), """"))/$G38))"),"")</f>
        <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5641</v>
      </c>
    </row>
    <row r="39">
      <c r="A39" s="9">
        <f t="shared" si="1"/>
        <v>38</v>
      </c>
      <c r="B39" s="11">
        <v>46234.66740740741</v>
      </c>
      <c r="C39" s="10" t="s">
        <v>296</v>
      </c>
      <c r="D39" s="10" t="s">
        <v>36</v>
      </c>
      <c r="E39" s="10" t="s">
        <v>37</v>
      </c>
      <c r="F39" s="13">
        <v>2.0</v>
      </c>
      <c r="G39" s="14">
        <v>122.11</v>
      </c>
      <c r="H39" s="10" t="s">
        <v>5642</v>
      </c>
      <c r="I39" s="10">
        <v>89.7</v>
      </c>
      <c r="O39" s="15">
        <f>IFERROR(__xludf.DUMMYFUNCTION("IF(ISBLANK($C39), """", GOOGLEFINANCE($C39, ""price""))"),121.5)</f>
        <v>121.5</v>
      </c>
      <c r="P39" s="16">
        <f t="shared" si="2"/>
        <v>-0.004995495864</v>
      </c>
      <c r="Q39" s="16">
        <f>IFERROR(__xludf.DUMMYFUNCTION("IF(OR(ISBLANK($G39), IFERROR(INDEX(GOOGLEFINANCE($C39, ""price"", WORKDAY(INT($B39), 1)), 2, 2), """")=""""), """", IF($D39=""LONG"", (IFERROR(INDEX(GOOGLEFINANCE($C39, ""price"", WORKDAY(INT($B39), 1)), 2, 2), """")-$G39)/$G39, ($G39-IFERROR(INDEX(GOOGLE"&amp;"FINANCE($C39, ""price"", WORKDAY(INT($B39), 1)), 2, 2), """"))/$G39))"),0.00712472360986)</f>
        <v>0.00712472361</v>
      </c>
      <c r="R39" s="16" t="str">
        <f>IFERROR(__xludf.DUMMYFUNCTION("IF(OR(ISBLANK($G39), IFERROR(INDEX(GOOGLEFINANCE($C39, ""price"", WORKDAY(INT($B39), 5)), 2, 2), """")=""""), """", IF($D39=""LONG"", (IFERROR(INDEX(GOOGLEFINANCE($C39, ""price"", WORKDAY(INT($B39), 5)), 2, 2), """")-$G39)/$G39, ($G39-IFERROR(INDEX(GOOGLE"&amp;"FINANCE($C39, ""price"", WORKDAY(INT($B39), 5)), 2, 2), """"))/$G39))"),"")</f>
        <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5643</v>
      </c>
    </row>
    <row r="40">
      <c r="A40" s="9">
        <f t="shared" si="1"/>
        <v>39</v>
      </c>
      <c r="B40" s="11">
        <v>46234.66763888889</v>
      </c>
      <c r="C40" s="10" t="s">
        <v>63</v>
      </c>
      <c r="D40" s="10" t="s">
        <v>36</v>
      </c>
      <c r="E40" s="10" t="s">
        <v>37</v>
      </c>
      <c r="F40" s="13">
        <v>2.0</v>
      </c>
      <c r="G40" s="14">
        <v>156.35</v>
      </c>
      <c r="H40" s="10" t="s">
        <v>5645</v>
      </c>
      <c r="I40" s="10">
        <v>68.2</v>
      </c>
      <c r="O40" s="15">
        <f>IFERROR(__xludf.DUMMYFUNCTION("IF(ISBLANK($C40), """", GOOGLEFINANCE($C40, ""price""))"),158.82)</f>
        <v>158.82</v>
      </c>
      <c r="P40" s="16">
        <f t="shared" si="2"/>
        <v>0.01579788935</v>
      </c>
      <c r="Q40" s="16">
        <f>IFERROR(__xludf.DUMMYFUNCTION("IF(OR(ISBLANK($G40), IFERROR(INDEX(GOOGLEFINANCE($C40, ""price"", WORKDAY(INT($B40), 1)), 2, 2), """")=""""), """", IF($D40=""LONG"", (IFERROR(INDEX(GOOGLEFINANCE($C40, ""price"", WORKDAY(INT($B40), 1)), 2, 2), """")-$G40)/$G40, ($G40-IFERROR(INDEX(GOOGLE"&amp;"FINANCE($C40, ""price"", WORKDAY(INT($B40), 1)), 2, 2), """"))/$G40))"),-9.593859929645391E-4)</f>
        <v>-0.000959385993</v>
      </c>
      <c r="R40" s="16" t="str">
        <f>IFERROR(__xludf.DUMMYFUNCTION("IF(OR(ISBLANK($G40), IFERROR(INDEX(GOOGLEFINANCE($C40, ""price"", WORKDAY(INT($B40), 5)), 2, 2), """")=""""), """", IF($D40=""LONG"", (IFERROR(INDEX(GOOGLEFINANCE($C40, ""price"", WORKDAY(INT($B40), 5)), 2, 2), """")-$G40)/$G40, ($G40-IFERROR(INDEX(GOOGLE"&amp;"FINANCE($C40, ""price"", WORKDAY(INT($B40), 5)), 2, 2), """"))/$G40))"),"")</f>
        <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5647</v>
      </c>
    </row>
    <row r="41">
      <c r="A41" s="9">
        <f t="shared" si="1"/>
        <v>40</v>
      </c>
      <c r="B41" s="11">
        <v>46234.66751157407</v>
      </c>
      <c r="C41" s="10" t="s">
        <v>34</v>
      </c>
      <c r="D41" s="10" t="s">
        <v>36</v>
      </c>
      <c r="E41" s="10" t="s">
        <v>37</v>
      </c>
      <c r="F41" s="13">
        <v>2.0</v>
      </c>
      <c r="G41" s="14">
        <v>194.89</v>
      </c>
      <c r="H41" s="10" t="s">
        <v>1532</v>
      </c>
      <c r="I41" s="10">
        <v>97.0</v>
      </c>
      <c r="O41" s="15">
        <f>IFERROR(__xludf.DUMMYFUNCTION("IF(ISBLANK($C41), """", GOOGLEFINANCE($C41, ""price""))"),189.75)</f>
        <v>189.75</v>
      </c>
      <c r="P41" s="16">
        <f t="shared" si="2"/>
        <v>-0.02637385192</v>
      </c>
      <c r="Q41" s="16">
        <f>IFERROR(__xludf.DUMMYFUNCTION("IF(OR(ISBLANK($G41), IFERROR(INDEX(GOOGLEFINANCE($C41, ""price"", WORKDAY(INT($B41), 1)), 2, 2), """")=""""), """", IF($D41=""LONG"", (IFERROR(INDEX(GOOGLEFINANCE($C41, ""price"", WORKDAY(INT($B41), 1)), 2, 2), """")-$G41)/$G41, ($G41-IFERROR(INDEX(GOOGLE"&amp;"FINANCE($C41, ""price"", WORKDAY(INT($B41), 1)), 2, 2), """"))/$G41))"),-0.009133357278464635)</f>
        <v>-0.009133357278</v>
      </c>
      <c r="R41" s="16" t="str">
        <f>IFERROR(__xludf.DUMMYFUNCTION("IF(OR(ISBLANK($G41), IFERROR(INDEX(GOOGLEFINANCE($C41, ""price"", WORKDAY(INT($B41), 5)), 2, 2), """")=""""), """", IF($D41=""LONG"", (IFERROR(INDEX(GOOGLEFINANCE($C41, ""price"", WORKDAY(INT($B41), 5)), 2, 2), """")-$G41)/$G41, ($G41-IFERROR(INDEX(GOOGLE"&amp;"FINANCE($C41, ""price"", WORKDAY(INT($B41), 5)), 2, 2), """"))/$G41))"),"")</f>
        <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5650</v>
      </c>
    </row>
    <row r="42">
      <c r="A42" s="9">
        <f t="shared" si="1"/>
        <v>41</v>
      </c>
      <c r="B42" s="11">
        <v>46234.66756944444</v>
      </c>
      <c r="C42" s="10" t="s">
        <v>207</v>
      </c>
      <c r="D42" s="10" t="s">
        <v>36</v>
      </c>
      <c r="E42" s="10" t="s">
        <v>37</v>
      </c>
      <c r="F42" s="13">
        <v>2.0</v>
      </c>
      <c r="G42" s="14">
        <v>340.84</v>
      </c>
      <c r="H42" s="10" t="s">
        <v>5651</v>
      </c>
      <c r="I42" s="10">
        <v>90.6</v>
      </c>
      <c r="O42" s="15">
        <f>IFERROR(__xludf.DUMMYFUNCTION("IF(ISBLANK($C42), """", GOOGLEFINANCE($C42, ""price""))"),363.42)</f>
        <v>363.42</v>
      </c>
      <c r="P42" s="16">
        <f t="shared" si="2"/>
        <v>0.06624809295</v>
      </c>
      <c r="Q42" s="16">
        <f>IFERROR(__xludf.DUMMYFUNCTION("IF(OR(ISBLANK($G42), IFERROR(INDEX(GOOGLEFINANCE($C42, ""price"", WORKDAY(INT($B42), 1)), 2, 2), """")=""""), """", IF($D42=""LONG"", (IFERROR(INDEX(GOOGLEFINANCE($C42, ""price"", WORKDAY(INT($B42), 1)), 2, 2), """")-$G42)/$G42, ($G42-IFERROR(INDEX(GOOGLE"&amp;"FINANCE($C42, ""price"", WORKDAY(INT($B42), 1)), 2, 2), """"))/$G42))"),0.0392559558737239)</f>
        <v>0.03925595587</v>
      </c>
      <c r="R42" s="16" t="str">
        <f>IFERROR(__xludf.DUMMYFUNCTION("IF(OR(ISBLANK($G42), IFERROR(INDEX(GOOGLEFINANCE($C42, ""price"", WORKDAY(INT($B42), 5)), 2, 2), """")=""""), """", IF($D42=""LONG"", (IFERROR(INDEX(GOOGLEFINANCE($C42, ""price"", WORKDAY(INT($B42), 5)), 2, 2), """")-$G42)/$G42, ($G42-IFERROR(INDEX(GOOGLE"&amp;"FINANCE($C42, ""price"", WORKDAY(INT($B42), 5)), 2, 2), """"))/$G42))"),"")</f>
        <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5653</v>
      </c>
    </row>
    <row r="43">
      <c r="A43" s="9">
        <f t="shared" si="1"/>
        <v>42</v>
      </c>
      <c r="B43" s="11">
        <v>46234.667604166665</v>
      </c>
      <c r="C43" s="10" t="s">
        <v>5654</v>
      </c>
      <c r="D43" s="10" t="s">
        <v>36</v>
      </c>
      <c r="E43" s="10" t="s">
        <v>87</v>
      </c>
      <c r="F43" s="13">
        <v>2.0</v>
      </c>
      <c r="G43" s="14">
        <v>172.64</v>
      </c>
      <c r="H43" s="10" t="s">
        <v>5656</v>
      </c>
      <c r="I43" s="10">
        <v>99.4</v>
      </c>
      <c r="O43" s="15">
        <f>IFERROR(__xludf.DUMMYFUNCTION("IF(ISBLANK($C43), """", GOOGLEFINANCE($C43, ""price""))"),175.79)</f>
        <v>175.79</v>
      </c>
      <c r="P43" s="16">
        <f t="shared" si="2"/>
        <v>0.01824606117</v>
      </c>
      <c r="Q43" s="16">
        <f>IFERROR(__xludf.DUMMYFUNCTION("IF(OR(ISBLANK($G43), IFERROR(INDEX(GOOGLEFINANCE($C43, ""price"", WORKDAY(INT($B43), 1)), 2, 2), """")=""""), """", IF($D43=""LONG"", (IFERROR(INDEX(GOOGLEFINANCE($C43, ""price"", WORKDAY(INT($B43), 1)), 2, 2), """")-$G43)/$G43, ($G43-IFERROR(INDEX(GOOGLE"&amp;"FINANCE($C43, ""price"", WORKDAY(INT($B43), 1)), 2, 2), """"))/$G43))"),0.008514828544949185)</f>
        <v>0.008514828545</v>
      </c>
      <c r="R43" s="16" t="str">
        <f>IFERROR(__xludf.DUMMYFUNCTION("IF(OR(ISBLANK($G43), IFERROR(INDEX(GOOGLEFINANCE($C43, ""price"", WORKDAY(INT($B43), 5)), 2, 2), """")=""""), """", IF($D43=""LONG"", (IFERROR(INDEX(GOOGLEFINANCE($C43, ""price"", WORKDAY(INT($B43), 5)), 2, 2), """")-$G43)/$G43, ($G43-IFERROR(INDEX(GOOGLE"&amp;"FINANCE($C43, ""price"", WORKDAY(INT($B43), 5)), 2, 2), """"))/$G43))"),"")</f>
        <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5657</v>
      </c>
    </row>
    <row r="44">
      <c r="A44" s="9">
        <f t="shared" si="1"/>
        <v>43</v>
      </c>
      <c r="B44" s="11">
        <v>46234.667592592596</v>
      </c>
      <c r="C44" s="10" t="s">
        <v>2066</v>
      </c>
      <c r="D44" s="10" t="s">
        <v>36</v>
      </c>
      <c r="E44" s="10" t="s">
        <v>37</v>
      </c>
      <c r="F44" s="13">
        <v>2.0</v>
      </c>
      <c r="G44" s="14">
        <v>94.18</v>
      </c>
      <c r="H44" s="10" t="s">
        <v>5658</v>
      </c>
      <c r="I44" s="10">
        <v>98.0</v>
      </c>
      <c r="O44" s="15">
        <f>IFERROR(__xludf.DUMMYFUNCTION("IF(ISBLANK($C44), """", GOOGLEFINANCE($C44, ""price""))"),98.02)</f>
        <v>98.02</v>
      </c>
      <c r="P44" s="16">
        <f t="shared" si="2"/>
        <v>0.0407729879</v>
      </c>
      <c r="Q44" s="16">
        <f>IFERROR(__xludf.DUMMYFUNCTION("IF(OR(ISBLANK($G44), IFERROR(INDEX(GOOGLEFINANCE($C44, ""price"", WORKDAY(INT($B44), 1)), 2, 2), """")=""""), """", IF($D44=""LONG"", (IFERROR(INDEX(GOOGLEFINANCE($C44, ""price"", WORKDAY(INT($B44), 1)), 2, 2), """")-$G44)/$G44, ($G44-IFERROR(INDEX(GOOGLE"&amp;"FINANCE($C44, ""price"", WORKDAY(INT($B44), 1)), 2, 2), """"))/$G44))"),0.006795497982586391)</f>
        <v>0.006795497983</v>
      </c>
      <c r="R44" s="16" t="str">
        <f>IFERROR(__xludf.DUMMYFUNCTION("IF(OR(ISBLANK($G44), IFERROR(INDEX(GOOGLEFINANCE($C44, ""price"", WORKDAY(INT($B44), 5)), 2, 2), """")=""""), """", IF($D44=""LONG"", (IFERROR(INDEX(GOOGLEFINANCE($C44, ""price"", WORKDAY(INT($B44), 5)), 2, 2), """")-$G44)/$G44, ($G44-IFERROR(INDEX(GOOGLE"&amp;"FINANCE($C44, ""price"", WORKDAY(INT($B44), 5)), 2, 2), """"))/$G44))"),"")</f>
        <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5661</v>
      </c>
    </row>
    <row r="45">
      <c r="A45" s="9">
        <f t="shared" si="1"/>
        <v>44</v>
      </c>
      <c r="B45" s="11">
        <v>46234.667650462965</v>
      </c>
      <c r="C45" s="10" t="s">
        <v>3615</v>
      </c>
      <c r="D45" s="10" t="s">
        <v>36</v>
      </c>
      <c r="E45" s="10" t="s">
        <v>37</v>
      </c>
      <c r="F45" s="13">
        <v>2.0</v>
      </c>
      <c r="G45" s="14">
        <v>31.27</v>
      </c>
      <c r="H45" s="10" t="s">
        <v>5662</v>
      </c>
      <c r="I45" s="10">
        <v>96.4</v>
      </c>
      <c r="O45" s="15">
        <f>IFERROR(__xludf.DUMMYFUNCTION("IF(ISBLANK($C45), """", GOOGLEFINANCE($C45, ""price""))"),33.87)</f>
        <v>33.87</v>
      </c>
      <c r="P45" s="16">
        <f t="shared" si="2"/>
        <v>0.08314678606</v>
      </c>
      <c r="Q45" s="16">
        <f>IFERROR(__xludf.DUMMYFUNCTION("IF(OR(ISBLANK($G45), IFERROR(INDEX(GOOGLEFINANCE($C45, ""price"", WORKDAY(INT($B45), 1)), 2, 2), """")=""""), """", IF($D45=""LONG"", (IFERROR(INDEX(GOOGLEFINANCE($C45, ""price"", WORKDAY(INT($B45), 1)), 2, 2), """")-$G45)/$G45, ($G45-IFERROR(INDEX(GOOGLE"&amp;"FINANCE($C45, ""price"", WORKDAY(INT($B45), 1)), 2, 2), """"))/$G45))"),0.0166293572113847)</f>
        <v>0.01662935721</v>
      </c>
      <c r="R45" s="16" t="str">
        <f>IFERROR(__xludf.DUMMYFUNCTION("IF(OR(ISBLANK($G45), IFERROR(INDEX(GOOGLEFINANCE($C45, ""price"", WORKDAY(INT($B45), 5)), 2, 2), """")=""""), """", IF($D45=""LONG"", (IFERROR(INDEX(GOOGLEFINANCE($C45, ""price"", WORKDAY(INT($B45), 5)), 2, 2), """")-$G45)/$G45, ($G45-IFERROR(INDEX(GOOGLE"&amp;"FINANCE($C45, ""price"", WORKDAY(INT($B45), 5)), 2, 2), """"))/$G45))"),"")</f>
        <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5664</v>
      </c>
    </row>
    <row r="46">
      <c r="A46" s="9">
        <f t="shared" si="1"/>
        <v>45</v>
      </c>
      <c r="B46" s="11">
        <v>46234.66763888889</v>
      </c>
      <c r="C46" s="10" t="s">
        <v>279</v>
      </c>
      <c r="D46" s="10" t="s">
        <v>36</v>
      </c>
      <c r="E46" s="10" t="s">
        <v>87</v>
      </c>
      <c r="F46" s="13">
        <v>2.0</v>
      </c>
      <c r="G46" s="14">
        <v>83.45</v>
      </c>
      <c r="H46" s="10" t="s">
        <v>5665</v>
      </c>
      <c r="I46" s="10">
        <v>39.3</v>
      </c>
      <c r="O46" s="15">
        <f>IFERROR(__xludf.DUMMYFUNCTION("IF(ISBLANK($C46), """", GOOGLEFINANCE($C46, ""price""))"),83.02)</f>
        <v>83.02</v>
      </c>
      <c r="P46" s="16">
        <f t="shared" si="2"/>
        <v>-0.005152786099</v>
      </c>
      <c r="Q46" s="16">
        <f>IFERROR(__xludf.DUMMYFUNCTION("IF(OR(ISBLANK($G46), IFERROR(INDEX(GOOGLEFINANCE($C46, ""price"", WORKDAY(INT($B46), 1)), 2, 2), """")=""""), """", IF($D46=""LONG"", (IFERROR(INDEX(GOOGLEFINANCE($C46, ""price"", WORKDAY(INT($B46), 1)), 2, 2), """")-$G46)/$G46, ($G46-IFERROR(INDEX(GOOGLE"&amp;"FINANCE($C46, ""price"", WORKDAY(INT($B46), 1)), 2, 2), """"))/$G46))"),0.04625524266027561)</f>
        <v>0.04625524266</v>
      </c>
      <c r="R46" s="16" t="str">
        <f>IFERROR(__xludf.DUMMYFUNCTION("IF(OR(ISBLANK($G46), IFERROR(INDEX(GOOGLEFINANCE($C46, ""price"", WORKDAY(INT($B46), 5)), 2, 2), """")=""""), """", IF($D46=""LONG"", (IFERROR(INDEX(GOOGLEFINANCE($C46, ""price"", WORKDAY(INT($B46), 5)), 2, 2), """")-$G46)/$G46, ($G46-IFERROR(INDEX(GOOGLE"&amp;"FINANCE($C46, ""price"", WORKDAY(INT($B46), 5)), 2, 2), """"))/$G46))"),"")</f>
        <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5666</v>
      </c>
    </row>
    <row r="47">
      <c r="A47" s="9">
        <f t="shared" si="1"/>
        <v>46</v>
      </c>
      <c r="B47" s="11">
        <v>46234.667604166665</v>
      </c>
      <c r="C47" s="10" t="s">
        <v>5667</v>
      </c>
      <c r="D47" s="10" t="s">
        <v>36</v>
      </c>
      <c r="E47" s="10" t="s">
        <v>37</v>
      </c>
      <c r="F47" s="13">
        <v>2.0</v>
      </c>
      <c r="G47" s="14">
        <v>1090.31</v>
      </c>
      <c r="H47" s="10" t="s">
        <v>5669</v>
      </c>
      <c r="I47" s="10">
        <v>91.7</v>
      </c>
      <c r="O47" s="15">
        <f>IFERROR(__xludf.DUMMYFUNCTION("IF(ISBLANK($C47), """", GOOGLEFINANCE($C47, ""price""))"),1129.3)</f>
        <v>1129.3</v>
      </c>
      <c r="P47" s="16">
        <f t="shared" si="2"/>
        <v>0.03576047179</v>
      </c>
      <c r="Q47" s="16">
        <f>IFERROR(__xludf.DUMMYFUNCTION("IF(OR(ISBLANK($G47), IFERROR(INDEX(GOOGLEFINANCE($C47, ""price"", WORKDAY(INT($B47), 1)), 2, 2), """")=""""), """", IF($D47=""LONG"", (IFERROR(INDEX(GOOGLEFINANCE($C47, ""price"", WORKDAY(INT($B47), 1)), 2, 2), """")-$G47)/$G47, ($G47-IFERROR(INDEX(GOOGLE"&amp;"FINANCE($C47, ""price"", WORKDAY(INT($B47), 1)), 2, 2), """"))/$G47))"),0.033311626968477004)</f>
        <v>0.03331162697</v>
      </c>
      <c r="R47" s="16" t="str">
        <f>IFERROR(__xludf.DUMMYFUNCTION("IF(OR(ISBLANK($G47), IFERROR(INDEX(GOOGLEFINANCE($C47, ""price"", WORKDAY(INT($B47), 5)), 2, 2), """")=""""), """", IF($D47=""LONG"", (IFERROR(INDEX(GOOGLEFINANCE($C47, ""price"", WORKDAY(INT($B47), 5)), 2, 2), """")-$G47)/$G47, ($G47-IFERROR(INDEX(GOOGLE"&amp;"FINANCE($C47, ""price"", WORKDAY(INT($B47), 5)), 2, 2), """"))/$G47))"),"")</f>
        <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5671</v>
      </c>
    </row>
    <row r="48">
      <c r="A48" s="9">
        <f t="shared" si="1"/>
        <v>47</v>
      </c>
      <c r="B48" s="11">
        <v>46234.66756944444</v>
      </c>
      <c r="C48" s="10" t="s">
        <v>174</v>
      </c>
      <c r="D48" s="10" t="s">
        <v>36</v>
      </c>
      <c r="E48" s="10" t="s">
        <v>37</v>
      </c>
      <c r="F48" s="13">
        <v>2.0</v>
      </c>
      <c r="G48" s="14">
        <v>25.02</v>
      </c>
      <c r="H48" s="10" t="s">
        <v>5672</v>
      </c>
      <c r="I48" s="10">
        <v>87.1</v>
      </c>
      <c r="O48" s="15">
        <f>IFERROR(__xludf.DUMMYFUNCTION("IF(ISBLANK($C48), """", GOOGLEFINANCE($C48, ""price""))"),25.09)</f>
        <v>25.09</v>
      </c>
      <c r="P48" s="16">
        <f t="shared" si="2"/>
        <v>0.002797761791</v>
      </c>
      <c r="Q48" s="16">
        <f>IFERROR(__xludf.DUMMYFUNCTION("IF(OR(ISBLANK($G48), IFERROR(INDEX(GOOGLEFINANCE($C48, ""price"", WORKDAY(INT($B48), 1)), 2, 2), """")=""""), """", IF($D48=""LONG"", (IFERROR(INDEX(GOOGLEFINANCE($C48, ""price"", WORKDAY(INT($B48), 1)), 2, 2), """")-$G48)/$G48, ($G48-IFERROR(INDEX(GOOGLE"&amp;"FINANCE($C48, ""price"", WORKDAY(INT($B48), 1)), 2, 2), """"))/$G48))"),0.008393285371702672)</f>
        <v>0.008393285372</v>
      </c>
      <c r="R48" s="16" t="str">
        <f>IFERROR(__xludf.DUMMYFUNCTION("IF(OR(ISBLANK($G48), IFERROR(INDEX(GOOGLEFINANCE($C48, ""price"", WORKDAY(INT($B48), 5)), 2, 2), """")=""""), """", IF($D48=""LONG"", (IFERROR(INDEX(GOOGLEFINANCE($C48, ""price"", WORKDAY(INT($B48), 5)), 2, 2), """")-$G48)/$G48, ($G48-IFERROR(INDEX(GOOGLE"&amp;"FINANCE($C48, ""price"", WORKDAY(INT($B48), 5)), 2, 2), """"))/$G48))"),"")</f>
        <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5675</v>
      </c>
    </row>
    <row r="49">
      <c r="A49" s="9">
        <f t="shared" si="1"/>
        <v>48</v>
      </c>
      <c r="B49" s="11">
        <v>46234.66769675926</v>
      </c>
      <c r="C49" s="10" t="s">
        <v>91</v>
      </c>
      <c r="D49" s="10" t="s">
        <v>36</v>
      </c>
      <c r="E49" s="10" t="s">
        <v>37</v>
      </c>
      <c r="F49" s="13">
        <v>2.0</v>
      </c>
      <c r="G49" s="14">
        <v>40.81</v>
      </c>
      <c r="H49" s="10" t="s">
        <v>5676</v>
      </c>
      <c r="I49" s="10">
        <v>96.9</v>
      </c>
      <c r="O49" s="15">
        <f>IFERROR(__xludf.DUMMYFUNCTION("IF(ISBLANK($C49), """", GOOGLEFINANCE($C49, ""price""))"),40.53)</f>
        <v>40.53</v>
      </c>
      <c r="P49" s="16">
        <f t="shared" si="2"/>
        <v>-0.006861063465</v>
      </c>
      <c r="Q49" s="16">
        <f>IFERROR(__xludf.DUMMYFUNCTION("IF(OR(ISBLANK($G49), IFERROR(INDEX(GOOGLEFINANCE($C49, ""price"", WORKDAY(INT($B49), 1)), 2, 2), """")=""""), """", IF($D49=""LONG"", (IFERROR(INDEX(GOOGLEFINANCE($C49, ""price"", WORKDAY(INT($B49), 1)), 2, 2), """")-$G49)/$G49, ($G49-IFERROR(INDEX(GOOGLE"&amp;"FINANCE($C49, ""price"", WORKDAY(INT($B49), 1)), 2, 2), """"))/$G49))"),0.015682430776770413)</f>
        <v>0.01568243078</v>
      </c>
      <c r="R49" s="16" t="str">
        <f>IFERROR(__xludf.DUMMYFUNCTION("IF(OR(ISBLANK($G49), IFERROR(INDEX(GOOGLEFINANCE($C49, ""price"", WORKDAY(INT($B49), 5)), 2, 2), """")=""""), """", IF($D49=""LONG"", (IFERROR(INDEX(GOOGLEFINANCE($C49, ""price"", WORKDAY(INT($B49), 5)), 2, 2), """")-$G49)/$G49, ($G49-IFERROR(INDEX(GOOGLE"&amp;"FINANCE($C49, ""price"", WORKDAY(INT($B49), 5)), 2, 2), """"))/$G49))"),"")</f>
        <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5678</v>
      </c>
    </row>
    <row r="50">
      <c r="A50" s="9">
        <f t="shared" si="1"/>
        <v>49</v>
      </c>
      <c r="B50" s="11">
        <v>46234.66762731481</v>
      </c>
      <c r="C50" s="10" t="s">
        <v>918</v>
      </c>
      <c r="D50" s="10" t="s">
        <v>36</v>
      </c>
      <c r="E50" s="10" t="s">
        <v>37</v>
      </c>
      <c r="F50" s="13">
        <v>2.0</v>
      </c>
      <c r="G50" s="14">
        <v>374.35</v>
      </c>
      <c r="H50" s="10" t="s">
        <v>5680</v>
      </c>
      <c r="I50" s="10">
        <v>93.9</v>
      </c>
      <c r="O50" s="15">
        <f>IFERROR(__xludf.DUMMYFUNCTION("IF(ISBLANK($C50), """", GOOGLEFINANCE($C50, ""price""))"),386.0)</f>
        <v>386</v>
      </c>
      <c r="P50" s="16">
        <f t="shared" si="2"/>
        <v>0.03112060906</v>
      </c>
      <c r="Q50" s="16">
        <f>IFERROR(__xludf.DUMMYFUNCTION("IF(OR(ISBLANK($G50), IFERROR(INDEX(GOOGLEFINANCE($C50, ""price"", WORKDAY(INT($B50), 1)), 2, 2), """")=""""), """", IF($D50=""LONG"", (IFERROR(INDEX(GOOGLEFINANCE($C50, ""price"", WORKDAY(INT($B50), 1)), 2, 2), """")-$G50)/$G50, ($G50-IFERROR(INDEX(GOOGLE"&amp;"FINANCE($C50, ""price"", WORKDAY(INT($B50), 1)), 2, 2), """"))/$G50))"),-0.0014157873647656725)</f>
        <v>-0.001415787365</v>
      </c>
      <c r="R50" s="16" t="str">
        <f>IFERROR(__xludf.DUMMYFUNCTION("IF(OR(ISBLANK($G50), IFERROR(INDEX(GOOGLEFINANCE($C50, ""price"", WORKDAY(INT($B50), 5)), 2, 2), """")=""""), """", IF($D50=""LONG"", (IFERROR(INDEX(GOOGLEFINANCE($C50, ""price"", WORKDAY(INT($B50), 5)), 2, 2), """")-$G50)/$G50, ($G50-IFERROR(INDEX(GOOGLE"&amp;"FINANCE($C50, ""price"", WORKDAY(INT($B50), 5)), 2, 2), """"))/$G50))"),"")</f>
        <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5681</v>
      </c>
    </row>
    <row r="51">
      <c r="A51" s="9">
        <f t="shared" si="1"/>
        <v>50</v>
      </c>
      <c r="B51" s="11">
        <v>46234.66761574074</v>
      </c>
      <c r="C51" s="10" t="s">
        <v>5682</v>
      </c>
      <c r="D51" s="10" t="s">
        <v>36</v>
      </c>
      <c r="E51" s="10" t="s">
        <v>37</v>
      </c>
      <c r="F51" s="13">
        <v>2.0</v>
      </c>
      <c r="G51" s="14">
        <v>119.28</v>
      </c>
      <c r="H51" s="10" t="s">
        <v>5683</v>
      </c>
      <c r="I51" s="10">
        <v>91.6</v>
      </c>
      <c r="O51" s="15">
        <f>IFERROR(__xludf.DUMMYFUNCTION("IF(ISBLANK($C51), """", GOOGLEFINANCE($C51, ""price""))"),118.8)</f>
        <v>118.8</v>
      </c>
      <c r="P51" s="16">
        <f t="shared" si="2"/>
        <v>-0.004024144869</v>
      </c>
      <c r="Q51" s="16">
        <f>IFERROR(__xludf.DUMMYFUNCTION("IF(OR(ISBLANK($G51), IFERROR(INDEX(GOOGLEFINANCE($C51, ""price"", WORKDAY(INT($B51), 1)), 2, 2), """")=""""), """", IF($D51=""LONG"", (IFERROR(INDEX(GOOGLEFINANCE($C51, ""price"", WORKDAY(INT($B51), 1)), 2, 2), """")-$G51)/$G51, ($G51-IFERROR(INDEX(GOOGLE"&amp;"FINANCE($C51, ""price"", WORKDAY(INT($B51), 1)), 2, 2), """"))/$G51))"),-0.014922870556673382)</f>
        <v>-0.01492287056</v>
      </c>
      <c r="R51" s="16" t="str">
        <f>IFERROR(__xludf.DUMMYFUNCTION("IF(OR(ISBLANK($G51), IFERROR(INDEX(GOOGLEFINANCE($C51, ""price"", WORKDAY(INT($B51), 5)), 2, 2), """")=""""), """", IF($D51=""LONG"", (IFERROR(INDEX(GOOGLEFINANCE($C51, ""price"", WORKDAY(INT($B51), 5)), 2, 2), """")-$G51)/$G51, ($G51-IFERROR(INDEX(GOOGLE"&amp;"FINANCE($C51, ""price"", WORKDAY(INT($B51), 5)), 2, 2), """"))/$G51))"),"")</f>
        <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5686</v>
      </c>
    </row>
    <row r="52">
      <c r="A52" s="9">
        <f t="shared" si="1"/>
        <v>51</v>
      </c>
      <c r="B52" s="11">
        <v>46234.6675</v>
      </c>
      <c r="C52" s="10" t="s">
        <v>2048</v>
      </c>
      <c r="D52" s="10" t="s">
        <v>36</v>
      </c>
      <c r="E52" s="10" t="s">
        <v>37</v>
      </c>
      <c r="F52" s="13">
        <v>2.0</v>
      </c>
      <c r="G52" s="14">
        <v>292.14</v>
      </c>
      <c r="H52" s="10" t="s">
        <v>5687</v>
      </c>
      <c r="I52" s="10">
        <v>89.5</v>
      </c>
      <c r="O52" s="15">
        <f>IFERROR(__xludf.DUMMYFUNCTION("IF(ISBLANK($C52), """", GOOGLEFINANCE($C52, ""price""))"),295.38)</f>
        <v>295.38</v>
      </c>
      <c r="P52" s="16">
        <f t="shared" si="2"/>
        <v>0.01109057301</v>
      </c>
      <c r="Q52" s="16">
        <f>IFERROR(__xludf.DUMMYFUNCTION("IF(OR(ISBLANK($G52), IFERROR(INDEX(GOOGLEFINANCE($C52, ""price"", WORKDAY(INT($B52), 1)), 2, 2), """")=""""), """", IF($D52=""LONG"", (IFERROR(INDEX(GOOGLEFINANCE($C52, ""price"", WORKDAY(INT($B52), 1)), 2, 2), """")-$G52)/$G52, ($G52-IFERROR(INDEX(GOOGLE"&amp;"FINANCE($C52, ""price"", WORKDAY(INT($B52), 1)), 2, 2), """"))/$G52))"),-0.0031149448894364625)</f>
        <v>-0.003114944889</v>
      </c>
      <c r="R52" s="16" t="str">
        <f>IFERROR(__xludf.DUMMYFUNCTION("IF(OR(ISBLANK($G52), IFERROR(INDEX(GOOGLEFINANCE($C52, ""price"", WORKDAY(INT($B52), 5)), 2, 2), """")=""""), """", IF($D52=""LONG"", (IFERROR(INDEX(GOOGLEFINANCE($C52, ""price"", WORKDAY(INT($B52), 5)), 2, 2), """")-$G52)/$G52, ($G52-IFERROR(INDEX(GOOGLE"&amp;"FINANCE($C52, ""price"", WORKDAY(INT($B52), 5)), 2, 2), """"))/$G52))"),"")</f>
        <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5689</v>
      </c>
    </row>
    <row r="53">
      <c r="A53" s="9">
        <f t="shared" si="1"/>
        <v>52</v>
      </c>
      <c r="B53" s="11">
        <v>46234.66768518519</v>
      </c>
      <c r="C53" s="10" t="s">
        <v>76</v>
      </c>
      <c r="D53" s="10" t="s">
        <v>36</v>
      </c>
      <c r="E53" s="10" t="s">
        <v>37</v>
      </c>
      <c r="F53" s="13">
        <v>2.0</v>
      </c>
      <c r="G53" s="14">
        <v>286.96</v>
      </c>
      <c r="H53" s="10" t="s">
        <v>5691</v>
      </c>
      <c r="I53" s="10">
        <v>93.7</v>
      </c>
      <c r="O53" s="15">
        <f>IFERROR(__xludf.DUMMYFUNCTION("IF(ISBLANK($C53), """", GOOGLEFINANCE($C53, ""price""))"),294.7)</f>
        <v>294.7</v>
      </c>
      <c r="P53" s="16">
        <f t="shared" si="2"/>
        <v>0.02697240033</v>
      </c>
      <c r="Q53" s="16">
        <f>IFERROR(__xludf.DUMMYFUNCTION("IF(OR(ISBLANK($G53), IFERROR(INDEX(GOOGLEFINANCE($C53, ""price"", WORKDAY(INT($B53), 1)), 2, 2), """")=""""), """", IF($D53=""LONG"", (IFERROR(INDEX(GOOGLEFINANCE($C53, ""price"", WORKDAY(INT($B53), 1)), 2, 2), """")-$G53)/$G53, ($G53-IFERROR(INDEX(GOOGLE"&amp;"FINANCE($C53, ""price"", WORKDAY(INT($B53), 1)), 2, 2), """"))/$G53))"),0.005331753554502473)</f>
        <v>0.005331753555</v>
      </c>
      <c r="R53" s="16" t="str">
        <f>IFERROR(__xludf.DUMMYFUNCTION("IF(OR(ISBLANK($G53), IFERROR(INDEX(GOOGLEFINANCE($C53, ""price"", WORKDAY(INT($B53), 5)), 2, 2), """")=""""), """", IF($D53=""LONG"", (IFERROR(INDEX(GOOGLEFINANCE($C53, ""price"", WORKDAY(INT($B53), 5)), 2, 2), """")-$G53)/$G53, ($G53-IFERROR(INDEX(GOOGLE"&amp;"FINANCE($C53, ""price"", WORKDAY(INT($B53), 5)), 2, 2), """"))/$G53))"),"")</f>
        <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5692</v>
      </c>
    </row>
    <row r="54">
      <c r="A54" s="9">
        <f t="shared" si="1"/>
        <v>53</v>
      </c>
      <c r="B54" s="11">
        <v>46234.6675</v>
      </c>
      <c r="C54" s="10" t="s">
        <v>398</v>
      </c>
      <c r="D54" s="10" t="s">
        <v>36</v>
      </c>
      <c r="E54" s="10" t="s">
        <v>37</v>
      </c>
      <c r="F54" s="13">
        <v>2.0</v>
      </c>
      <c r="G54" s="14">
        <v>72.1</v>
      </c>
      <c r="H54" s="10" t="s">
        <v>5693</v>
      </c>
      <c r="I54" s="10">
        <v>90.5</v>
      </c>
      <c r="O54" s="15">
        <f>IFERROR(__xludf.DUMMYFUNCTION("IF(ISBLANK($C54), """", GOOGLEFINANCE($C54, ""price""))"),71.9)</f>
        <v>71.9</v>
      </c>
      <c r="P54" s="16">
        <f t="shared" si="2"/>
        <v>-0.002773925104</v>
      </c>
      <c r="Q54" s="16">
        <f>IFERROR(__xludf.DUMMYFUNCTION("IF(OR(ISBLANK($G54), IFERROR(INDEX(GOOGLEFINANCE($C54, ""price"", WORKDAY(INT($B54), 1)), 2, 2), """")=""""), """", IF($D54=""LONG"", (IFERROR(INDEX(GOOGLEFINANCE($C54, ""price"", WORKDAY(INT($B54), 1)), 2, 2), """")-$G54)/$G54, ($G54-IFERROR(INDEX(GOOGLE"&amp;"FINANCE($C54, ""price"", WORKDAY(INT($B54), 1)), 2, 2), """"))/$G54))"),5.54785020804525E-4)</f>
        <v>0.0005547850208</v>
      </c>
      <c r="R54" s="16" t="str">
        <f>IFERROR(__xludf.DUMMYFUNCTION("IF(OR(ISBLANK($G54), IFERROR(INDEX(GOOGLEFINANCE($C54, ""price"", WORKDAY(INT($B54), 5)), 2, 2), """")=""""), """", IF($D54=""LONG"", (IFERROR(INDEX(GOOGLEFINANCE($C54, ""price"", WORKDAY(INT($B54), 5)), 2, 2), """")-$G54)/$G54, ($G54-IFERROR(INDEX(GOOGLE"&amp;"FINANCE($C54, ""price"", WORKDAY(INT($B54), 5)), 2, 2), """"))/$G54))"),"")</f>
        <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5696</v>
      </c>
    </row>
    <row r="55">
      <c r="A55" s="9">
        <f t="shared" si="1"/>
        <v>54</v>
      </c>
      <c r="B55" s="11">
        <v>46234.667650462965</v>
      </c>
      <c r="C55" s="10" t="s">
        <v>3721</v>
      </c>
      <c r="D55" s="10" t="s">
        <v>36</v>
      </c>
      <c r="E55" s="10" t="s">
        <v>37</v>
      </c>
      <c r="F55" s="13">
        <v>2.0</v>
      </c>
      <c r="G55" s="14">
        <v>105.24</v>
      </c>
      <c r="H55" s="10" t="s">
        <v>5697</v>
      </c>
      <c r="I55" s="10">
        <v>96.4</v>
      </c>
      <c r="O55" s="15">
        <f>IFERROR(__xludf.DUMMYFUNCTION("IF(ISBLANK($C55), """", GOOGLEFINANCE($C55, ""price""))"),107.66)</f>
        <v>107.66</v>
      </c>
      <c r="P55" s="16">
        <f t="shared" si="2"/>
        <v>0.02299505891</v>
      </c>
      <c r="Q55" s="16">
        <f>IFERROR(__xludf.DUMMYFUNCTION("IF(OR(ISBLANK($G55), IFERROR(INDEX(GOOGLEFINANCE($C55, ""price"", WORKDAY(INT($B55), 1)), 2, 2), """")=""""), """", IF($D55=""LONG"", (IFERROR(INDEX(GOOGLEFINANCE($C55, ""price"", WORKDAY(INT($B55), 1)), 2, 2), """")-$G55)/$G55, ($G55-IFERROR(INDEX(GOOGLE"&amp;"FINANCE($C55, ""price"", WORKDAY(INT($B55), 1)), 2, 2), """"))/$G55))"),0.005986316989737834)</f>
        <v>0.00598631699</v>
      </c>
      <c r="R55" s="16" t="str">
        <f>IFERROR(__xludf.DUMMYFUNCTION("IF(OR(ISBLANK($G55), IFERROR(INDEX(GOOGLEFINANCE($C55, ""price"", WORKDAY(INT($B55), 5)), 2, 2), """")=""""), """", IF($D55=""LONG"", (IFERROR(INDEX(GOOGLEFINANCE($C55, ""price"", WORKDAY(INT($B55), 5)), 2, 2), """")-$G55)/$G55, ($G55-IFERROR(INDEX(GOOGLE"&amp;"FINANCE($C55, ""price"", WORKDAY(INT($B55), 5)), 2, 2), """"))/$G55))"),"")</f>
        <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5699</v>
      </c>
    </row>
    <row r="56">
      <c r="A56" s="9">
        <f t="shared" si="1"/>
        <v>55</v>
      </c>
      <c r="B56" s="11">
        <v>46234.66767361111</v>
      </c>
      <c r="C56" s="10" t="s">
        <v>141</v>
      </c>
      <c r="D56" s="10" t="s">
        <v>36</v>
      </c>
      <c r="E56" s="10" t="s">
        <v>37</v>
      </c>
      <c r="F56" s="13">
        <v>2.0</v>
      </c>
      <c r="G56" s="14">
        <v>130.2</v>
      </c>
      <c r="H56" s="10" t="s">
        <v>5701</v>
      </c>
      <c r="I56" s="10">
        <v>88.5</v>
      </c>
      <c r="O56" s="15">
        <f>IFERROR(__xludf.DUMMYFUNCTION("IF(ISBLANK($C56), """", GOOGLEFINANCE($C56, ""price""))"),128.37)</f>
        <v>128.37</v>
      </c>
      <c r="P56" s="16">
        <f t="shared" si="2"/>
        <v>-0.01405529954</v>
      </c>
      <c r="Q56" s="16">
        <f>IFERROR(__xludf.DUMMYFUNCTION("IF(OR(ISBLANK($G56), IFERROR(INDEX(GOOGLEFINANCE($C56, ""price"", WORKDAY(INT($B56), 1)), 2, 2), """")=""""), """", IF($D56=""LONG"", (IFERROR(INDEX(GOOGLEFINANCE($C56, ""price"", WORKDAY(INT($B56), 1)), 2, 2), """")-$G56)/$G56, ($G56-IFERROR(INDEX(GOOGLE"&amp;"FINANCE($C56, ""price"", WORKDAY(INT($B56), 1)), 2, 2), """"))/$G56))"),-0.01866359447004603)</f>
        <v>-0.01866359447</v>
      </c>
      <c r="R56" s="16" t="str">
        <f>IFERROR(__xludf.DUMMYFUNCTION("IF(OR(ISBLANK($G56), IFERROR(INDEX(GOOGLEFINANCE($C56, ""price"", WORKDAY(INT($B56), 5)), 2, 2), """")=""""), """", IF($D56=""LONG"", (IFERROR(INDEX(GOOGLEFINANCE($C56, ""price"", WORKDAY(INT($B56), 5)), 2, 2), """")-$G56)/$G56, ($G56-IFERROR(INDEX(GOOGLE"&amp;"FINANCE($C56, ""price"", WORKDAY(INT($B56), 5)), 2, 2), """"))/$G56))"),"")</f>
        <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5703</v>
      </c>
    </row>
    <row r="57">
      <c r="A57" s="9">
        <f t="shared" si="1"/>
        <v>56</v>
      </c>
      <c r="B57" s="11">
        <v>46234.66761574074</v>
      </c>
      <c r="C57" s="10" t="s">
        <v>2793</v>
      </c>
      <c r="D57" s="10" t="s">
        <v>36</v>
      </c>
      <c r="E57" s="10" t="s">
        <v>37</v>
      </c>
      <c r="F57" s="13">
        <v>2.0</v>
      </c>
      <c r="G57" s="14">
        <v>48.31</v>
      </c>
      <c r="H57" s="10" t="s">
        <v>5705</v>
      </c>
      <c r="I57" s="10">
        <v>88.4</v>
      </c>
      <c r="O57" s="15">
        <f>IFERROR(__xludf.DUMMYFUNCTION("IF(ISBLANK($C57), """", GOOGLEFINANCE($C57, ""price""))"),47.37)</f>
        <v>47.37</v>
      </c>
      <c r="P57" s="16">
        <f t="shared" si="2"/>
        <v>-0.01945766922</v>
      </c>
      <c r="Q57" s="16">
        <f>IFERROR(__xludf.DUMMYFUNCTION("IF(OR(ISBLANK($G57), IFERROR(INDEX(GOOGLEFINANCE($C57, ""price"", WORKDAY(INT($B57), 1)), 2, 2), """")=""""), """", IF($D57=""LONG"", (IFERROR(INDEX(GOOGLEFINANCE($C57, ""price"", WORKDAY(INT($B57), 1)), 2, 2), """")-$G57)/$G57, ($G57-IFERROR(INDEX(GOOGLE"&amp;"FINANCE($C57, ""price"", WORKDAY(INT($B57), 1)), 2, 2), """"))/$G57))"),0.002483957772717811)</f>
        <v>0.002483957773</v>
      </c>
      <c r="R57" s="16" t="str">
        <f>IFERROR(__xludf.DUMMYFUNCTION("IF(OR(ISBLANK($G57), IFERROR(INDEX(GOOGLEFINANCE($C57, ""price"", WORKDAY(INT($B57), 5)), 2, 2), """")=""""), """", IF($D57=""LONG"", (IFERROR(INDEX(GOOGLEFINANCE($C57, ""price"", WORKDAY(INT($B57), 5)), 2, 2), """")-$G57)/$G57, ($G57-IFERROR(INDEX(GOOGLE"&amp;"FINANCE($C57, ""price"", WORKDAY(INT($B57), 5)), 2, 2), """"))/$G57))"),"")</f>
        <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5707</v>
      </c>
    </row>
    <row r="58">
      <c r="A58" s="9">
        <f t="shared" si="1"/>
        <v>57</v>
      </c>
      <c r="B58" s="11">
        <v>46234.66761574074</v>
      </c>
      <c r="C58" s="10" t="s">
        <v>2476</v>
      </c>
      <c r="D58" s="10" t="s">
        <v>36</v>
      </c>
      <c r="E58" s="10" t="s">
        <v>37</v>
      </c>
      <c r="F58" s="13">
        <v>2.0</v>
      </c>
      <c r="G58" s="14">
        <v>125.19</v>
      </c>
      <c r="H58" s="10" t="s">
        <v>5709</v>
      </c>
      <c r="I58" s="10">
        <v>95.3</v>
      </c>
      <c r="O58" s="15">
        <f>IFERROR(__xludf.DUMMYFUNCTION("IF(ISBLANK($C58), """", GOOGLEFINANCE($C58, ""price""))"),116.73)</f>
        <v>116.73</v>
      </c>
      <c r="P58" s="16">
        <f t="shared" si="2"/>
        <v>-0.06757728253</v>
      </c>
      <c r="Q58" s="16">
        <f>IFERROR(__xludf.DUMMYFUNCTION("IF(OR(ISBLANK($G58), IFERROR(INDEX(GOOGLEFINANCE($C58, ""price"", WORKDAY(INT($B58), 1)), 2, 2), """")=""""), """", IF($D58=""LONG"", (IFERROR(INDEX(GOOGLEFINANCE($C58, ""price"", WORKDAY(INT($B58), 1)), 2, 2), """")-$G58)/$G58, ($G58-IFERROR(INDEX(GOOGLE"&amp;"FINANCE($C58, ""price"", WORKDAY(INT($B58), 1)), 2, 2), """"))/$G58))"),-0.05503634475597093)</f>
        <v>-0.05503634476</v>
      </c>
      <c r="R58" s="16" t="str">
        <f>IFERROR(__xludf.DUMMYFUNCTION("IF(OR(ISBLANK($G58), IFERROR(INDEX(GOOGLEFINANCE($C58, ""price"", WORKDAY(INT($B58), 5)), 2, 2), """")=""""), """", IF($D58=""LONG"", (IFERROR(INDEX(GOOGLEFINANCE($C58, ""price"", WORKDAY(INT($B58), 5)), 2, 2), """")-$G58)/$G58, ($G58-IFERROR(INDEX(GOOGLE"&amp;"FINANCE($C58, ""price"", WORKDAY(INT($B58), 5)), 2, 2), """"))/$G58))"),"")</f>
        <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5710</v>
      </c>
    </row>
    <row r="59">
      <c r="A59" s="9">
        <f t="shared" si="1"/>
        <v>58</v>
      </c>
      <c r="B59" s="11">
        <v>46234.66762731481</v>
      </c>
      <c r="C59" s="10" t="s">
        <v>5711</v>
      </c>
      <c r="D59" s="10" t="s">
        <v>36</v>
      </c>
      <c r="E59" s="10" t="s">
        <v>4224</v>
      </c>
      <c r="F59" s="13">
        <v>4.0</v>
      </c>
      <c r="G59" s="14">
        <v>83.01</v>
      </c>
      <c r="H59" s="10" t="s">
        <v>5713</v>
      </c>
      <c r="I59" s="10">
        <v>34.8</v>
      </c>
      <c r="O59" s="15">
        <f>IFERROR(__xludf.DUMMYFUNCTION("IF(ISBLANK($C59), """", GOOGLEFINANCE($C59, ""price""))"),83.02)</f>
        <v>83.02</v>
      </c>
      <c r="P59" s="16">
        <f t="shared" si="2"/>
        <v>0.0001204674136</v>
      </c>
      <c r="Q59" s="16">
        <f>IFERROR(__xludf.DUMMYFUNCTION("IF(OR(ISBLANK($G59), IFERROR(INDEX(GOOGLEFINANCE($C59, ""price"", WORKDAY(INT($B59), 1)), 2, 2), """")=""""), """", IF($D59=""LONG"", (IFERROR(INDEX(GOOGLEFINANCE($C59, ""price"", WORKDAY(INT($B59), 1)), 2, 2), """")-$G59)/$G59, ($G59-IFERROR(INDEX(GOOGLE"&amp;"FINANCE($C59, ""price"", WORKDAY(INT($B59), 1)), 2, 2), """"))/$G59))"),0.002650283098421863)</f>
        <v>0.002650283098</v>
      </c>
      <c r="R59" s="16" t="str">
        <f>IFERROR(__xludf.DUMMYFUNCTION("IF(OR(ISBLANK($G59), IFERROR(INDEX(GOOGLEFINANCE($C59, ""price"", WORKDAY(INT($B59), 5)), 2, 2), """")=""""), """", IF($D59=""LONG"", (IFERROR(INDEX(GOOGLEFINANCE($C59, ""price"", WORKDAY(INT($B59), 5)), 2, 2), """")-$G59)/$G59, ($G59-IFERROR(INDEX(GOOGLE"&amp;"FINANCE($C59, ""price"", WORKDAY(INT($B59), 5)), 2, 2), """"))/$G59))"),"")</f>
        <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5715</v>
      </c>
    </row>
    <row r="60">
      <c r="A60" s="9">
        <f t="shared" si="1"/>
        <v>59</v>
      </c>
      <c r="B60" s="11">
        <v>46234.667708333334</v>
      </c>
      <c r="C60" s="10" t="s">
        <v>313</v>
      </c>
      <c r="D60" s="10" t="s">
        <v>36</v>
      </c>
      <c r="E60" s="10" t="s">
        <v>4224</v>
      </c>
      <c r="F60" s="13">
        <v>4.0</v>
      </c>
      <c r="G60" s="14">
        <v>109.4</v>
      </c>
      <c r="H60" s="10" t="s">
        <v>5717</v>
      </c>
      <c r="I60" s="10">
        <v>44.4</v>
      </c>
      <c r="O60" s="15">
        <f>IFERROR(__xludf.DUMMYFUNCTION("IF(ISBLANK($C60), """", GOOGLEFINANCE($C60, ""price""))"),107.97)</f>
        <v>107.97</v>
      </c>
      <c r="P60" s="16">
        <f t="shared" si="2"/>
        <v>-0.01307129799</v>
      </c>
      <c r="Q60" s="16">
        <f>IFERROR(__xludf.DUMMYFUNCTION("IF(OR(ISBLANK($G60), IFERROR(INDEX(GOOGLEFINANCE($C60, ""price"", WORKDAY(INT($B60), 1)), 2, 2), """")=""""), """", IF($D60=""LONG"", (IFERROR(INDEX(GOOGLEFINANCE($C60, ""price"", WORKDAY(INT($B60), 1)), 2, 2), """")-$G60)/$G60, ($G60-IFERROR(INDEX(GOOGLE"&amp;"FINANCE($C60, ""price"", WORKDAY(INT($B60), 1)), 2, 2), """"))/$G60))"),-0.0010968921389397125)</f>
        <v>-0.001096892139</v>
      </c>
      <c r="R60" s="16" t="str">
        <f>IFERROR(__xludf.DUMMYFUNCTION("IF(OR(ISBLANK($G60), IFERROR(INDEX(GOOGLEFINANCE($C60, ""price"", WORKDAY(INT($B60), 5)), 2, 2), """")=""""), """", IF($D60=""LONG"", (IFERROR(INDEX(GOOGLEFINANCE($C60, ""price"", WORKDAY(INT($B60), 5)), 2, 2), """")-$G60)/$G60, ($G60-IFERROR(INDEX(GOOGLE"&amp;"FINANCE($C60, ""price"", WORKDAY(INT($B60), 5)), 2, 2), """"))/$G60))"),"")</f>
        <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5719</v>
      </c>
    </row>
    <row r="61">
      <c r="A61" s="9">
        <f t="shared" si="1"/>
        <v>60</v>
      </c>
      <c r="B61" s="11">
        <v>46234.667719907404</v>
      </c>
      <c r="C61" s="10" t="s">
        <v>5720</v>
      </c>
      <c r="D61" s="10" t="s">
        <v>36</v>
      </c>
      <c r="E61" s="10" t="s">
        <v>37</v>
      </c>
      <c r="F61" s="13">
        <v>2.0</v>
      </c>
      <c r="G61" s="14">
        <v>144.54</v>
      </c>
      <c r="H61" s="10" t="s">
        <v>5721</v>
      </c>
      <c r="I61" s="10">
        <v>90.5</v>
      </c>
      <c r="O61" s="15">
        <f>IFERROR(__xludf.DUMMYFUNCTION("IF(ISBLANK($C61), """", GOOGLEFINANCE($C61, ""price""))"),147.08)</f>
        <v>147.08</v>
      </c>
      <c r="P61" s="16">
        <f t="shared" si="2"/>
        <v>0.01757299018</v>
      </c>
      <c r="Q61" s="16">
        <f>IFERROR(__xludf.DUMMYFUNCTION("IF(OR(ISBLANK($G61), IFERROR(INDEX(GOOGLEFINANCE($C61, ""price"", WORKDAY(INT($B61), 1)), 2, 2), """")=""""), """", IF($D61=""LONG"", (IFERROR(INDEX(GOOGLEFINANCE($C61, ""price"", WORKDAY(INT($B61), 1)), 2, 2), """")-$G61)/$G61, ($G61-IFERROR(INDEX(GOOGLE"&amp;"FINANCE($C61, ""price"", WORKDAY(INT($B61), 1)), 2, 2), """"))/$G61))"),0.03327798533277987)</f>
        <v>0.03327798533</v>
      </c>
      <c r="R61" s="16" t="str">
        <f>IFERROR(__xludf.DUMMYFUNCTION("IF(OR(ISBLANK($G61), IFERROR(INDEX(GOOGLEFINANCE($C61, ""price"", WORKDAY(INT($B61), 5)), 2, 2), """")=""""), """", IF($D61=""LONG"", (IFERROR(INDEX(GOOGLEFINANCE($C61, ""price"", WORKDAY(INT($B61), 5)), 2, 2), """")-$G61)/$G61, ($G61-IFERROR(INDEX(GOOGLE"&amp;"FINANCE($C61, ""price"", WORKDAY(INT($B61), 5)), 2, 2), """"))/$G61))"),"")</f>
        <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5724</v>
      </c>
    </row>
    <row r="62">
      <c r="A62" s="9">
        <f t="shared" si="1"/>
        <v>61</v>
      </c>
      <c r="B62" s="11">
        <v>46234.667662037034</v>
      </c>
      <c r="C62" s="10" t="s">
        <v>280</v>
      </c>
      <c r="D62" s="10" t="s">
        <v>36</v>
      </c>
      <c r="E62" s="10" t="s">
        <v>4224</v>
      </c>
      <c r="F62" s="13">
        <v>4.0</v>
      </c>
      <c r="G62" s="14">
        <v>70.8</v>
      </c>
      <c r="H62" s="10" t="s">
        <v>5725</v>
      </c>
      <c r="I62" s="10">
        <v>46.4</v>
      </c>
      <c r="O62" s="15">
        <f>IFERROR(__xludf.DUMMYFUNCTION("IF(ISBLANK($C62), """", GOOGLEFINANCE($C62, ""price""))"),69.52)</f>
        <v>69.52</v>
      </c>
      <c r="P62" s="16">
        <f t="shared" si="2"/>
        <v>-0.01807909605</v>
      </c>
      <c r="Q62" s="16">
        <f>IFERROR(__xludf.DUMMYFUNCTION("IF(OR(ISBLANK($G62), IFERROR(INDEX(GOOGLEFINANCE($C62, ""price"", WORKDAY(INT($B62), 1)), 2, 2), """")=""""), """", IF($D62=""LONG"", (IFERROR(INDEX(GOOGLEFINANCE($C62, ""price"", WORKDAY(INT($B62), 1)), 2, 2), """")-$G62)/$G62, ($G62-IFERROR(INDEX(GOOGLE"&amp;"FINANCE($C62, ""price"", WORKDAY(INT($B62), 1)), 2, 2), """"))/$G62))"),0.006638418079096029)</f>
        <v>0.006638418079</v>
      </c>
      <c r="R62" s="16" t="str">
        <f>IFERROR(__xludf.DUMMYFUNCTION("IF(OR(ISBLANK($G62), IFERROR(INDEX(GOOGLEFINANCE($C62, ""price"", WORKDAY(INT($B62), 5)), 2, 2), """")=""""), """", IF($D62=""LONG"", (IFERROR(INDEX(GOOGLEFINANCE($C62, ""price"", WORKDAY(INT($B62), 5)), 2, 2), """")-$G62)/$G62, ($G62-IFERROR(INDEX(GOOGLE"&amp;"FINANCE($C62, ""price"", WORKDAY(INT($B62), 5)), 2, 2), """"))/$G62))"),"")</f>
        <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5728</v>
      </c>
    </row>
    <row r="63">
      <c r="A63" s="9">
        <f t="shared" si="1"/>
        <v>62</v>
      </c>
      <c r="B63" s="11">
        <v>46234.66763888889</v>
      </c>
      <c r="C63" s="10" t="s">
        <v>248</v>
      </c>
      <c r="D63" s="10" t="s">
        <v>36</v>
      </c>
      <c r="E63" s="10" t="s">
        <v>37</v>
      </c>
      <c r="F63" s="13">
        <v>2.0</v>
      </c>
      <c r="G63" s="14">
        <v>71.63</v>
      </c>
      <c r="H63" s="10" t="s">
        <v>2256</v>
      </c>
      <c r="I63" s="10">
        <v>88.8</v>
      </c>
      <c r="O63" s="15">
        <f>IFERROR(__xludf.DUMMYFUNCTION("IF(ISBLANK($C63), """", GOOGLEFINANCE($C63, ""price""))"),72.43)</f>
        <v>72.43</v>
      </c>
      <c r="P63" s="16">
        <f t="shared" si="2"/>
        <v>0.01116850482</v>
      </c>
      <c r="Q63" s="16">
        <f>IFERROR(__xludf.DUMMYFUNCTION("IF(OR(ISBLANK($G63), IFERROR(INDEX(GOOGLEFINANCE($C63, ""price"", WORKDAY(INT($B63), 1)), 2, 2), """")=""""), """", IF($D63=""LONG"", (IFERROR(INDEX(GOOGLEFINANCE($C63, ""price"", WORKDAY(INT($B63), 1)), 2, 2), """")-$G63)/$G63, ($G63-IFERROR(INDEX(GOOGLE"&amp;"FINANCE($C63, ""price"", WORKDAY(INT($B63), 1)), 2, 2), """"))/$G63))"),0.01493787519195878)</f>
        <v>0.01493787519</v>
      </c>
      <c r="R63" s="16" t="str">
        <f>IFERROR(__xludf.DUMMYFUNCTION("IF(OR(ISBLANK($G63), IFERROR(INDEX(GOOGLEFINANCE($C63, ""price"", WORKDAY(INT($B63), 5)), 2, 2), """")=""""), """", IF($D63=""LONG"", (IFERROR(INDEX(GOOGLEFINANCE($C63, ""price"", WORKDAY(INT($B63), 5)), 2, 2), """")-$G63)/$G63, ($G63-IFERROR(INDEX(GOOGLE"&amp;"FINANCE($C63, ""price"", WORKDAY(INT($B63), 5)), 2, 2), """"))/$G63))"),"")</f>
        <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5731</v>
      </c>
    </row>
    <row r="64">
      <c r="A64" s="9">
        <f t="shared" si="1"/>
        <v>63</v>
      </c>
      <c r="B64" s="11">
        <v>46234.66780092593</v>
      </c>
      <c r="C64" s="10" t="s">
        <v>323</v>
      </c>
      <c r="D64" s="10" t="s">
        <v>36</v>
      </c>
      <c r="E64" s="10" t="s">
        <v>1892</v>
      </c>
      <c r="F64" s="13">
        <v>2.0</v>
      </c>
      <c r="G64" s="14">
        <v>209.9</v>
      </c>
      <c r="H64" s="10" t="s">
        <v>5732</v>
      </c>
      <c r="I64" s="10">
        <v>75.6</v>
      </c>
      <c r="O64" s="15">
        <f>IFERROR(__xludf.DUMMYFUNCTION("IF(ISBLANK($C64), """", GOOGLEFINANCE($C64, ""price""))"),209.7)</f>
        <v>209.7</v>
      </c>
      <c r="P64" s="16">
        <f t="shared" si="2"/>
        <v>-0.0009528346832</v>
      </c>
      <c r="Q64" s="16">
        <f>IFERROR(__xludf.DUMMYFUNCTION("IF(OR(ISBLANK($G64), IFERROR(INDEX(GOOGLEFINANCE($C64, ""price"", WORKDAY(INT($B64), 1)), 2, 2), """")=""""), """", IF($D64=""LONG"", (IFERROR(INDEX(GOOGLEFINANCE($C64, ""price"", WORKDAY(INT($B64), 1)), 2, 2), """")-$G64)/$G64, ($G64-IFERROR(INDEX(GOOGLE"&amp;"FINANCE($C64, ""price"", WORKDAY(INT($B64), 1)), 2, 2), """"))/$G64))"),4.764173415908006E-5)</f>
        <v>0.00004764173416</v>
      </c>
      <c r="R64" s="16" t="str">
        <f>IFERROR(__xludf.DUMMYFUNCTION("IF(OR(ISBLANK($G64), IFERROR(INDEX(GOOGLEFINANCE($C64, ""price"", WORKDAY(INT($B64), 5)), 2, 2), """")=""""), """", IF($D64=""LONG"", (IFERROR(INDEX(GOOGLEFINANCE($C64, ""price"", WORKDAY(INT($B64), 5)), 2, 2), """")-$G64)/$G64, ($G64-IFERROR(INDEX(GOOGLE"&amp;"FINANCE($C64, ""price"", WORKDAY(INT($B64), 5)), 2, 2), """"))/$G64))"),"")</f>
        <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5734</v>
      </c>
    </row>
    <row r="65">
      <c r="A65" s="9">
        <f t="shared" si="1"/>
        <v>64</v>
      </c>
      <c r="B65" s="11">
        <v>46234.667719907404</v>
      </c>
      <c r="C65" s="10" t="s">
        <v>600</v>
      </c>
      <c r="D65" s="10" t="s">
        <v>36</v>
      </c>
      <c r="E65" s="10" t="s">
        <v>37</v>
      </c>
      <c r="F65" s="13">
        <v>2.0</v>
      </c>
      <c r="G65" s="14">
        <v>232.45</v>
      </c>
      <c r="H65" s="10" t="s">
        <v>5736</v>
      </c>
      <c r="I65" s="10">
        <v>83.5</v>
      </c>
      <c r="O65" s="15">
        <f>IFERROR(__xludf.DUMMYFUNCTION("IF(ISBLANK($C65), """", GOOGLEFINANCE($C65, ""price""))"),265.51)</f>
        <v>265.51</v>
      </c>
      <c r="P65" s="16">
        <f t="shared" si="2"/>
        <v>0.1422241342</v>
      </c>
      <c r="Q65" s="16">
        <f>IFERROR(__xludf.DUMMYFUNCTION("IF(OR(ISBLANK($G65), IFERROR(INDEX(GOOGLEFINANCE($C65, ""price"", WORKDAY(INT($B65), 1)), 2, 2), """")=""""), """", IF($D65=""LONG"", (IFERROR(INDEX(GOOGLEFINANCE($C65, ""price"", WORKDAY(INT($B65), 1)), 2, 2), """")-$G65)/$G65, ($G65-IFERROR(INDEX(GOOGLE"&amp;"FINANCE($C65, ""price"", WORKDAY(INT($B65), 1)), 2, 2), """"))/$G65))"),-0.006797160679716)</f>
        <v>-0.00679716068</v>
      </c>
      <c r="R65" s="16" t="str">
        <f>IFERROR(__xludf.DUMMYFUNCTION("IF(OR(ISBLANK($G65), IFERROR(INDEX(GOOGLEFINANCE($C65, ""price"", WORKDAY(INT($B65), 5)), 2, 2), """")=""""), """", IF($D65=""LONG"", (IFERROR(INDEX(GOOGLEFINANCE($C65, ""price"", WORKDAY(INT($B65), 5)), 2, 2), """")-$G65)/$G65, ($G65-IFERROR(INDEX(GOOGLE"&amp;"FINANCE($C65, ""price"", WORKDAY(INT($B65), 5)), 2, 2), """"))/$G65))"),"")</f>
        <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5737</v>
      </c>
    </row>
    <row r="66">
      <c r="A66" s="9">
        <f t="shared" si="1"/>
        <v>65</v>
      </c>
      <c r="B66" s="11">
        <v>46234.66768518519</v>
      </c>
      <c r="C66" s="10" t="s">
        <v>331</v>
      </c>
      <c r="D66" s="10" t="s">
        <v>36</v>
      </c>
      <c r="E66" s="10" t="s">
        <v>37</v>
      </c>
      <c r="F66" s="13">
        <v>2.0</v>
      </c>
      <c r="G66" s="14">
        <v>249.87</v>
      </c>
      <c r="H66" s="10" t="s">
        <v>4700</v>
      </c>
      <c r="I66" s="10">
        <v>91.8</v>
      </c>
      <c r="O66" s="15">
        <f>IFERROR(__xludf.DUMMYFUNCTION("IF(ISBLANK($C66), """", GOOGLEFINANCE($C66, ""price""))"),252.76)</f>
        <v>252.76</v>
      </c>
      <c r="P66" s="16">
        <f t="shared" si="2"/>
        <v>0.01156601433</v>
      </c>
      <c r="Q66" s="16">
        <f>IFERROR(__xludf.DUMMYFUNCTION("IF(OR(ISBLANK($G66), IFERROR(INDEX(GOOGLEFINANCE($C66, ""price"", WORKDAY(INT($B66), 1)), 2, 2), """")=""""), """", IF($D66=""LONG"", (IFERROR(INDEX(GOOGLEFINANCE($C66, ""price"", WORKDAY(INT($B66), 1)), 2, 2), """")-$G66)/$G66, ($G66-IFERROR(INDEX(GOOGLE"&amp;"FINANCE($C66, ""price"", WORKDAY(INT($B66), 1)), 2, 2), """"))/$G66))"),0.007403850002001017)</f>
        <v>0.007403850002</v>
      </c>
      <c r="R66" s="16" t="str">
        <f>IFERROR(__xludf.DUMMYFUNCTION("IF(OR(ISBLANK($G66), IFERROR(INDEX(GOOGLEFINANCE($C66, ""price"", WORKDAY(INT($B66), 5)), 2, 2), """")=""""), """", IF($D66=""LONG"", (IFERROR(INDEX(GOOGLEFINANCE($C66, ""price"", WORKDAY(INT($B66), 5)), 2, 2), """")-$G66)/$G66, ($G66-IFERROR(INDEX(GOOGLE"&amp;"FINANCE($C66, ""price"", WORKDAY(INT($B66), 5)), 2, 2), """"))/$G66))"),"")</f>
        <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5740</v>
      </c>
    </row>
    <row r="67">
      <c r="A67" s="9">
        <f t="shared" si="1"/>
        <v>66</v>
      </c>
      <c r="B67" s="11">
        <v>46234.66774305556</v>
      </c>
      <c r="C67" s="10" t="s">
        <v>471</v>
      </c>
      <c r="D67" s="10" t="s">
        <v>36</v>
      </c>
      <c r="E67" s="10" t="s">
        <v>37</v>
      </c>
      <c r="F67" s="13">
        <v>2.0</v>
      </c>
      <c r="G67" s="14">
        <v>383.42</v>
      </c>
      <c r="H67" s="10" t="s">
        <v>5741</v>
      </c>
      <c r="I67" s="10">
        <v>94.9</v>
      </c>
      <c r="O67" s="15">
        <f>IFERROR(__xludf.DUMMYFUNCTION("IF(ISBLANK($C67), """", GOOGLEFINANCE($C67, ""price""))"),386.92)</f>
        <v>386.92</v>
      </c>
      <c r="P67" s="16">
        <f t="shared" si="2"/>
        <v>0.009128370977</v>
      </c>
      <c r="Q67" s="16">
        <f>IFERROR(__xludf.DUMMYFUNCTION("IF(OR(ISBLANK($G67), IFERROR(INDEX(GOOGLEFINANCE($C67, ""price"", WORKDAY(INT($B67), 1)), 2, 2), """")=""""), """", IF($D67=""LONG"", (IFERROR(INDEX(GOOGLEFINANCE($C67, ""price"", WORKDAY(INT($B67), 1)), 2, 2), """")-$G67)/$G67, ($G67-IFERROR(INDEX(GOOGLE"&amp;"FINANCE($C67, ""price"", WORKDAY(INT($B67), 1)), 2, 2), """"))/$G67))"),-0.002582024933493321)</f>
        <v>-0.002582024933</v>
      </c>
      <c r="R67" s="16" t="str">
        <f>IFERROR(__xludf.DUMMYFUNCTION("IF(OR(ISBLANK($G67), IFERROR(INDEX(GOOGLEFINANCE($C67, ""price"", WORKDAY(INT($B67), 5)), 2, 2), """")=""""), """", IF($D67=""LONG"", (IFERROR(INDEX(GOOGLEFINANCE($C67, ""price"", WORKDAY(INT($B67), 5)), 2, 2), """")-$G67)/$G67, ($G67-IFERROR(INDEX(GOOGLE"&amp;"FINANCE($C67, ""price"", WORKDAY(INT($B67), 5)), 2, 2), """"))/$G67))"),"")</f>
        <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5745</v>
      </c>
    </row>
    <row r="68">
      <c r="A68" s="9">
        <f t="shared" si="1"/>
        <v>67</v>
      </c>
      <c r="B68" s="11">
        <v>46234.66773148148</v>
      </c>
      <c r="C68" s="10" t="s">
        <v>2692</v>
      </c>
      <c r="D68" s="10" t="s">
        <v>36</v>
      </c>
      <c r="E68" s="10" t="s">
        <v>37</v>
      </c>
      <c r="F68" s="13">
        <v>2.0</v>
      </c>
      <c r="G68" s="14">
        <v>63.88</v>
      </c>
      <c r="H68" s="10" t="s">
        <v>5746</v>
      </c>
      <c r="I68" s="10">
        <v>94.1</v>
      </c>
      <c r="O68" s="15">
        <f>IFERROR(__xludf.DUMMYFUNCTION("IF(ISBLANK($C68), """", GOOGLEFINANCE($C68, ""price""))"),62.36)</f>
        <v>62.36</v>
      </c>
      <c r="P68" s="16">
        <f t="shared" si="2"/>
        <v>-0.0237946149</v>
      </c>
      <c r="Q68" s="16">
        <f>IFERROR(__xludf.DUMMYFUNCTION("IF(OR(ISBLANK($G68), IFERROR(INDEX(GOOGLEFINANCE($C68, ""price"", WORKDAY(INT($B68), 1)), 2, 2), """")=""""), """", IF($D68=""LONG"", (IFERROR(INDEX(GOOGLEFINANCE($C68, ""price"", WORKDAY(INT($B68), 1)), 2, 2), """")-$G68)/$G68, ($G68-IFERROR(INDEX(GOOGLE"&amp;"FINANCE($C68, ""price"", WORKDAY(INT($B68), 1)), 2, 2), """"))/$G68))"),-0.006261740763932462)</f>
        <v>-0.006261740764</v>
      </c>
      <c r="R68" s="16" t="str">
        <f>IFERROR(__xludf.DUMMYFUNCTION("IF(OR(ISBLANK($G68), IFERROR(INDEX(GOOGLEFINANCE($C68, ""price"", WORKDAY(INT($B68), 5)), 2, 2), """")=""""), """", IF($D68=""LONG"", (IFERROR(INDEX(GOOGLEFINANCE($C68, ""price"", WORKDAY(INT($B68), 5)), 2, 2), """")-$G68)/$G68, ($G68-IFERROR(INDEX(GOOGLE"&amp;"FINANCE($C68, ""price"", WORKDAY(INT($B68), 5)), 2, 2), """"))/$G68))"),"")</f>
        <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5748</v>
      </c>
    </row>
    <row r="69">
      <c r="A69" s="9">
        <f t="shared" si="1"/>
        <v>68</v>
      </c>
      <c r="B69" s="11">
        <v>46234.66780092593</v>
      </c>
      <c r="C69" s="10" t="s">
        <v>5749</v>
      </c>
      <c r="D69" s="10" t="s">
        <v>36</v>
      </c>
      <c r="E69" s="10" t="s">
        <v>4224</v>
      </c>
      <c r="F69" s="13">
        <v>4.0</v>
      </c>
      <c r="G69" s="14">
        <v>478.47</v>
      </c>
      <c r="H69" s="10" t="s">
        <v>5750</v>
      </c>
      <c r="I69" s="10">
        <v>74.1</v>
      </c>
      <c r="O69" s="15">
        <f>IFERROR(__xludf.DUMMYFUNCTION("IF(ISBLANK($C69), """", GOOGLEFINANCE($C69, ""price""))"),490.11)</f>
        <v>490.11</v>
      </c>
      <c r="P69" s="16">
        <f t="shared" si="2"/>
        <v>0.02432754405</v>
      </c>
      <c r="Q69" s="16">
        <f>IFERROR(__xludf.DUMMYFUNCTION("IF(OR(ISBLANK($G69), IFERROR(INDEX(GOOGLEFINANCE($C69, ""price"", WORKDAY(INT($B69), 1)), 2, 2), """")=""""), """", IF($D69=""LONG"", (IFERROR(INDEX(GOOGLEFINANCE($C69, ""price"", WORKDAY(INT($B69), 1)), 2, 2), """")-$G69)/$G69, ($G69-IFERROR(INDEX(GOOGLE"&amp;"FINANCE($C69, ""price"", WORKDAY(INT($B69), 1)), 2, 2), """"))/$G69))"),0.004159090434091901)</f>
        <v>0.004159090434</v>
      </c>
      <c r="R69" s="16" t="str">
        <f>IFERROR(__xludf.DUMMYFUNCTION("IF(OR(ISBLANK($G69), IFERROR(INDEX(GOOGLEFINANCE($C69, ""price"", WORKDAY(INT($B69), 5)), 2, 2), """")=""""), """", IF($D69=""LONG"", (IFERROR(INDEX(GOOGLEFINANCE($C69, ""price"", WORKDAY(INT($B69), 5)), 2, 2), """")-$G69)/$G69, ($G69-IFERROR(INDEX(GOOGLE"&amp;"FINANCE($C69, ""price"", WORKDAY(INT($B69), 5)), 2, 2), """"))/$G69))"),"")</f>
        <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5752</v>
      </c>
    </row>
    <row r="70">
      <c r="A70" s="9">
        <f t="shared" si="1"/>
        <v>69</v>
      </c>
      <c r="B70" s="11">
        <v>46234.66773148148</v>
      </c>
      <c r="C70" s="10" t="s">
        <v>1672</v>
      </c>
      <c r="D70" s="10" t="s">
        <v>36</v>
      </c>
      <c r="E70" s="10" t="s">
        <v>37</v>
      </c>
      <c r="F70" s="13">
        <v>2.0</v>
      </c>
      <c r="G70" s="14">
        <v>100.56</v>
      </c>
      <c r="H70" s="10" t="s">
        <v>5754</v>
      </c>
      <c r="I70" s="10">
        <v>93.4</v>
      </c>
      <c r="O70" s="15">
        <f>IFERROR(__xludf.DUMMYFUNCTION("IF(ISBLANK($C70), """", GOOGLEFINANCE($C70, ""price""))"),99.29)</f>
        <v>99.29</v>
      </c>
      <c r="P70" s="16">
        <f t="shared" si="2"/>
        <v>-0.01262927605</v>
      </c>
      <c r="Q70" s="16">
        <f>IFERROR(__xludf.DUMMYFUNCTION("IF(OR(ISBLANK($G70), IFERROR(INDEX(GOOGLEFINANCE($C70, ""price"", WORKDAY(INT($B70), 1)), 2, 2), """")=""""), """", IF($D70=""LONG"", (IFERROR(INDEX(GOOGLEFINANCE($C70, ""price"", WORKDAY(INT($B70), 1)), 2, 2), """")-$G70)/$G70, ($G70-IFERROR(INDEX(GOOGLE"&amp;"FINANCE($C70, ""price"", WORKDAY(INT($B70), 1)), 2, 2), """"))/$G70))"),0.005568814638027071)</f>
        <v>0.005568814638</v>
      </c>
      <c r="R70" s="16" t="str">
        <f>IFERROR(__xludf.DUMMYFUNCTION("IF(OR(ISBLANK($G70), IFERROR(INDEX(GOOGLEFINANCE($C70, ""price"", WORKDAY(INT($B70), 5)), 2, 2), """")=""""), """", IF($D70=""LONG"", (IFERROR(INDEX(GOOGLEFINANCE($C70, ""price"", WORKDAY(INT($B70), 5)), 2, 2), """")-$G70)/$G70, ($G70-IFERROR(INDEX(GOOGLE"&amp;"FINANCE($C70, ""price"", WORKDAY(INT($B70), 5)), 2, 2), """"))/$G70))"),"")</f>
        <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5758</v>
      </c>
    </row>
    <row r="71">
      <c r="A71" s="9">
        <f t="shared" si="1"/>
        <v>70</v>
      </c>
      <c r="B71" s="11">
        <v>46234.66774305556</v>
      </c>
      <c r="C71" s="10" t="s">
        <v>765</v>
      </c>
      <c r="D71" s="10" t="s">
        <v>36</v>
      </c>
      <c r="E71" s="10" t="s">
        <v>37</v>
      </c>
      <c r="F71" s="13">
        <v>2.0</v>
      </c>
      <c r="G71" s="14">
        <v>127.51</v>
      </c>
      <c r="H71" s="10" t="s">
        <v>5759</v>
      </c>
      <c r="I71" s="10">
        <v>88.7</v>
      </c>
      <c r="O71" s="15">
        <f>IFERROR(__xludf.DUMMYFUNCTION("IF(ISBLANK($C71), """", GOOGLEFINANCE($C71, ""price""))"),126.66)</f>
        <v>126.66</v>
      </c>
      <c r="P71" s="16">
        <f t="shared" si="2"/>
        <v>-0.006666143832</v>
      </c>
      <c r="Q71" s="16">
        <f>IFERROR(__xludf.DUMMYFUNCTION("IF(OR(ISBLANK($G71), IFERROR(INDEX(GOOGLEFINANCE($C71, ""price"", WORKDAY(INT($B71), 1)), 2, 2), """")=""""), """", IF($D71=""LONG"", (IFERROR(INDEX(GOOGLEFINANCE($C71, ""price"", WORKDAY(INT($B71), 1)), 2, 2), """")-$G71)/$G71, ($G71-IFERROR(INDEX(GOOGLE"&amp;"FINANCE($C71, ""price"", WORKDAY(INT($B71), 1)), 2, 2), """"))/$G71))"),-0.00627401772410016)</f>
        <v>-0.006274017724</v>
      </c>
      <c r="R71" s="16" t="str">
        <f>IFERROR(__xludf.DUMMYFUNCTION("IF(OR(ISBLANK($G71), IFERROR(INDEX(GOOGLEFINANCE($C71, ""price"", WORKDAY(INT($B71), 5)), 2, 2), """")=""""), """", IF($D71=""LONG"", (IFERROR(INDEX(GOOGLEFINANCE($C71, ""price"", WORKDAY(INT($B71), 5)), 2, 2), """")-$G71)/$G71, ($G71-IFERROR(INDEX(GOOGLE"&amp;"FINANCE($C71, ""price"", WORKDAY(INT($B71), 5)), 2, 2), """"))/$G71))"),"")</f>
        <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5762</v>
      </c>
    </row>
    <row r="72">
      <c r="A72" s="9">
        <f t="shared" si="1"/>
        <v>71</v>
      </c>
      <c r="B72" s="11">
        <v>46234.66778935185</v>
      </c>
      <c r="C72" s="10" t="s">
        <v>440</v>
      </c>
      <c r="D72" s="10" t="s">
        <v>36</v>
      </c>
      <c r="E72" s="10" t="s">
        <v>37</v>
      </c>
      <c r="F72" s="13">
        <v>2.0</v>
      </c>
      <c r="G72" s="14">
        <v>96.13</v>
      </c>
      <c r="H72" s="10" t="s">
        <v>5764</v>
      </c>
      <c r="I72" s="10">
        <v>83.1</v>
      </c>
      <c r="O72" s="15">
        <f>IFERROR(__xludf.DUMMYFUNCTION("IF(ISBLANK($C72), """", GOOGLEFINANCE($C72, ""price""))"),99.95)</f>
        <v>99.95</v>
      </c>
      <c r="P72" s="16">
        <f t="shared" si="2"/>
        <v>0.03973785499</v>
      </c>
      <c r="Q72" s="16">
        <f>IFERROR(__xludf.DUMMYFUNCTION("IF(OR(ISBLANK($G72), IFERROR(INDEX(GOOGLEFINANCE($C72, ""price"", WORKDAY(INT($B72), 1)), 2, 2), """")=""""), """", IF($D72=""LONG"", (IFERROR(INDEX(GOOGLEFINANCE($C72, ""price"", WORKDAY(INT($B72), 1)), 2, 2), """")-$G72)/$G72, ($G72-IFERROR(INDEX(GOOGLE"&amp;"FINANCE($C72, ""price"", WORKDAY(INT($B72), 1)), 2, 2), """"))/$G72))"),0.0018724643711641197)</f>
        <v>0.001872464371</v>
      </c>
      <c r="R72" s="16" t="str">
        <f>IFERROR(__xludf.DUMMYFUNCTION("IF(OR(ISBLANK($G72), IFERROR(INDEX(GOOGLEFINANCE($C72, ""price"", WORKDAY(INT($B72), 5)), 2, 2), """")=""""), """", IF($D72=""LONG"", (IFERROR(INDEX(GOOGLEFINANCE($C72, ""price"", WORKDAY(INT($B72), 5)), 2, 2), """")-$G72)/$G72, ($G72-IFERROR(INDEX(GOOGLE"&amp;"FINANCE($C72, ""price"", WORKDAY(INT($B72), 5)), 2, 2), """"))/$G72))"),"")</f>
        <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5767</v>
      </c>
    </row>
    <row r="73">
      <c r="A73" s="9">
        <f t="shared" si="1"/>
        <v>72</v>
      </c>
      <c r="B73" s="11">
        <v>46234.66778935185</v>
      </c>
      <c r="C73" s="10" t="s">
        <v>80</v>
      </c>
      <c r="D73" s="10" t="s">
        <v>36</v>
      </c>
      <c r="E73" s="10" t="s">
        <v>37</v>
      </c>
      <c r="F73" s="13">
        <v>2.0</v>
      </c>
      <c r="G73" s="14">
        <v>250.98</v>
      </c>
      <c r="H73" s="10" t="s">
        <v>5768</v>
      </c>
      <c r="I73" s="10">
        <v>89.5</v>
      </c>
      <c r="O73" s="15">
        <f>IFERROR(__xludf.DUMMYFUNCTION("IF(ISBLANK($C73), """", GOOGLEFINANCE($C73, ""price""))"),243.87)</f>
        <v>243.87</v>
      </c>
      <c r="P73" s="16">
        <f t="shared" si="2"/>
        <v>-0.02832895051</v>
      </c>
      <c r="Q73" s="16">
        <f>IFERROR(__xludf.DUMMYFUNCTION("IF(OR(ISBLANK($G73), IFERROR(INDEX(GOOGLEFINANCE($C73, ""price"", WORKDAY(INT($B73), 1)), 2, 2), """")=""""), """", IF($D73=""LONG"", (IFERROR(INDEX(GOOGLEFINANCE($C73, ""price"", WORKDAY(INT($B73), 1)), 2, 2), """")-$G73)/$G73, ($G73-IFERROR(INDEX(GOOGLE"&amp;"FINANCE($C73, ""price"", WORKDAY(INT($B73), 1)), 2, 2), """"))/$G73))"),-0.023428161606502493)</f>
        <v>-0.02342816161</v>
      </c>
      <c r="R73" s="16" t="str">
        <f>IFERROR(__xludf.DUMMYFUNCTION("IF(OR(ISBLANK($G73), IFERROR(INDEX(GOOGLEFINANCE($C73, ""price"", WORKDAY(INT($B73), 5)), 2, 2), """")=""""), """", IF($D73=""LONG"", (IFERROR(INDEX(GOOGLEFINANCE($C73, ""price"", WORKDAY(INT($B73), 5)), 2, 2), """")-$G73)/$G73, ($G73-IFERROR(INDEX(GOOGLE"&amp;"FINANCE($C73, ""price"", WORKDAY(INT($B73), 5)), 2, 2), """"))/$G73))"),"")</f>
        <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5770</v>
      </c>
    </row>
    <row r="74">
      <c r="A74" s="9">
        <f t="shared" si="1"/>
        <v>73</v>
      </c>
      <c r="B74" s="11">
        <v>46234.66775462963</v>
      </c>
      <c r="C74" s="10" t="s">
        <v>148</v>
      </c>
      <c r="D74" s="10" t="s">
        <v>36</v>
      </c>
      <c r="E74" s="10" t="s">
        <v>37</v>
      </c>
      <c r="F74" s="13">
        <v>2.0</v>
      </c>
      <c r="G74" s="14">
        <v>195.06</v>
      </c>
      <c r="H74" s="10" t="s">
        <v>5772</v>
      </c>
      <c r="I74" s="10">
        <v>83.1</v>
      </c>
      <c r="O74" s="15">
        <f>IFERROR(__xludf.DUMMYFUNCTION("IF(ISBLANK($C74), """", GOOGLEFINANCE($C74, ""price""))"),199.98)</f>
        <v>199.98</v>
      </c>
      <c r="P74" s="16">
        <f t="shared" si="2"/>
        <v>0.02522300831</v>
      </c>
      <c r="Q74" s="16">
        <f>IFERROR(__xludf.DUMMYFUNCTION("IF(OR(ISBLANK($G74), IFERROR(INDEX(GOOGLEFINANCE($C74, ""price"", WORKDAY(INT($B74), 1)), 2, 2), """")=""""), """", IF($D74=""LONG"", (IFERROR(INDEX(GOOGLEFINANCE($C74, ""price"", WORKDAY(INT($B74), 1)), 2, 2), """")-$G74)/$G74, ($G74-IFERROR(INDEX(GOOGLE"&amp;"FINANCE($C74, ""price"", WORKDAY(INT($B74), 1)), 2, 2), """"))/$G74))"),0.012508971598482506)</f>
        <v>0.0125089716</v>
      </c>
      <c r="R74" s="16" t="str">
        <f>IFERROR(__xludf.DUMMYFUNCTION("IF(OR(ISBLANK($G74), IFERROR(INDEX(GOOGLEFINANCE($C74, ""price"", WORKDAY(INT($B74), 5)), 2, 2), """")=""""), """", IF($D74=""LONG"", (IFERROR(INDEX(GOOGLEFINANCE($C74, ""price"", WORKDAY(INT($B74), 5)), 2, 2), """")-$G74)/$G74, ($G74-IFERROR(INDEX(GOOGLE"&amp;"FINANCE($C74, ""price"", WORKDAY(INT($B74), 5)), 2, 2), """"))/$G74))"),"")</f>
        <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5774</v>
      </c>
    </row>
    <row r="75">
      <c r="A75" s="9">
        <f t="shared" si="1"/>
        <v>74</v>
      </c>
      <c r="B75" s="11">
        <v>46234.66774305556</v>
      </c>
      <c r="C75" s="10" t="s">
        <v>1171</v>
      </c>
      <c r="D75" s="10" t="s">
        <v>36</v>
      </c>
      <c r="E75" s="10" t="s">
        <v>37</v>
      </c>
      <c r="F75" s="13">
        <v>2.0</v>
      </c>
      <c r="G75" s="14">
        <v>234.67</v>
      </c>
      <c r="H75" s="10" t="s">
        <v>751</v>
      </c>
      <c r="I75" s="10">
        <v>87.0</v>
      </c>
      <c r="O75" s="15">
        <f>IFERROR(__xludf.DUMMYFUNCTION("IF(ISBLANK($C75), """", GOOGLEFINANCE($C75, ""price""))"),236.0)</f>
        <v>236</v>
      </c>
      <c r="P75" s="16">
        <f t="shared" si="2"/>
        <v>0.005667533132</v>
      </c>
      <c r="Q75" s="16">
        <f>IFERROR(__xludf.DUMMYFUNCTION("IF(OR(ISBLANK($G75), IFERROR(INDEX(GOOGLEFINANCE($C75, ""price"", WORKDAY(INT($B75), 1)), 2, 2), """")=""""), """", IF($D75=""LONG"", (IFERROR(INDEX(GOOGLEFINANCE($C75, ""price"", WORKDAY(INT($B75), 1)), 2, 2), """")-$G75)/$G75, ($G75-IFERROR(INDEX(GOOGLE"&amp;"FINANCE($C75, ""price"", WORKDAY(INT($B75), 1)), 2, 2), """"))/$G75))"),-0.006690245877189215)</f>
        <v>-0.006690245877</v>
      </c>
      <c r="R75" s="16" t="str">
        <f>IFERROR(__xludf.DUMMYFUNCTION("IF(OR(ISBLANK($G75), IFERROR(INDEX(GOOGLEFINANCE($C75, ""price"", WORKDAY(INT($B75), 5)), 2, 2), """")=""""), """", IF($D75=""LONG"", (IFERROR(INDEX(GOOGLEFINANCE($C75, ""price"", WORKDAY(INT($B75), 5)), 2, 2), """")-$G75)/$G75, ($G75-IFERROR(INDEX(GOOGLE"&amp;"FINANCE($C75, ""price"", WORKDAY(INT($B75), 5)), 2, 2), """"))/$G75))"),"")</f>
        <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5776</v>
      </c>
    </row>
    <row r="76">
      <c r="A76" s="9">
        <f t="shared" si="1"/>
        <v>75</v>
      </c>
      <c r="B76" s="11">
        <v>46234.66774305556</v>
      </c>
      <c r="C76" s="10" t="s">
        <v>3566</v>
      </c>
      <c r="D76" s="10" t="s">
        <v>36</v>
      </c>
      <c r="E76" s="10" t="s">
        <v>37</v>
      </c>
      <c r="F76" s="13">
        <v>2.0</v>
      </c>
      <c r="G76" s="14">
        <v>360.55</v>
      </c>
      <c r="H76" s="10" t="s">
        <v>5778</v>
      </c>
      <c r="I76" s="10">
        <v>91.9</v>
      </c>
      <c r="O76" s="15">
        <f>IFERROR(__xludf.DUMMYFUNCTION("IF(ISBLANK($C76), """", GOOGLEFINANCE($C76, ""price""))"),360.75)</f>
        <v>360.75</v>
      </c>
      <c r="P76" s="16">
        <f t="shared" si="2"/>
        <v>0.0005547080849</v>
      </c>
      <c r="Q76" s="16">
        <f>IFERROR(__xludf.DUMMYFUNCTION("IF(OR(ISBLANK($G76), IFERROR(INDEX(GOOGLEFINANCE($C76, ""price"", WORKDAY(INT($B76), 1)), 2, 2), """")=""""), """", IF($D76=""LONG"", (IFERROR(INDEX(GOOGLEFINANCE($C76, ""price"", WORKDAY(INT($B76), 1)), 2, 2), """")-$G76)/$G76, ($G76-IFERROR(INDEX(GOOGLE"&amp;"FINANCE($C76, ""price"", WORKDAY(INT($B76), 1)), 2, 2), """"))/$G76))"),-0.008098738039106964)</f>
        <v>-0.008098738039</v>
      </c>
      <c r="R76" s="16" t="str">
        <f>IFERROR(__xludf.DUMMYFUNCTION("IF(OR(ISBLANK($G76), IFERROR(INDEX(GOOGLEFINANCE($C76, ""price"", WORKDAY(INT($B76), 5)), 2, 2), """")=""""), """", IF($D76=""LONG"", (IFERROR(INDEX(GOOGLEFINANCE($C76, ""price"", WORKDAY(INT($B76), 5)), 2, 2), """")-$G76)/$G76, ($G76-IFERROR(INDEX(GOOGLE"&amp;"FINANCE($C76, ""price"", WORKDAY(INT($B76), 5)), 2, 2), """"))/$G76))"),"")</f>
        <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5780</v>
      </c>
    </row>
    <row r="77">
      <c r="A77" s="9">
        <f t="shared" si="1"/>
        <v>76</v>
      </c>
      <c r="B77" s="11">
        <v>46234.66768518519</v>
      </c>
      <c r="C77" s="10" t="s">
        <v>1216</v>
      </c>
      <c r="D77" s="10" t="s">
        <v>36</v>
      </c>
      <c r="E77" s="10" t="s">
        <v>37</v>
      </c>
      <c r="F77" s="13">
        <v>2.0</v>
      </c>
      <c r="G77" s="14">
        <v>81.23</v>
      </c>
      <c r="H77" s="10" t="s">
        <v>5782</v>
      </c>
      <c r="I77" s="10">
        <v>92.3</v>
      </c>
      <c r="O77" s="15">
        <f>IFERROR(__xludf.DUMMYFUNCTION("IF(ISBLANK($C77), """", GOOGLEFINANCE($C77, ""price""))"),79.02)</f>
        <v>79.02</v>
      </c>
      <c r="P77" s="16">
        <f t="shared" si="2"/>
        <v>-0.02720669703</v>
      </c>
      <c r="Q77" s="16">
        <f>IFERROR(__xludf.DUMMYFUNCTION("IF(OR(ISBLANK($G77), IFERROR(INDEX(GOOGLEFINANCE($C77, ""price"", WORKDAY(INT($B77), 1)), 2, 2), """")=""""), """", IF($D77=""LONG"", (IFERROR(INDEX(GOOGLEFINANCE($C77, ""price"", WORKDAY(INT($B77), 1)), 2, 2), """")-$G77)/$G77, ($G77-IFERROR(INDEX(GOOGLE"&amp;"FINANCE($C77, ""price"", WORKDAY(INT($B77), 1)), 2, 2), """"))/$G77))"),0.010587221469900276)</f>
        <v>0.01058722147</v>
      </c>
      <c r="R77" s="16" t="str">
        <f>IFERROR(__xludf.DUMMYFUNCTION("IF(OR(ISBLANK($G77), IFERROR(INDEX(GOOGLEFINANCE($C77, ""price"", WORKDAY(INT($B77), 5)), 2, 2), """")=""""), """", IF($D77=""LONG"", (IFERROR(INDEX(GOOGLEFINANCE($C77, ""price"", WORKDAY(INT($B77), 5)), 2, 2), """")-$G77)/$G77, ($G77-IFERROR(INDEX(GOOGLE"&amp;"FINANCE($C77, ""price"", WORKDAY(INT($B77), 5)), 2, 2), """"))/$G77))"),"")</f>
        <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5784</v>
      </c>
    </row>
    <row r="78">
      <c r="A78" s="9">
        <f t="shared" si="1"/>
        <v>77</v>
      </c>
      <c r="B78" s="11">
        <v>46234.66767361111</v>
      </c>
      <c r="C78" s="10" t="s">
        <v>4347</v>
      </c>
      <c r="D78" s="10" t="s">
        <v>36</v>
      </c>
      <c r="E78" s="10" t="s">
        <v>37</v>
      </c>
      <c r="F78" s="13">
        <v>2.0</v>
      </c>
      <c r="G78" s="14">
        <v>545.84</v>
      </c>
      <c r="H78" s="10" t="s">
        <v>5786</v>
      </c>
      <c r="I78" s="10">
        <v>96.7</v>
      </c>
      <c r="O78" s="15">
        <f>IFERROR(__xludf.DUMMYFUNCTION("IF(ISBLANK($C78), """", GOOGLEFINANCE($C78, ""price""))"),559.82)</f>
        <v>559.82</v>
      </c>
      <c r="P78" s="16">
        <f t="shared" si="2"/>
        <v>0.02561190092</v>
      </c>
      <c r="Q78" s="16">
        <f>IFERROR(__xludf.DUMMYFUNCTION("IF(OR(ISBLANK($G78), IFERROR(INDEX(GOOGLEFINANCE($C78, ""price"", WORKDAY(INT($B78), 1)), 2, 2), """")=""""), """", IF($D78=""LONG"", (IFERROR(INDEX(GOOGLEFINANCE($C78, ""price"", WORKDAY(INT($B78), 1)), 2, 2), """")-$G78)/$G78, ($G78-IFERROR(INDEX(GOOGLE"&amp;"FINANCE($C78, ""price"", WORKDAY(INT($B78), 1)), 2, 2), """"))/$G78))"),0.011413601055254319)</f>
        <v>0.01141360106</v>
      </c>
      <c r="R78" s="16" t="str">
        <f>IFERROR(__xludf.DUMMYFUNCTION("IF(OR(ISBLANK($G78), IFERROR(INDEX(GOOGLEFINANCE($C78, ""price"", WORKDAY(INT($B78), 5)), 2, 2), """")=""""), """", IF($D78=""LONG"", (IFERROR(INDEX(GOOGLEFINANCE($C78, ""price"", WORKDAY(INT($B78), 5)), 2, 2), """")-$G78)/$G78, ($G78-IFERROR(INDEX(GOOGLE"&amp;"FINANCE($C78, ""price"", WORKDAY(INT($B78), 5)), 2, 2), """"))/$G78))"),"")</f>
        <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5788</v>
      </c>
    </row>
    <row r="79">
      <c r="A79" s="9">
        <f t="shared" si="1"/>
        <v>78</v>
      </c>
      <c r="B79" s="11">
        <v>46234.66777777778</v>
      </c>
      <c r="C79" s="10" t="s">
        <v>442</v>
      </c>
      <c r="D79" s="10" t="s">
        <v>36</v>
      </c>
      <c r="E79" s="10" t="s">
        <v>37</v>
      </c>
      <c r="F79" s="13">
        <v>2.0</v>
      </c>
      <c r="G79" s="14">
        <v>527.75</v>
      </c>
      <c r="H79" s="10" t="s">
        <v>5789</v>
      </c>
      <c r="I79" s="10">
        <v>92.7</v>
      </c>
      <c r="O79" s="15">
        <f>IFERROR(__xludf.DUMMYFUNCTION("IF(ISBLANK($C79), """", GOOGLEFINANCE($C79, ""price""))"),522.46)</f>
        <v>522.46</v>
      </c>
      <c r="P79" s="16">
        <f t="shared" si="2"/>
        <v>-0.01002368546</v>
      </c>
      <c r="Q79" s="16">
        <f>IFERROR(__xludf.DUMMYFUNCTION("IF(OR(ISBLANK($G79), IFERROR(INDEX(GOOGLEFINANCE($C79, ""price"", WORKDAY(INT($B79), 1)), 2, 2), """")=""""), """", IF($D79=""LONG"", (IFERROR(INDEX(GOOGLEFINANCE($C79, ""price"", WORKDAY(INT($B79), 1)), 2, 2), """")-$G79)/$G79, ($G79-IFERROR(INDEX(GOOGLE"&amp;"FINANCE($C79, ""price"", WORKDAY(INT($B79), 1)), 2, 2), """"))/$G79))"),0.09119848413074372)</f>
        <v>0.09119848413</v>
      </c>
      <c r="R79" s="16" t="str">
        <f>IFERROR(__xludf.DUMMYFUNCTION("IF(OR(ISBLANK($G79), IFERROR(INDEX(GOOGLEFINANCE($C79, ""price"", WORKDAY(INT($B79), 5)), 2, 2), """")=""""), """", IF($D79=""LONG"", (IFERROR(INDEX(GOOGLEFINANCE($C79, ""price"", WORKDAY(INT($B79), 5)), 2, 2), """")-$G79)/$G79, ($G79-IFERROR(INDEX(GOOGLE"&amp;"FINANCE($C79, ""price"", WORKDAY(INT($B79), 5)), 2, 2), """"))/$G79))"),"")</f>
        <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5792</v>
      </c>
    </row>
    <row r="80">
      <c r="A80" s="9">
        <f t="shared" si="1"/>
        <v>79</v>
      </c>
      <c r="B80" s="11">
        <v>46234.66769675926</v>
      </c>
      <c r="C80" s="10" t="s">
        <v>826</v>
      </c>
      <c r="D80" s="10" t="s">
        <v>36</v>
      </c>
      <c r="E80" s="10" t="s">
        <v>37</v>
      </c>
      <c r="F80" s="13">
        <v>2.0</v>
      </c>
      <c r="G80" s="14">
        <v>365.99</v>
      </c>
      <c r="H80" s="10" t="s">
        <v>5793</v>
      </c>
      <c r="I80" s="10">
        <v>95.7</v>
      </c>
      <c r="O80" s="15">
        <f>IFERROR(__xludf.DUMMYFUNCTION("IF(ISBLANK($C80), """", GOOGLEFINANCE($C80, ""price""))"),370.47)</f>
        <v>370.47</v>
      </c>
      <c r="P80" s="16">
        <f t="shared" si="2"/>
        <v>0.01224077161</v>
      </c>
      <c r="Q80" s="16">
        <f>IFERROR(__xludf.DUMMYFUNCTION("IF(OR(ISBLANK($G80), IFERROR(INDEX(GOOGLEFINANCE($C80, ""price"", WORKDAY(INT($B80), 1)), 2, 2), """")=""""), """", IF($D80=""LONG"", (IFERROR(INDEX(GOOGLEFINANCE($C80, ""price"", WORKDAY(INT($B80), 1)), 2, 2), """")-$G80)/$G80, ($G80-IFERROR(INDEX(GOOGLE"&amp;"FINANCE($C80, ""price"", WORKDAY(INT($B80), 1)), 2, 2), """"))/$G80))"),-8.743408289843799E-4)</f>
        <v>-0.000874340829</v>
      </c>
      <c r="R80" s="16" t="str">
        <f>IFERROR(__xludf.DUMMYFUNCTION("IF(OR(ISBLANK($G80), IFERROR(INDEX(GOOGLEFINANCE($C80, ""price"", WORKDAY(INT($B80), 5)), 2, 2), """")=""""), """", IF($D80=""LONG"", (IFERROR(INDEX(GOOGLEFINANCE($C80, ""price"", WORKDAY(INT($B80), 5)), 2, 2), """")-$G80)/$G80, ($G80-IFERROR(INDEX(GOOGLE"&amp;"FINANCE($C80, ""price"", WORKDAY(INT($B80), 5)), 2, 2), """"))/$G80))"),"")</f>
        <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5796</v>
      </c>
    </row>
    <row r="81">
      <c r="A81" s="9">
        <f t="shared" si="1"/>
        <v>80</v>
      </c>
      <c r="B81" s="11">
        <v>46234.66777777778</v>
      </c>
      <c r="C81" s="10" t="s">
        <v>104</v>
      </c>
      <c r="D81" s="10" t="s">
        <v>36</v>
      </c>
      <c r="E81" s="10" t="s">
        <v>37</v>
      </c>
      <c r="F81" s="13">
        <v>2.0</v>
      </c>
      <c r="G81" s="14">
        <v>127.08</v>
      </c>
      <c r="H81" s="10" t="s">
        <v>2727</v>
      </c>
      <c r="I81" s="10">
        <v>95.7</v>
      </c>
      <c r="O81" s="15">
        <f>IFERROR(__xludf.DUMMYFUNCTION("IF(ISBLANK($C81), """", GOOGLEFINANCE($C81, ""price""))"),127.45)</f>
        <v>127.45</v>
      </c>
      <c r="P81" s="16">
        <f t="shared" si="2"/>
        <v>0.002911551778</v>
      </c>
      <c r="Q81" s="16">
        <f>IFERROR(__xludf.DUMMYFUNCTION("IF(OR(ISBLANK($G81), IFERROR(INDEX(GOOGLEFINANCE($C81, ""price"", WORKDAY(INT($B81), 1)), 2, 2), """")=""""), """", IF($D81=""LONG"", (IFERROR(INDEX(GOOGLEFINANCE($C81, ""price"", WORKDAY(INT($B81), 1)), 2, 2), """")-$G81)/$G81, ($G81-IFERROR(INDEX(GOOGLE"&amp;"FINANCE($C81, ""price"", WORKDAY(INT($B81), 1)), 2, 2), """"))/$G81))"),0.0050361976707585816)</f>
        <v>0.005036197671</v>
      </c>
      <c r="R81" s="16" t="str">
        <f>IFERROR(__xludf.DUMMYFUNCTION("IF(OR(ISBLANK($G81), IFERROR(INDEX(GOOGLEFINANCE($C81, ""price"", WORKDAY(INT($B81), 5)), 2, 2), """")=""""), """", IF($D81=""LONG"", (IFERROR(INDEX(GOOGLEFINANCE($C81, ""price"", WORKDAY(INT($B81), 5)), 2, 2), """")-$G81)/$G81, ($G81-IFERROR(INDEX(GOOGLE"&amp;"FINANCE($C81, ""price"", WORKDAY(INT($B81), 5)), 2, 2), """"))/$G81))"),"")</f>
        <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5799</v>
      </c>
    </row>
    <row r="82">
      <c r="A82" s="9">
        <f t="shared" si="1"/>
        <v>81</v>
      </c>
      <c r="B82" s="11">
        <v>46234.66769675926</v>
      </c>
      <c r="C82" s="10" t="s">
        <v>5099</v>
      </c>
      <c r="D82" s="10" t="s">
        <v>36</v>
      </c>
      <c r="E82" s="10" t="s">
        <v>37</v>
      </c>
      <c r="F82" s="13">
        <v>2.0</v>
      </c>
      <c r="G82" s="14">
        <v>211.65</v>
      </c>
      <c r="H82" s="10" t="s">
        <v>5800</v>
      </c>
      <c r="I82" s="10">
        <v>93.3</v>
      </c>
      <c r="O82" s="15">
        <f>IFERROR(__xludf.DUMMYFUNCTION("IF(ISBLANK($C82), """", GOOGLEFINANCE($C82, ""price""))"),205.52)</f>
        <v>205.52</v>
      </c>
      <c r="P82" s="16">
        <f t="shared" si="2"/>
        <v>-0.02896291047</v>
      </c>
      <c r="Q82" s="16">
        <f>IFERROR(__xludf.DUMMYFUNCTION("IF(OR(ISBLANK($G82), IFERROR(INDEX(GOOGLEFINANCE($C82, ""price"", WORKDAY(INT($B82), 1)), 2, 2), """")=""""), """", IF($D82=""LONG"", (IFERROR(INDEX(GOOGLEFINANCE($C82, ""price"", WORKDAY(INT($B82), 1)), 2, 2), """")-$G82)/$G82, ($G82-IFERROR(INDEX(GOOGLE"&amp;"FINANCE($C82, ""price"", WORKDAY(INT($B82), 1)), 2, 2), """"))/$G82))"),-0.02579730687455709)</f>
        <v>-0.02579730687</v>
      </c>
      <c r="R82" s="16" t="str">
        <f>IFERROR(__xludf.DUMMYFUNCTION("IF(OR(ISBLANK($G82), IFERROR(INDEX(GOOGLEFINANCE($C82, ""price"", WORKDAY(INT($B82), 5)), 2, 2), """")=""""), """", IF($D82=""LONG"", (IFERROR(INDEX(GOOGLEFINANCE($C82, ""price"", WORKDAY(INT($B82), 5)), 2, 2), """")-$G82)/$G82, ($G82-IFERROR(INDEX(GOOGLE"&amp;"FINANCE($C82, ""price"", WORKDAY(INT($B82), 5)), 2, 2), """"))/$G82))"),"")</f>
        <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5803</v>
      </c>
    </row>
    <row r="83">
      <c r="A83" s="9">
        <f t="shared" si="1"/>
        <v>82</v>
      </c>
      <c r="B83" s="11">
        <v>46234.667708333334</v>
      </c>
      <c r="C83" s="10" t="s">
        <v>364</v>
      </c>
      <c r="D83" s="10" t="s">
        <v>36</v>
      </c>
      <c r="E83" s="10" t="s">
        <v>4224</v>
      </c>
      <c r="F83" s="13">
        <v>4.0</v>
      </c>
      <c r="G83" s="14">
        <v>127.84</v>
      </c>
      <c r="H83" s="10" t="s">
        <v>5804</v>
      </c>
      <c r="I83" s="10">
        <v>51.1</v>
      </c>
      <c r="O83" s="15">
        <f>IFERROR(__xludf.DUMMYFUNCTION("IF(ISBLANK($C83), """", GOOGLEFINANCE($C83, ""price""))"),125.26)</f>
        <v>125.26</v>
      </c>
      <c r="P83" s="16">
        <f t="shared" si="2"/>
        <v>-0.02018147685</v>
      </c>
      <c r="Q83" s="16">
        <f>IFERROR(__xludf.DUMMYFUNCTION("IF(OR(ISBLANK($G83), IFERROR(INDEX(GOOGLEFINANCE($C83, ""price"", WORKDAY(INT($B83), 1)), 2, 2), """")=""""), """", IF($D83=""LONG"", (IFERROR(INDEX(GOOGLEFINANCE($C83, ""price"", WORKDAY(INT($B83), 1)), 2, 2), """")-$G83)/$G83, ($G83-IFERROR(INDEX(GOOGLE"&amp;"FINANCE($C83, ""price"", WORKDAY(INT($B83), 1)), 2, 2), """"))/$G83))"),0.003754693366708305)</f>
        <v>0.003754693367</v>
      </c>
      <c r="R83" s="16" t="str">
        <f>IFERROR(__xludf.DUMMYFUNCTION("IF(OR(ISBLANK($G83), IFERROR(INDEX(GOOGLEFINANCE($C83, ""price"", WORKDAY(INT($B83), 5)), 2, 2), """")=""""), """", IF($D83=""LONG"", (IFERROR(INDEX(GOOGLEFINANCE($C83, ""price"", WORKDAY(INT($B83), 5)), 2, 2), """")-$G83)/$G83, ($G83-IFERROR(INDEX(GOOGLE"&amp;"FINANCE($C83, ""price"", WORKDAY(INT($B83), 5)), 2, 2), """"))/$G83))"),"")</f>
        <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5807</v>
      </c>
    </row>
    <row r="84">
      <c r="A84" s="9">
        <f t="shared" si="1"/>
        <v>83</v>
      </c>
      <c r="B84" s="11">
        <v>46234.66782407407</v>
      </c>
      <c r="C84" s="10" t="s">
        <v>351</v>
      </c>
      <c r="D84" s="10" t="s">
        <v>36</v>
      </c>
      <c r="E84" s="10" t="s">
        <v>37</v>
      </c>
      <c r="F84" s="13">
        <v>2.0</v>
      </c>
      <c r="G84" s="14">
        <v>229.42</v>
      </c>
      <c r="H84" s="10" t="s">
        <v>5808</v>
      </c>
      <c r="I84" s="10">
        <v>77.2</v>
      </c>
      <c r="O84" s="15">
        <f>IFERROR(__xludf.DUMMYFUNCTION("IF(ISBLANK($C84), """", GOOGLEFINANCE($C84, ""price""))"),221.83)</f>
        <v>221.83</v>
      </c>
      <c r="P84" s="16">
        <f t="shared" si="2"/>
        <v>-0.03308342777</v>
      </c>
      <c r="Q84" s="16">
        <f>IFERROR(__xludf.DUMMYFUNCTION("IF(OR(ISBLANK($G84), IFERROR(INDEX(GOOGLEFINANCE($C84, ""price"", WORKDAY(INT($B84), 1)), 2, 2), """")=""""), """", IF($D84=""LONG"", (IFERROR(INDEX(GOOGLEFINANCE($C84, ""price"", WORKDAY(INT($B84), 1)), 2, 2), """")-$G84)/$G84, ($G84-IFERROR(INDEX(GOOGLE"&amp;"FINANCE($C84, ""price"", WORKDAY(INT($B84), 1)), 2, 2), """"))/$G84))"),-0.0011332926510330002)</f>
        <v>-0.001133292651</v>
      </c>
      <c r="R84" s="16" t="str">
        <f>IFERROR(__xludf.DUMMYFUNCTION("IF(OR(ISBLANK($G84), IFERROR(INDEX(GOOGLEFINANCE($C84, ""price"", WORKDAY(INT($B84), 5)), 2, 2), """")=""""), """", IF($D84=""LONG"", (IFERROR(INDEX(GOOGLEFINANCE($C84, ""price"", WORKDAY(INT($B84), 5)), 2, 2), """")-$G84)/$G84, ($G84-IFERROR(INDEX(GOOGLE"&amp;"FINANCE($C84, ""price"", WORKDAY(INT($B84), 5)), 2, 2), """"))/$G84))"),"")</f>
        <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5810</v>
      </c>
    </row>
    <row r="85">
      <c r="A85" s="9">
        <f t="shared" si="1"/>
        <v>84</v>
      </c>
      <c r="B85" s="11">
        <v>46234.667905092596</v>
      </c>
      <c r="C85" s="10" t="s">
        <v>2311</v>
      </c>
      <c r="D85" s="10" t="s">
        <v>36</v>
      </c>
      <c r="E85" s="10" t="s">
        <v>37</v>
      </c>
      <c r="F85" s="13">
        <v>2.0</v>
      </c>
      <c r="G85" s="14">
        <v>226.59</v>
      </c>
      <c r="H85" s="10" t="s">
        <v>5811</v>
      </c>
      <c r="I85" s="10">
        <v>94.2</v>
      </c>
      <c r="O85" s="15">
        <f>IFERROR(__xludf.DUMMYFUNCTION("IF(ISBLANK($C85), """", GOOGLEFINANCE($C85, ""price""))"),229.01)</f>
        <v>229.01</v>
      </c>
      <c r="P85" s="16">
        <f t="shared" si="2"/>
        <v>0.01068008297</v>
      </c>
      <c r="Q85" s="16">
        <f>IFERROR(__xludf.DUMMYFUNCTION("IF(OR(ISBLANK($G85), IFERROR(INDEX(GOOGLEFINANCE($C85, ""price"", WORKDAY(INT($B85), 1)), 2, 2), """")=""""), """", IF($D85=""LONG"", (IFERROR(INDEX(GOOGLEFINANCE($C85, ""price"", WORKDAY(INT($B85), 1)), 2, 2), """")-$G85)/$G85, ($G85-IFERROR(INDEX(GOOGLE"&amp;"FINANCE($C85, ""price"", WORKDAY(INT($B85), 1)), 2, 2), """"))/$G85))"),-7.061211880488838E-4)</f>
        <v>-0.000706121188</v>
      </c>
      <c r="R85" s="16" t="str">
        <f>IFERROR(__xludf.DUMMYFUNCTION("IF(OR(ISBLANK($G85), IFERROR(INDEX(GOOGLEFINANCE($C85, ""price"", WORKDAY(INT($B85), 5)), 2, 2), """")=""""), """", IF($D85=""LONG"", (IFERROR(INDEX(GOOGLEFINANCE($C85, ""price"", WORKDAY(INT($B85), 5)), 2, 2), """")-$G85)/$G85, ($G85-IFERROR(INDEX(GOOGLE"&amp;"FINANCE($C85, ""price"", WORKDAY(INT($B85), 5)), 2, 2), """"))/$G85))"),"")</f>
        <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5813</v>
      </c>
    </row>
    <row r="86">
      <c r="A86" s="9">
        <f t="shared" si="1"/>
        <v>85</v>
      </c>
      <c r="B86" s="11">
        <v>46234.667916666665</v>
      </c>
      <c r="C86" s="10" t="s">
        <v>367</v>
      </c>
      <c r="D86" s="10" t="s">
        <v>36</v>
      </c>
      <c r="E86" s="10" t="s">
        <v>4224</v>
      </c>
      <c r="F86" s="13">
        <v>4.0</v>
      </c>
      <c r="G86" s="14">
        <v>100.98</v>
      </c>
      <c r="H86" s="10" t="s">
        <v>5814</v>
      </c>
      <c r="I86" s="10">
        <v>56.3</v>
      </c>
      <c r="O86" s="15">
        <f>IFERROR(__xludf.DUMMYFUNCTION("IF(ISBLANK($C86), """", GOOGLEFINANCE($C86, ""price""))"),100.82)</f>
        <v>100.82</v>
      </c>
      <c r="P86" s="16">
        <f t="shared" si="2"/>
        <v>-0.001584472173</v>
      </c>
      <c r="Q86" s="16">
        <f>IFERROR(__xludf.DUMMYFUNCTION("IF(OR(ISBLANK($G86), IFERROR(INDEX(GOOGLEFINANCE($C86, ""price"", WORKDAY(INT($B86), 1)), 2, 2), """")=""""), """", IF($D86=""LONG"", (IFERROR(INDEX(GOOGLEFINANCE($C86, ""price"", WORKDAY(INT($B86), 1)), 2, 2), """")-$G86)/$G86, ($G86-IFERROR(INDEX(GOOGLE"&amp;"FINANCE($C86, ""price"", WORKDAY(INT($B86), 1)), 2, 2), """"))/$G86))"),-0.0016835016835017003)</f>
        <v>-0.001683501684</v>
      </c>
      <c r="R86" s="16" t="str">
        <f>IFERROR(__xludf.DUMMYFUNCTION("IF(OR(ISBLANK($G86), IFERROR(INDEX(GOOGLEFINANCE($C86, ""price"", WORKDAY(INT($B86), 5)), 2, 2), """")=""""), """", IF($D86=""LONG"", (IFERROR(INDEX(GOOGLEFINANCE($C86, ""price"", WORKDAY(INT($B86), 5)), 2, 2), """")-$G86)/$G86, ($G86-IFERROR(INDEX(GOOGLE"&amp;"FINANCE($C86, ""price"", WORKDAY(INT($B86), 5)), 2, 2), """"))/$G86))"),"")</f>
        <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5817</v>
      </c>
    </row>
    <row r="87">
      <c r="A87" s="9">
        <f t="shared" si="1"/>
        <v>86</v>
      </c>
      <c r="B87" s="11">
        <v>46234.667858796296</v>
      </c>
      <c r="C87" s="10" t="s">
        <v>426</v>
      </c>
      <c r="D87" s="10" t="s">
        <v>36</v>
      </c>
      <c r="E87" s="10" t="s">
        <v>37</v>
      </c>
      <c r="F87" s="13">
        <v>2.0</v>
      </c>
      <c r="G87" s="14">
        <v>574.11</v>
      </c>
      <c r="H87" s="10" t="s">
        <v>5818</v>
      </c>
      <c r="I87" s="10">
        <v>87.4</v>
      </c>
      <c r="O87" s="15">
        <f>IFERROR(__xludf.DUMMYFUNCTION("IF(ISBLANK($C87), """", GOOGLEFINANCE($C87, ""price""))"),580.02)</f>
        <v>580.02</v>
      </c>
      <c r="P87" s="16">
        <f t="shared" si="2"/>
        <v>0.01029419449</v>
      </c>
      <c r="Q87" s="16">
        <f>IFERROR(__xludf.DUMMYFUNCTION("IF(OR(ISBLANK($G87), IFERROR(INDEX(GOOGLEFINANCE($C87, ""price"", WORKDAY(INT($B87), 1)), 2, 2), """")=""""), """", IF($D87=""LONG"", (IFERROR(INDEX(GOOGLEFINANCE($C87, ""price"", WORKDAY(INT($B87), 1)), 2, 2), """")-$G87)/$G87, ($G87-IFERROR(INDEX(GOOGLE"&amp;"FINANCE($C87, ""price"", WORKDAY(INT($B87), 1)), 2, 2), """"))/$G87))"),-1.393461183397623E-4)</f>
        <v>-0.0001393461183</v>
      </c>
      <c r="R87" s="16" t="str">
        <f>IFERROR(__xludf.DUMMYFUNCTION("IF(OR(ISBLANK($G87), IFERROR(INDEX(GOOGLEFINANCE($C87, ""price"", WORKDAY(INT($B87), 5)), 2, 2), """")=""""), """", IF($D87=""LONG"", (IFERROR(INDEX(GOOGLEFINANCE($C87, ""price"", WORKDAY(INT($B87), 5)), 2, 2), """")-$G87)/$G87, ($G87-IFERROR(INDEX(GOOGLE"&amp;"FINANCE($C87, ""price"", WORKDAY(INT($B87), 5)), 2, 2), """"))/$G87))"),"")</f>
        <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5820</v>
      </c>
    </row>
    <row r="88">
      <c r="A88" s="9">
        <f t="shared" si="1"/>
        <v>87</v>
      </c>
      <c r="B88" s="11">
        <v>46234.66780092593</v>
      </c>
      <c r="C88" s="10" t="s">
        <v>86</v>
      </c>
      <c r="D88" s="10" t="s">
        <v>36</v>
      </c>
      <c r="E88" s="10" t="s">
        <v>37</v>
      </c>
      <c r="F88" s="13">
        <v>2.0</v>
      </c>
      <c r="G88" s="14">
        <v>83.4</v>
      </c>
      <c r="H88" s="10" t="s">
        <v>5821</v>
      </c>
      <c r="I88" s="10">
        <v>95.5</v>
      </c>
      <c r="O88" s="15">
        <f>IFERROR(__xludf.DUMMYFUNCTION("IF(ISBLANK($C88), """", GOOGLEFINANCE($C88, ""price""))"),88.24)</f>
        <v>88.24</v>
      </c>
      <c r="P88" s="16">
        <f t="shared" si="2"/>
        <v>0.05803357314</v>
      </c>
      <c r="Q88" s="16">
        <f>IFERROR(__xludf.DUMMYFUNCTION("IF(OR(ISBLANK($G88), IFERROR(INDEX(GOOGLEFINANCE($C88, ""price"", WORKDAY(INT($B88), 1)), 2, 2), """")=""""), """", IF($D88=""LONG"", (IFERROR(INDEX(GOOGLEFINANCE($C88, ""price"", WORKDAY(INT($B88), 1)), 2, 2), """")-$G88)/$G88, ($G88-IFERROR(INDEX(GOOGLE"&amp;"FINANCE($C88, ""price"", WORKDAY(INT($B88), 1)), 2, 2), """"))/$G88))"),0.052517985611510734)</f>
        <v>0.05251798561</v>
      </c>
      <c r="R88" s="16" t="str">
        <f>IFERROR(__xludf.DUMMYFUNCTION("IF(OR(ISBLANK($G88), IFERROR(INDEX(GOOGLEFINANCE($C88, ""price"", WORKDAY(INT($B88), 5)), 2, 2), """")=""""), """", IF($D88=""LONG"", (IFERROR(INDEX(GOOGLEFINANCE($C88, ""price"", WORKDAY(INT($B88), 5)), 2, 2), """")-$G88)/$G88, ($G88-IFERROR(INDEX(GOOGLE"&amp;"FINANCE($C88, ""price"", WORKDAY(INT($B88), 5)), 2, 2), """"))/$G88))"),"")</f>
        <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5824</v>
      </c>
    </row>
    <row r="89">
      <c r="A89" s="9">
        <f t="shared" si="1"/>
        <v>88</v>
      </c>
      <c r="B89" s="11">
        <v>46234.667719907404</v>
      </c>
      <c r="C89" s="10" t="s">
        <v>114</v>
      </c>
      <c r="D89" s="10" t="s">
        <v>36</v>
      </c>
      <c r="E89" s="10" t="s">
        <v>37</v>
      </c>
      <c r="F89" s="13">
        <v>2.0</v>
      </c>
      <c r="G89" s="14">
        <v>230.08</v>
      </c>
      <c r="H89" s="10" t="s">
        <v>5825</v>
      </c>
      <c r="I89" s="10">
        <v>78.4</v>
      </c>
      <c r="O89" s="15">
        <f>IFERROR(__xludf.DUMMYFUNCTION("IF(ISBLANK($C89), """", GOOGLEFINANCE($C89, ""price""))"),237.66)</f>
        <v>237.66</v>
      </c>
      <c r="P89" s="16">
        <f t="shared" si="2"/>
        <v>0.03294506259</v>
      </c>
      <c r="Q89" s="16">
        <f>IFERROR(__xludf.DUMMYFUNCTION("IF(OR(ISBLANK($G89), IFERROR(INDEX(GOOGLEFINANCE($C89, ""price"", WORKDAY(INT($B89), 1)), 2, 2), """")=""""), """", IF($D89=""LONG"", (IFERROR(INDEX(GOOGLEFINANCE($C89, ""price"", WORKDAY(INT($B89), 1)), 2, 2), """")-$G89)/$G89, ($G89-IFERROR(INDEX(GOOGLE"&amp;"FINANCE($C89, ""price"", WORKDAY(INT($B89), 1)), 2, 2), """"))/$G89))"),0.02399165507649505)</f>
        <v>0.02399165508</v>
      </c>
      <c r="R89" s="16" t="str">
        <f>IFERROR(__xludf.DUMMYFUNCTION("IF(OR(ISBLANK($G89), IFERROR(INDEX(GOOGLEFINANCE($C89, ""price"", WORKDAY(INT($B89), 5)), 2, 2), """")=""""), """", IF($D89=""LONG"", (IFERROR(INDEX(GOOGLEFINANCE($C89, ""price"", WORKDAY(INT($B89), 5)), 2, 2), """")-$G89)/$G89, ($G89-IFERROR(INDEX(GOOGLE"&amp;"FINANCE($C89, ""price"", WORKDAY(INT($B89), 5)), 2, 2), """"))/$G89))"),"")</f>
        <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5828</v>
      </c>
    </row>
    <row r="90">
      <c r="A90" s="9">
        <f t="shared" si="1"/>
        <v>89</v>
      </c>
      <c r="B90" s="11">
        <v>46234.66787037037</v>
      </c>
      <c r="C90" s="10" t="s">
        <v>3104</v>
      </c>
      <c r="D90" s="10" t="s">
        <v>36</v>
      </c>
      <c r="E90" s="10" t="s">
        <v>37</v>
      </c>
      <c r="F90" s="13">
        <v>2.0</v>
      </c>
      <c r="G90" s="14">
        <v>175.99</v>
      </c>
      <c r="H90" s="10" t="s">
        <v>5829</v>
      </c>
      <c r="I90" s="10">
        <v>90.2</v>
      </c>
      <c r="O90" s="15">
        <f>IFERROR(__xludf.DUMMYFUNCTION("IF(ISBLANK($C90), """", GOOGLEFINANCE($C90, ""price""))"),179.33)</f>
        <v>179.33</v>
      </c>
      <c r="P90" s="16">
        <f t="shared" si="2"/>
        <v>0.01897835104</v>
      </c>
      <c r="Q90" s="16">
        <f>IFERROR(__xludf.DUMMYFUNCTION("IF(OR(ISBLANK($G90), IFERROR(INDEX(GOOGLEFINANCE($C90, ""price"", WORKDAY(INT($B90), 1)), 2, 2), """")=""""), """", IF($D90=""LONG"", (IFERROR(INDEX(GOOGLEFINANCE($C90, ""price"", WORKDAY(INT($B90), 1)), 2, 2), """")-$G90)/$G90, ($G90-IFERROR(INDEX(GOOGLE"&amp;"FINANCE($C90, ""price"", WORKDAY(INT($B90), 1)), 2, 2), """"))/$G90))"),0.009602818341951234)</f>
        <v>0.009602818342</v>
      </c>
      <c r="R90" s="16" t="str">
        <f>IFERROR(__xludf.DUMMYFUNCTION("IF(OR(ISBLANK($G90), IFERROR(INDEX(GOOGLEFINANCE($C90, ""price"", WORKDAY(INT($B90), 5)), 2, 2), """")=""""), """", IF($D90=""LONG"", (IFERROR(INDEX(GOOGLEFINANCE($C90, ""price"", WORKDAY(INT($B90), 5)), 2, 2), """")-$G90)/$G90, ($G90-IFERROR(INDEX(GOOGLE"&amp;"FINANCE($C90, ""price"", WORKDAY(INT($B90), 5)), 2, 2), """"))/$G90))"),"")</f>
        <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5832</v>
      </c>
    </row>
    <row r="91">
      <c r="A91" s="9">
        <f t="shared" si="1"/>
        <v>90</v>
      </c>
      <c r="B91" s="11">
        <v>46234.667905092596</v>
      </c>
      <c r="C91" s="10" t="s">
        <v>4586</v>
      </c>
      <c r="D91" s="10" t="s">
        <v>36</v>
      </c>
      <c r="E91" s="10" t="s">
        <v>37</v>
      </c>
      <c r="F91" s="13">
        <v>2.0</v>
      </c>
      <c r="G91" s="14">
        <v>316.52</v>
      </c>
      <c r="H91" s="10" t="s">
        <v>5833</v>
      </c>
      <c r="I91" s="10">
        <v>94.2</v>
      </c>
      <c r="O91" s="15">
        <f>IFERROR(__xludf.DUMMYFUNCTION("IF(ISBLANK($C91), """", GOOGLEFINANCE($C91, ""price""))"),299.25)</f>
        <v>299.25</v>
      </c>
      <c r="P91" s="16">
        <f t="shared" si="2"/>
        <v>-0.05456211298</v>
      </c>
      <c r="Q91" s="16">
        <f>IFERROR(__xludf.DUMMYFUNCTION("IF(OR(ISBLANK($G91), IFERROR(INDEX(GOOGLEFINANCE($C91, ""price"", WORKDAY(INT($B91), 1)), 2, 2), """")=""""), """", IF($D91=""LONG"", (IFERROR(INDEX(GOOGLEFINANCE($C91, ""price"", WORKDAY(INT($B91), 1)), 2, 2), """")-$G91)/$G91, ($G91-IFERROR(INDEX(GOOGLE"&amp;"FINANCE($C91, ""price"", WORKDAY(INT($B91), 1)), 2, 2), """"))/$G91))"),-0.029982307595096708)</f>
        <v>-0.0299823076</v>
      </c>
      <c r="R91" s="16" t="str">
        <f>IFERROR(__xludf.DUMMYFUNCTION("IF(OR(ISBLANK($G91), IFERROR(INDEX(GOOGLEFINANCE($C91, ""price"", WORKDAY(INT($B91), 5)), 2, 2), """")=""""), """", IF($D91=""LONG"", (IFERROR(INDEX(GOOGLEFINANCE($C91, ""price"", WORKDAY(INT($B91), 5)), 2, 2), """")-$G91)/$G91, ($G91-IFERROR(INDEX(GOOGLE"&amp;"FINANCE($C91, ""price"", WORKDAY(INT($B91), 5)), 2, 2), """"))/$G91))"),"")</f>
        <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5836</v>
      </c>
    </row>
    <row r="92">
      <c r="A92" s="9">
        <f t="shared" si="1"/>
        <v>91</v>
      </c>
      <c r="B92" s="11">
        <v>46234.66780092593</v>
      </c>
      <c r="C92" s="10" t="s">
        <v>539</v>
      </c>
      <c r="D92" s="10" t="s">
        <v>36</v>
      </c>
      <c r="E92" s="10" t="s">
        <v>87</v>
      </c>
      <c r="F92" s="13">
        <v>2.0</v>
      </c>
      <c r="G92" s="14">
        <v>27.45</v>
      </c>
      <c r="H92" s="10" t="s">
        <v>5837</v>
      </c>
      <c r="I92" s="10">
        <v>89.2</v>
      </c>
      <c r="O92" s="15">
        <f>IFERROR(__xludf.DUMMYFUNCTION("IF(ISBLANK($C92), """", GOOGLEFINANCE($C92, ""price""))"),28.1)</f>
        <v>28.1</v>
      </c>
      <c r="P92" s="16">
        <f t="shared" si="2"/>
        <v>0.02367941712</v>
      </c>
      <c r="Q92" s="16">
        <f>IFERROR(__xludf.DUMMYFUNCTION("IF(OR(ISBLANK($G92), IFERROR(INDEX(GOOGLEFINANCE($C92, ""price"", WORKDAY(INT($B92), 1)), 2, 2), """")=""""), """", IF($D92=""LONG"", (IFERROR(INDEX(GOOGLEFINANCE($C92, ""price"", WORKDAY(INT($B92), 1)), 2, 2), """")-$G92)/$G92, ($G92-IFERROR(INDEX(GOOGLE"&amp;"FINANCE($C92, ""price"", WORKDAY(INT($B92), 1)), 2, 2), """"))/$G92))"),0.0262295081967214)</f>
        <v>0.0262295082</v>
      </c>
      <c r="R92" s="16" t="str">
        <f>IFERROR(__xludf.DUMMYFUNCTION("IF(OR(ISBLANK($G92), IFERROR(INDEX(GOOGLEFINANCE($C92, ""price"", WORKDAY(INT($B92), 5)), 2, 2), """")=""""), """", IF($D92=""LONG"", (IFERROR(INDEX(GOOGLEFINANCE($C92, ""price"", WORKDAY(INT($B92), 5)), 2, 2), """")-$G92)/$G92, ($G92-IFERROR(INDEX(GOOGLE"&amp;"FINANCE($C92, ""price"", WORKDAY(INT($B92), 5)), 2, 2), """"))/$G92))"),"")</f>
        <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5840</v>
      </c>
    </row>
    <row r="93">
      <c r="A93" s="9">
        <f t="shared" si="1"/>
        <v>92</v>
      </c>
      <c r="B93" s="11">
        <v>46234.667905092596</v>
      </c>
      <c r="C93" s="10" t="s">
        <v>5348</v>
      </c>
      <c r="D93" s="10" t="s">
        <v>36</v>
      </c>
      <c r="E93" s="10" t="s">
        <v>37</v>
      </c>
      <c r="F93" s="13">
        <v>2.0</v>
      </c>
      <c r="G93" s="14">
        <v>14.68</v>
      </c>
      <c r="H93" s="10" t="s">
        <v>5842</v>
      </c>
      <c r="I93" s="10">
        <v>85.2</v>
      </c>
      <c r="O93" s="15">
        <f>IFERROR(__xludf.DUMMYFUNCTION("IF(ISBLANK($C93), """", GOOGLEFINANCE($C93, ""price""))"),13.79)</f>
        <v>13.79</v>
      </c>
      <c r="P93" s="16">
        <f t="shared" si="2"/>
        <v>-0.060626703</v>
      </c>
      <c r="Q93" s="16">
        <f>IFERROR(__xludf.DUMMYFUNCTION("IF(OR(ISBLANK($G93), IFERROR(INDEX(GOOGLEFINANCE($C93, ""price"", WORKDAY(INT($B93), 1)), 2, 2), """")=""""), """", IF($D93=""LONG"", (IFERROR(INDEX(GOOGLEFINANCE($C93, ""price"", WORKDAY(INT($B93), 1)), 2, 2), """")-$G93)/$G93, ($G93-IFERROR(INDEX(GOOGLE"&amp;"FINANCE($C93, ""price"", WORKDAY(INT($B93), 1)), 2, 2), """"))/$G93))"),-0.0170299727520436)</f>
        <v>-0.01702997275</v>
      </c>
      <c r="R93" s="16" t="str">
        <f>IFERROR(__xludf.DUMMYFUNCTION("IF(OR(ISBLANK($G93), IFERROR(INDEX(GOOGLEFINANCE($C93, ""price"", WORKDAY(INT($B93), 5)), 2, 2), """")=""""), """", IF($D93=""LONG"", (IFERROR(INDEX(GOOGLEFINANCE($C93, ""price"", WORKDAY(INT($B93), 5)), 2, 2), """")-$G93)/$G93, ($G93-IFERROR(INDEX(GOOGLE"&amp;"FINANCE($C93, ""price"", WORKDAY(INT($B93), 5)), 2, 2), """"))/$G93))"),"")</f>
        <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5845</v>
      </c>
    </row>
    <row r="94">
      <c r="A94" s="9">
        <f t="shared" si="1"/>
        <v>93</v>
      </c>
      <c r="B94" s="11">
        <v>46234.66784722222</v>
      </c>
      <c r="C94" s="10" t="s">
        <v>3049</v>
      </c>
      <c r="D94" s="10" t="s">
        <v>36</v>
      </c>
      <c r="E94" s="10" t="s">
        <v>37</v>
      </c>
      <c r="F94" s="13">
        <v>2.0</v>
      </c>
      <c r="G94" s="14">
        <v>190.79</v>
      </c>
      <c r="H94" s="10" t="s">
        <v>5846</v>
      </c>
      <c r="I94" s="10">
        <v>92.0</v>
      </c>
      <c r="O94" s="15">
        <f>IFERROR(__xludf.DUMMYFUNCTION("IF(ISBLANK($C94), """", GOOGLEFINANCE($C94, ""price""))"),188.05)</f>
        <v>188.05</v>
      </c>
      <c r="P94" s="16">
        <f t="shared" si="2"/>
        <v>-0.01436133969</v>
      </c>
      <c r="Q94" s="16">
        <f>IFERROR(__xludf.DUMMYFUNCTION("IF(OR(ISBLANK($G94), IFERROR(INDEX(GOOGLEFINANCE($C94, ""price"", WORKDAY(INT($B94), 1)), 2, 2), """")=""""), """", IF($D94=""LONG"", (IFERROR(INDEX(GOOGLEFINANCE($C94, ""price"", WORKDAY(INT($B94), 1)), 2, 2), """")-$G94)/$G94, ($G94-IFERROR(INDEX(GOOGLE"&amp;"FINANCE($C94, ""price"", WORKDAY(INT($B94), 1)), 2, 2), """"))/$G94))"),-0.017715813197756673)</f>
        <v>-0.0177158132</v>
      </c>
      <c r="R94" s="16" t="str">
        <f>IFERROR(__xludf.DUMMYFUNCTION("IF(OR(ISBLANK($G94), IFERROR(INDEX(GOOGLEFINANCE($C94, ""price"", WORKDAY(INT($B94), 5)), 2, 2), """")=""""), """", IF($D94=""LONG"", (IFERROR(INDEX(GOOGLEFINANCE($C94, ""price"", WORKDAY(INT($B94), 5)), 2, 2), """")-$G94)/$G94, ($G94-IFERROR(INDEX(GOOGLE"&amp;"FINANCE($C94, ""price"", WORKDAY(INT($B94), 5)), 2, 2), """"))/$G94))"),"")</f>
        <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5849</v>
      </c>
    </row>
    <row r="95">
      <c r="A95" s="9">
        <f t="shared" si="1"/>
        <v>94</v>
      </c>
      <c r="B95" s="11">
        <v>46234.66773148148</v>
      </c>
      <c r="C95" s="10" t="s">
        <v>94</v>
      </c>
      <c r="D95" s="10" t="s">
        <v>36</v>
      </c>
      <c r="E95" s="10" t="s">
        <v>37</v>
      </c>
      <c r="F95" s="13">
        <v>2.0</v>
      </c>
      <c r="G95" s="14">
        <v>56.5</v>
      </c>
      <c r="H95" s="10" t="s">
        <v>5850</v>
      </c>
      <c r="I95" s="10">
        <v>89.5</v>
      </c>
      <c r="O95" s="15">
        <f>IFERROR(__xludf.DUMMYFUNCTION("IF(ISBLANK($C95), """", GOOGLEFINANCE($C95, ""price""))"),56.96)</f>
        <v>56.96</v>
      </c>
      <c r="P95" s="16">
        <f t="shared" si="2"/>
        <v>0.00814159292</v>
      </c>
      <c r="Q95" s="16">
        <f>IFERROR(__xludf.DUMMYFUNCTION("IF(OR(ISBLANK($G95), IFERROR(INDEX(GOOGLEFINANCE($C95, ""price"", WORKDAY(INT($B95), 1)), 2, 2), """")=""""), """", IF($D95=""LONG"", (IFERROR(INDEX(GOOGLEFINANCE($C95, ""price"", WORKDAY(INT($B95), 1)), 2, 2), """")-$G95)/$G95, ($G95-IFERROR(INDEX(GOOGLE"&amp;"FINANCE($C95, ""price"", WORKDAY(INT($B95), 1)), 2, 2), """"))/$G95))"),0.00707964601769909)</f>
        <v>0.007079646018</v>
      </c>
      <c r="R95" s="16" t="str">
        <f>IFERROR(__xludf.DUMMYFUNCTION("IF(OR(ISBLANK($G95), IFERROR(INDEX(GOOGLEFINANCE($C95, ""price"", WORKDAY(INT($B95), 5)), 2, 2), """")=""""), """", IF($D95=""LONG"", (IFERROR(INDEX(GOOGLEFINANCE($C95, ""price"", WORKDAY(INT($B95), 5)), 2, 2), """")-$G95)/$G95, ($G95-IFERROR(INDEX(GOOGLE"&amp;"FINANCE($C95, ""price"", WORKDAY(INT($B95), 5)), 2, 2), """"))/$G95))"),"")</f>
        <v/>
      </c>
      <c r="S95" s="16" t="str">
        <f>IFERROR(__xludf.DUMMYFUNCTION("IF(OR(ISBLANK($G95), IFERROR(INDEX(GOOGLEFINANCE($C95, ""price"", WORKDAY(INT($B95), 20)), 2, 2), """")=""""), """", IF($D95=""LONG"", (IFERROR(INDEX(GOOGLEFINANCE($C95, ""price"", WORKDAY(INT($B95), 20)), 2, 2), """")-$G95)/$G95, ($G95-IFERROR(INDEX(GOOG"&amp;"LEFINANCE($C95, ""price"", WORKDAY(INT($B95), 20)), 2, 2), """"))/$G95))"),"")</f>
        <v/>
      </c>
      <c r="T95" s="10" t="s">
        <v>5852</v>
      </c>
    </row>
    <row r="96">
      <c r="A96" s="9">
        <f t="shared" si="1"/>
        <v>95</v>
      </c>
      <c r="B96" s="11">
        <v>46234.667858796296</v>
      </c>
      <c r="C96" s="10" t="s">
        <v>342</v>
      </c>
      <c r="D96" s="10" t="s">
        <v>36</v>
      </c>
      <c r="E96" s="10" t="s">
        <v>37</v>
      </c>
      <c r="F96" s="13">
        <v>2.0</v>
      </c>
      <c r="G96" s="14">
        <v>61.98</v>
      </c>
      <c r="H96" s="10" t="s">
        <v>5853</v>
      </c>
      <c r="I96" s="10">
        <v>90.8</v>
      </c>
      <c r="O96" s="15">
        <f>IFERROR(__xludf.DUMMYFUNCTION("IF(ISBLANK($C96), """", GOOGLEFINANCE($C96, ""price""))"),63.0)</f>
        <v>63</v>
      </c>
      <c r="P96" s="16">
        <f t="shared" si="2"/>
        <v>0.01645692159</v>
      </c>
      <c r="Q96" s="16">
        <f>IFERROR(__xludf.DUMMYFUNCTION("IF(OR(ISBLANK($G96), IFERROR(INDEX(GOOGLEFINANCE($C96, ""price"", WORKDAY(INT($B96), 1)), 2, 2), """")=""""), """", IF($D96=""LONG"", (IFERROR(INDEX(GOOGLEFINANCE($C96, ""price"", WORKDAY(INT($B96), 1)), 2, 2), """")-$G96)/$G96, ($G96-IFERROR(INDEX(GOOGLE"&amp;"FINANCE($C96, ""price"", WORKDAY(INT($B96), 1)), 2, 2), """"))/$G96))"),0.008067118425298484)</f>
        <v>0.008067118425</v>
      </c>
      <c r="R96" s="16" t="str">
        <f>IFERROR(__xludf.DUMMYFUNCTION("IF(OR(ISBLANK($G96), IFERROR(INDEX(GOOGLEFINANCE($C96, ""price"", WORKDAY(INT($B96), 5)), 2, 2), """")=""""), """", IF($D96=""LONG"", (IFERROR(INDEX(GOOGLEFINANCE($C96, ""price"", WORKDAY(INT($B96), 5)), 2, 2), """")-$G96)/$G96, ($G96-IFERROR(INDEX(GOOGLE"&amp;"FINANCE($C96, ""price"", WORKDAY(INT($B96), 5)), 2, 2), """"))/$G96))"),"")</f>
        <v/>
      </c>
      <c r="S96" s="16" t="str">
        <f>IFERROR(__xludf.DUMMYFUNCTION("IF(OR(ISBLANK($G96), IFERROR(INDEX(GOOGLEFINANCE($C96, ""price"", WORKDAY(INT($B96), 20)), 2, 2), """")=""""), """", IF($D96=""LONG"", (IFERROR(INDEX(GOOGLEFINANCE($C96, ""price"", WORKDAY(INT($B96), 20)), 2, 2), """")-$G96)/$G96, ($G96-IFERROR(INDEX(GOOG"&amp;"LEFINANCE($C96, ""price"", WORKDAY(INT($B96), 20)), 2, 2), """"))/$G96))"),"")</f>
        <v/>
      </c>
      <c r="T96" s="10" t="s">
        <v>5854</v>
      </c>
    </row>
    <row r="97">
      <c r="A97" s="9">
        <f t="shared" si="1"/>
        <v>96</v>
      </c>
      <c r="B97" s="11">
        <v>46234.667592592596</v>
      </c>
      <c r="C97" s="10" t="s">
        <v>5556</v>
      </c>
      <c r="D97" s="10" t="s">
        <v>36</v>
      </c>
      <c r="E97" s="10" t="s">
        <v>37</v>
      </c>
      <c r="F97" s="13">
        <v>2.0</v>
      </c>
      <c r="G97" s="14">
        <v>263.47</v>
      </c>
      <c r="H97" s="10" t="s">
        <v>5856</v>
      </c>
      <c r="I97" s="10">
        <v>87.2</v>
      </c>
      <c r="O97" s="15">
        <f>IFERROR(__xludf.DUMMYFUNCTION("IF(ISBLANK($C97), """", GOOGLEFINANCE($C97, ""price""))"),274.58)</f>
        <v>274.58</v>
      </c>
      <c r="P97" s="16">
        <f t="shared" si="2"/>
        <v>0.04216798877</v>
      </c>
      <c r="Q97" s="16">
        <f>IFERROR(__xludf.DUMMYFUNCTION("IF(OR(ISBLANK($G97), IFERROR(INDEX(GOOGLEFINANCE($C97, ""price"", WORKDAY(INT($B97), 1)), 2, 2), """")=""""), """", IF($D97=""LONG"", (IFERROR(INDEX(GOOGLEFINANCE($C97, ""price"", WORKDAY(INT($B97), 1)), 2, 2), """")-$G97)/$G97, ($G97-IFERROR(INDEX(GOOGLE"&amp;"FINANCE($C97, ""price"", WORKDAY(INT($B97), 1)), 2, 2), """"))/$G97))"),0.02357004592553224)</f>
        <v>0.02357004593</v>
      </c>
      <c r="R97" s="16" t="str">
        <f>IFERROR(__xludf.DUMMYFUNCTION("IF(OR(ISBLANK($G97), IFERROR(INDEX(GOOGLEFINANCE($C97, ""price"", WORKDAY(INT($B97), 5)), 2, 2), """")=""""), """", IF($D97=""LONG"", (IFERROR(INDEX(GOOGLEFINANCE($C97, ""price"", WORKDAY(INT($B97), 5)), 2, 2), """")-$G97)/$G97, ($G97-IFERROR(INDEX(GOOGLE"&amp;"FINANCE($C97, ""price"", WORKDAY(INT($B97), 5)), 2, 2), """"))/$G97))"),"")</f>
        <v/>
      </c>
      <c r="S97" s="16" t="str">
        <f>IFERROR(__xludf.DUMMYFUNCTION("IF(OR(ISBLANK($G97), IFERROR(INDEX(GOOGLEFINANCE($C97, ""price"", WORKDAY(INT($B97), 20)), 2, 2), """")=""""), """", IF($D97=""LONG"", (IFERROR(INDEX(GOOGLEFINANCE($C97, ""price"", WORKDAY(INT($B97), 20)), 2, 2), """")-$G97)/$G97, ($G97-IFERROR(INDEX(GOOG"&amp;"LEFINANCE($C97, ""price"", WORKDAY(INT($B97), 20)), 2, 2), """"))/$G97))"),"")</f>
        <v/>
      </c>
      <c r="T97" s="10" t="s">
        <v>5858</v>
      </c>
    </row>
    <row r="98">
      <c r="A98" s="9">
        <f t="shared" si="1"/>
        <v>97</v>
      </c>
      <c r="B98" s="11">
        <v>46234.66788194444</v>
      </c>
      <c r="C98" s="10" t="s">
        <v>288</v>
      </c>
      <c r="D98" s="10" t="s">
        <v>36</v>
      </c>
      <c r="E98" s="10" t="s">
        <v>37</v>
      </c>
      <c r="F98" s="13">
        <v>2.0</v>
      </c>
      <c r="G98" s="14">
        <v>19.22</v>
      </c>
      <c r="H98" s="10" t="s">
        <v>5860</v>
      </c>
      <c r="I98" s="10">
        <v>89.9</v>
      </c>
      <c r="O98" s="15">
        <f>IFERROR(__xludf.DUMMYFUNCTION("IF(ISBLANK($C98), """", GOOGLEFINANCE($C98, ""price""))"),19.18)</f>
        <v>19.18</v>
      </c>
      <c r="P98" s="16">
        <f t="shared" si="2"/>
        <v>-0.002081165453</v>
      </c>
      <c r="Q98" s="16">
        <f>IFERROR(__xludf.DUMMYFUNCTION("IF(OR(ISBLANK($G98), IFERROR(INDEX(GOOGLEFINANCE($C98, ""price"", WORKDAY(INT($B98), 1)), 2, 2), """")=""""), """", IF($D98=""LONG"", (IFERROR(INDEX(GOOGLEFINANCE($C98, ""price"", WORKDAY(INT($B98), 1)), 2, 2), """")-$G98)/$G98, ($G98-IFERROR(INDEX(GOOGLE"&amp;"FINANCE($C98, ""price"", WORKDAY(INT($B98), 1)), 2, 2), """"))/$G98))"),-0.010926118626430661)</f>
        <v>-0.01092611863</v>
      </c>
      <c r="R98" s="16" t="str">
        <f>IFERROR(__xludf.DUMMYFUNCTION("IF(OR(ISBLANK($G98), IFERROR(INDEX(GOOGLEFINANCE($C98, ""price"", WORKDAY(INT($B98), 5)), 2, 2), """")=""""), """", IF($D98=""LONG"", (IFERROR(INDEX(GOOGLEFINANCE($C98, ""price"", WORKDAY(INT($B98), 5)), 2, 2), """")-$G98)/$G98, ($G98-IFERROR(INDEX(GOOGLE"&amp;"FINANCE($C98, ""price"", WORKDAY(INT($B98), 5)), 2, 2), """"))/$G98))"),"")</f>
        <v/>
      </c>
      <c r="S98" s="16" t="str">
        <f>IFERROR(__xludf.DUMMYFUNCTION("IF(OR(ISBLANK($G98), IFERROR(INDEX(GOOGLEFINANCE($C98, ""price"", WORKDAY(INT($B98), 20)), 2, 2), """")=""""), """", IF($D98=""LONG"", (IFERROR(INDEX(GOOGLEFINANCE($C98, ""price"", WORKDAY(INT($B98), 20)), 2, 2), """")-$G98)/$G98, ($G98-IFERROR(INDEX(GOOG"&amp;"LEFINANCE($C98, ""price"", WORKDAY(INT($B98), 20)), 2, 2), """"))/$G98))"),"")</f>
        <v/>
      </c>
      <c r="T98" s="10" t="s">
        <v>5863</v>
      </c>
    </row>
    <row r="99">
      <c r="A99" s="9">
        <f t="shared" si="1"/>
        <v>98</v>
      </c>
      <c r="B99" s="11">
        <v>46234.667650462965</v>
      </c>
      <c r="C99" s="10" t="s">
        <v>201</v>
      </c>
      <c r="D99" s="10" t="s">
        <v>36</v>
      </c>
      <c r="E99" s="10" t="s">
        <v>37</v>
      </c>
      <c r="F99" s="13">
        <v>2.0</v>
      </c>
      <c r="G99" s="14">
        <v>134.22</v>
      </c>
      <c r="H99" s="10" t="s">
        <v>5865</v>
      </c>
      <c r="I99" s="10">
        <v>95.8</v>
      </c>
      <c r="O99" s="15">
        <f>IFERROR(__xludf.DUMMYFUNCTION("IF(ISBLANK($C99), """", GOOGLEFINANCE($C99, ""price""))"),134.82)</f>
        <v>134.82</v>
      </c>
      <c r="P99" s="16">
        <f t="shared" si="2"/>
        <v>0.004470272687</v>
      </c>
      <c r="Q99" s="16">
        <f>IFERROR(__xludf.DUMMYFUNCTION("IF(OR(ISBLANK($G99), IFERROR(INDEX(GOOGLEFINANCE($C99, ""price"", WORKDAY(INT($B99), 1)), 2, 2), """")=""""), """", IF($D99=""LONG"", (IFERROR(INDEX(GOOGLEFINANCE($C99, ""price"", WORKDAY(INT($B99), 1)), 2, 2), """")-$G99)/$G99, ($G99-IFERROR(INDEX(GOOGLE"&amp;"FINANCE($C99, ""price"", WORKDAY(INT($B99), 1)), 2, 2), """"))/$G99))"),-0.02175532707495148)</f>
        <v>-0.02175532707</v>
      </c>
      <c r="R99" s="16" t="str">
        <f>IFERROR(__xludf.DUMMYFUNCTION("IF(OR(ISBLANK($G99), IFERROR(INDEX(GOOGLEFINANCE($C99, ""price"", WORKDAY(INT($B99), 5)), 2, 2), """")=""""), """", IF($D99=""LONG"", (IFERROR(INDEX(GOOGLEFINANCE($C99, ""price"", WORKDAY(INT($B99), 5)), 2, 2), """")-$G99)/$G99, ($G99-IFERROR(INDEX(GOOGLE"&amp;"FINANCE($C99, ""price"", WORKDAY(INT($B99), 5)), 2, 2), """"))/$G99))"),"")</f>
        <v/>
      </c>
      <c r="S99" s="16" t="str">
        <f>IFERROR(__xludf.DUMMYFUNCTION("IF(OR(ISBLANK($G99), IFERROR(INDEX(GOOGLEFINANCE($C99, ""price"", WORKDAY(INT($B99), 20)), 2, 2), """")=""""), """", IF($D99=""LONG"", (IFERROR(INDEX(GOOGLEFINANCE($C99, ""price"", WORKDAY(INT($B99), 20)), 2, 2), """")-$G99)/$G99, ($G99-IFERROR(INDEX(GOOG"&amp;"LEFINANCE($C99, ""price"", WORKDAY(INT($B99), 20)), 2, 2), """"))/$G99))"),"")</f>
        <v/>
      </c>
      <c r="T99" s="10" t="s">
        <v>5868</v>
      </c>
    </row>
    <row r="100">
      <c r="A100" s="9">
        <f t="shared" si="1"/>
        <v>99</v>
      </c>
      <c r="B100" s="11">
        <v>46234.667592592596</v>
      </c>
      <c r="C100" s="10" t="s">
        <v>149</v>
      </c>
      <c r="D100" s="10" t="s">
        <v>36</v>
      </c>
      <c r="E100" s="10" t="s">
        <v>37</v>
      </c>
      <c r="F100" s="13">
        <v>2.0</v>
      </c>
      <c r="G100" s="14">
        <v>124.44</v>
      </c>
      <c r="H100" s="10" t="s">
        <v>5870</v>
      </c>
      <c r="I100" s="10">
        <v>90.6</v>
      </c>
      <c r="O100" s="15">
        <f>IFERROR(__xludf.DUMMYFUNCTION("IF(ISBLANK($C100), """", GOOGLEFINANCE($C100, ""price""))"),132.79)</f>
        <v>132.79</v>
      </c>
      <c r="P100" s="16">
        <f t="shared" si="2"/>
        <v>0.06710061074</v>
      </c>
      <c r="Q100" s="16">
        <f>IFERROR(__xludf.DUMMYFUNCTION("IF(OR(ISBLANK($G100), IFERROR(INDEX(GOOGLEFINANCE($C100, ""price"", WORKDAY(INT($B100), 1)), 2, 2), """")=""""), """", IF($D100=""LONG"", (IFERROR(INDEX(GOOGLEFINANCE($C100, ""price"", WORKDAY(INT($B100), 1)), 2, 2), """")-$G100)/$G100, ($G100-IFERROR(IND"&amp;"EX(GOOGLEFINANCE($C100, ""price"", WORKDAY(INT($B100), 1)), 2, 2), """"))/$G100))"),0.03278688524590174)</f>
        <v>0.03278688525</v>
      </c>
      <c r="R100" s="16" t="str">
        <f>IFERROR(__xludf.DUMMYFUNCTION("IF(OR(ISBLANK($G100), IFERROR(INDEX(GOOGLEFINANCE($C100, ""price"", WORKDAY(INT($B100), 5)), 2, 2), """")=""""), """", IF($D100=""LONG"", (IFERROR(INDEX(GOOGLEFINANCE($C100, ""price"", WORKDAY(INT($B100), 5)), 2, 2), """")-$G100)/$G100, ($G100-IFERROR(IND"&amp;"EX(GOOGLEFINANCE($C100, ""price"", WORKDAY(INT($B100), 5)), 2, 2), """"))/$G100))"),"")</f>
        <v/>
      </c>
      <c r="S100" s="16" t="str">
        <f>IFERROR(__xludf.DUMMYFUNCTION("IF(OR(ISBLANK($G100), IFERROR(INDEX(GOOGLEFINANCE($C100, ""price"", WORKDAY(INT($B100), 20)), 2, 2), """")=""""), """", IF($D100=""LONG"", (IFERROR(INDEX(GOOGLEFINANCE($C100, ""price"", WORKDAY(INT($B100), 20)), 2, 2), """")-$G100)/$G100, ($G100-IFERROR(I"&amp;"NDEX(GOOGLEFINANCE($C100, ""price"", WORKDAY(INT($B100), 20)), 2, 2), """"))/$G100))"),"")</f>
        <v/>
      </c>
      <c r="T100" s="10" t="s">
        <v>5872</v>
      </c>
    </row>
    <row r="101">
      <c r="A101" s="9">
        <f t="shared" si="1"/>
        <v>100</v>
      </c>
      <c r="B101" s="11">
        <v>46234.667592592596</v>
      </c>
      <c r="C101" s="10" t="s">
        <v>5873</v>
      </c>
      <c r="D101" s="10" t="s">
        <v>36</v>
      </c>
      <c r="E101" s="10" t="s">
        <v>37</v>
      </c>
      <c r="F101" s="13">
        <v>2.0</v>
      </c>
      <c r="G101" s="14">
        <v>245.92</v>
      </c>
      <c r="H101" s="10" t="s">
        <v>5875</v>
      </c>
      <c r="I101" s="10">
        <v>85.7</v>
      </c>
      <c r="O101" s="15">
        <f>IFERROR(__xludf.DUMMYFUNCTION("IF(ISBLANK($C101), """", GOOGLEFINANCE($C101, ""price""))"),252.75)</f>
        <v>252.75</v>
      </c>
      <c r="P101" s="16">
        <f t="shared" si="2"/>
        <v>0.0277732596</v>
      </c>
      <c r="Q101" s="16">
        <f>IFERROR(__xludf.DUMMYFUNCTION("IF(OR(ISBLANK($G101), IFERROR(INDEX(GOOGLEFINANCE($C101, ""price"", WORKDAY(INT($B101), 1)), 2, 2), """")=""""), """", IF($D101=""LONG"", (IFERROR(INDEX(GOOGLEFINANCE($C101, ""price"", WORKDAY(INT($B101), 1)), 2, 2), """")-$G101)/$G101, ($G101-IFERROR(IND"&amp;"EX(GOOGLEFINANCE($C101, ""price"", WORKDAY(INT($B101), 1)), 2, 2), """"))/$G101))"),0.021023096942095056)</f>
        <v>0.02102309694</v>
      </c>
      <c r="R101" s="16" t="str">
        <f>IFERROR(__xludf.DUMMYFUNCTION("IF(OR(ISBLANK($G101), IFERROR(INDEX(GOOGLEFINANCE($C101, ""price"", WORKDAY(INT($B101), 5)), 2, 2), """")=""""), """", IF($D101=""LONG"", (IFERROR(INDEX(GOOGLEFINANCE($C101, ""price"", WORKDAY(INT($B101), 5)), 2, 2), """")-$G101)/$G101, ($G101-IFERROR(IND"&amp;"EX(GOOGLEFINANCE($C101, ""price"", WORKDAY(INT($B101), 5)), 2, 2), """"))/$G101))"),"")</f>
        <v/>
      </c>
      <c r="S101" s="16" t="str">
        <f>IFERROR(__xludf.DUMMYFUNCTION("IF(OR(ISBLANK($G101), IFERROR(INDEX(GOOGLEFINANCE($C101, ""price"", WORKDAY(INT($B101), 20)), 2, 2), """")=""""), """", IF($D101=""LONG"", (IFERROR(INDEX(GOOGLEFINANCE($C101, ""price"", WORKDAY(INT($B101), 20)), 2, 2), """")-$G101)/$G101, ($G101-IFERROR(I"&amp;"NDEX(GOOGLEFINANCE($C101, ""price"", WORKDAY(INT($B101), 20)), 2, 2), """"))/$G101))"),"")</f>
        <v/>
      </c>
      <c r="T101" s="10" t="s">
        <v>5877</v>
      </c>
    </row>
    <row r="102">
      <c r="A102" s="9">
        <f t="shared" si="1"/>
        <v>101</v>
      </c>
      <c r="B102" s="11">
        <v>46234.66758101852</v>
      </c>
      <c r="C102" s="10" t="s">
        <v>2250</v>
      </c>
      <c r="D102" s="10" t="s">
        <v>36</v>
      </c>
      <c r="E102" s="10" t="s">
        <v>37</v>
      </c>
      <c r="F102" s="13">
        <v>2.0</v>
      </c>
      <c r="G102" s="14">
        <v>249.43</v>
      </c>
      <c r="H102" s="10" t="s">
        <v>5879</v>
      </c>
      <c r="I102" s="10">
        <v>97.2</v>
      </c>
      <c r="O102" s="15">
        <f>IFERROR(__xludf.DUMMYFUNCTION("IF(ISBLANK($C102), """", GOOGLEFINANCE($C102, ""price""))"),251.74)</f>
        <v>251.74</v>
      </c>
      <c r="P102" s="16">
        <f t="shared" si="2"/>
        <v>0.009261115343</v>
      </c>
      <c r="Q102" s="16">
        <f>IFERROR(__xludf.DUMMYFUNCTION("IF(OR(ISBLANK($G102), IFERROR(INDEX(GOOGLEFINANCE($C102, ""price"", WORKDAY(INT($B102), 1)), 2, 2), """")=""""), """", IF($D102=""LONG"", (IFERROR(INDEX(GOOGLEFINANCE($C102, ""price"", WORKDAY(INT($B102), 1)), 2, 2), """")-$G102)/$G102, ($G102-IFERROR(IND"&amp;"EX(GOOGLEFINANCE($C102, ""price"", WORKDAY(INT($B102), 1)), 2, 2), """"))/$G102))"),-0.006574990979433167)</f>
        <v>-0.006574990979</v>
      </c>
      <c r="R102" s="16" t="str">
        <f>IFERROR(__xludf.DUMMYFUNCTION("IF(OR(ISBLANK($G102), IFERROR(INDEX(GOOGLEFINANCE($C102, ""price"", WORKDAY(INT($B102), 5)), 2, 2), """")=""""), """", IF($D102=""LONG"", (IFERROR(INDEX(GOOGLEFINANCE($C102, ""price"", WORKDAY(INT($B102), 5)), 2, 2), """")-$G102)/$G102, ($G102-IFERROR(IND"&amp;"EX(GOOGLEFINANCE($C102, ""price"", WORKDAY(INT($B102), 5)), 2, 2), """"))/$G102))"),"")</f>
        <v/>
      </c>
      <c r="S102" s="16" t="str">
        <f>IFERROR(__xludf.DUMMYFUNCTION("IF(OR(ISBLANK($G102), IFERROR(INDEX(GOOGLEFINANCE($C102, ""price"", WORKDAY(INT($B102), 20)), 2, 2), """")=""""), """", IF($D102=""LONG"", (IFERROR(INDEX(GOOGLEFINANCE($C102, ""price"", WORKDAY(INT($B102), 20)), 2, 2), """")-$G102)/$G102, ($G102-IFERROR(I"&amp;"NDEX(GOOGLEFINANCE($C102, ""price"", WORKDAY(INT($B102), 20)), 2, 2), """"))/$G102))"),"")</f>
        <v/>
      </c>
      <c r="T102" s="10" t="s">
        <v>5885</v>
      </c>
    </row>
    <row r="103">
      <c r="A103" s="9">
        <f t="shared" si="1"/>
        <v>102</v>
      </c>
      <c r="B103" s="11">
        <v>46234.66763888889</v>
      </c>
      <c r="C103" s="10" t="s">
        <v>4135</v>
      </c>
      <c r="D103" s="10" t="s">
        <v>36</v>
      </c>
      <c r="E103" s="10" t="s">
        <v>37</v>
      </c>
      <c r="F103" s="13">
        <v>2.0</v>
      </c>
      <c r="G103" s="14">
        <v>385.22</v>
      </c>
      <c r="H103" s="10" t="s">
        <v>5886</v>
      </c>
      <c r="I103" s="10">
        <v>90.6</v>
      </c>
      <c r="O103" s="15">
        <f>IFERROR(__xludf.DUMMYFUNCTION("IF(ISBLANK($C103), """", GOOGLEFINANCE($C103, ""price""))"),404.85)</f>
        <v>404.85</v>
      </c>
      <c r="P103" s="16">
        <f t="shared" si="2"/>
        <v>0.05095789419</v>
      </c>
      <c r="Q103" s="16">
        <f>IFERROR(__xludf.DUMMYFUNCTION("IF(OR(ISBLANK($G103), IFERROR(INDEX(GOOGLEFINANCE($C103, ""price"", WORKDAY(INT($B103), 1)), 2, 2), """")=""""), """", IF($D103=""LONG"", (IFERROR(INDEX(GOOGLEFINANCE($C103, ""price"", WORKDAY(INT($B103), 1)), 2, 2), """")-$G103)/$G103, ($G103-IFERROR(IND"&amp;"EX(GOOGLEFINANCE($C103, ""price"", WORKDAY(INT($B103), 1)), 2, 2), """"))/$G103))"),-0.016484087015212145)</f>
        <v>-0.01648408702</v>
      </c>
      <c r="R103" s="16" t="str">
        <f>IFERROR(__xludf.DUMMYFUNCTION("IF(OR(ISBLANK($G103), IFERROR(INDEX(GOOGLEFINANCE($C103, ""price"", WORKDAY(INT($B103), 5)), 2, 2), """")=""""), """", IF($D103=""LONG"", (IFERROR(INDEX(GOOGLEFINANCE($C103, ""price"", WORKDAY(INT($B103), 5)), 2, 2), """")-$G103)/$G103, ($G103-IFERROR(IND"&amp;"EX(GOOGLEFINANCE($C103, ""price"", WORKDAY(INT($B103), 5)), 2, 2), """"))/$G103))"),"")</f>
        <v/>
      </c>
      <c r="S103" s="16" t="str">
        <f>IFERROR(__xludf.DUMMYFUNCTION("IF(OR(ISBLANK($G103), IFERROR(INDEX(GOOGLEFINANCE($C103, ""price"", WORKDAY(INT($B103), 20)), 2, 2), """")=""""), """", IF($D103=""LONG"", (IFERROR(INDEX(GOOGLEFINANCE($C103, ""price"", WORKDAY(INT($B103), 20)), 2, 2), """")-$G103)/$G103, ($G103-IFERROR(I"&amp;"NDEX(GOOGLEFINANCE($C103, ""price"", WORKDAY(INT($B103), 20)), 2, 2), """"))/$G103))"),"")</f>
        <v/>
      </c>
      <c r="T103" s="10" t="s">
        <v>5890</v>
      </c>
    </row>
    <row r="104">
      <c r="A104" s="9">
        <f t="shared" si="1"/>
        <v>103</v>
      </c>
      <c r="B104" s="11">
        <v>46234.667708333334</v>
      </c>
      <c r="C104" s="10" t="s">
        <v>1920</v>
      </c>
      <c r="D104" s="10" t="s">
        <v>36</v>
      </c>
      <c r="E104" s="10" t="s">
        <v>37</v>
      </c>
      <c r="F104" s="13">
        <v>2.0</v>
      </c>
      <c r="G104" s="14">
        <v>204.59</v>
      </c>
      <c r="H104" s="10" t="s">
        <v>5892</v>
      </c>
      <c r="I104" s="10">
        <v>96.7</v>
      </c>
      <c r="O104" s="15">
        <f>IFERROR(__xludf.DUMMYFUNCTION("IF(ISBLANK($C104), """", GOOGLEFINANCE($C104, ""price""))"),202.15)</f>
        <v>202.15</v>
      </c>
      <c r="P104" s="16">
        <f t="shared" si="2"/>
        <v>-0.01192629161</v>
      </c>
      <c r="Q104" s="16">
        <f>IFERROR(__xludf.DUMMYFUNCTION("IF(OR(ISBLANK($G104), IFERROR(INDEX(GOOGLEFINANCE($C104, ""price"", WORKDAY(INT($B104), 1)), 2, 2), """")=""""), """", IF($D104=""LONG"", (IFERROR(INDEX(GOOGLEFINANCE($C104, ""price"", WORKDAY(INT($B104), 1)), 2, 2), """")-$G104)/$G104, ($G104-IFERROR(IND"&amp;"EX(GOOGLEFINANCE($C104, ""price"", WORKDAY(INT($B104), 1)), 2, 2), """"))/$G104))"),-0.0028349381690210298)</f>
        <v>-0.002834938169</v>
      </c>
      <c r="R104" s="16" t="str">
        <f>IFERROR(__xludf.DUMMYFUNCTION("IF(OR(ISBLANK($G104), IFERROR(INDEX(GOOGLEFINANCE($C104, ""price"", WORKDAY(INT($B104), 5)), 2, 2), """")=""""), """", IF($D104=""LONG"", (IFERROR(INDEX(GOOGLEFINANCE($C104, ""price"", WORKDAY(INT($B104), 5)), 2, 2), """")-$G104)/$G104, ($G104-IFERROR(IND"&amp;"EX(GOOGLEFINANCE($C104, ""price"", WORKDAY(INT($B104), 5)), 2, 2), """"))/$G104))"),"")</f>
        <v/>
      </c>
      <c r="S104" s="16" t="str">
        <f>IFERROR(__xludf.DUMMYFUNCTION("IF(OR(ISBLANK($G104), IFERROR(INDEX(GOOGLEFINANCE($C104, ""price"", WORKDAY(INT($B104), 20)), 2, 2), """")=""""), """", IF($D104=""LONG"", (IFERROR(INDEX(GOOGLEFINANCE($C104, ""price"", WORKDAY(INT($B104), 20)), 2, 2), """")-$G104)/$G104, ($G104-IFERROR(I"&amp;"NDEX(GOOGLEFINANCE($C104, ""price"", WORKDAY(INT($B104), 20)), 2, 2), """"))/$G104))"),"")</f>
        <v/>
      </c>
      <c r="T104" s="10" t="s">
        <v>5895</v>
      </c>
    </row>
    <row r="105">
      <c r="A105" s="9">
        <f t="shared" si="1"/>
        <v>104</v>
      </c>
      <c r="B105" s="11">
        <v>46234.66758101852</v>
      </c>
      <c r="C105" s="10" t="s">
        <v>374</v>
      </c>
      <c r="D105" s="10" t="s">
        <v>36</v>
      </c>
      <c r="E105" s="10" t="s">
        <v>37</v>
      </c>
      <c r="F105" s="13">
        <v>2.0</v>
      </c>
      <c r="G105" s="14">
        <v>72.3</v>
      </c>
      <c r="H105" s="10" t="s">
        <v>5898</v>
      </c>
      <c r="I105" s="10">
        <v>78.4</v>
      </c>
      <c r="O105" s="15">
        <f>IFERROR(__xludf.DUMMYFUNCTION("IF(ISBLANK($C105), """", GOOGLEFINANCE($C105, ""price""))"),73.32)</f>
        <v>73.32</v>
      </c>
      <c r="P105" s="16">
        <f t="shared" si="2"/>
        <v>0.01410788382</v>
      </c>
      <c r="Q105" s="16">
        <f>IFERROR(__xludf.DUMMYFUNCTION("IF(OR(ISBLANK($G105), IFERROR(INDEX(GOOGLEFINANCE($C105, ""price"", WORKDAY(INT($B105), 1)), 2, 2), """")=""""), """", IF($D105=""LONG"", (IFERROR(INDEX(GOOGLEFINANCE($C105, ""price"", WORKDAY(INT($B105), 1)), 2, 2), """")-$G105)/$G105, ($G105-IFERROR(IND"&amp;"EX(GOOGLEFINANCE($C105, ""price"", WORKDAY(INT($B105), 1)), 2, 2), """"))/$G105))"),0.026694329183955836)</f>
        <v>0.02669432918</v>
      </c>
      <c r="R105" s="16" t="str">
        <f>IFERROR(__xludf.DUMMYFUNCTION("IF(OR(ISBLANK($G105), IFERROR(INDEX(GOOGLEFINANCE($C105, ""price"", WORKDAY(INT($B105), 5)), 2, 2), """")=""""), """", IF($D105=""LONG"", (IFERROR(INDEX(GOOGLEFINANCE($C105, ""price"", WORKDAY(INT($B105), 5)), 2, 2), """")-$G105)/$G105, ($G105-IFERROR(IND"&amp;"EX(GOOGLEFINANCE($C105, ""price"", WORKDAY(INT($B105), 5)), 2, 2), """"))/$G105))"),"")</f>
        <v/>
      </c>
      <c r="S105" s="16" t="str">
        <f>IFERROR(__xludf.DUMMYFUNCTION("IF(OR(ISBLANK($G105), IFERROR(INDEX(GOOGLEFINANCE($C105, ""price"", WORKDAY(INT($B105), 20)), 2, 2), """")=""""), """", IF($D105=""LONG"", (IFERROR(INDEX(GOOGLEFINANCE($C105, ""price"", WORKDAY(INT($B105), 20)), 2, 2), """")-$G105)/$G105, ($G105-IFERROR(I"&amp;"NDEX(GOOGLEFINANCE($C105, ""price"", WORKDAY(INT($B105), 20)), 2, 2), """"))/$G105))"),"")</f>
        <v/>
      </c>
      <c r="T105" s="10" t="s">
        <v>5902</v>
      </c>
    </row>
    <row r="106">
      <c r="A106" s="9">
        <f t="shared" si="1"/>
        <v>105</v>
      </c>
      <c r="B106" s="11">
        <v>46234.66756944444</v>
      </c>
      <c r="C106" s="10" t="s">
        <v>52</v>
      </c>
      <c r="D106" s="10" t="s">
        <v>36</v>
      </c>
      <c r="E106" s="10" t="s">
        <v>37</v>
      </c>
      <c r="F106" s="13">
        <v>2.0</v>
      </c>
      <c r="G106" s="14">
        <v>119.48</v>
      </c>
      <c r="H106" s="10" t="s">
        <v>5903</v>
      </c>
      <c r="I106" s="10">
        <v>92.2</v>
      </c>
      <c r="O106" s="15">
        <f>IFERROR(__xludf.DUMMYFUNCTION("IF(ISBLANK($C106), """", GOOGLEFINANCE($C106, ""price""))"),118.38)</f>
        <v>118.38</v>
      </c>
      <c r="P106" s="16">
        <f t="shared" si="2"/>
        <v>-0.009206561768</v>
      </c>
      <c r="Q106" s="16">
        <f>IFERROR(__xludf.DUMMYFUNCTION("IF(OR(ISBLANK($G106), IFERROR(INDEX(GOOGLEFINANCE($C106, ""price"", WORKDAY(INT($B106), 1)), 2, 2), """")=""""), """", IF($D106=""LONG"", (IFERROR(INDEX(GOOGLEFINANCE($C106, ""price"", WORKDAY(INT($B106), 1)), 2, 2), """")-$G106)/$G106, ($G106-IFERROR(IND"&amp;"EX(GOOGLEFINANCE($C106, ""price"", WORKDAY(INT($B106), 1)), 2, 2), """"))/$G106))"),-0.00878808168731166)</f>
        <v>-0.008788081687</v>
      </c>
      <c r="R106" s="16" t="str">
        <f>IFERROR(__xludf.DUMMYFUNCTION("IF(OR(ISBLANK($G106), IFERROR(INDEX(GOOGLEFINANCE($C106, ""price"", WORKDAY(INT($B106), 5)), 2, 2), """")=""""), """", IF($D106=""LONG"", (IFERROR(INDEX(GOOGLEFINANCE($C106, ""price"", WORKDAY(INT($B106), 5)), 2, 2), """")-$G106)/$G106, ($G106-IFERROR(IND"&amp;"EX(GOOGLEFINANCE($C106, ""price"", WORKDAY(INT($B106), 5)), 2, 2), """"))/$G106))"),"")</f>
        <v/>
      </c>
      <c r="S106" s="16" t="str">
        <f>IFERROR(__xludf.DUMMYFUNCTION("IF(OR(ISBLANK($G106), IFERROR(INDEX(GOOGLEFINANCE($C106, ""price"", WORKDAY(INT($B106), 20)), 2, 2), """")=""""), """", IF($D106=""LONG"", (IFERROR(INDEX(GOOGLEFINANCE($C106, ""price"", WORKDAY(INT($B106), 20)), 2, 2), """")-$G106)/$G106, ($G106-IFERROR(I"&amp;"NDEX(GOOGLEFINANCE($C106, ""price"", WORKDAY(INT($B106), 20)), 2, 2), """"))/$G106))"),"")</f>
        <v/>
      </c>
      <c r="T106" s="10" t="s">
        <v>5908</v>
      </c>
    </row>
    <row r="107">
      <c r="A107" s="9">
        <f t="shared" si="1"/>
        <v>106</v>
      </c>
      <c r="B107" s="11">
        <v>46234.66767361111</v>
      </c>
      <c r="C107" s="10" t="s">
        <v>499</v>
      </c>
      <c r="D107" s="10" t="s">
        <v>36</v>
      </c>
      <c r="E107" s="10" t="s">
        <v>37</v>
      </c>
      <c r="F107" s="13">
        <v>2.0</v>
      </c>
      <c r="G107" s="14">
        <v>116.02</v>
      </c>
      <c r="H107" s="10" t="s">
        <v>5909</v>
      </c>
      <c r="I107" s="10">
        <v>88.3</v>
      </c>
      <c r="O107" s="15">
        <f>IFERROR(__xludf.DUMMYFUNCTION("IF(ISBLANK($C107), """", GOOGLEFINANCE($C107, ""price""))"),115.98)</f>
        <v>115.98</v>
      </c>
      <c r="P107" s="16">
        <f t="shared" si="2"/>
        <v>-0.0003447681434</v>
      </c>
      <c r="Q107" s="16">
        <f>IFERROR(__xludf.DUMMYFUNCTION("IF(OR(ISBLANK($G107), IFERROR(INDEX(GOOGLEFINANCE($C107, ""price"", WORKDAY(INT($B107), 1)), 2, 2), """")=""""), """", IF($D107=""LONG"", (IFERROR(INDEX(GOOGLEFINANCE($C107, ""price"", WORKDAY(INT($B107), 1)), 2, 2), """")-$G107)/$G107, ($G107-IFERROR(IND"&amp;"EX(GOOGLEFINANCE($C107, ""price"", WORKDAY(INT($B107), 1)), 2, 2), """"))/$G107))"),0.0019824168246854335)</f>
        <v>0.001982416825</v>
      </c>
      <c r="R107" s="16" t="str">
        <f>IFERROR(__xludf.DUMMYFUNCTION("IF(OR(ISBLANK($G107), IFERROR(INDEX(GOOGLEFINANCE($C107, ""price"", WORKDAY(INT($B107), 5)), 2, 2), """")=""""), """", IF($D107=""LONG"", (IFERROR(INDEX(GOOGLEFINANCE($C107, ""price"", WORKDAY(INT($B107), 5)), 2, 2), """")-$G107)/$G107, ($G107-IFERROR(IND"&amp;"EX(GOOGLEFINANCE($C107, ""price"", WORKDAY(INT($B107), 5)), 2, 2), """"))/$G107))"),"")</f>
        <v/>
      </c>
      <c r="S107" s="16" t="str">
        <f>IFERROR(__xludf.DUMMYFUNCTION("IF(OR(ISBLANK($G107), IFERROR(INDEX(GOOGLEFINANCE($C107, ""price"", WORKDAY(INT($B107), 20)), 2, 2), """")=""""), """", IF($D107=""LONG"", (IFERROR(INDEX(GOOGLEFINANCE($C107, ""price"", WORKDAY(INT($B107), 20)), 2, 2), """")-$G107)/$G107, ($G107-IFERROR(I"&amp;"NDEX(GOOGLEFINANCE($C107, ""price"", WORKDAY(INT($B107), 20)), 2, 2), """"))/$G107))"),"")</f>
        <v/>
      </c>
      <c r="T107" s="10" t="s">
        <v>5912</v>
      </c>
    </row>
    <row r="108">
      <c r="A108" s="9">
        <f t="shared" si="1"/>
        <v>107</v>
      </c>
      <c r="B108" s="11">
        <v>46234.66767361111</v>
      </c>
      <c r="C108" s="10" t="s">
        <v>424</v>
      </c>
      <c r="D108" s="10" t="s">
        <v>36</v>
      </c>
      <c r="E108" s="10" t="s">
        <v>37</v>
      </c>
      <c r="F108" s="13">
        <v>2.0</v>
      </c>
      <c r="G108" s="14">
        <v>85.25</v>
      </c>
      <c r="H108" s="10" t="s">
        <v>5914</v>
      </c>
      <c r="I108" s="10">
        <v>92.1</v>
      </c>
      <c r="O108" s="15">
        <f>IFERROR(__xludf.DUMMYFUNCTION("IF(ISBLANK($C108), """", GOOGLEFINANCE($C108, ""price""))"),84.35)</f>
        <v>84.35</v>
      </c>
      <c r="P108" s="16">
        <f t="shared" si="2"/>
        <v>-0.01055718475</v>
      </c>
      <c r="Q108" s="16">
        <f>IFERROR(__xludf.DUMMYFUNCTION("IF(OR(ISBLANK($G108), IFERROR(INDEX(GOOGLEFINANCE($C108, ""price"", WORKDAY(INT($B108), 1)), 2, 2), """")=""""), """", IF($D108=""LONG"", (IFERROR(INDEX(GOOGLEFINANCE($C108, ""price"", WORKDAY(INT($B108), 1)), 2, 2), """")-$G108)/$G108, ($G108-IFERROR(IND"&amp;"EX(GOOGLEFINANCE($C108, ""price"", WORKDAY(INT($B108), 1)), 2, 2), """"))/$G108))"),-0.0031671554252198945)</f>
        <v>-0.003167155425</v>
      </c>
      <c r="R108" s="16" t="str">
        <f>IFERROR(__xludf.DUMMYFUNCTION("IF(OR(ISBLANK($G108), IFERROR(INDEX(GOOGLEFINANCE($C108, ""price"", WORKDAY(INT($B108), 5)), 2, 2), """")=""""), """", IF($D108=""LONG"", (IFERROR(INDEX(GOOGLEFINANCE($C108, ""price"", WORKDAY(INT($B108), 5)), 2, 2), """")-$G108)/$G108, ($G108-IFERROR(IND"&amp;"EX(GOOGLEFINANCE($C108, ""price"", WORKDAY(INT($B108), 5)), 2, 2), """"))/$G108))"),"")</f>
        <v/>
      </c>
      <c r="S108" s="16" t="str">
        <f>IFERROR(__xludf.DUMMYFUNCTION("IF(OR(ISBLANK($G108), IFERROR(INDEX(GOOGLEFINANCE($C108, ""price"", WORKDAY(INT($B108), 20)), 2, 2), """")=""""), """", IF($D108=""LONG"", (IFERROR(INDEX(GOOGLEFINANCE($C108, ""price"", WORKDAY(INT($B108), 20)), 2, 2), """")-$G108)/$G108, ($G108-IFERROR(I"&amp;"NDEX(GOOGLEFINANCE($C108, ""price"", WORKDAY(INT($B108), 20)), 2, 2), """"))/$G108))"),"")</f>
        <v/>
      </c>
      <c r="T108" s="10" t="s">
        <v>5917</v>
      </c>
    </row>
    <row r="109">
      <c r="A109" s="9">
        <f t="shared" si="1"/>
        <v>108</v>
      </c>
      <c r="B109" s="11">
        <v>46234.66758101852</v>
      </c>
      <c r="C109" s="10" t="s">
        <v>3828</v>
      </c>
      <c r="D109" s="10" t="s">
        <v>36</v>
      </c>
      <c r="E109" s="10" t="s">
        <v>37</v>
      </c>
      <c r="F109" s="13">
        <v>2.0</v>
      </c>
      <c r="G109" s="14">
        <v>153.94</v>
      </c>
      <c r="H109" s="10" t="s">
        <v>1337</v>
      </c>
      <c r="I109" s="10">
        <v>97.9</v>
      </c>
      <c r="O109" s="15">
        <f>IFERROR(__xludf.DUMMYFUNCTION("IF(ISBLANK($C109), """", GOOGLEFINANCE($C109, ""price""))"),156.94)</f>
        <v>156.94</v>
      </c>
      <c r="P109" s="16">
        <f t="shared" si="2"/>
        <v>0.01948811225</v>
      </c>
      <c r="Q109" s="16">
        <f>IFERROR(__xludf.DUMMYFUNCTION("IF(OR(ISBLANK($G109), IFERROR(INDEX(GOOGLEFINANCE($C109, ""price"", WORKDAY(INT($B109), 1)), 2, 2), """")=""""), """", IF($D109=""LONG"", (IFERROR(INDEX(GOOGLEFINANCE($C109, ""price"", WORKDAY(INT($B109), 1)), 2, 2), """")-$G109)/$G109, ($G109-IFERROR(IND"&amp;"EX(GOOGLEFINANCE($C109, ""price"", WORKDAY(INT($B109), 1)), 2, 2), """"))/$G109))"),0.01682473691048463)</f>
        <v>0.01682473691</v>
      </c>
      <c r="R109" s="16" t="str">
        <f>IFERROR(__xludf.DUMMYFUNCTION("IF(OR(ISBLANK($G109), IFERROR(INDEX(GOOGLEFINANCE($C109, ""price"", WORKDAY(INT($B109), 5)), 2, 2), """")=""""), """", IF($D109=""LONG"", (IFERROR(INDEX(GOOGLEFINANCE($C109, ""price"", WORKDAY(INT($B109), 5)), 2, 2), """")-$G109)/$G109, ($G109-IFERROR(IND"&amp;"EX(GOOGLEFINANCE($C109, ""price"", WORKDAY(INT($B109), 5)), 2, 2), """"))/$G109))"),"")</f>
        <v/>
      </c>
      <c r="S109" s="16" t="str">
        <f>IFERROR(__xludf.DUMMYFUNCTION("IF(OR(ISBLANK($G109), IFERROR(INDEX(GOOGLEFINANCE($C109, ""price"", WORKDAY(INT($B109), 20)), 2, 2), """")=""""), """", IF($D109=""LONG"", (IFERROR(INDEX(GOOGLEFINANCE($C109, ""price"", WORKDAY(INT($B109), 20)), 2, 2), """")-$G109)/$G109, ($G109-IFERROR(I"&amp;"NDEX(GOOGLEFINANCE($C109, ""price"", WORKDAY(INT($B109), 20)), 2, 2), """"))/$G109))"),"")</f>
        <v/>
      </c>
      <c r="T109" s="10" t="s">
        <v>5925</v>
      </c>
    </row>
    <row r="110">
      <c r="A110" s="9">
        <f t="shared" si="1"/>
        <v>109</v>
      </c>
      <c r="B110" s="11">
        <v>46234.667662037034</v>
      </c>
      <c r="C110" s="10" t="s">
        <v>810</v>
      </c>
      <c r="D110" s="10" t="s">
        <v>36</v>
      </c>
      <c r="E110" s="10" t="s">
        <v>37</v>
      </c>
      <c r="F110" s="13">
        <v>2.0</v>
      </c>
      <c r="G110" s="14">
        <v>146.82</v>
      </c>
      <c r="H110" s="10" t="s">
        <v>5927</v>
      </c>
      <c r="I110" s="10">
        <v>90.6</v>
      </c>
      <c r="O110" s="15">
        <f>IFERROR(__xludf.DUMMYFUNCTION("IF(ISBLANK($C110), """", GOOGLEFINANCE($C110, ""price""))"),147.45)</f>
        <v>147.45</v>
      </c>
      <c r="P110" s="16">
        <f t="shared" si="2"/>
        <v>0.004290968533</v>
      </c>
      <c r="Q110" s="16">
        <f>IFERROR(__xludf.DUMMYFUNCTION("IF(OR(ISBLANK($G110), IFERROR(INDEX(GOOGLEFINANCE($C110, ""price"", WORKDAY(INT($B110), 1)), 2, 2), """")=""""), """", IF($D110=""LONG"", (IFERROR(INDEX(GOOGLEFINANCE($C110, ""price"", WORKDAY(INT($B110), 1)), 2, 2), """")-$G110)/$G110, ($G110-IFERROR(IND"&amp;"EX(GOOGLEFINANCE($C110, ""price"", WORKDAY(INT($B110), 1)), 2, 2), """"))/$G110))"),0.01096580847296018)</f>
        <v>0.01096580847</v>
      </c>
      <c r="R110" s="16" t="str">
        <f>IFERROR(__xludf.DUMMYFUNCTION("IF(OR(ISBLANK($G110), IFERROR(INDEX(GOOGLEFINANCE($C110, ""price"", WORKDAY(INT($B110), 5)), 2, 2), """")=""""), """", IF($D110=""LONG"", (IFERROR(INDEX(GOOGLEFINANCE($C110, ""price"", WORKDAY(INT($B110), 5)), 2, 2), """")-$G110)/$G110, ($G110-IFERROR(IND"&amp;"EX(GOOGLEFINANCE($C110, ""price"", WORKDAY(INT($B110), 5)), 2, 2), """"))/$G110))"),"")</f>
        <v/>
      </c>
      <c r="S110" s="16" t="str">
        <f>IFERROR(__xludf.DUMMYFUNCTION("IF(OR(ISBLANK($G110), IFERROR(INDEX(GOOGLEFINANCE($C110, ""price"", WORKDAY(INT($B110), 20)), 2, 2), """")=""""), """", IF($D110=""LONG"", (IFERROR(INDEX(GOOGLEFINANCE($C110, ""price"", WORKDAY(INT($B110), 20)), 2, 2), """")-$G110)/$G110, ($G110-IFERROR(I"&amp;"NDEX(GOOGLEFINANCE($C110, ""price"", WORKDAY(INT($B110), 20)), 2, 2), """"))/$G110))"),"")</f>
        <v/>
      </c>
      <c r="T110" s="10" t="s">
        <v>5932</v>
      </c>
    </row>
    <row r="111">
      <c r="A111" s="9">
        <f t="shared" si="1"/>
        <v>110</v>
      </c>
      <c r="B111" s="11">
        <v>46234.66763888889</v>
      </c>
      <c r="C111" s="10" t="s">
        <v>4646</v>
      </c>
      <c r="D111" s="10" t="s">
        <v>36</v>
      </c>
      <c r="E111" s="10" t="s">
        <v>37</v>
      </c>
      <c r="F111" s="13">
        <v>2.0</v>
      </c>
      <c r="G111" s="14">
        <v>134.9</v>
      </c>
      <c r="H111" s="10" t="s">
        <v>5934</v>
      </c>
      <c r="I111" s="10">
        <v>96.5</v>
      </c>
      <c r="O111" s="15">
        <f>IFERROR(__xludf.DUMMYFUNCTION("IF(ISBLANK($C111), """", GOOGLEFINANCE($C111, ""price""))"),144.03)</f>
        <v>144.03</v>
      </c>
      <c r="P111" s="16">
        <f t="shared" si="2"/>
        <v>0.06767976279</v>
      </c>
      <c r="Q111" s="16">
        <f>IFERROR(__xludf.DUMMYFUNCTION("IF(OR(ISBLANK($G111), IFERROR(INDEX(GOOGLEFINANCE($C111, ""price"", WORKDAY(INT($B111), 1)), 2, 2), """")=""""), """", IF($D111=""LONG"", (IFERROR(INDEX(GOOGLEFINANCE($C111, ""price"", WORKDAY(INT($B111), 1)), 2, 2), """")-$G111)/$G111, ($G111-IFERROR(IND"&amp;"EX(GOOGLEFINANCE($C111, ""price"", WORKDAY(INT($B111), 1)), 2, 2), """"))/$G111))"),0.028317272053372818)</f>
        <v>0.02831727205</v>
      </c>
      <c r="R111" s="16" t="str">
        <f>IFERROR(__xludf.DUMMYFUNCTION("IF(OR(ISBLANK($G111), IFERROR(INDEX(GOOGLEFINANCE($C111, ""price"", WORKDAY(INT($B111), 5)), 2, 2), """")=""""), """", IF($D111=""LONG"", (IFERROR(INDEX(GOOGLEFINANCE($C111, ""price"", WORKDAY(INT($B111), 5)), 2, 2), """")-$G111)/$G111, ($G111-IFERROR(IND"&amp;"EX(GOOGLEFINANCE($C111, ""price"", WORKDAY(INT($B111), 5)), 2, 2), """"))/$G111))"),"")</f>
        <v/>
      </c>
      <c r="S111" s="16" t="str">
        <f>IFERROR(__xludf.DUMMYFUNCTION("IF(OR(ISBLANK($G111), IFERROR(INDEX(GOOGLEFINANCE($C111, ""price"", WORKDAY(INT($B111), 20)), 2, 2), """")=""""), """", IF($D111=""LONG"", (IFERROR(INDEX(GOOGLEFINANCE($C111, ""price"", WORKDAY(INT($B111), 20)), 2, 2), """")-$G111)/$G111, ($G111-IFERROR(I"&amp;"NDEX(GOOGLEFINANCE($C111, ""price"", WORKDAY(INT($B111), 20)), 2, 2), """"))/$G111))"),"")</f>
        <v/>
      </c>
      <c r="T111" s="10" t="s">
        <v>5936</v>
      </c>
    </row>
    <row r="112">
      <c r="A112" s="9">
        <f t="shared" si="1"/>
        <v>111</v>
      </c>
      <c r="B112" s="11">
        <v>46234.667604166665</v>
      </c>
      <c r="C112" s="10" t="s">
        <v>67</v>
      </c>
      <c r="D112" s="10" t="s">
        <v>36</v>
      </c>
      <c r="E112" s="10" t="s">
        <v>37</v>
      </c>
      <c r="F112" s="13">
        <v>2.0</v>
      </c>
      <c r="G112" s="14">
        <v>86.26</v>
      </c>
      <c r="H112" s="10" t="s">
        <v>5938</v>
      </c>
      <c r="I112" s="10">
        <v>93.5</v>
      </c>
      <c r="O112" s="15">
        <f>IFERROR(__xludf.DUMMYFUNCTION("IF(ISBLANK($C112), """", GOOGLEFINANCE($C112, ""price""))"),80.02)</f>
        <v>80.02</v>
      </c>
      <c r="P112" s="16">
        <f t="shared" si="2"/>
        <v>-0.07233943891</v>
      </c>
      <c r="Q112" s="16">
        <f>IFERROR(__xludf.DUMMYFUNCTION("IF(OR(ISBLANK($G112), IFERROR(INDEX(GOOGLEFINANCE($C112, ""price"", WORKDAY(INT($B112), 1)), 2, 2), """")=""""), """", IF($D112=""LONG"", (IFERROR(INDEX(GOOGLEFINANCE($C112, ""price"", WORKDAY(INT($B112), 1)), 2, 2), """")-$G112)/$G112, ($G112-IFERROR(IND"&amp;"EX(GOOGLEFINANCE($C112, ""price"", WORKDAY(INT($B112), 1)), 2, 2), """"))/$G112))"),-0.011708787386969685)</f>
        <v>-0.01170878739</v>
      </c>
      <c r="R112" s="16" t="str">
        <f>IFERROR(__xludf.DUMMYFUNCTION("IF(OR(ISBLANK($G112), IFERROR(INDEX(GOOGLEFINANCE($C112, ""price"", WORKDAY(INT($B112), 5)), 2, 2), """")=""""), """", IF($D112=""LONG"", (IFERROR(INDEX(GOOGLEFINANCE($C112, ""price"", WORKDAY(INT($B112), 5)), 2, 2), """")-$G112)/$G112, ($G112-IFERROR(IND"&amp;"EX(GOOGLEFINANCE($C112, ""price"", WORKDAY(INT($B112), 5)), 2, 2), """"))/$G112))"),"")</f>
        <v/>
      </c>
      <c r="S112" s="16" t="str">
        <f>IFERROR(__xludf.DUMMYFUNCTION("IF(OR(ISBLANK($G112), IFERROR(INDEX(GOOGLEFINANCE($C112, ""price"", WORKDAY(INT($B112), 20)), 2, 2), """")=""""), """", IF($D112=""LONG"", (IFERROR(INDEX(GOOGLEFINANCE($C112, ""price"", WORKDAY(INT($B112), 20)), 2, 2), """")-$G112)/$G112, ($G112-IFERROR(I"&amp;"NDEX(GOOGLEFINANCE($C112, ""price"", WORKDAY(INT($B112), 20)), 2, 2), """"))/$G112))"),"")</f>
        <v/>
      </c>
      <c r="T112" s="10" t="s">
        <v>5944</v>
      </c>
    </row>
    <row r="113">
      <c r="A113" s="9">
        <f t="shared" si="1"/>
        <v>112</v>
      </c>
      <c r="B113" s="11">
        <v>46234.66756944444</v>
      </c>
      <c r="C113" s="10" t="s">
        <v>98</v>
      </c>
      <c r="D113" s="10" t="s">
        <v>36</v>
      </c>
      <c r="E113" s="10" t="s">
        <v>37</v>
      </c>
      <c r="F113" s="13">
        <v>2.0</v>
      </c>
      <c r="G113" s="14">
        <v>30.95</v>
      </c>
      <c r="H113" s="10" t="s">
        <v>5945</v>
      </c>
      <c r="I113" s="10">
        <v>82.1</v>
      </c>
      <c r="O113" s="15">
        <f>IFERROR(__xludf.DUMMYFUNCTION("IF(ISBLANK($C113), """", GOOGLEFINANCE($C113, ""price""))"),31.39)</f>
        <v>31.39</v>
      </c>
      <c r="P113" s="16">
        <f t="shared" si="2"/>
        <v>0.01421647819</v>
      </c>
      <c r="Q113" s="16">
        <f>IFERROR(__xludf.DUMMYFUNCTION("IF(OR(ISBLANK($G113), IFERROR(INDEX(GOOGLEFINANCE($C113, ""price"", WORKDAY(INT($B113), 1)), 2, 2), """")=""""), """", IF($D113=""LONG"", (IFERROR(INDEX(GOOGLEFINANCE($C113, ""price"", WORKDAY(INT($B113), 1)), 2, 2), """")-$G113)/$G113, ($G113-IFERROR(IND"&amp;"EX(GOOGLEFINANCE($C113, ""price"", WORKDAY(INT($B113), 1)), 2, 2), """"))/$G113))"),0.01712439418416805)</f>
        <v>0.01712439418</v>
      </c>
      <c r="R113" s="16" t="str">
        <f>IFERROR(__xludf.DUMMYFUNCTION("IF(OR(ISBLANK($G113), IFERROR(INDEX(GOOGLEFINANCE($C113, ""price"", WORKDAY(INT($B113), 5)), 2, 2), """")=""""), """", IF($D113=""LONG"", (IFERROR(INDEX(GOOGLEFINANCE($C113, ""price"", WORKDAY(INT($B113), 5)), 2, 2), """")-$G113)/$G113, ($G113-IFERROR(IND"&amp;"EX(GOOGLEFINANCE($C113, ""price"", WORKDAY(INT($B113), 5)), 2, 2), """"))/$G113))"),"")</f>
        <v/>
      </c>
      <c r="S113" s="16" t="str">
        <f>IFERROR(__xludf.DUMMYFUNCTION("IF(OR(ISBLANK($G113), IFERROR(INDEX(GOOGLEFINANCE($C113, ""price"", WORKDAY(INT($B113), 20)), 2, 2), """")=""""), """", IF($D113=""LONG"", (IFERROR(INDEX(GOOGLEFINANCE($C113, ""price"", WORKDAY(INT($B113), 20)), 2, 2), """")-$G113)/$G113, ($G113-IFERROR(I"&amp;"NDEX(GOOGLEFINANCE($C113, ""price"", WORKDAY(INT($B113), 20)), 2, 2), """"))/$G113))"),"")</f>
        <v/>
      </c>
      <c r="T113" s="10" t="s">
        <v>5949</v>
      </c>
    </row>
    <row r="114">
      <c r="B114" s="43"/>
      <c r="G114" s="15"/>
      <c r="O114" s="15"/>
      <c r="P114" s="16"/>
      <c r="Q114" s="16"/>
      <c r="R114" s="16"/>
      <c r="S114" s="16"/>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94" si="1">ROW()-1</f>
        <v>1</v>
      </c>
      <c r="B2" s="11">
        <v>46237.66737268519</v>
      </c>
      <c r="C2" s="10" t="s">
        <v>397</v>
      </c>
      <c r="D2" s="10" t="s">
        <v>36</v>
      </c>
      <c r="E2" s="10" t="s">
        <v>37</v>
      </c>
      <c r="F2" s="13">
        <v>2.0</v>
      </c>
      <c r="G2" s="14">
        <v>298.13</v>
      </c>
      <c r="H2" s="10" t="s">
        <v>5743</v>
      </c>
      <c r="I2" s="10">
        <v>86.0</v>
      </c>
      <c r="O2" s="15">
        <f>IFERROR(__xludf.DUMMYFUNCTION("IF(ISBLANK($C2), """", GOOGLEFINANCE($C2, ""price""))"),306.57)</f>
        <v>306.57</v>
      </c>
      <c r="P2" s="16">
        <f t="shared" ref="P2:P94" si="2">IF(OR(ISBLANK($G2), ISBLANK($O2)), "", IF($D2="LONG", ($O2-$G2)/$G2, ($G2-$O2)/$G2))</f>
        <v>0.02830979774</v>
      </c>
      <c r="Q2" s="16">
        <f>IFERROR(__xludf.DUMMYFUNCTION("IF(OR(ISBLANK($G2), IFERROR(INDEX(GOOGLEFINANCE($C2, ""price"", WORKDAY(INT($B2), 1)), 2, 2), """")=""""), """", IF($D2=""LONG"", (IFERROR(INDEX(GOOGLEFINANCE($C2, ""price"", WORKDAY(INT($B2), 1)), 2, 2), """")-$G2)/$G2, ($G2-IFERROR(INDEX(GOOGLEFINANCE($"&amp;"C2, ""price"", WORKDAY(INT($B2), 1)), 2, 2), """"))/$G2))"),0.04672458323550131)</f>
        <v>0.04672458324</v>
      </c>
      <c r="R2" s="16" t="str">
        <f>IFERROR(__xludf.DUMMYFUNCTION("IF(OR(ISBLANK($G2), IFERROR(INDEX(GOOGLEFINANCE($C2, ""price"", WORKDAY(INT($B2), 5)), 2, 2), """")=""""), """", IF($D2=""LONG"", (IFERROR(INDEX(GOOGLEFINANCE($C2, ""price"", WORKDAY(INT($B2), 5)), 2, 2), """")-$G2)/$G2, ($G2-IFERROR(INDEX(GOOGLEFINANCE($"&amp;"C2, ""price"", WORKDAY(INT($B2), 5)), 2, 2), """"))/$G2))"),"")</f>
        <v/>
      </c>
      <c r="S2" s="16" t="str">
        <f>IFERROR(__xludf.DUMMYFUNCTION("IF(OR(ISBLANK($G2), IFERROR(INDEX(GOOGLEFINANCE($C2, ""price"", WORKDAY(INT($B2), 20)), 2, 2), """")=""""), """", IF($D2=""LONG"", (IFERROR(INDEX(GOOGLEFINANCE($C2, ""price"", WORKDAY(INT($B2), 20)), 2, 2), """")-$G2)/$G2, ($G2-IFERROR(INDEX(GOOGLEFINANCE"&amp;"($C2, ""price"", WORKDAY(INT($B2), 20)), 2, 2), """"))/$G2))"),"")</f>
        <v/>
      </c>
      <c r="T2" s="10" t="s">
        <v>5753</v>
      </c>
    </row>
    <row r="3">
      <c r="A3" s="9">
        <f t="shared" si="1"/>
        <v>2</v>
      </c>
      <c r="B3" s="11">
        <v>46237.66738425926</v>
      </c>
      <c r="C3" s="10" t="s">
        <v>2250</v>
      </c>
      <c r="D3" s="10" t="s">
        <v>36</v>
      </c>
      <c r="E3" s="10" t="s">
        <v>37</v>
      </c>
      <c r="F3" s="13">
        <v>2.0</v>
      </c>
      <c r="G3" s="14">
        <v>247.79</v>
      </c>
      <c r="H3" s="10" t="s">
        <v>5755</v>
      </c>
      <c r="I3" s="10">
        <v>97.1</v>
      </c>
      <c r="O3" s="15">
        <f>IFERROR(__xludf.DUMMYFUNCTION("IF(ISBLANK($C3), """", GOOGLEFINANCE($C3, ""price""))"),251.74)</f>
        <v>251.74</v>
      </c>
      <c r="P3" s="16">
        <f t="shared" si="2"/>
        <v>0.01594091771</v>
      </c>
      <c r="Q3" s="16">
        <f>IFERROR(__xludf.DUMMYFUNCTION("IF(OR(ISBLANK($G3), IFERROR(INDEX(GOOGLEFINANCE($C3, ""price"", WORKDAY(INT($B3), 1)), 2, 2), """")=""""), """", IF($D3=""LONG"", (IFERROR(INDEX(GOOGLEFINANCE($C3, ""price"", WORKDAY(INT($B3), 1)), 2, 2), """")-$G3)/$G3, ($G3-IFERROR(INDEX(GOOGLEFINANCE($"&amp;"C3, ""price"", WORKDAY(INT($B3), 1)), 2, 2), """"))/$G3))"),0.0010896323499738094)</f>
        <v>0.00108963235</v>
      </c>
      <c r="R3" s="16" t="str">
        <f>IFERROR(__xludf.DUMMYFUNCTION("IF(OR(ISBLANK($G3), IFERROR(INDEX(GOOGLEFINANCE($C3, ""price"", WORKDAY(INT($B3), 5)), 2, 2), """")=""""), """", IF($D3=""LONG"", (IFERROR(INDEX(GOOGLEFINANCE($C3, ""price"", WORKDAY(INT($B3), 5)), 2, 2), """")-$G3)/$G3, ($G3-IFERROR(INDEX(GOOGLEFINANCE($"&amp;"C3, ""price"", WORKDAY(INT($B3), 5)), 2, 2), """"))/$G3))"),"")</f>
        <v/>
      </c>
      <c r="S3" s="16" t="str">
        <f>IFERROR(__xludf.DUMMYFUNCTION("IF(OR(ISBLANK($G3), IFERROR(INDEX(GOOGLEFINANCE($C3, ""price"", WORKDAY(INT($B3), 20)), 2, 2), """")=""""), """", IF($D3=""LONG"", (IFERROR(INDEX(GOOGLEFINANCE($C3, ""price"", WORKDAY(INT($B3), 20)), 2, 2), """")-$G3)/$G3, ($G3-IFERROR(INDEX(GOOGLEFINANCE"&amp;"($C3, ""price"", WORKDAY(INT($B3), 20)), 2, 2), """"))/$G3))"),"")</f>
        <v/>
      </c>
      <c r="T3" s="10" t="s">
        <v>5761</v>
      </c>
    </row>
    <row r="4">
      <c r="A4" s="9">
        <f t="shared" si="1"/>
        <v>3</v>
      </c>
      <c r="B4" s="11">
        <v>46237.667395833334</v>
      </c>
      <c r="C4" s="10" t="s">
        <v>267</v>
      </c>
      <c r="D4" s="10" t="s">
        <v>36</v>
      </c>
      <c r="E4" s="10" t="s">
        <v>37</v>
      </c>
      <c r="F4" s="13">
        <v>2.0</v>
      </c>
      <c r="G4" s="14">
        <v>200.51</v>
      </c>
      <c r="H4" s="10" t="s">
        <v>5763</v>
      </c>
      <c r="I4" s="10">
        <v>93.7</v>
      </c>
      <c r="O4" s="15">
        <f>IFERROR(__xludf.DUMMYFUNCTION("IF(ISBLANK($C4), """", GOOGLEFINANCE($C4, ""price""))"),213.26)</f>
        <v>213.26</v>
      </c>
      <c r="P4" s="16">
        <f t="shared" si="2"/>
        <v>0.06358785098</v>
      </c>
      <c r="Q4" s="16">
        <f>IFERROR(__xludf.DUMMYFUNCTION("IF(OR(ISBLANK($G4), IFERROR(INDEX(GOOGLEFINANCE($C4, ""price"", WORKDAY(INT($B4), 1)), 2, 2), """")=""""), """", IF($D4=""LONG"", (IFERROR(INDEX(GOOGLEFINANCE($C4, ""price"", WORKDAY(INT($B4), 1)), 2, 2), """")-$G4)/$G4, ($G4-IFERROR(INDEX(GOOGLEFINANCE($"&amp;"C4, ""price"", WORKDAY(INT($B4), 1)), 2, 2), """"))/$G4))"),0.009276345319435508)</f>
        <v>0.009276345319</v>
      </c>
      <c r="R4" s="16" t="str">
        <f>IFERROR(__xludf.DUMMYFUNCTION("IF(OR(ISBLANK($G4), IFERROR(INDEX(GOOGLEFINANCE($C4, ""price"", WORKDAY(INT($B4), 5)), 2, 2), """")=""""), """", IF($D4=""LONG"", (IFERROR(INDEX(GOOGLEFINANCE($C4, ""price"", WORKDAY(INT($B4), 5)), 2, 2), """")-$G4)/$G4, ($G4-IFERROR(INDEX(GOOGLEFINANCE($"&amp;"C4, ""price"", WORKDAY(INT($B4), 5)), 2, 2), """"))/$G4))"),"")</f>
        <v/>
      </c>
      <c r="S4" s="16" t="str">
        <f>IFERROR(__xludf.DUMMYFUNCTION("IF(OR(ISBLANK($G4), IFERROR(INDEX(GOOGLEFINANCE($C4, ""price"", WORKDAY(INT($B4), 20)), 2, 2), """")=""""), """", IF($D4=""LONG"", (IFERROR(INDEX(GOOGLEFINANCE($C4, ""price"", WORKDAY(INT($B4), 20)), 2, 2), """")-$G4)/$G4, ($G4-IFERROR(INDEX(GOOGLEFINANCE"&amp;"($C4, ""price"", WORKDAY(INT($B4), 20)), 2, 2), """"))/$G4))"),"")</f>
        <v/>
      </c>
      <c r="T4" s="10" t="s">
        <v>5765</v>
      </c>
    </row>
    <row r="5">
      <c r="A5" s="9">
        <f t="shared" si="1"/>
        <v>4</v>
      </c>
      <c r="B5" s="11">
        <v>46237.66748842593</v>
      </c>
      <c r="C5" s="10" t="s">
        <v>76</v>
      </c>
      <c r="D5" s="10" t="s">
        <v>36</v>
      </c>
      <c r="E5" s="10" t="s">
        <v>37</v>
      </c>
      <c r="F5" s="13">
        <v>2.0</v>
      </c>
      <c r="G5" s="14">
        <v>288.56</v>
      </c>
      <c r="H5" s="10" t="s">
        <v>5766</v>
      </c>
      <c r="I5" s="10">
        <v>93.5</v>
      </c>
      <c r="O5" s="15">
        <f>IFERROR(__xludf.DUMMYFUNCTION("IF(ISBLANK($C5), """", GOOGLEFINANCE($C5, ""price""))"),294.7)</f>
        <v>294.7</v>
      </c>
      <c r="P5" s="16">
        <f t="shared" si="2"/>
        <v>0.02127807042</v>
      </c>
      <c r="Q5" s="16">
        <f>IFERROR(__xludf.DUMMYFUNCTION("IF(OR(ISBLANK($G5), IFERROR(INDEX(GOOGLEFINANCE($C5, ""price"", WORKDAY(INT($B5), 1)), 2, 2), """")=""""), """", IF($D5=""LONG"", (IFERROR(INDEX(GOOGLEFINANCE($C5, ""price"", WORKDAY(INT($B5), 1)), 2, 2), """")-$G5)/$G5, ($G5-IFERROR(INDEX(GOOGLEFINANCE($"&amp;"C5, ""price"", WORKDAY(INT($B5), 1)), 2, 2), """"))/$G5))"),0.022525644579983364)</f>
        <v>0.02252564458</v>
      </c>
      <c r="R5" s="16" t="str">
        <f>IFERROR(__xludf.DUMMYFUNCTION("IF(OR(ISBLANK($G5), IFERROR(INDEX(GOOGLEFINANCE($C5, ""price"", WORKDAY(INT($B5), 5)), 2, 2), """")=""""), """", IF($D5=""LONG"", (IFERROR(INDEX(GOOGLEFINANCE($C5, ""price"", WORKDAY(INT($B5), 5)), 2, 2), """")-$G5)/$G5, ($G5-IFERROR(INDEX(GOOGLEFINANCE($"&amp;"C5, ""price"", WORKDAY(INT($B5), 5)), 2, 2), """"))/$G5))"),"")</f>
        <v/>
      </c>
      <c r="S5" s="16" t="str">
        <f>IFERROR(__xludf.DUMMYFUNCTION("IF(OR(ISBLANK($G5), IFERROR(INDEX(GOOGLEFINANCE($C5, ""price"", WORKDAY(INT($B5), 20)), 2, 2), """")=""""), """", IF($D5=""LONG"", (IFERROR(INDEX(GOOGLEFINANCE($C5, ""price"", WORKDAY(INT($B5), 20)), 2, 2), """")-$G5)/$G5, ($G5-IFERROR(INDEX(GOOGLEFINANCE"&amp;"($C5, ""price"", WORKDAY(INT($B5), 20)), 2, 2), """"))/$G5))"),"")</f>
        <v/>
      </c>
      <c r="T5" s="10" t="s">
        <v>5769</v>
      </c>
    </row>
    <row r="6">
      <c r="A6" s="9">
        <f t="shared" si="1"/>
        <v>5</v>
      </c>
      <c r="B6" s="11">
        <v>46237.667395833334</v>
      </c>
      <c r="C6" s="10" t="s">
        <v>52</v>
      </c>
      <c r="D6" s="10" t="s">
        <v>36</v>
      </c>
      <c r="E6" s="10" t="s">
        <v>37</v>
      </c>
      <c r="F6" s="13">
        <v>2.0</v>
      </c>
      <c r="G6" s="14">
        <v>118.44</v>
      </c>
      <c r="H6" s="10" t="s">
        <v>5771</v>
      </c>
      <c r="I6" s="10">
        <v>93.0</v>
      </c>
      <c r="O6" s="15">
        <f>IFERROR(__xludf.DUMMYFUNCTION("IF(ISBLANK($C6), """", GOOGLEFINANCE($C6, ""price""))"),118.38)</f>
        <v>118.38</v>
      </c>
      <c r="P6" s="16">
        <f t="shared" si="2"/>
        <v>-0.000506585613</v>
      </c>
      <c r="Q6" s="16">
        <f>IFERROR(__xludf.DUMMYFUNCTION("IF(OR(ISBLANK($G6), IFERROR(INDEX(GOOGLEFINANCE($C6, ""price"", WORKDAY(INT($B6), 1)), 2, 2), """")=""""), """", IF($D6=""LONG"", (IFERROR(INDEX(GOOGLEFINANCE($C6, ""price"", WORKDAY(INT($B6), 1)), 2, 2), """")-$G6)/$G6, ($G6-IFERROR(INDEX(GOOGLEFINANCE($"&amp;"C6, ""price"", WORKDAY(INT($B6), 1)), 2, 2), """"))/$G6))"),0.018237082066869272)</f>
        <v>0.01823708207</v>
      </c>
      <c r="R6" s="16" t="str">
        <f>IFERROR(__xludf.DUMMYFUNCTION("IF(OR(ISBLANK($G6), IFERROR(INDEX(GOOGLEFINANCE($C6, ""price"", WORKDAY(INT($B6), 5)), 2, 2), """")=""""), """", IF($D6=""LONG"", (IFERROR(INDEX(GOOGLEFINANCE($C6, ""price"", WORKDAY(INT($B6), 5)), 2, 2), """")-$G6)/$G6, ($G6-IFERROR(INDEX(GOOGLEFINANCE($"&amp;"C6, ""price"", WORKDAY(INT($B6), 5)), 2, 2), """"))/$G6))"),"")</f>
        <v/>
      </c>
      <c r="S6" s="16" t="str">
        <f>IFERROR(__xludf.DUMMYFUNCTION("IF(OR(ISBLANK($G6), IFERROR(INDEX(GOOGLEFINANCE($C6, ""price"", WORKDAY(INT($B6), 20)), 2, 2), """")=""""), """", IF($D6=""LONG"", (IFERROR(INDEX(GOOGLEFINANCE($C6, ""price"", WORKDAY(INT($B6), 20)), 2, 2), """")-$G6)/$G6, ($G6-IFERROR(INDEX(GOOGLEFINANCE"&amp;"($C6, ""price"", WORKDAY(INT($B6), 20)), 2, 2), """"))/$G6))"),"")</f>
        <v/>
      </c>
      <c r="T6" s="10" t="s">
        <v>5773</v>
      </c>
    </row>
    <row r="7">
      <c r="A7" s="9">
        <f t="shared" si="1"/>
        <v>6</v>
      </c>
      <c r="B7" s="11">
        <v>46237.66741898148</v>
      </c>
      <c r="C7" s="10" t="s">
        <v>332</v>
      </c>
      <c r="D7" s="10" t="s">
        <v>36</v>
      </c>
      <c r="E7" s="10" t="s">
        <v>37</v>
      </c>
      <c r="F7" s="13">
        <v>2.0</v>
      </c>
      <c r="G7" s="14">
        <v>86.46</v>
      </c>
      <c r="H7" s="10" t="s">
        <v>5775</v>
      </c>
      <c r="I7" s="10">
        <v>89.2</v>
      </c>
      <c r="O7" s="15">
        <f>IFERROR(__xludf.DUMMYFUNCTION("IF(ISBLANK($C7), """", GOOGLEFINANCE($C7, ""price""))"),88.23)</f>
        <v>88.23</v>
      </c>
      <c r="P7" s="16">
        <f t="shared" si="2"/>
        <v>0.02047189452</v>
      </c>
      <c r="Q7" s="16">
        <f>IFERROR(__xludf.DUMMYFUNCTION("IF(OR(ISBLANK($G7), IFERROR(INDEX(GOOGLEFINANCE($C7, ""price"", WORKDAY(INT($B7), 1)), 2, 2), """")=""""), """", IF($D7=""LONG"", (IFERROR(INDEX(GOOGLEFINANCE($C7, ""price"", WORKDAY(INT($B7), 1)), 2, 2), """")-$G7)/$G7, ($G7-IFERROR(INDEX(GOOGLEFINANCE($"&amp;"C7, ""price"", WORKDAY(INT($B7), 1)), 2, 2), """"))/$G7))"),0.03065001156604217)</f>
        <v>0.03065001157</v>
      </c>
      <c r="R7" s="16" t="str">
        <f>IFERROR(__xludf.DUMMYFUNCTION("IF(OR(ISBLANK($G7), IFERROR(INDEX(GOOGLEFINANCE($C7, ""price"", WORKDAY(INT($B7), 5)), 2, 2), """")=""""), """", IF($D7=""LONG"", (IFERROR(INDEX(GOOGLEFINANCE($C7, ""price"", WORKDAY(INT($B7), 5)), 2, 2), """")-$G7)/$G7, ($G7-IFERROR(INDEX(GOOGLEFINANCE($"&amp;"C7, ""price"", WORKDAY(INT($B7), 5)), 2, 2), """"))/$G7))"),"")</f>
        <v/>
      </c>
      <c r="S7" s="16" t="str">
        <f>IFERROR(__xludf.DUMMYFUNCTION("IF(OR(ISBLANK($G7), IFERROR(INDEX(GOOGLEFINANCE($C7, ""price"", WORKDAY(INT($B7), 20)), 2, 2), """")=""""), """", IF($D7=""LONG"", (IFERROR(INDEX(GOOGLEFINANCE($C7, ""price"", WORKDAY(INT($B7), 20)), 2, 2), """")-$G7)/$G7, ($G7-IFERROR(INDEX(GOOGLEFINANCE"&amp;"($C7, ""price"", WORKDAY(INT($B7), 20)), 2, 2), """"))/$G7))"),"")</f>
        <v/>
      </c>
      <c r="T7" s="10" t="s">
        <v>5777</v>
      </c>
    </row>
    <row r="8">
      <c r="A8" s="9">
        <f t="shared" si="1"/>
        <v>7</v>
      </c>
      <c r="B8" s="11">
        <v>46237.66741898148</v>
      </c>
      <c r="C8" s="10" t="s">
        <v>3566</v>
      </c>
      <c r="D8" s="10" t="s">
        <v>36</v>
      </c>
      <c r="E8" s="10" t="s">
        <v>37</v>
      </c>
      <c r="F8" s="13">
        <v>2.0</v>
      </c>
      <c r="G8" s="14">
        <v>357.47</v>
      </c>
      <c r="H8" s="10" t="s">
        <v>5779</v>
      </c>
      <c r="I8" s="10">
        <v>93.4</v>
      </c>
      <c r="O8" s="15">
        <f>IFERROR(__xludf.DUMMYFUNCTION("IF(ISBLANK($C8), """", GOOGLEFINANCE($C8, ""price""))"),360.75)</f>
        <v>360.75</v>
      </c>
      <c r="P8" s="16">
        <f t="shared" si="2"/>
        <v>0.009175595155</v>
      </c>
      <c r="Q8" s="16">
        <f>IFERROR(__xludf.DUMMYFUNCTION("IF(OR(ISBLANK($G8), IFERROR(INDEX(GOOGLEFINANCE($C8, ""price"", WORKDAY(INT($B8), 1)), 2, 2), """")=""""), """", IF($D8=""LONG"", (IFERROR(INDEX(GOOGLEFINANCE($C8, ""price"", WORKDAY(INT($B8), 1)), 2, 2), """")-$G8)/$G8, ($G8-IFERROR(INDEX(GOOGLEFINANCE($"&amp;"C8, ""price"", WORKDAY(INT($B8), 1)), 2, 2), """"))/$G8))"),-0.0022938987887096817)</f>
        <v>-0.002293898789</v>
      </c>
      <c r="R8" s="16" t="str">
        <f>IFERROR(__xludf.DUMMYFUNCTION("IF(OR(ISBLANK($G8), IFERROR(INDEX(GOOGLEFINANCE($C8, ""price"", WORKDAY(INT($B8), 5)), 2, 2), """")=""""), """", IF($D8=""LONG"", (IFERROR(INDEX(GOOGLEFINANCE($C8, ""price"", WORKDAY(INT($B8), 5)), 2, 2), """")-$G8)/$G8, ($G8-IFERROR(INDEX(GOOGLEFINANCE($"&amp;"C8, ""price"", WORKDAY(INT($B8), 5)), 2, 2), """"))/$G8))"),"")</f>
        <v/>
      </c>
      <c r="S8" s="16" t="str">
        <f>IFERROR(__xludf.DUMMYFUNCTION("IF(OR(ISBLANK($G8), IFERROR(INDEX(GOOGLEFINANCE($C8, ""price"", WORKDAY(INT($B8), 20)), 2, 2), """")=""""), """", IF($D8=""LONG"", (IFERROR(INDEX(GOOGLEFINANCE($C8, ""price"", WORKDAY(INT($B8), 20)), 2, 2), """")-$G8)/$G8, ($G8-IFERROR(INDEX(GOOGLEFINANCE"&amp;"($C8, ""price"", WORKDAY(INT($B8), 20)), 2, 2), """"))/$G8))"),"")</f>
        <v/>
      </c>
      <c r="T8" s="10" t="s">
        <v>5781</v>
      </c>
    </row>
    <row r="9">
      <c r="A9" s="9">
        <f t="shared" si="1"/>
        <v>8</v>
      </c>
      <c r="B9" s="11">
        <v>46237.66736111111</v>
      </c>
      <c r="C9" s="10" t="s">
        <v>398</v>
      </c>
      <c r="D9" s="10" t="s">
        <v>36</v>
      </c>
      <c r="E9" s="10" t="s">
        <v>37</v>
      </c>
      <c r="F9" s="13">
        <v>2.0</v>
      </c>
      <c r="G9" s="14">
        <v>72.15</v>
      </c>
      <c r="H9" s="10" t="s">
        <v>5783</v>
      </c>
      <c r="I9" s="10">
        <v>89.2</v>
      </c>
      <c r="O9" s="15">
        <f>IFERROR(__xludf.DUMMYFUNCTION("IF(ISBLANK($C9), """", GOOGLEFINANCE($C9, ""price""))"),71.9)</f>
        <v>71.9</v>
      </c>
      <c r="P9" s="16">
        <f t="shared" si="2"/>
        <v>-0.003465003465</v>
      </c>
      <c r="Q9" s="16">
        <f>IFERROR(__xludf.DUMMYFUNCTION("IF(OR(ISBLANK($G9), IFERROR(INDEX(GOOGLEFINANCE($C9, ""price"", WORKDAY(INT($B9), 1)), 2, 2), """")=""""), """", IF($D9=""LONG"", (IFERROR(INDEX(GOOGLEFINANCE($C9, ""price"", WORKDAY(INT($B9), 1)), 2, 2), """")-$G9)/$G9, ($G9-IFERROR(INDEX(GOOGLEFINANCE($"&amp;"C9, ""price"", WORKDAY(INT($B9), 1)), 2, 2), """"))/$G9))"),-8.316008316008631E-4)</f>
        <v>-0.0008316008316</v>
      </c>
      <c r="R9" s="16" t="str">
        <f>IFERROR(__xludf.DUMMYFUNCTION("IF(OR(ISBLANK($G9), IFERROR(INDEX(GOOGLEFINANCE($C9, ""price"", WORKDAY(INT($B9), 5)), 2, 2), """")=""""), """", IF($D9=""LONG"", (IFERROR(INDEX(GOOGLEFINANCE($C9, ""price"", WORKDAY(INT($B9), 5)), 2, 2), """")-$G9)/$G9, ($G9-IFERROR(INDEX(GOOGLEFINANCE($"&amp;"C9, ""price"", WORKDAY(INT($B9), 5)), 2, 2), """"))/$G9))"),"")</f>
        <v/>
      </c>
      <c r="S9" s="16" t="str">
        <f>IFERROR(__xludf.DUMMYFUNCTION("IF(OR(ISBLANK($G9), IFERROR(INDEX(GOOGLEFINANCE($C9, ""price"", WORKDAY(INT($B9), 20)), 2, 2), """")=""""), """", IF($D9=""LONG"", (IFERROR(INDEX(GOOGLEFINANCE($C9, ""price"", WORKDAY(INT($B9), 20)), 2, 2), """")-$G9)/$G9, ($G9-IFERROR(INDEX(GOOGLEFINANCE"&amp;"($C9, ""price"", WORKDAY(INT($B9), 20)), 2, 2), """"))/$G9))"),"")</f>
        <v/>
      </c>
      <c r="T9" s="10" t="s">
        <v>5785</v>
      </c>
    </row>
    <row r="10">
      <c r="A10" s="9">
        <f t="shared" si="1"/>
        <v>9</v>
      </c>
      <c r="B10" s="11">
        <v>46237.66744212963</v>
      </c>
      <c r="C10" s="10" t="s">
        <v>4463</v>
      </c>
      <c r="D10" s="10" t="s">
        <v>36</v>
      </c>
      <c r="E10" s="10" t="s">
        <v>37</v>
      </c>
      <c r="F10" s="13">
        <v>2.0</v>
      </c>
      <c r="G10" s="14">
        <v>26.42</v>
      </c>
      <c r="H10" s="10" t="s">
        <v>5787</v>
      </c>
      <c r="I10" s="10">
        <v>95.4</v>
      </c>
      <c r="O10" s="15">
        <f>IFERROR(__xludf.DUMMYFUNCTION("IF(ISBLANK($C10), """", GOOGLEFINANCE($C10, ""price""))"),24.96)</f>
        <v>24.96</v>
      </c>
      <c r="P10" s="16">
        <f t="shared" si="2"/>
        <v>-0.05526116578</v>
      </c>
      <c r="Q10" s="16">
        <f>IFERROR(__xludf.DUMMYFUNCTION("IF(OR(ISBLANK($G10), IFERROR(INDEX(GOOGLEFINANCE($C10, ""price"", WORKDAY(INT($B10), 1)), 2, 2), """")=""""), """", IF($D10=""LONG"", (IFERROR(INDEX(GOOGLEFINANCE($C10, ""price"", WORKDAY(INT($B10), 1)), 2, 2), """")-$G10)/$G10, ($G10-IFERROR(INDEX(GOOGLE"&amp;"FINANCE($C10, ""price"", WORKDAY(INT($B10), 1)), 2, 2), """"))/$G10))"),0.008327024981074899)</f>
        <v>0.008327024981</v>
      </c>
      <c r="R10" s="16" t="str">
        <f>IFERROR(__xludf.DUMMYFUNCTION("IF(OR(ISBLANK($G10), IFERROR(INDEX(GOOGLEFINANCE($C10, ""price"", WORKDAY(INT($B10), 5)), 2, 2), """")=""""), """", IF($D10=""LONG"", (IFERROR(INDEX(GOOGLEFINANCE($C10, ""price"", WORKDAY(INT($B10), 5)), 2, 2), """")-$G10)/$G10, ($G10-IFERROR(INDEX(GOOGLE"&amp;"FINANCE($C10, ""price"", WORKDAY(INT($B10), 5)), 2, 2), """"))/$G10))"),"")</f>
        <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5790</v>
      </c>
    </row>
    <row r="11">
      <c r="A11" s="9">
        <f t="shared" si="1"/>
        <v>10</v>
      </c>
      <c r="B11" s="11">
        <v>46237.66738425926</v>
      </c>
      <c r="C11" s="10" t="s">
        <v>810</v>
      </c>
      <c r="D11" s="10" t="s">
        <v>36</v>
      </c>
      <c r="E11" s="10" t="s">
        <v>37</v>
      </c>
      <c r="F11" s="13">
        <v>2.0</v>
      </c>
      <c r="G11" s="14">
        <v>148.37</v>
      </c>
      <c r="H11" s="10" t="s">
        <v>5791</v>
      </c>
      <c r="I11" s="10">
        <v>90.2</v>
      </c>
      <c r="O11" s="15">
        <f>IFERROR(__xludf.DUMMYFUNCTION("IF(ISBLANK($C11), """", GOOGLEFINANCE($C11, ""price""))"),147.45)</f>
        <v>147.45</v>
      </c>
      <c r="P11" s="16">
        <f t="shared" si="2"/>
        <v>-0.00620071443</v>
      </c>
      <c r="Q11" s="16">
        <f>IFERROR(__xludf.DUMMYFUNCTION("IF(OR(ISBLANK($G11), IFERROR(INDEX(GOOGLEFINANCE($C11, ""price"", WORKDAY(INT($B11), 1)), 2, 2), """")=""""), """", IF($D11=""LONG"", (IFERROR(INDEX(GOOGLEFINANCE($C11, ""price"", WORKDAY(INT($B11), 1)), 2, 2), """")-$G11)/$G11, ($G11-IFERROR(INDEX(GOOGLE"&amp;"FINANCE($C11, ""price"", WORKDAY(INT($B11), 1)), 2, 2), """"))/$G11))"),0.018062950731279954)</f>
        <v>0.01806295073</v>
      </c>
      <c r="R11" s="16" t="str">
        <f>IFERROR(__xludf.DUMMYFUNCTION("IF(OR(ISBLANK($G11), IFERROR(INDEX(GOOGLEFINANCE($C11, ""price"", WORKDAY(INT($B11), 5)), 2, 2), """")=""""), """", IF($D11=""LONG"", (IFERROR(INDEX(GOOGLEFINANCE($C11, ""price"", WORKDAY(INT($B11), 5)), 2, 2), """")-$G11)/$G11, ($G11-IFERROR(INDEX(GOOGLE"&amp;"FINANCE($C11, ""price"", WORKDAY(INT($B11), 5)), 2, 2), """"))/$G11))"),"")</f>
        <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5794</v>
      </c>
    </row>
    <row r="12">
      <c r="A12" s="9">
        <f t="shared" si="1"/>
        <v>11</v>
      </c>
      <c r="B12" s="11">
        <v>46237.66744212963</v>
      </c>
      <c r="C12" s="10" t="s">
        <v>189</v>
      </c>
      <c r="D12" s="10" t="s">
        <v>36</v>
      </c>
      <c r="E12" s="10" t="s">
        <v>37</v>
      </c>
      <c r="F12" s="13">
        <v>2.0</v>
      </c>
      <c r="G12" s="14">
        <v>193.15</v>
      </c>
      <c r="H12" s="10" t="s">
        <v>5795</v>
      </c>
      <c r="I12" s="10">
        <v>93.6</v>
      </c>
      <c r="O12" s="15">
        <f>IFERROR(__xludf.DUMMYFUNCTION("IF(ISBLANK($C12), """", GOOGLEFINANCE($C12, ""price""))"),189.23)</f>
        <v>189.23</v>
      </c>
      <c r="P12" s="16">
        <f t="shared" si="2"/>
        <v>-0.02029510743</v>
      </c>
      <c r="Q12" s="16">
        <f>IFERROR(__xludf.DUMMYFUNCTION("IF(OR(ISBLANK($G12), IFERROR(INDEX(GOOGLEFINANCE($C12, ""price"", WORKDAY(INT($B12), 1)), 2, 2), """")=""""), """", IF($D12=""LONG"", (IFERROR(INDEX(GOOGLEFINANCE($C12, ""price"", WORKDAY(INT($B12), 1)), 2, 2), """")-$G12)/$G12, ($G12-IFERROR(INDEX(GOOGLE"&amp;"FINANCE($C12, ""price"", WORKDAY(INT($B12), 1)), 2, 2), """"))/$G12))"),-0.014237639140564327)</f>
        <v>-0.01423763914</v>
      </c>
      <c r="R12" s="16" t="str">
        <f>IFERROR(__xludf.DUMMYFUNCTION("IF(OR(ISBLANK($G12), IFERROR(INDEX(GOOGLEFINANCE($C12, ""price"", WORKDAY(INT($B12), 5)), 2, 2), """")=""""), """", IF($D12=""LONG"", (IFERROR(INDEX(GOOGLEFINANCE($C12, ""price"", WORKDAY(INT($B12), 5)), 2, 2), """")-$G12)/$G12, ($G12-IFERROR(INDEX(GOOGLE"&amp;"FINANCE($C12, ""price"", WORKDAY(INT($B12), 5)), 2, 2), """"))/$G12))"),"")</f>
        <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5797</v>
      </c>
    </row>
    <row r="13">
      <c r="A13" s="9">
        <f t="shared" si="1"/>
        <v>12</v>
      </c>
      <c r="B13" s="11">
        <v>46237.66737268519</v>
      </c>
      <c r="C13" s="10" t="s">
        <v>34</v>
      </c>
      <c r="D13" s="10" t="s">
        <v>36</v>
      </c>
      <c r="E13" s="10" t="s">
        <v>37</v>
      </c>
      <c r="F13" s="13">
        <v>2.0</v>
      </c>
      <c r="G13" s="14">
        <v>193.06</v>
      </c>
      <c r="H13" s="10" t="s">
        <v>5798</v>
      </c>
      <c r="I13" s="10">
        <v>97.2</v>
      </c>
      <c r="O13" s="15">
        <f>IFERROR(__xludf.DUMMYFUNCTION("IF(ISBLANK($C13), """", GOOGLEFINANCE($C13, ""price""))"),189.75)</f>
        <v>189.75</v>
      </c>
      <c r="P13" s="16">
        <f t="shared" si="2"/>
        <v>-0.01714492904</v>
      </c>
      <c r="Q13" s="16">
        <f>IFERROR(__xludf.DUMMYFUNCTION("IF(OR(ISBLANK($G13), IFERROR(INDEX(GOOGLEFINANCE($C13, ""price"", WORKDAY(INT($B13), 1)), 2, 2), """")=""""), """", IF($D13=""LONG"", (IFERROR(INDEX(GOOGLEFINANCE($C13, ""price"", WORKDAY(INT($B13), 1)), 2, 2), """")-$G13)/$G13, ($G13-IFERROR(INDEX(GOOGLE"&amp;"FINANCE($C13, ""price"", WORKDAY(INT($B13), 1)), 2, 2), """"))/$G13))"),-0.0013467315860353822)</f>
        <v>-0.001346731586</v>
      </c>
      <c r="R13" s="16" t="str">
        <f>IFERROR(__xludf.DUMMYFUNCTION("IF(OR(ISBLANK($G13), IFERROR(INDEX(GOOGLEFINANCE($C13, ""price"", WORKDAY(INT($B13), 5)), 2, 2), """")=""""), """", IF($D13=""LONG"", (IFERROR(INDEX(GOOGLEFINANCE($C13, ""price"", WORKDAY(INT($B13), 5)), 2, 2), """")-$G13)/$G13, ($G13-IFERROR(INDEX(GOOGLE"&amp;"FINANCE($C13, ""price"", WORKDAY(INT($B13), 5)), 2, 2), """"))/$G13))"),"")</f>
        <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5801</v>
      </c>
    </row>
    <row r="14">
      <c r="A14" s="9">
        <f t="shared" si="1"/>
        <v>13</v>
      </c>
      <c r="B14" s="11">
        <v>46237.66743055556</v>
      </c>
      <c r="C14" s="10" t="s">
        <v>367</v>
      </c>
      <c r="D14" s="10" t="s">
        <v>36</v>
      </c>
      <c r="E14" s="10" t="s">
        <v>4224</v>
      </c>
      <c r="F14" s="13">
        <v>4.0</v>
      </c>
      <c r="G14" s="14">
        <v>100.86</v>
      </c>
      <c r="H14" s="10" t="s">
        <v>5802</v>
      </c>
      <c r="I14" s="10">
        <v>51.0</v>
      </c>
      <c r="O14" s="15">
        <f>IFERROR(__xludf.DUMMYFUNCTION("IF(ISBLANK($C14), """", GOOGLEFINANCE($C14, ""price""))"),100.82)</f>
        <v>100.82</v>
      </c>
      <c r="P14" s="16">
        <f t="shared" si="2"/>
        <v>-0.0003965893317</v>
      </c>
      <c r="Q14" s="16">
        <f>IFERROR(__xludf.DUMMYFUNCTION("IF(OR(ISBLANK($G14), IFERROR(INDEX(GOOGLEFINANCE($C14, ""price"", WORKDAY(INT($B14), 1)), 2, 2), """")=""""), """", IF($D14=""LONG"", (IFERROR(INDEX(GOOGLEFINANCE($C14, ""price"", WORKDAY(INT($B14), 1)), 2, 2), """")-$G14)/$G14, ($G14-IFERROR(INDEX(GOOGLE"&amp;"FINANCE($C14, ""price"", WORKDAY(INT($B14), 1)), 2, 2), """"))/$G14))"),0.00584969264326793)</f>
        <v>0.005849692643</v>
      </c>
      <c r="R14" s="16" t="str">
        <f>IFERROR(__xludf.DUMMYFUNCTION("IF(OR(ISBLANK($G14), IFERROR(INDEX(GOOGLEFINANCE($C14, ""price"", WORKDAY(INT($B14), 5)), 2, 2), """")=""""), """", IF($D14=""LONG"", (IFERROR(INDEX(GOOGLEFINANCE($C14, ""price"", WORKDAY(INT($B14), 5)), 2, 2), """")-$G14)/$G14, ($G14-IFERROR(INDEX(GOOGLE"&amp;"FINANCE($C14, ""price"", WORKDAY(INT($B14), 5)), 2, 2), """"))/$G14))"),"")</f>
        <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5805</v>
      </c>
    </row>
    <row r="15">
      <c r="A15" s="9">
        <f t="shared" si="1"/>
        <v>14</v>
      </c>
      <c r="B15" s="11">
        <v>46237.6675</v>
      </c>
      <c r="C15" s="10" t="s">
        <v>3688</v>
      </c>
      <c r="D15" s="10" t="s">
        <v>36</v>
      </c>
      <c r="E15" s="10" t="s">
        <v>37</v>
      </c>
      <c r="F15" s="13">
        <v>2.0</v>
      </c>
      <c r="G15" s="14">
        <v>27.95</v>
      </c>
      <c r="H15" s="10" t="s">
        <v>5806</v>
      </c>
      <c r="I15" s="10">
        <v>95.5</v>
      </c>
      <c r="O15" s="15">
        <f>IFERROR(__xludf.DUMMYFUNCTION("IF(ISBLANK($C15), """", GOOGLEFINANCE($C15, ""price""))"),29.67)</f>
        <v>29.67</v>
      </c>
      <c r="P15" s="16">
        <f t="shared" si="2"/>
        <v>0.06153846154</v>
      </c>
      <c r="Q15" s="16">
        <f>IFERROR(__xludf.DUMMYFUNCTION("IF(OR(ISBLANK($G15), IFERROR(INDEX(GOOGLEFINANCE($C15, ""price"", WORKDAY(INT($B15), 1)), 2, 2), """")=""""), """", IF($D15=""LONG"", (IFERROR(INDEX(GOOGLEFINANCE($C15, ""price"", WORKDAY(INT($B15), 1)), 2, 2), """")-$G15)/$G15, ($G15-IFERROR(INDEX(GOOGLE"&amp;"FINANCE($C15, ""price"", WORKDAY(INT($B15), 1)), 2, 2), """"))/$G15))"),0.022898032200357802)</f>
        <v>0.0228980322</v>
      </c>
      <c r="R15" s="16" t="str">
        <f>IFERROR(__xludf.DUMMYFUNCTION("IF(OR(ISBLANK($G15), IFERROR(INDEX(GOOGLEFINANCE($C15, ""price"", WORKDAY(INT($B15), 5)), 2, 2), """")=""""), """", IF($D15=""LONG"", (IFERROR(INDEX(GOOGLEFINANCE($C15, ""price"", WORKDAY(INT($B15), 5)), 2, 2), """")-$G15)/$G15, ($G15-IFERROR(INDEX(GOOGLE"&amp;"FINANCE($C15, ""price"", WORKDAY(INT($B15), 5)), 2, 2), """"))/$G15))"),"")</f>
        <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5809</v>
      </c>
    </row>
    <row r="16">
      <c r="A16" s="9">
        <f t="shared" si="1"/>
        <v>15</v>
      </c>
      <c r="B16" s="11">
        <v>46237.667708333334</v>
      </c>
      <c r="C16" s="10" t="s">
        <v>228</v>
      </c>
      <c r="D16" s="10" t="s">
        <v>36</v>
      </c>
      <c r="E16" s="10" t="s">
        <v>37</v>
      </c>
      <c r="F16" s="13">
        <v>2.0</v>
      </c>
      <c r="G16" s="14">
        <v>72.1</v>
      </c>
      <c r="H16" s="10" t="s">
        <v>5812</v>
      </c>
      <c r="I16" s="10">
        <v>95.4</v>
      </c>
      <c r="O16" s="15">
        <f>IFERROR(__xludf.DUMMYFUNCTION("IF(ISBLANK($C16), """", GOOGLEFINANCE($C16, ""price""))"),72.13)</f>
        <v>72.13</v>
      </c>
      <c r="P16" s="16">
        <f t="shared" si="2"/>
        <v>0.0004160887656</v>
      </c>
      <c r="Q16" s="16">
        <f>IFERROR(__xludf.DUMMYFUNCTION("IF(OR(ISBLANK($G16), IFERROR(INDEX(GOOGLEFINANCE($C16, ""price"", WORKDAY(INT($B16), 1)), 2, 2), """")=""""), """", IF($D16=""LONG"", (IFERROR(INDEX(GOOGLEFINANCE($C16, ""price"", WORKDAY(INT($B16), 1)), 2, 2), """")-$G16)/$G16, ($G16-IFERROR(INDEX(GOOGLE"&amp;"FINANCE($C16, ""price"", WORKDAY(INT($B16), 1)), 2, 2), """"))/$G16))"),-0.009847434119278693)</f>
        <v>-0.009847434119</v>
      </c>
      <c r="R16" s="16" t="str">
        <f>IFERROR(__xludf.DUMMYFUNCTION("IF(OR(ISBLANK($G16), IFERROR(INDEX(GOOGLEFINANCE($C16, ""price"", WORKDAY(INT($B16), 5)), 2, 2), """")=""""), """", IF($D16=""LONG"", (IFERROR(INDEX(GOOGLEFINANCE($C16, ""price"", WORKDAY(INT($B16), 5)), 2, 2), """")-$G16)/$G16, ($G16-IFERROR(INDEX(GOOGLE"&amp;"FINANCE($C16, ""price"", WORKDAY(INT($B16), 5)), 2, 2), """"))/$G16))"),"")</f>
        <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5815</v>
      </c>
    </row>
    <row r="17">
      <c r="A17" s="9">
        <f t="shared" si="1"/>
        <v>16</v>
      </c>
      <c r="B17" s="11">
        <v>46237.66748842593</v>
      </c>
      <c r="C17" s="10" t="s">
        <v>174</v>
      </c>
      <c r="D17" s="10" t="s">
        <v>36</v>
      </c>
      <c r="E17" s="10" t="s">
        <v>37</v>
      </c>
      <c r="F17" s="13">
        <v>2.0</v>
      </c>
      <c r="G17" s="14">
        <v>25.23</v>
      </c>
      <c r="H17" s="10" t="s">
        <v>5816</v>
      </c>
      <c r="I17" s="10">
        <v>86.4</v>
      </c>
      <c r="O17" s="15">
        <f>IFERROR(__xludf.DUMMYFUNCTION("IF(ISBLANK($C17), """", GOOGLEFINANCE($C17, ""price""))"),25.09)</f>
        <v>25.09</v>
      </c>
      <c r="P17" s="16">
        <f t="shared" si="2"/>
        <v>-0.005548949663</v>
      </c>
      <c r="Q17" s="16">
        <f>IFERROR(__xludf.DUMMYFUNCTION("IF(OR(ISBLANK($G17), IFERROR(INDEX(GOOGLEFINANCE($C17, ""price"", WORKDAY(INT($B17), 1)), 2, 2), """")=""""), """", IF($D17=""LONG"", (IFERROR(INDEX(GOOGLEFINANCE($C17, ""price"", WORKDAY(INT($B17), 1)), 2, 2), """")-$G17)/$G17, ($G17-IFERROR(INDEX(GOOGLE"&amp;"FINANCE($C17, ""price"", WORKDAY(INT($B17), 1)), 2, 2), """"))/$G17))"),0.004359889021006715)</f>
        <v>0.004359889021</v>
      </c>
      <c r="R17" s="16" t="str">
        <f>IFERROR(__xludf.DUMMYFUNCTION("IF(OR(ISBLANK($G17), IFERROR(INDEX(GOOGLEFINANCE($C17, ""price"", WORKDAY(INT($B17), 5)), 2, 2), """")=""""), """", IF($D17=""LONG"", (IFERROR(INDEX(GOOGLEFINANCE($C17, ""price"", WORKDAY(INT($B17), 5)), 2, 2), """")-$G17)/$G17, ($G17-IFERROR(INDEX(GOOGLE"&amp;"FINANCE($C17, ""price"", WORKDAY(INT($B17), 5)), 2, 2), """"))/$G17))"),"")</f>
        <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5819</v>
      </c>
    </row>
    <row r="18">
      <c r="A18" s="9">
        <f t="shared" si="1"/>
        <v>17</v>
      </c>
      <c r="B18" s="11">
        <v>46237.6674537037</v>
      </c>
      <c r="C18" s="10" t="s">
        <v>1739</v>
      </c>
      <c r="D18" s="10" t="s">
        <v>36</v>
      </c>
      <c r="E18" s="10" t="s">
        <v>37</v>
      </c>
      <c r="F18" s="13">
        <v>2.0</v>
      </c>
      <c r="G18" s="14">
        <v>262.73</v>
      </c>
      <c r="H18" s="10" t="s">
        <v>2833</v>
      </c>
      <c r="I18" s="10">
        <v>89.0</v>
      </c>
      <c r="O18" s="15">
        <f>IFERROR(__xludf.DUMMYFUNCTION("IF(ISBLANK($C18), """", GOOGLEFINANCE($C18, ""price""))"),275.11)</f>
        <v>275.11</v>
      </c>
      <c r="P18" s="16">
        <f t="shared" si="2"/>
        <v>0.04712061813</v>
      </c>
      <c r="Q18" s="16">
        <f>IFERROR(__xludf.DUMMYFUNCTION("IF(OR(ISBLANK($G18), IFERROR(INDEX(GOOGLEFINANCE($C18, ""price"", WORKDAY(INT($B18), 1)), 2, 2), """")=""""), """", IF($D18=""LONG"", (IFERROR(INDEX(GOOGLEFINANCE($C18, ""price"", WORKDAY(INT($B18), 1)), 2, 2), """")-$G18)/$G18, ($G18-IFERROR(INDEX(GOOGLE"&amp;"FINANCE($C18, ""price"", WORKDAY(INT($B18), 1)), 2, 2), """"))/$G18))"),-6.470521067255963E-4)</f>
        <v>-0.0006470521067</v>
      </c>
      <c r="R18" s="16" t="str">
        <f>IFERROR(__xludf.DUMMYFUNCTION("IF(OR(ISBLANK($G18), IFERROR(INDEX(GOOGLEFINANCE($C18, ""price"", WORKDAY(INT($B18), 5)), 2, 2), """")=""""), """", IF($D18=""LONG"", (IFERROR(INDEX(GOOGLEFINANCE($C18, ""price"", WORKDAY(INT($B18), 5)), 2, 2), """")-$G18)/$G18, ($G18-IFERROR(INDEX(GOOGLE"&amp;"FINANCE($C18, ""price"", WORKDAY(INT($B18), 5)), 2, 2), """"))/$G18))"),"")</f>
        <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5822</v>
      </c>
    </row>
    <row r="19">
      <c r="A19" s="9">
        <f t="shared" si="1"/>
        <v>18</v>
      </c>
      <c r="B19" s="11">
        <v>46237.66748842593</v>
      </c>
      <c r="C19" s="10" t="s">
        <v>149</v>
      </c>
      <c r="D19" s="10" t="s">
        <v>36</v>
      </c>
      <c r="E19" s="10" t="s">
        <v>37</v>
      </c>
      <c r="F19" s="13">
        <v>2.0</v>
      </c>
      <c r="G19" s="14">
        <v>128.54</v>
      </c>
      <c r="H19" s="10" t="s">
        <v>5823</v>
      </c>
      <c r="I19" s="10">
        <v>88.8</v>
      </c>
      <c r="O19" s="15">
        <f>IFERROR(__xludf.DUMMYFUNCTION("IF(ISBLANK($C19), """", GOOGLEFINANCE($C19, ""price""))"),132.79)</f>
        <v>132.79</v>
      </c>
      <c r="P19" s="16">
        <f t="shared" si="2"/>
        <v>0.03306363778</v>
      </c>
      <c r="Q19" s="16">
        <f>IFERROR(__xludf.DUMMYFUNCTION("IF(OR(ISBLANK($G19), IFERROR(INDEX(GOOGLEFINANCE($C19, ""price"", WORKDAY(INT($B19), 1)), 2, 2), """")=""""), """", IF($D19=""LONG"", (IFERROR(INDEX(GOOGLEFINANCE($C19, ""price"", WORKDAY(INT($B19), 1)), 2, 2), """")-$G19)/$G19, ($G19-IFERROR(INDEX(GOOGLE"&amp;"FINANCE($C19, ""price"", WORKDAY(INT($B19), 1)), 2, 2), """"))/$G19))"),0.031196514703594365)</f>
        <v>0.0311965147</v>
      </c>
      <c r="R19" s="16" t="str">
        <f>IFERROR(__xludf.DUMMYFUNCTION("IF(OR(ISBLANK($G19), IFERROR(INDEX(GOOGLEFINANCE($C19, ""price"", WORKDAY(INT($B19), 5)), 2, 2), """")=""""), """", IF($D19=""LONG"", (IFERROR(INDEX(GOOGLEFINANCE($C19, ""price"", WORKDAY(INT($B19), 5)), 2, 2), """")-$G19)/$G19, ($G19-IFERROR(INDEX(GOOGLE"&amp;"FINANCE($C19, ""price"", WORKDAY(INT($B19), 5)), 2, 2), """"))/$G19))"),"")</f>
        <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5826</v>
      </c>
    </row>
    <row r="20">
      <c r="A20" s="9">
        <f t="shared" si="1"/>
        <v>19</v>
      </c>
      <c r="B20" s="11">
        <v>46237.6675</v>
      </c>
      <c r="C20" s="10" t="s">
        <v>826</v>
      </c>
      <c r="D20" s="10" t="s">
        <v>36</v>
      </c>
      <c r="E20" s="10" t="s">
        <v>37</v>
      </c>
      <c r="F20" s="13">
        <v>2.0</v>
      </c>
      <c r="G20" s="14">
        <v>365.5</v>
      </c>
      <c r="H20" s="10" t="s">
        <v>5827</v>
      </c>
      <c r="I20" s="10">
        <v>95.7</v>
      </c>
      <c r="O20" s="15">
        <f>IFERROR(__xludf.DUMMYFUNCTION("IF(ISBLANK($C20), """", GOOGLEFINANCE($C20, ""price""))"),370.47)</f>
        <v>370.47</v>
      </c>
      <c r="P20" s="16">
        <f t="shared" si="2"/>
        <v>0.01359781122</v>
      </c>
      <c r="Q20" s="16">
        <f>IFERROR(__xludf.DUMMYFUNCTION("IF(OR(ISBLANK($G20), IFERROR(INDEX(GOOGLEFINANCE($C20, ""price"", WORKDAY(INT($B20), 1)), 2, 2), """")=""""), """", IF($D20=""LONG"", (IFERROR(INDEX(GOOGLEFINANCE($C20, ""price"", WORKDAY(INT($B20), 1)), 2, 2), """")-$G20)/$G20, ($G20-IFERROR(INDEX(GOOGLE"&amp;"FINANCE($C20, ""price"", WORKDAY(INT($B20), 1)), 2, 2), """"))/$G20))"),0.011190150478796101)</f>
        <v>0.01119015048</v>
      </c>
      <c r="R20" s="16" t="str">
        <f>IFERROR(__xludf.DUMMYFUNCTION("IF(OR(ISBLANK($G20), IFERROR(INDEX(GOOGLEFINANCE($C20, ""price"", WORKDAY(INT($B20), 5)), 2, 2), """")=""""), """", IF($D20=""LONG"", (IFERROR(INDEX(GOOGLEFINANCE($C20, ""price"", WORKDAY(INT($B20), 5)), 2, 2), """")-$G20)/$G20, ($G20-IFERROR(INDEX(GOOGLE"&amp;"FINANCE($C20, ""price"", WORKDAY(INT($B20), 5)), 2, 2), """"))/$G20))"),"")</f>
        <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5830</v>
      </c>
    </row>
    <row r="21">
      <c r="A21" s="9">
        <f t="shared" si="1"/>
        <v>20</v>
      </c>
      <c r="B21" s="11">
        <v>46237.66747685185</v>
      </c>
      <c r="C21" s="10" t="s">
        <v>2156</v>
      </c>
      <c r="D21" s="10" t="s">
        <v>36</v>
      </c>
      <c r="E21" s="10" t="s">
        <v>37</v>
      </c>
      <c r="F21" s="13">
        <v>2.0</v>
      </c>
      <c r="G21" s="14">
        <v>94.15</v>
      </c>
      <c r="H21" s="10" t="s">
        <v>5831</v>
      </c>
      <c r="I21" s="10">
        <v>95.5</v>
      </c>
      <c r="O21" s="15">
        <f>IFERROR(__xludf.DUMMYFUNCTION("IF(ISBLANK($C21), """", GOOGLEFINANCE($C21, ""price""))"),94.7)</f>
        <v>94.7</v>
      </c>
      <c r="P21" s="16">
        <f t="shared" si="2"/>
        <v>0.005841741901</v>
      </c>
      <c r="Q21" s="16">
        <f>IFERROR(__xludf.DUMMYFUNCTION("IF(OR(ISBLANK($G21), IFERROR(INDEX(GOOGLEFINANCE($C21, ""price"", WORKDAY(INT($B21), 1)), 2, 2), """")=""""), """", IF($D21=""LONG"", (IFERROR(INDEX(GOOGLEFINANCE($C21, ""price"", WORKDAY(INT($B21), 1)), 2, 2), """")-$G21)/$G21, ($G21-IFERROR(INDEX(GOOGLE"&amp;"FINANCE($C21, ""price"", WORKDAY(INT($B21), 1)), 2, 2), """"))/$G21))"),-0.005629314922995232)</f>
        <v>-0.005629314923</v>
      </c>
      <c r="R21" s="16" t="str">
        <f>IFERROR(__xludf.DUMMYFUNCTION("IF(OR(ISBLANK($G21), IFERROR(INDEX(GOOGLEFINANCE($C21, ""price"", WORKDAY(INT($B21), 5)), 2, 2), """")=""""), """", IF($D21=""LONG"", (IFERROR(INDEX(GOOGLEFINANCE($C21, ""price"", WORKDAY(INT($B21), 5)), 2, 2), """")-$G21)/$G21, ($G21-IFERROR(INDEX(GOOGLE"&amp;"FINANCE($C21, ""price"", WORKDAY(INT($B21), 5)), 2, 2), """"))/$G21))"),"")</f>
        <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5834</v>
      </c>
    </row>
    <row r="22">
      <c r="A22" s="9">
        <f t="shared" si="1"/>
        <v>21</v>
      </c>
      <c r="B22" s="11">
        <v>46237.66752314815</v>
      </c>
      <c r="C22" s="10" t="s">
        <v>41</v>
      </c>
      <c r="D22" s="10" t="s">
        <v>36</v>
      </c>
      <c r="E22" s="10" t="s">
        <v>37</v>
      </c>
      <c r="F22" s="13">
        <v>2.0</v>
      </c>
      <c r="G22" s="14">
        <v>184.07</v>
      </c>
      <c r="H22" s="10" t="s">
        <v>5835</v>
      </c>
      <c r="I22" s="10">
        <v>82.2</v>
      </c>
      <c r="O22" s="15">
        <f>IFERROR(__xludf.DUMMYFUNCTION("IF(ISBLANK($C22), """", GOOGLEFINANCE($C22, ""price""))"),186.02)</f>
        <v>186.02</v>
      </c>
      <c r="P22" s="16">
        <f t="shared" si="2"/>
        <v>0.01059379584</v>
      </c>
      <c r="Q22" s="16">
        <f>IFERROR(__xludf.DUMMYFUNCTION("IF(OR(ISBLANK($G22), IFERROR(INDEX(GOOGLEFINANCE($C22, ""price"", WORKDAY(INT($B22), 1)), 2, 2), """")=""""), """", IF($D22=""LONG"", (IFERROR(INDEX(GOOGLEFINANCE($C22, ""price"", WORKDAY(INT($B22), 1)), 2, 2), """")-$G22)/$G22, ($G22-IFERROR(INDEX(GOOGLE"&amp;"FINANCE($C22, ""price"", WORKDAY(INT($B22), 1)), 2, 2), """"))/$G22))"),-9.235616884880073E-4)</f>
        <v>-0.0009235616885</v>
      </c>
      <c r="R22" s="16" t="str">
        <f>IFERROR(__xludf.DUMMYFUNCTION("IF(OR(ISBLANK($G22), IFERROR(INDEX(GOOGLEFINANCE($C22, ""price"", WORKDAY(INT($B22), 5)), 2, 2), """")=""""), """", IF($D22=""LONG"", (IFERROR(INDEX(GOOGLEFINANCE($C22, ""price"", WORKDAY(INT($B22), 5)), 2, 2), """")-$G22)/$G22, ($G22-IFERROR(INDEX(GOOGLE"&amp;"FINANCE($C22, ""price"", WORKDAY(INT($B22), 5)), 2, 2), """"))/$G22))"),"")</f>
        <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5838</v>
      </c>
    </row>
    <row r="23">
      <c r="A23" s="9">
        <f t="shared" si="1"/>
        <v>22</v>
      </c>
      <c r="B23" s="11">
        <v>46237.66753472222</v>
      </c>
      <c r="C23" s="10" t="s">
        <v>918</v>
      </c>
      <c r="D23" s="10" t="s">
        <v>36</v>
      </c>
      <c r="E23" s="10" t="s">
        <v>37</v>
      </c>
      <c r="F23" s="13">
        <v>2.0</v>
      </c>
      <c r="G23" s="14">
        <v>373.89</v>
      </c>
      <c r="H23" s="10" t="s">
        <v>5839</v>
      </c>
      <c r="I23" s="10">
        <v>94.1</v>
      </c>
      <c r="O23" s="15">
        <f>IFERROR(__xludf.DUMMYFUNCTION("IF(ISBLANK($C23), """", GOOGLEFINANCE($C23, ""price""))"),386.0)</f>
        <v>386</v>
      </c>
      <c r="P23" s="16">
        <f t="shared" si="2"/>
        <v>0.03238920538</v>
      </c>
      <c r="Q23" s="16">
        <f>IFERROR(__xludf.DUMMYFUNCTION("IF(OR(ISBLANK($G23), IFERROR(INDEX(GOOGLEFINANCE($C23, ""price"", WORKDAY(INT($B23), 1)), 2, 2), """")=""""), """", IF($D23=""LONG"", (IFERROR(INDEX(GOOGLEFINANCE($C23, ""price"", WORKDAY(INT($B23), 1)), 2, 2), """")-$G23)/$G23, ($G23-IFERROR(INDEX(GOOGLE"&amp;"FINANCE($C23, ""price"", WORKDAY(INT($B23), 1)), 2, 2), """"))/$G23))"),0.008719141993634468)</f>
        <v>0.008719141994</v>
      </c>
      <c r="R23" s="16" t="str">
        <f>IFERROR(__xludf.DUMMYFUNCTION("IF(OR(ISBLANK($G23), IFERROR(INDEX(GOOGLEFINANCE($C23, ""price"", WORKDAY(INT($B23), 5)), 2, 2), """")=""""), """", IF($D23=""LONG"", (IFERROR(INDEX(GOOGLEFINANCE($C23, ""price"", WORKDAY(INT($B23), 5)), 2, 2), """")-$G23)/$G23, ($G23-IFERROR(INDEX(GOOGLE"&amp;"FINANCE($C23, ""price"", WORKDAY(INT($B23), 5)), 2, 2), """"))/$G23))"),"")</f>
        <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5841</v>
      </c>
    </row>
    <row r="24">
      <c r="A24" s="9">
        <f t="shared" si="1"/>
        <v>23</v>
      </c>
      <c r="B24" s="11">
        <v>46237.66755787037</v>
      </c>
      <c r="C24" s="10" t="s">
        <v>408</v>
      </c>
      <c r="D24" s="10" t="s">
        <v>36</v>
      </c>
      <c r="E24" s="10" t="s">
        <v>37</v>
      </c>
      <c r="F24" s="13">
        <v>2.0</v>
      </c>
      <c r="G24" s="14">
        <v>249.42</v>
      </c>
      <c r="H24" s="10" t="s">
        <v>5843</v>
      </c>
      <c r="I24" s="10">
        <v>92.8</v>
      </c>
      <c r="O24" s="15">
        <f>IFERROR(__xludf.DUMMYFUNCTION("IF(ISBLANK($C24), """", GOOGLEFINANCE($C24, ""price""))"),250.14)</f>
        <v>250.14</v>
      </c>
      <c r="P24" s="16">
        <f t="shared" si="2"/>
        <v>0.002886697137</v>
      </c>
      <c r="Q24" s="16">
        <f>IFERROR(__xludf.DUMMYFUNCTION("IF(OR(ISBLANK($G24), IFERROR(INDEX(GOOGLEFINANCE($C24, ""price"", WORKDAY(INT($B24), 1)), 2, 2), """")=""""), """", IF($D24=""LONG"", (IFERROR(INDEX(GOOGLEFINANCE($C24, ""price"", WORKDAY(INT($B24), 1)), 2, 2), """")-$G24)/$G24, ($G24-IFERROR(INDEX(GOOGLE"&amp;"FINANCE($C24, ""price"", WORKDAY(INT($B24), 1)), 2, 2), """"))/$G24))"),0.014593857749980014)</f>
        <v>0.01459385775</v>
      </c>
      <c r="R24" s="16" t="str">
        <f>IFERROR(__xludf.DUMMYFUNCTION("IF(OR(ISBLANK($G24), IFERROR(INDEX(GOOGLEFINANCE($C24, ""price"", WORKDAY(INT($B24), 5)), 2, 2), """")=""""), """", IF($D24=""LONG"", (IFERROR(INDEX(GOOGLEFINANCE($C24, ""price"", WORKDAY(INT($B24), 5)), 2, 2), """")-$G24)/$G24, ($G24-IFERROR(INDEX(GOOGLE"&amp;"FINANCE($C24, ""price"", WORKDAY(INT($B24), 5)), 2, 2), """"))/$G24))"),"")</f>
        <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5844</v>
      </c>
    </row>
    <row r="25">
      <c r="A25" s="9">
        <f t="shared" si="1"/>
        <v>24</v>
      </c>
      <c r="B25" s="11">
        <v>46237.667546296296</v>
      </c>
      <c r="C25" s="10" t="s">
        <v>234</v>
      </c>
      <c r="D25" s="10" t="s">
        <v>36</v>
      </c>
      <c r="E25" s="10" t="s">
        <v>37</v>
      </c>
      <c r="F25" s="13">
        <v>2.0</v>
      </c>
      <c r="G25" s="14">
        <v>63.94</v>
      </c>
      <c r="H25" s="10" t="s">
        <v>2663</v>
      </c>
      <c r="I25" s="10">
        <v>90.9</v>
      </c>
      <c r="O25" s="15">
        <f>IFERROR(__xludf.DUMMYFUNCTION("IF(ISBLANK($C25), """", GOOGLEFINANCE($C25, ""price""))"),63.81)</f>
        <v>63.81</v>
      </c>
      <c r="P25" s="16">
        <f t="shared" si="2"/>
        <v>-0.002033156084</v>
      </c>
      <c r="Q25" s="16">
        <f>IFERROR(__xludf.DUMMYFUNCTION("IF(OR(ISBLANK($G25), IFERROR(INDEX(GOOGLEFINANCE($C25, ""price"", WORKDAY(INT($B25), 1)), 2, 2), """")=""""), """", IF($D25=""LONG"", (IFERROR(INDEX(GOOGLEFINANCE($C25, ""price"", WORKDAY(INT($B25), 1)), 2, 2), """")-$G25)/$G25, ($G25-IFERROR(INDEX(GOOGLE"&amp;"FINANCE($C25, ""price"", WORKDAY(INT($B25), 1)), 2, 2), """"))/$G25))"),0.004535502033156182)</f>
        <v>0.004535502033</v>
      </c>
      <c r="R25" s="16" t="str">
        <f>IFERROR(__xludf.DUMMYFUNCTION("IF(OR(ISBLANK($G25), IFERROR(INDEX(GOOGLEFINANCE($C25, ""price"", WORKDAY(INT($B25), 5)), 2, 2), """")=""""), """", IF($D25=""LONG"", (IFERROR(INDEX(GOOGLEFINANCE($C25, ""price"", WORKDAY(INT($B25), 5)), 2, 2), """")-$G25)/$G25, ($G25-IFERROR(INDEX(GOOGLE"&amp;"FINANCE($C25, ""price"", WORKDAY(INT($B25), 5)), 2, 2), """"))/$G25))"),"")</f>
        <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5847</v>
      </c>
    </row>
    <row r="26">
      <c r="A26" s="9">
        <f t="shared" si="1"/>
        <v>25</v>
      </c>
      <c r="B26" s="11">
        <v>46237.667546296296</v>
      </c>
      <c r="C26" s="10" t="s">
        <v>323</v>
      </c>
      <c r="D26" s="10" t="s">
        <v>36</v>
      </c>
      <c r="E26" s="10" t="s">
        <v>37</v>
      </c>
      <c r="F26" s="13">
        <v>2.0</v>
      </c>
      <c r="G26" s="14">
        <v>209.91</v>
      </c>
      <c r="H26" s="10" t="s">
        <v>5848</v>
      </c>
      <c r="I26" s="10">
        <v>75.5</v>
      </c>
      <c r="O26" s="15">
        <f>IFERROR(__xludf.DUMMYFUNCTION("IF(ISBLANK($C26), """", GOOGLEFINANCE($C26, ""price""))"),209.7)</f>
        <v>209.7</v>
      </c>
      <c r="P26" s="16">
        <f t="shared" si="2"/>
        <v>-0.001000428755</v>
      </c>
      <c r="Q26" s="16">
        <f>IFERROR(__xludf.DUMMYFUNCTION("IF(OR(ISBLANK($G26), IFERROR(INDEX(GOOGLEFINANCE($C26, ""price"", WORKDAY(INT($B26), 1)), 2, 2), """")=""""), """", IF($D26=""LONG"", (IFERROR(INDEX(GOOGLEFINANCE($C26, ""price"", WORKDAY(INT($B26), 1)), 2, 2), """")-$G26)/$G26, ($G26-IFERROR(INDEX(GOOGLE"&amp;"FINANCE($C26, ""price"", WORKDAY(INT($B26), 1)), 2, 2), """"))/$G26))"),-0.0010004287551808298)</f>
        <v>-0.001000428755</v>
      </c>
      <c r="R26" s="16" t="str">
        <f>IFERROR(__xludf.DUMMYFUNCTION("IF(OR(ISBLANK($G26), IFERROR(INDEX(GOOGLEFINANCE($C26, ""price"", WORKDAY(INT($B26), 5)), 2, 2), """")=""""), """", IF($D26=""LONG"", (IFERROR(INDEX(GOOGLEFINANCE($C26, ""price"", WORKDAY(INT($B26), 5)), 2, 2), """")-$G26)/$G26, ($G26-IFERROR(INDEX(GOOGLE"&amp;"FINANCE($C26, ""price"", WORKDAY(INT($B26), 5)), 2, 2), """"))/$G26))"),"")</f>
        <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5851</v>
      </c>
    </row>
    <row r="27">
      <c r="A27" s="9">
        <f t="shared" si="1"/>
        <v>26</v>
      </c>
      <c r="B27" s="11">
        <v>46237.66758101852</v>
      </c>
      <c r="C27" s="10" t="s">
        <v>2476</v>
      </c>
      <c r="D27" s="10" t="s">
        <v>36</v>
      </c>
      <c r="E27" s="10" t="s">
        <v>37</v>
      </c>
      <c r="F27" s="13">
        <v>2.0</v>
      </c>
      <c r="G27" s="14">
        <v>118.32</v>
      </c>
      <c r="H27" s="10" t="s">
        <v>2901</v>
      </c>
      <c r="I27" s="10">
        <v>96.9</v>
      </c>
      <c r="O27" s="15">
        <f>IFERROR(__xludf.DUMMYFUNCTION("IF(ISBLANK($C27), """", GOOGLEFINANCE($C27, ""price""))"),116.73)</f>
        <v>116.73</v>
      </c>
      <c r="P27" s="16">
        <f t="shared" si="2"/>
        <v>-0.01343813387</v>
      </c>
      <c r="Q27" s="16">
        <f>IFERROR(__xludf.DUMMYFUNCTION("IF(OR(ISBLANK($G27), IFERROR(INDEX(GOOGLEFINANCE($C27, ""price"", WORKDAY(INT($B27), 1)), 2, 2), """")=""""), """", IF($D27=""LONG"", (IFERROR(INDEX(GOOGLEFINANCE($C27, ""price"", WORKDAY(INT($B27), 1)), 2, 2), """")-$G27)/$G27, ($G27-IFERROR(INDEX(GOOGLE"&amp;"FINANCE($C27, ""price"", WORKDAY(INT($B27), 1)), 2, 2), """"))/$G27))"),-0.001774847870182503)</f>
        <v>-0.00177484787</v>
      </c>
      <c r="R27" s="16" t="str">
        <f>IFERROR(__xludf.DUMMYFUNCTION("IF(OR(ISBLANK($G27), IFERROR(INDEX(GOOGLEFINANCE($C27, ""price"", WORKDAY(INT($B27), 5)), 2, 2), """")=""""), """", IF($D27=""LONG"", (IFERROR(INDEX(GOOGLEFINANCE($C27, ""price"", WORKDAY(INT($B27), 5)), 2, 2), """")-$G27)/$G27, ($G27-IFERROR(INDEX(GOOGLE"&amp;"FINANCE($C27, ""price"", WORKDAY(INT($B27), 5)), 2, 2), """"))/$G27))"),"")</f>
        <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5855</v>
      </c>
    </row>
    <row r="28">
      <c r="A28" s="9">
        <f t="shared" si="1"/>
        <v>27</v>
      </c>
      <c r="B28" s="11">
        <v>46237.66758101852</v>
      </c>
      <c r="C28" s="10" t="s">
        <v>3364</v>
      </c>
      <c r="D28" s="10" t="s">
        <v>36</v>
      </c>
      <c r="E28" s="10" t="s">
        <v>1892</v>
      </c>
      <c r="F28" s="13">
        <v>2.0</v>
      </c>
      <c r="G28" s="14">
        <v>206.16</v>
      </c>
      <c r="H28" s="10" t="s">
        <v>5857</v>
      </c>
      <c r="I28" s="10">
        <v>95.5</v>
      </c>
      <c r="O28" s="15">
        <f>IFERROR(__xludf.DUMMYFUNCTION("IF(ISBLANK($C28), """", GOOGLEFINANCE($C28, ""price""))"),217.8)</f>
        <v>217.8</v>
      </c>
      <c r="P28" s="16">
        <f t="shared" si="2"/>
        <v>0.05646100116</v>
      </c>
      <c r="Q28" s="16">
        <f>IFERROR(__xludf.DUMMYFUNCTION("IF(OR(ISBLANK($G28), IFERROR(INDEX(GOOGLEFINANCE($C28, ""price"", WORKDAY(INT($B28), 1)), 2, 2), """")=""""), """", IF($D28=""LONG"", (IFERROR(INDEX(GOOGLEFINANCE($C28, ""price"", WORKDAY(INT($B28), 1)), 2, 2), """")-$G28)/$G28, ($G28-IFERROR(INDEX(GOOGLE"&amp;"FINANCE($C28, ""price"", WORKDAY(INT($B28), 1)), 2, 2), """"))/$G28))"),0.027648428405122317)</f>
        <v>0.02764842841</v>
      </c>
      <c r="R28" s="16" t="str">
        <f>IFERROR(__xludf.DUMMYFUNCTION("IF(OR(ISBLANK($G28), IFERROR(INDEX(GOOGLEFINANCE($C28, ""price"", WORKDAY(INT($B28), 5)), 2, 2), """")=""""), """", IF($D28=""LONG"", (IFERROR(INDEX(GOOGLEFINANCE($C28, ""price"", WORKDAY(INT($B28), 5)), 2, 2), """")-$G28)/$G28, ($G28-IFERROR(INDEX(GOOGLE"&amp;"FINANCE($C28, ""price"", WORKDAY(INT($B28), 5)), 2, 2), """"))/$G28))"),"")</f>
        <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5859</v>
      </c>
    </row>
    <row r="29">
      <c r="A29" s="9">
        <f t="shared" si="1"/>
        <v>28</v>
      </c>
      <c r="B29" s="11">
        <v>46237.66758101852</v>
      </c>
      <c r="C29" s="10" t="s">
        <v>2793</v>
      </c>
      <c r="D29" s="10" t="s">
        <v>36</v>
      </c>
      <c r="E29" s="10" t="s">
        <v>37</v>
      </c>
      <c r="F29" s="13">
        <v>2.0</v>
      </c>
      <c r="G29" s="14">
        <v>48.43</v>
      </c>
      <c r="H29" s="10" t="s">
        <v>5861</v>
      </c>
      <c r="I29" s="10">
        <v>88.8</v>
      </c>
      <c r="O29" s="15">
        <f>IFERROR(__xludf.DUMMYFUNCTION("IF(ISBLANK($C29), """", GOOGLEFINANCE($C29, ""price""))"),47.37)</f>
        <v>47.37</v>
      </c>
      <c r="P29" s="16">
        <f t="shared" si="2"/>
        <v>-0.02188725996</v>
      </c>
      <c r="Q29" s="16">
        <f>IFERROR(__xludf.DUMMYFUNCTION("IF(OR(ISBLANK($G29), IFERROR(INDEX(GOOGLEFINANCE($C29, ""price"", WORKDAY(INT($B29), 1)), 2, 2), """")=""""), """", IF($D29=""LONG"", (IFERROR(INDEX(GOOGLEFINANCE($C29, ""price"", WORKDAY(INT($B29), 1)), 2, 2), """")-$G29)/$G29, ($G29-IFERROR(INDEX(GOOGLE"&amp;"FINANCE($C29, ""price"", WORKDAY(INT($B29), 1)), 2, 2), """"))/$G29))"),-0.003097253768325389)</f>
        <v>-0.003097253768</v>
      </c>
      <c r="R29" s="16" t="str">
        <f>IFERROR(__xludf.DUMMYFUNCTION("IF(OR(ISBLANK($G29), IFERROR(INDEX(GOOGLEFINANCE($C29, ""price"", WORKDAY(INT($B29), 5)), 2, 2), """")=""""), """", IF($D29=""LONG"", (IFERROR(INDEX(GOOGLEFINANCE($C29, ""price"", WORKDAY(INT($B29), 5)), 2, 2), """")-$G29)/$G29, ($G29-IFERROR(INDEX(GOOGLE"&amp;"FINANCE($C29, ""price"", WORKDAY(INT($B29), 5)), 2, 2), """"))/$G29))"),"")</f>
        <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5862</v>
      </c>
    </row>
    <row r="30">
      <c r="A30" s="9">
        <f t="shared" si="1"/>
        <v>29</v>
      </c>
      <c r="B30" s="11">
        <v>46237.667604166665</v>
      </c>
      <c r="C30" s="10" t="s">
        <v>2048</v>
      </c>
      <c r="D30" s="10" t="s">
        <v>36</v>
      </c>
      <c r="E30" s="10" t="s">
        <v>37</v>
      </c>
      <c r="F30" s="13">
        <v>2.0</v>
      </c>
      <c r="G30" s="14">
        <v>291.38</v>
      </c>
      <c r="H30" s="10" t="s">
        <v>5864</v>
      </c>
      <c r="I30" s="10">
        <v>88.1</v>
      </c>
      <c r="O30" s="15">
        <f>IFERROR(__xludf.DUMMYFUNCTION("IF(ISBLANK($C30), """", GOOGLEFINANCE($C30, ""price""))"),295.38)</f>
        <v>295.38</v>
      </c>
      <c r="P30" s="16">
        <f t="shared" si="2"/>
        <v>0.01372777816</v>
      </c>
      <c r="Q30" s="16">
        <f>IFERROR(__xludf.DUMMYFUNCTION("IF(OR(ISBLANK($G30), IFERROR(INDEX(GOOGLEFINANCE($C30, ""price"", WORKDAY(INT($B30), 1)), 2, 2), """")=""""), """", IF($D30=""LONG"", (IFERROR(INDEX(GOOGLEFINANCE($C30, ""price"", WORKDAY(INT($B30), 1)), 2, 2), """")-$G30)/$G30, ($G30-IFERROR(INDEX(GOOGLE"&amp;"FINANCE($C30, ""price"", WORKDAY(INT($B30), 1)), 2, 2), """"))/$G30))"),0.017056764362687993)</f>
        <v>0.01705676436</v>
      </c>
      <c r="R30" s="16" t="str">
        <f>IFERROR(__xludf.DUMMYFUNCTION("IF(OR(ISBLANK($G30), IFERROR(INDEX(GOOGLEFINANCE($C30, ""price"", WORKDAY(INT($B30), 5)), 2, 2), """")=""""), """", IF($D30=""LONG"", (IFERROR(INDEX(GOOGLEFINANCE($C30, ""price"", WORKDAY(INT($B30), 5)), 2, 2), """")-$G30)/$G30, ($G30-IFERROR(INDEX(GOOGLE"&amp;"FINANCE($C30, ""price"", WORKDAY(INT($B30), 5)), 2, 2), """"))/$G30))"),"")</f>
        <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5867</v>
      </c>
    </row>
    <row r="31">
      <c r="A31" s="9">
        <f t="shared" si="1"/>
        <v>30</v>
      </c>
      <c r="B31" s="11">
        <v>46237.667592592596</v>
      </c>
      <c r="C31" s="10" t="s">
        <v>148</v>
      </c>
      <c r="D31" s="10" t="s">
        <v>36</v>
      </c>
      <c r="E31" s="10" t="s">
        <v>37</v>
      </c>
      <c r="F31" s="13">
        <v>2.0</v>
      </c>
      <c r="G31" s="14">
        <v>197.52</v>
      </c>
      <c r="H31" s="10" t="s">
        <v>5869</v>
      </c>
      <c r="I31" s="10">
        <v>81.6</v>
      </c>
      <c r="O31" s="15">
        <f>IFERROR(__xludf.DUMMYFUNCTION("IF(ISBLANK($C31), """", GOOGLEFINANCE($C31, ""price""))"),199.98)</f>
        <v>199.98</v>
      </c>
      <c r="P31" s="16">
        <f t="shared" si="2"/>
        <v>0.01245443499</v>
      </c>
      <c r="Q31" s="16">
        <f>IFERROR(__xludf.DUMMYFUNCTION("IF(OR(ISBLANK($G31), IFERROR(INDEX(GOOGLEFINANCE($C31, ""price"", WORKDAY(INT($B31), 1)), 2, 2), """")=""""), """", IF($D31=""LONG"", (IFERROR(INDEX(GOOGLEFINANCE($C31, ""price"", WORKDAY(INT($B31), 1)), 2, 2), """")-$G31)/$G31, ($G31-IFERROR(INDEX(GOOGLE"&amp;"FINANCE($C31, ""price"", WORKDAY(INT($B31), 1)), 2, 2), """"))/$G31))"),-0.013872012960712884)</f>
        <v>-0.01387201296</v>
      </c>
      <c r="R31" s="16" t="str">
        <f>IFERROR(__xludf.DUMMYFUNCTION("IF(OR(ISBLANK($G31), IFERROR(INDEX(GOOGLEFINANCE($C31, ""price"", WORKDAY(INT($B31), 5)), 2, 2), """")=""""), """", IF($D31=""LONG"", (IFERROR(INDEX(GOOGLEFINANCE($C31, ""price"", WORKDAY(INT($B31), 5)), 2, 2), """")-$G31)/$G31, ($G31-IFERROR(INDEX(GOOGLE"&amp;"FINANCE($C31, ""price"", WORKDAY(INT($B31), 5)), 2, 2), """"))/$G31))"),"")</f>
        <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5871</v>
      </c>
    </row>
    <row r="32">
      <c r="A32" s="9">
        <f t="shared" si="1"/>
        <v>31</v>
      </c>
      <c r="B32" s="11">
        <v>46237.66753472222</v>
      </c>
      <c r="C32" s="10" t="s">
        <v>1555</v>
      </c>
      <c r="D32" s="10" t="s">
        <v>36</v>
      </c>
      <c r="E32" s="10" t="s">
        <v>37</v>
      </c>
      <c r="F32" s="13">
        <v>2.0</v>
      </c>
      <c r="G32" s="14">
        <v>372.07</v>
      </c>
      <c r="H32" s="10" t="s">
        <v>5874</v>
      </c>
      <c r="I32" s="10">
        <v>86.7</v>
      </c>
      <c r="O32" s="15">
        <f>IFERROR(__xludf.DUMMYFUNCTION("IF(ISBLANK($C32), """", GOOGLEFINANCE($C32, ""price""))"),370.35)</f>
        <v>370.35</v>
      </c>
      <c r="P32" s="16">
        <f t="shared" si="2"/>
        <v>-0.004622786035</v>
      </c>
      <c r="Q32" s="16">
        <f>IFERROR(__xludf.DUMMYFUNCTION("IF(OR(ISBLANK($G32), IFERROR(INDEX(GOOGLEFINANCE($C32, ""price"", WORKDAY(INT($B32), 1)), 2, 2), """")=""""), """", IF($D32=""LONG"", (IFERROR(INDEX(GOOGLEFINANCE($C32, ""price"", WORKDAY(INT($B32), 1)), 2, 2), """")-$G32)/$G32, ($G32-IFERROR(INDEX(GOOGLE"&amp;"FINANCE($C32, ""price"", WORKDAY(INT($B32), 1)), 2, 2), """"))/$G32))"),-0.007686725616147536)</f>
        <v>-0.007686725616</v>
      </c>
      <c r="R32" s="16" t="str">
        <f>IFERROR(__xludf.DUMMYFUNCTION("IF(OR(ISBLANK($G32), IFERROR(INDEX(GOOGLEFINANCE($C32, ""price"", WORKDAY(INT($B32), 5)), 2, 2), """")=""""), """", IF($D32=""LONG"", (IFERROR(INDEX(GOOGLEFINANCE($C32, ""price"", WORKDAY(INT($B32), 5)), 2, 2), """")-$G32)/$G32, ($G32-IFERROR(INDEX(GOOGLE"&amp;"FINANCE($C32, ""price"", WORKDAY(INT($B32), 5)), 2, 2), """"))/$G32))"),"")</f>
        <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5876</v>
      </c>
    </row>
    <row r="33">
      <c r="A33" s="9">
        <f t="shared" si="1"/>
        <v>32</v>
      </c>
      <c r="B33" s="11">
        <v>46237.66756944444</v>
      </c>
      <c r="C33" s="10" t="s">
        <v>141</v>
      </c>
      <c r="D33" s="10" t="s">
        <v>36</v>
      </c>
      <c r="E33" s="10" t="s">
        <v>37</v>
      </c>
      <c r="F33" s="13">
        <v>2.0</v>
      </c>
      <c r="G33" s="14">
        <v>127.8</v>
      </c>
      <c r="H33" s="10" t="s">
        <v>5878</v>
      </c>
      <c r="I33" s="10">
        <v>87.1</v>
      </c>
      <c r="O33" s="15">
        <f>IFERROR(__xludf.DUMMYFUNCTION("IF(ISBLANK($C33), """", GOOGLEFINANCE($C33, ""price""))"),128.37)</f>
        <v>128.37</v>
      </c>
      <c r="P33" s="16">
        <f t="shared" si="2"/>
        <v>0.004460093897</v>
      </c>
      <c r="Q33" s="16">
        <f>IFERROR(__xludf.DUMMYFUNCTION("IF(OR(ISBLANK($G33), IFERROR(INDEX(GOOGLEFINANCE($C33, ""price"", WORKDAY(INT($B33), 1)), 2, 2), """")=""""), """", IF($D33=""LONG"", (IFERROR(INDEX(GOOGLEFINANCE($C33, ""price"", WORKDAY(INT($B33), 1)), 2, 2), """")-$G33)/$G33, ($G33-IFERROR(INDEX(GOOGLE"&amp;"FINANCE($C33, ""price"", WORKDAY(INT($B33), 1)), 2, 2), """"))/$G33))"),0.0015649452269170803)</f>
        <v>0.001564945227</v>
      </c>
      <c r="R33" s="16" t="str">
        <f>IFERROR(__xludf.DUMMYFUNCTION("IF(OR(ISBLANK($G33), IFERROR(INDEX(GOOGLEFINANCE($C33, ""price"", WORKDAY(INT($B33), 5)), 2, 2), """")=""""), """", IF($D33=""LONG"", (IFERROR(INDEX(GOOGLEFINANCE($C33, ""price"", WORKDAY(INT($B33), 5)), 2, 2), """")-$G33)/$G33, ($G33-IFERROR(INDEX(GOOGLE"&amp;"FINANCE($C33, ""price"", WORKDAY(INT($B33), 5)), 2, 2), """"))/$G33))"),"")</f>
        <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5883</v>
      </c>
    </row>
    <row r="34">
      <c r="A34" s="9">
        <f t="shared" si="1"/>
        <v>33</v>
      </c>
      <c r="B34" s="11">
        <v>46237.66762731481</v>
      </c>
      <c r="C34" s="10" t="s">
        <v>2692</v>
      </c>
      <c r="D34" s="10" t="s">
        <v>36</v>
      </c>
      <c r="E34" s="10" t="s">
        <v>37</v>
      </c>
      <c r="F34" s="13">
        <v>2.0</v>
      </c>
      <c r="G34" s="14">
        <v>63.5</v>
      </c>
      <c r="H34" s="10" t="s">
        <v>5884</v>
      </c>
      <c r="I34" s="10">
        <v>94.1</v>
      </c>
      <c r="O34" s="15">
        <f>IFERROR(__xludf.DUMMYFUNCTION("IF(ISBLANK($C34), """", GOOGLEFINANCE($C34, ""price""))"),62.36)</f>
        <v>62.36</v>
      </c>
      <c r="P34" s="16">
        <f t="shared" si="2"/>
        <v>-0.01795275591</v>
      </c>
      <c r="Q34" s="16">
        <f>IFERROR(__xludf.DUMMYFUNCTION("IF(OR(ISBLANK($G34), IFERROR(INDEX(GOOGLEFINANCE($C34, ""price"", WORKDAY(INT($B34), 1)), 2, 2), """")=""""), """", IF($D34=""LONG"", (IFERROR(INDEX(GOOGLEFINANCE($C34, ""price"", WORKDAY(INT($B34), 1)), 2, 2), """")-$G34)/$G34, ($G34-IFERROR(INDEX(GOOGLE"&amp;"FINANCE($C34, ""price"", WORKDAY(INT($B34), 1)), 2, 2), """"))/$G34))"),-0.009448818897637818)</f>
        <v>-0.009448818898</v>
      </c>
      <c r="R34" s="16" t="str">
        <f>IFERROR(__xludf.DUMMYFUNCTION("IF(OR(ISBLANK($G34), IFERROR(INDEX(GOOGLEFINANCE($C34, ""price"", WORKDAY(INT($B34), 5)), 2, 2), """")=""""), """", IF($D34=""LONG"", (IFERROR(INDEX(GOOGLEFINANCE($C34, ""price"", WORKDAY(INT($B34), 5)), 2, 2), """")-$G34)/$G34, ($G34-IFERROR(INDEX(GOOGLE"&amp;"FINANCE($C34, ""price"", WORKDAY(INT($B34), 5)), 2, 2), """"))/$G34))"),"")</f>
        <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5887</v>
      </c>
    </row>
    <row r="35">
      <c r="A35" s="9">
        <f t="shared" si="1"/>
        <v>34</v>
      </c>
      <c r="B35" s="11">
        <v>46237.66761574074</v>
      </c>
      <c r="C35" s="10" t="s">
        <v>1216</v>
      </c>
      <c r="D35" s="10" t="s">
        <v>36</v>
      </c>
      <c r="E35" s="10" t="s">
        <v>87</v>
      </c>
      <c r="F35" s="13">
        <v>2.0</v>
      </c>
      <c r="G35" s="14">
        <v>82.11</v>
      </c>
      <c r="H35" s="10" t="s">
        <v>5891</v>
      </c>
      <c r="I35" s="10">
        <v>92.4</v>
      </c>
      <c r="O35" s="15">
        <f>IFERROR(__xludf.DUMMYFUNCTION("IF(ISBLANK($C35), """", GOOGLEFINANCE($C35, ""price""))"),79.02)</f>
        <v>79.02</v>
      </c>
      <c r="P35" s="16">
        <f t="shared" si="2"/>
        <v>-0.03763244428</v>
      </c>
      <c r="Q35" s="16">
        <f>IFERROR(__xludf.DUMMYFUNCTION("IF(OR(ISBLANK($G35), IFERROR(INDEX(GOOGLEFINANCE($C35, ""price"", WORKDAY(INT($B35), 1)), 2, 2), """")=""""), """", IF($D35=""LONG"", (IFERROR(INDEX(GOOGLEFINANCE($C35, ""price"", WORKDAY(INT($B35), 1)), 2, 2), """")-$G35)/$G35, ($G35-IFERROR(INDEX(GOOGLE"&amp;"FINANCE($C35, ""price"", WORKDAY(INT($B35), 1)), 2, 2), """"))/$G35))"),0.030812324929972004)</f>
        <v>0.03081232493</v>
      </c>
      <c r="R35" s="16" t="str">
        <f>IFERROR(__xludf.DUMMYFUNCTION("IF(OR(ISBLANK($G35), IFERROR(INDEX(GOOGLEFINANCE($C35, ""price"", WORKDAY(INT($B35), 5)), 2, 2), """")=""""), """", IF($D35=""LONG"", (IFERROR(INDEX(GOOGLEFINANCE($C35, ""price"", WORKDAY(INT($B35), 5)), 2, 2), """")-$G35)/$G35, ($G35-IFERROR(INDEX(GOOGLE"&amp;"FINANCE($C35, ""price"", WORKDAY(INT($B35), 5)), 2, 2), """"))/$G35))"),"")</f>
        <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5894</v>
      </c>
    </row>
    <row r="36">
      <c r="A36" s="9">
        <f t="shared" si="1"/>
        <v>35</v>
      </c>
      <c r="B36" s="11">
        <v>46237.667546296296</v>
      </c>
      <c r="C36" s="10" t="s">
        <v>342</v>
      </c>
      <c r="D36" s="10" t="s">
        <v>36</v>
      </c>
      <c r="E36" s="10" t="s">
        <v>37</v>
      </c>
      <c r="F36" s="13">
        <v>2.0</v>
      </c>
      <c r="G36" s="14">
        <v>62.49</v>
      </c>
      <c r="H36" s="10" t="s">
        <v>5896</v>
      </c>
      <c r="I36" s="10">
        <v>90.3</v>
      </c>
      <c r="O36" s="15">
        <f>IFERROR(__xludf.DUMMYFUNCTION("IF(ISBLANK($C36), """", GOOGLEFINANCE($C36, ""price""))"),63.0)</f>
        <v>63</v>
      </c>
      <c r="P36" s="16">
        <f t="shared" si="2"/>
        <v>0.008161305809</v>
      </c>
      <c r="Q36" s="16">
        <f>IFERROR(__xludf.DUMMYFUNCTION("IF(OR(ISBLANK($G36), IFERROR(INDEX(GOOGLEFINANCE($C36, ""price"", WORKDAY(INT($B36), 1)), 2, 2), """")=""""), """", IF($D36=""LONG"", (IFERROR(INDEX(GOOGLEFINANCE($C36, ""price"", WORKDAY(INT($B36), 1)), 2, 2), """")-$G36)/$G36, ($G36-IFERROR(INDEX(GOOGLE"&amp;"FINANCE($C36, ""price"", WORKDAY(INT($B36), 1)), 2, 2), """"))/$G36))"),0.006561049767962819)</f>
        <v>0.006561049768</v>
      </c>
      <c r="R36" s="16" t="str">
        <f>IFERROR(__xludf.DUMMYFUNCTION("IF(OR(ISBLANK($G36), IFERROR(INDEX(GOOGLEFINANCE($C36, ""price"", WORKDAY(INT($B36), 5)), 2, 2), """")=""""), """", IF($D36=""LONG"", (IFERROR(INDEX(GOOGLEFINANCE($C36, ""price"", WORKDAY(INT($B36), 5)), 2, 2), """")-$G36)/$G36, ($G36-IFERROR(INDEX(GOOGLE"&amp;"FINANCE($C36, ""price"", WORKDAY(INT($B36), 5)), 2, 2), """"))/$G36))"),"")</f>
        <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5900</v>
      </c>
    </row>
    <row r="37">
      <c r="A37" s="9">
        <f t="shared" si="1"/>
        <v>36</v>
      </c>
      <c r="B37" s="11">
        <v>46237.66756944444</v>
      </c>
      <c r="C37" s="10" t="s">
        <v>2025</v>
      </c>
      <c r="D37" s="10" t="s">
        <v>36</v>
      </c>
      <c r="E37" s="10" t="s">
        <v>37</v>
      </c>
      <c r="F37" s="13">
        <v>2.0</v>
      </c>
      <c r="G37" s="14">
        <v>71.78</v>
      </c>
      <c r="H37" s="10" t="s">
        <v>5901</v>
      </c>
      <c r="I37" s="10">
        <v>99.2</v>
      </c>
      <c r="O37" s="15">
        <f>IFERROR(__xludf.DUMMYFUNCTION("IF(ISBLANK($C37), """", GOOGLEFINANCE($C37, ""price""))"),71.18)</f>
        <v>71.18</v>
      </c>
      <c r="P37" s="16">
        <f t="shared" si="2"/>
        <v>-0.008358874338</v>
      </c>
      <c r="Q37" s="16">
        <f>IFERROR(__xludf.DUMMYFUNCTION("IF(OR(ISBLANK($G37), IFERROR(INDEX(GOOGLEFINANCE($C37, ""price"", WORKDAY(INT($B37), 1)), 2, 2), """")=""""), """", IF($D37=""LONG"", (IFERROR(INDEX(GOOGLEFINANCE($C37, ""price"", WORKDAY(INT($B37), 1)), 2, 2), """")-$G37)/$G37, ($G37-IFERROR(INDEX(GOOGLE"&amp;"FINANCE($C37, ""price"", WORKDAY(INT($B37), 1)), 2, 2), """"))/$G37))"),-0.008498188910560037)</f>
        <v>-0.008498188911</v>
      </c>
      <c r="R37" s="16" t="str">
        <f>IFERROR(__xludf.DUMMYFUNCTION("IF(OR(ISBLANK($G37), IFERROR(INDEX(GOOGLEFINANCE($C37, ""price"", WORKDAY(INT($B37), 5)), 2, 2), """")=""""), """", IF($D37=""LONG"", (IFERROR(INDEX(GOOGLEFINANCE($C37, ""price"", WORKDAY(INT($B37), 5)), 2, 2), """")-$G37)/$G37, ($G37-IFERROR(INDEX(GOOGLE"&amp;"FINANCE($C37, ""price"", WORKDAY(INT($B37), 5)), 2, 2), """"))/$G37))"),"")</f>
        <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5906</v>
      </c>
    </row>
    <row r="38">
      <c r="A38" s="9">
        <f t="shared" si="1"/>
        <v>37</v>
      </c>
      <c r="B38" s="11">
        <v>46237.66763888889</v>
      </c>
      <c r="C38" s="10" t="s">
        <v>3081</v>
      </c>
      <c r="D38" s="10" t="s">
        <v>36</v>
      </c>
      <c r="E38" s="10" t="s">
        <v>37</v>
      </c>
      <c r="F38" s="13">
        <v>2.0</v>
      </c>
      <c r="G38" s="14">
        <v>17.44</v>
      </c>
      <c r="H38" s="10" t="s">
        <v>5907</v>
      </c>
      <c r="I38" s="10">
        <v>92.7</v>
      </c>
      <c r="O38" s="15">
        <f>IFERROR(__xludf.DUMMYFUNCTION("IF(ISBLANK($C38), """", GOOGLEFINANCE($C38, ""price""))"),17.0)</f>
        <v>17</v>
      </c>
      <c r="P38" s="16">
        <f t="shared" si="2"/>
        <v>-0.0252293578</v>
      </c>
      <c r="Q38" s="16">
        <f>IFERROR(__xludf.DUMMYFUNCTION("IF(OR(ISBLANK($G38), IFERROR(INDEX(GOOGLEFINANCE($C38, ""price"", WORKDAY(INT($B38), 1)), 2, 2), """")=""""), """", IF($D38=""LONG"", (IFERROR(INDEX(GOOGLEFINANCE($C38, ""price"", WORKDAY(INT($B38), 1)), 2, 2), """")-$G38)/$G38, ($G38-IFERROR(INDEX(GOOGLE"&amp;"FINANCE($C38, ""price"", WORKDAY(INT($B38), 1)), 2, 2), """"))/$G38))"),5.733944954127299E-4)</f>
        <v>0.0005733944954</v>
      </c>
      <c r="R38" s="16" t="str">
        <f>IFERROR(__xludf.DUMMYFUNCTION("IF(OR(ISBLANK($G38), IFERROR(INDEX(GOOGLEFINANCE($C38, ""price"", WORKDAY(INT($B38), 5)), 2, 2), """")=""""), """", IF($D38=""LONG"", (IFERROR(INDEX(GOOGLEFINANCE($C38, ""price"", WORKDAY(INT($B38), 5)), 2, 2), """")-$G38)/$G38, ($G38-IFERROR(INDEX(GOOGLE"&amp;"FINANCE($C38, ""price"", WORKDAY(INT($B38), 5)), 2, 2), """"))/$G38))"),"")</f>
        <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5910</v>
      </c>
    </row>
    <row r="39">
      <c r="A39" s="9">
        <f t="shared" si="1"/>
        <v>38</v>
      </c>
      <c r="B39" s="11">
        <v>46237.66762731481</v>
      </c>
      <c r="C39" s="10" t="s">
        <v>60</v>
      </c>
      <c r="D39" s="10" t="s">
        <v>36</v>
      </c>
      <c r="E39" s="10" t="s">
        <v>37</v>
      </c>
      <c r="F39" s="13">
        <v>2.0</v>
      </c>
      <c r="G39" s="14">
        <v>46.03</v>
      </c>
      <c r="H39" s="10" t="s">
        <v>2324</v>
      </c>
      <c r="I39" s="10">
        <v>86.9</v>
      </c>
      <c r="O39" s="15">
        <f>IFERROR(__xludf.DUMMYFUNCTION("IF(ISBLANK($C39), """", GOOGLEFINANCE($C39, ""price""))"),47.06)</f>
        <v>47.06</v>
      </c>
      <c r="P39" s="16">
        <f t="shared" si="2"/>
        <v>0.02237671084</v>
      </c>
      <c r="Q39" s="16">
        <f>IFERROR(__xludf.DUMMYFUNCTION("IF(OR(ISBLANK($G39), IFERROR(INDEX(GOOGLEFINANCE($C39, ""price"", WORKDAY(INT($B39), 1)), 2, 2), """")=""""), """", IF($D39=""LONG"", (IFERROR(INDEX(GOOGLEFINANCE($C39, ""price"", WORKDAY(INT($B39), 1)), 2, 2), """")-$G39)/$G39, ($G39-IFERROR(INDEX(GOOGLE"&amp;"FINANCE($C39, ""price"", WORKDAY(INT($B39), 1)), 2, 2), """"))/$G39))"),0.024114707799261337)</f>
        <v>0.0241147078</v>
      </c>
      <c r="R39" s="16" t="str">
        <f>IFERROR(__xludf.DUMMYFUNCTION("IF(OR(ISBLANK($G39), IFERROR(INDEX(GOOGLEFINANCE($C39, ""price"", WORKDAY(INT($B39), 5)), 2, 2), """")=""""), """", IF($D39=""LONG"", (IFERROR(INDEX(GOOGLEFINANCE($C39, ""price"", WORKDAY(INT($B39), 5)), 2, 2), """")-$G39)/$G39, ($G39-IFERROR(INDEX(GOOGLE"&amp;"FINANCE($C39, ""price"", WORKDAY(INT($B39), 5)), 2, 2), """"))/$G39))"),"")</f>
        <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5915</v>
      </c>
    </row>
    <row r="40">
      <c r="A40" s="9">
        <f t="shared" si="1"/>
        <v>39</v>
      </c>
      <c r="B40" s="11">
        <v>46237.66756944444</v>
      </c>
      <c r="C40" s="10" t="s">
        <v>4135</v>
      </c>
      <c r="D40" s="10" t="s">
        <v>36</v>
      </c>
      <c r="E40" s="10" t="s">
        <v>37</v>
      </c>
      <c r="F40" s="13">
        <v>2.0</v>
      </c>
      <c r="G40" s="14">
        <v>378.86</v>
      </c>
      <c r="H40" s="10" t="s">
        <v>5916</v>
      </c>
      <c r="I40" s="10">
        <v>92.2</v>
      </c>
      <c r="O40" s="15">
        <f>IFERROR(__xludf.DUMMYFUNCTION("IF(ISBLANK($C40), """", GOOGLEFINANCE($C40, ""price""))"),404.85)</f>
        <v>404.85</v>
      </c>
      <c r="P40" s="16">
        <f t="shared" si="2"/>
        <v>0.06860053846</v>
      </c>
      <c r="Q40" s="16">
        <f>IFERROR(__xludf.DUMMYFUNCTION("IF(OR(ISBLANK($G40), IFERROR(INDEX(GOOGLEFINANCE($C40, ""price"", WORKDAY(INT($B40), 1)), 2, 2), """")=""""), """", IF($D40=""LONG"", (IFERROR(INDEX(GOOGLEFINANCE($C40, ""price"", WORKDAY(INT($B40), 1)), 2, 2), """")-$G40)/$G40, ($G40-IFERROR(INDEX(GOOGLE"&amp;"FINANCE($C40, ""price"", WORKDAY(INT($B40), 1)), 2, 2), """"))/$G40))"),0.02945679142691223)</f>
        <v>0.02945679143</v>
      </c>
      <c r="R40" s="16" t="str">
        <f>IFERROR(__xludf.DUMMYFUNCTION("IF(OR(ISBLANK($G40), IFERROR(INDEX(GOOGLEFINANCE($C40, ""price"", WORKDAY(INT($B40), 5)), 2, 2), """")=""""), """", IF($D40=""LONG"", (IFERROR(INDEX(GOOGLEFINANCE($C40, ""price"", WORKDAY(INT($B40), 5)), 2, 2), """")-$G40)/$G40, ($G40-IFERROR(INDEX(GOOGLE"&amp;"FINANCE($C40, ""price"", WORKDAY(INT($B40), 5)), 2, 2), """"))/$G40))"),"")</f>
        <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5920</v>
      </c>
    </row>
    <row r="41">
      <c r="A41" s="9">
        <f t="shared" si="1"/>
        <v>40</v>
      </c>
      <c r="B41" s="11">
        <v>46237.66756944444</v>
      </c>
      <c r="C41" s="10" t="s">
        <v>440</v>
      </c>
      <c r="D41" s="10" t="s">
        <v>36</v>
      </c>
      <c r="E41" s="10" t="s">
        <v>37</v>
      </c>
      <c r="F41" s="13">
        <v>2.0</v>
      </c>
      <c r="G41" s="14">
        <v>96.32</v>
      </c>
      <c r="H41" s="10" t="s">
        <v>5921</v>
      </c>
      <c r="I41" s="10">
        <v>87.5</v>
      </c>
      <c r="O41" s="15">
        <f>IFERROR(__xludf.DUMMYFUNCTION("IF(ISBLANK($C41), """", GOOGLEFINANCE($C41, ""price""))"),99.95)</f>
        <v>99.95</v>
      </c>
      <c r="P41" s="16">
        <f t="shared" si="2"/>
        <v>0.03768687708</v>
      </c>
      <c r="Q41" s="16">
        <f>IFERROR(__xludf.DUMMYFUNCTION("IF(OR(ISBLANK($G41), IFERROR(INDEX(GOOGLEFINANCE($C41, ""price"", WORKDAY(INT($B41), 1)), 2, 2), """")=""""), """", IF($D41=""LONG"", (IFERROR(INDEX(GOOGLEFINANCE($C41, ""price"", WORKDAY(INT($B41), 1)), 2, 2), """")-$G41)/$G41, ($G41-IFERROR(INDEX(GOOGLE"&amp;"FINANCE($C41, ""price"", WORKDAY(INT($B41), 1)), 2, 2), """"))/$G41))"),-0.0019725913621262223)</f>
        <v>-0.001972591362</v>
      </c>
      <c r="R41" s="16" t="str">
        <f>IFERROR(__xludf.DUMMYFUNCTION("IF(OR(ISBLANK($G41), IFERROR(INDEX(GOOGLEFINANCE($C41, ""price"", WORKDAY(INT($B41), 5)), 2, 2), """")=""""), """", IF($D41=""LONG"", (IFERROR(INDEX(GOOGLEFINANCE($C41, ""price"", WORKDAY(INT($B41), 5)), 2, 2), """")-$G41)/$G41, ($G41-IFERROR(INDEX(GOOGLE"&amp;"FINANCE($C41, ""price"", WORKDAY(INT($B41), 5)), 2, 2), """"))/$G41))"),"")</f>
        <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5922</v>
      </c>
    </row>
    <row r="42">
      <c r="A42" s="9">
        <f t="shared" si="1"/>
        <v>41</v>
      </c>
      <c r="B42" s="11">
        <v>46237.667662037034</v>
      </c>
      <c r="C42" s="10" t="s">
        <v>2066</v>
      </c>
      <c r="D42" s="10" t="s">
        <v>36</v>
      </c>
      <c r="E42" s="10" t="s">
        <v>37</v>
      </c>
      <c r="F42" s="13">
        <v>2.0</v>
      </c>
      <c r="G42" s="14">
        <v>94.78</v>
      </c>
      <c r="H42" s="10" t="s">
        <v>5923</v>
      </c>
      <c r="I42" s="10">
        <v>98.2</v>
      </c>
      <c r="O42" s="15">
        <f>IFERROR(__xludf.DUMMYFUNCTION("IF(ISBLANK($C42), """", GOOGLEFINANCE($C42, ""price""))"),98.02)</f>
        <v>98.02</v>
      </c>
      <c r="P42" s="16">
        <f t="shared" si="2"/>
        <v>0.03418442709</v>
      </c>
      <c r="Q42" s="16">
        <f>IFERROR(__xludf.DUMMYFUNCTION("IF(OR(ISBLANK($G42), IFERROR(INDEX(GOOGLEFINANCE($C42, ""price"", WORKDAY(INT($B42), 1)), 2, 2), """")=""""), """", IF($D42=""LONG"", (IFERROR(INDEX(GOOGLEFINANCE($C42, ""price"", WORKDAY(INT($B42), 1)), 2, 2), """")-$G42)/$G42, ($G42-IFERROR(INDEX(GOOGLE"&amp;"FINANCE($C42, ""price"", WORKDAY(INT($B42), 1)), 2, 2), """"))/$G42))"),0.01761975100232118)</f>
        <v>0.017619751</v>
      </c>
      <c r="R42" s="16" t="str">
        <f>IFERROR(__xludf.DUMMYFUNCTION("IF(OR(ISBLANK($G42), IFERROR(INDEX(GOOGLEFINANCE($C42, ""price"", WORKDAY(INT($B42), 5)), 2, 2), """")=""""), """", IF($D42=""LONG"", (IFERROR(INDEX(GOOGLEFINANCE($C42, ""price"", WORKDAY(INT($B42), 5)), 2, 2), """")-$G42)/$G42, ($G42-IFERROR(INDEX(GOOGLE"&amp;"FINANCE($C42, ""price"", WORKDAY(INT($B42), 5)), 2, 2), """"))/$G42))"),"")</f>
        <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5928</v>
      </c>
    </row>
    <row r="43">
      <c r="A43" s="9">
        <f t="shared" si="1"/>
        <v>42</v>
      </c>
      <c r="B43" s="11">
        <v>46237.667662037034</v>
      </c>
      <c r="C43" s="10" t="s">
        <v>4586</v>
      </c>
      <c r="D43" s="10" t="s">
        <v>36</v>
      </c>
      <c r="E43" s="10" t="s">
        <v>37</v>
      </c>
      <c r="F43" s="13">
        <v>2.0</v>
      </c>
      <c r="G43" s="14">
        <v>307.2</v>
      </c>
      <c r="H43" s="10" t="s">
        <v>855</v>
      </c>
      <c r="I43" s="10">
        <v>94.2</v>
      </c>
      <c r="O43" s="15">
        <f>IFERROR(__xludf.DUMMYFUNCTION("IF(ISBLANK($C43), """", GOOGLEFINANCE($C43, ""price""))"),299.25)</f>
        <v>299.25</v>
      </c>
      <c r="P43" s="16">
        <f t="shared" si="2"/>
        <v>-0.02587890625</v>
      </c>
      <c r="Q43" s="16">
        <f>IFERROR(__xludf.DUMMYFUNCTION("IF(OR(ISBLANK($G43), IFERROR(INDEX(GOOGLEFINANCE($C43, ""price"", WORKDAY(INT($B43), 1)), 2, 2), """")=""""), """", IF($D43=""LONG"", (IFERROR(INDEX(GOOGLEFINANCE($C43, ""price"", WORKDAY(INT($B43), 1)), 2, 2), """")-$G43)/$G43, ($G43-IFERROR(INDEX(GOOGLE"&amp;"FINANCE($C43, ""price"", WORKDAY(INT($B43), 1)), 2, 2), """"))/$G43))"),0.017610677083333415)</f>
        <v>0.01761067708</v>
      </c>
      <c r="R43" s="16" t="str">
        <f>IFERROR(__xludf.DUMMYFUNCTION("IF(OR(ISBLANK($G43), IFERROR(INDEX(GOOGLEFINANCE($C43, ""price"", WORKDAY(INT($B43), 5)), 2, 2), """")=""""), """", IF($D43=""LONG"", (IFERROR(INDEX(GOOGLEFINANCE($C43, ""price"", WORKDAY(INT($B43), 5)), 2, 2), """")-$G43)/$G43, ($G43-IFERROR(INDEX(GOOGLE"&amp;"FINANCE($C43, ""price"", WORKDAY(INT($B43), 5)), 2, 2), """"))/$G43))"),"")</f>
        <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5929</v>
      </c>
    </row>
    <row r="44">
      <c r="A44" s="9">
        <f t="shared" si="1"/>
        <v>43</v>
      </c>
      <c r="B44" s="11">
        <v>46237.667592592596</v>
      </c>
      <c r="C44" s="10" t="s">
        <v>5749</v>
      </c>
      <c r="D44" s="10" t="s">
        <v>36</v>
      </c>
      <c r="E44" s="10" t="s">
        <v>4224</v>
      </c>
      <c r="F44" s="13">
        <v>4.0</v>
      </c>
      <c r="G44" s="14">
        <v>480.49</v>
      </c>
      <c r="H44" s="10" t="s">
        <v>5933</v>
      </c>
      <c r="I44" s="10">
        <v>63.3</v>
      </c>
      <c r="O44" s="15">
        <f>IFERROR(__xludf.DUMMYFUNCTION("IF(ISBLANK($C44), """", GOOGLEFINANCE($C44, ""price""))"),490.11)</f>
        <v>490.11</v>
      </c>
      <c r="P44" s="16">
        <f t="shared" si="2"/>
        <v>0.02002122833</v>
      </c>
      <c r="Q44" s="16">
        <f>IFERROR(__xludf.DUMMYFUNCTION("IF(OR(ISBLANK($G44), IFERROR(INDEX(GOOGLEFINANCE($C44, ""price"", WORKDAY(INT($B44), 1)), 2, 2), """")=""""), """", IF($D44=""LONG"", (IFERROR(INDEX(GOOGLEFINANCE($C44, ""price"", WORKDAY(INT($B44), 1)), 2, 2), """")-$G44)/$G44, ($G44-IFERROR(INDEX(GOOGLE"&amp;"FINANCE($C44, ""price"", WORKDAY(INT($B44), 1)), 2, 2), """"))/$G44))"),0.008637016379112942)</f>
        <v>0.008637016379</v>
      </c>
      <c r="R44" s="16" t="str">
        <f>IFERROR(__xludf.DUMMYFUNCTION("IF(OR(ISBLANK($G44), IFERROR(INDEX(GOOGLEFINANCE($C44, ""price"", WORKDAY(INT($B44), 5)), 2, 2), """")=""""), """", IF($D44=""LONG"", (IFERROR(INDEX(GOOGLEFINANCE($C44, ""price"", WORKDAY(INT($B44), 5)), 2, 2), """")-$G44)/$G44, ($G44-IFERROR(INDEX(GOOGLE"&amp;"FINANCE($C44, ""price"", WORKDAY(INT($B44), 5)), 2, 2), """"))/$G44))"),"")</f>
        <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5935</v>
      </c>
    </row>
    <row r="45">
      <c r="A45" s="9">
        <f t="shared" si="1"/>
        <v>44</v>
      </c>
      <c r="B45" s="11">
        <v>46237.667662037034</v>
      </c>
      <c r="C45" s="10" t="s">
        <v>166</v>
      </c>
      <c r="D45" s="10" t="s">
        <v>36</v>
      </c>
      <c r="E45" s="10" t="s">
        <v>37</v>
      </c>
      <c r="F45" s="13">
        <v>2.0</v>
      </c>
      <c r="G45" s="14">
        <v>132.03</v>
      </c>
      <c r="H45" s="10" t="s">
        <v>5937</v>
      </c>
      <c r="I45" s="10">
        <v>92.8</v>
      </c>
      <c r="O45" s="15">
        <f>IFERROR(__xludf.DUMMYFUNCTION("IF(ISBLANK($C45), """", GOOGLEFINANCE($C45, ""price""))"),132.06)</f>
        <v>132.06</v>
      </c>
      <c r="P45" s="16">
        <f t="shared" si="2"/>
        <v>0.0002272210861</v>
      </c>
      <c r="Q45" s="16">
        <f>IFERROR(__xludf.DUMMYFUNCTION("IF(OR(ISBLANK($G45), IFERROR(INDEX(GOOGLEFINANCE($C45, ""price"", WORKDAY(INT($B45), 1)), 2, 2), """")=""""), """", IF($D45=""LONG"", (IFERROR(INDEX(GOOGLEFINANCE($C45, ""price"", WORKDAY(INT($B45), 1)), 2, 2), """")-$G45)/$G45, ($G45-IFERROR(INDEX(GOOGLE"&amp;"FINANCE($C45, ""price"", WORKDAY(INT($B45), 1)), 2, 2), """"))/$G45))"),0.029765962281299754)</f>
        <v>0.02976596228</v>
      </c>
      <c r="R45" s="16" t="str">
        <f>IFERROR(__xludf.DUMMYFUNCTION("IF(OR(ISBLANK($G45), IFERROR(INDEX(GOOGLEFINANCE($C45, ""price"", WORKDAY(INT($B45), 5)), 2, 2), """")=""""), """", IF($D45=""LONG"", (IFERROR(INDEX(GOOGLEFINANCE($C45, ""price"", WORKDAY(INT($B45), 5)), 2, 2), """")-$G45)/$G45, ($G45-IFERROR(INDEX(GOOGLE"&amp;"FINANCE($C45, ""price"", WORKDAY(INT($B45), 5)), 2, 2), """"))/$G45))"),"")</f>
        <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5942</v>
      </c>
    </row>
    <row r="46">
      <c r="A46" s="9">
        <f t="shared" si="1"/>
        <v>45</v>
      </c>
      <c r="B46" s="11">
        <v>46237.667662037034</v>
      </c>
      <c r="C46" s="10" t="s">
        <v>618</v>
      </c>
      <c r="D46" s="10" t="s">
        <v>36</v>
      </c>
      <c r="E46" s="10" t="s">
        <v>37</v>
      </c>
      <c r="F46" s="13">
        <v>2.0</v>
      </c>
      <c r="G46" s="14">
        <v>237.01</v>
      </c>
      <c r="H46" s="10" t="s">
        <v>5943</v>
      </c>
      <c r="I46" s="10">
        <v>97.4</v>
      </c>
      <c r="O46" s="15">
        <f>IFERROR(__xludf.DUMMYFUNCTION("IF(ISBLANK($C46), """", GOOGLEFINANCE($C46, ""price""))"),254.06)</f>
        <v>254.06</v>
      </c>
      <c r="P46" s="16">
        <f t="shared" si="2"/>
        <v>0.07193789292</v>
      </c>
      <c r="Q46" s="16">
        <f>IFERROR(__xludf.DUMMYFUNCTION("IF(OR(ISBLANK($G46), IFERROR(INDEX(GOOGLEFINANCE($C46, ""price"", WORKDAY(INT($B46), 1)), 2, 2), """")=""""), """", IF($D46=""LONG"", (IFERROR(INDEX(GOOGLEFINANCE($C46, ""price"", WORKDAY(INT($B46), 1)), 2, 2), """")-$G46)/$G46, ($G46-IFERROR(INDEX(GOOGLE"&amp;"FINANCE($C46, ""price"", WORKDAY(INT($B46), 1)), 2, 2), """"))/$G46))"),0.03172861904560993)</f>
        <v>0.03172861905</v>
      </c>
      <c r="R46" s="16" t="str">
        <f>IFERROR(__xludf.DUMMYFUNCTION("IF(OR(ISBLANK($G46), IFERROR(INDEX(GOOGLEFINANCE($C46, ""price"", WORKDAY(INT($B46), 5)), 2, 2), """")=""""), """", IF($D46=""LONG"", (IFERROR(INDEX(GOOGLEFINANCE($C46, ""price"", WORKDAY(INT($B46), 5)), 2, 2), """")-$G46)/$G46, ($G46-IFERROR(INDEX(GOOGLE"&amp;"FINANCE($C46, ""price"", WORKDAY(INT($B46), 5)), 2, 2), """"))/$G46))"),"")</f>
        <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5947</v>
      </c>
    </row>
    <row r="47">
      <c r="A47" s="9">
        <f t="shared" si="1"/>
        <v>46</v>
      </c>
      <c r="B47" s="11">
        <v>46237.66768518519</v>
      </c>
      <c r="C47" s="10" t="s">
        <v>254</v>
      </c>
      <c r="D47" s="10" t="s">
        <v>36</v>
      </c>
      <c r="E47" s="10" t="s">
        <v>4224</v>
      </c>
      <c r="F47" s="13">
        <v>4.0</v>
      </c>
      <c r="G47" s="14">
        <v>44.49</v>
      </c>
      <c r="H47" s="10" t="s">
        <v>5948</v>
      </c>
      <c r="I47" s="10">
        <v>15.1</v>
      </c>
      <c r="O47" s="15">
        <f>IFERROR(__xludf.DUMMYFUNCTION("IF(ISBLANK($C47), """", GOOGLEFINANCE($C47, ""price""))"),44.7)</f>
        <v>44.7</v>
      </c>
      <c r="P47" s="16">
        <f t="shared" si="2"/>
        <v>0.004720161834</v>
      </c>
      <c r="Q47" s="16">
        <f>IFERROR(__xludf.DUMMYFUNCTION("IF(OR(ISBLANK($G47), IFERROR(INDEX(GOOGLEFINANCE($C47, ""price"", WORKDAY(INT($B47), 1)), 2, 2), """")=""""), """", IF($D47=""LONG"", (IFERROR(INDEX(GOOGLEFINANCE($C47, ""price"", WORKDAY(INT($B47), 1)), 2, 2), """")-$G47)/$G47, ($G47-IFERROR(INDEX(GOOGLE"&amp;"FINANCE($C47, ""price"", WORKDAY(INT($B47), 1)), 2, 2), """"))/$G47))"),0.027646662171274372)</f>
        <v>0.02764666217</v>
      </c>
      <c r="R47" s="16" t="str">
        <f>IFERROR(__xludf.DUMMYFUNCTION("IF(OR(ISBLANK($G47), IFERROR(INDEX(GOOGLEFINANCE($C47, ""price"", WORKDAY(INT($B47), 5)), 2, 2), """")=""""), """", IF($D47=""LONG"", (IFERROR(INDEX(GOOGLEFINANCE($C47, ""price"", WORKDAY(INT($B47), 5)), 2, 2), """")-$G47)/$G47, ($G47-IFERROR(INDEX(GOOGLE"&amp;"FINANCE($C47, ""price"", WORKDAY(INT($B47), 5)), 2, 2), """"))/$G47))"),"")</f>
        <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5951</v>
      </c>
    </row>
    <row r="48">
      <c r="A48" s="9">
        <f t="shared" si="1"/>
        <v>47</v>
      </c>
      <c r="B48" s="11">
        <v>46237.667592592596</v>
      </c>
      <c r="C48" s="10" t="s">
        <v>600</v>
      </c>
      <c r="D48" s="10" t="s">
        <v>36</v>
      </c>
      <c r="E48" s="10" t="s">
        <v>37</v>
      </c>
      <c r="F48" s="13">
        <v>2.0</v>
      </c>
      <c r="G48" s="14">
        <v>230.67</v>
      </c>
      <c r="H48" s="10" t="s">
        <v>5952</v>
      </c>
      <c r="I48" s="10">
        <v>85.2</v>
      </c>
      <c r="O48" s="15">
        <f>IFERROR(__xludf.DUMMYFUNCTION("IF(ISBLANK($C48), """", GOOGLEFINANCE($C48, ""price""))"),265.51)</f>
        <v>265.51</v>
      </c>
      <c r="P48" s="16">
        <f t="shared" si="2"/>
        <v>0.1510382798</v>
      </c>
      <c r="Q48" s="16">
        <f>IFERROR(__xludf.DUMMYFUNCTION("IF(OR(ISBLANK($G48), IFERROR(INDEX(GOOGLEFINANCE($C48, ""price"", WORKDAY(INT($B48), 1)), 2, 2), """")=""""), """", IF($D48=""LONG"", (IFERROR(INDEX(GOOGLEFINANCE($C48, ""price"", WORKDAY(INT($B48), 1)), 2, 2), """")-$G48)/$G48, ($G48-IFERROR(INDEX(GOOGLE"&amp;"FINANCE($C48, ""price"", WORKDAY(INT($B48), 1)), 2, 2), """"))/$G48))"),0.014956431265444216)</f>
        <v>0.01495643127</v>
      </c>
      <c r="R48" s="16" t="str">
        <f>IFERROR(__xludf.DUMMYFUNCTION("IF(OR(ISBLANK($G48), IFERROR(INDEX(GOOGLEFINANCE($C48, ""price"", WORKDAY(INT($B48), 5)), 2, 2), """")=""""), """", IF($D48=""LONG"", (IFERROR(INDEX(GOOGLEFINANCE($C48, ""price"", WORKDAY(INT($B48), 5)), 2, 2), """")-$G48)/$G48, ($G48-IFERROR(INDEX(GOOGLE"&amp;"FINANCE($C48, ""price"", WORKDAY(INT($B48), 5)), 2, 2), """"))/$G48))"),"")</f>
        <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5954</v>
      </c>
    </row>
    <row r="49">
      <c r="A49" s="9">
        <f t="shared" si="1"/>
        <v>48</v>
      </c>
      <c r="B49" s="11">
        <v>46237.66762731481</v>
      </c>
      <c r="C49" s="10" t="s">
        <v>69</v>
      </c>
      <c r="D49" s="10" t="s">
        <v>36</v>
      </c>
      <c r="E49" s="10" t="s">
        <v>37</v>
      </c>
      <c r="F49" s="13">
        <v>2.0</v>
      </c>
      <c r="G49" s="14">
        <v>254.44</v>
      </c>
      <c r="H49" s="10" t="s">
        <v>5955</v>
      </c>
      <c r="I49" s="10">
        <v>91.7</v>
      </c>
      <c r="O49" s="15">
        <f>IFERROR(__xludf.DUMMYFUNCTION("IF(ISBLANK($C49), """", GOOGLEFINANCE($C49, ""price""))"),256.98)</f>
        <v>256.98</v>
      </c>
      <c r="P49" s="16">
        <f t="shared" si="2"/>
        <v>0.009982707122</v>
      </c>
      <c r="Q49" s="16">
        <f>IFERROR(__xludf.DUMMYFUNCTION("IF(OR(ISBLANK($G49), IFERROR(INDEX(GOOGLEFINANCE($C49, ""price"", WORKDAY(INT($B49), 1)), 2, 2), """")=""""), """", IF($D49=""LONG"", (IFERROR(INDEX(GOOGLEFINANCE($C49, ""price"", WORKDAY(INT($B49), 1)), 2, 2), """")-$G49)/$G49, ($G49-IFERROR(INDEX(GOOGLE"&amp;"FINANCE($C49, ""price"", WORKDAY(INT($B49), 1)), 2, 2), """"))/$G49))"),0.0019257978305298267)</f>
        <v>0.001925797831</v>
      </c>
      <c r="R49" s="16" t="str">
        <f>IFERROR(__xludf.DUMMYFUNCTION("IF(OR(ISBLANK($G49), IFERROR(INDEX(GOOGLEFINANCE($C49, ""price"", WORKDAY(INT($B49), 5)), 2, 2), """")=""""), """", IF($D49=""LONG"", (IFERROR(INDEX(GOOGLEFINANCE($C49, ""price"", WORKDAY(INT($B49), 5)), 2, 2), """")-$G49)/$G49, ($G49-IFERROR(INDEX(GOOGLE"&amp;"FINANCE($C49, ""price"", WORKDAY(INT($B49), 5)), 2, 2), """"))/$G49))"),"")</f>
        <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5958</v>
      </c>
    </row>
    <row r="50">
      <c r="A50" s="9">
        <f t="shared" si="1"/>
        <v>49</v>
      </c>
      <c r="B50" s="11">
        <v>46237.66768518519</v>
      </c>
      <c r="C50" s="10" t="s">
        <v>312</v>
      </c>
      <c r="D50" s="10" t="s">
        <v>36</v>
      </c>
      <c r="E50" s="10" t="s">
        <v>37</v>
      </c>
      <c r="F50" s="13">
        <v>2.0</v>
      </c>
      <c r="G50" s="14">
        <v>14.71</v>
      </c>
      <c r="H50" s="10" t="s">
        <v>5959</v>
      </c>
      <c r="I50" s="10">
        <v>84.8</v>
      </c>
      <c r="O50" s="15">
        <f>IFERROR(__xludf.DUMMYFUNCTION("IF(ISBLANK($C50), """", GOOGLEFINANCE($C50, ""price""))"),14.7)</f>
        <v>14.7</v>
      </c>
      <c r="P50" s="16">
        <f t="shared" si="2"/>
        <v>-0.0006798096533</v>
      </c>
      <c r="Q50" s="16">
        <f>IFERROR(__xludf.DUMMYFUNCTION("IF(OR(ISBLANK($G50), IFERROR(INDEX(GOOGLEFINANCE($C50, ""price"", WORKDAY(INT($B50), 1)), 2, 2), """")=""""), """", IF($D50=""LONG"", (IFERROR(INDEX(GOOGLEFINANCE($C50, ""price"", WORKDAY(INT($B50), 1)), 2, 2), """")-$G50)/$G50, ($G50-IFERROR(INDEX(GOOGLE"&amp;"FINANCE($C50, ""price"", WORKDAY(INT($B50), 1)), 2, 2), """"))/$G50))"),-0.0020394289598913077)</f>
        <v>-0.00203942896</v>
      </c>
      <c r="R50" s="16" t="str">
        <f>IFERROR(__xludf.DUMMYFUNCTION("IF(OR(ISBLANK($G50), IFERROR(INDEX(GOOGLEFINANCE($C50, ""price"", WORKDAY(INT($B50), 5)), 2, 2), """")=""""), """", IF($D50=""LONG"", (IFERROR(INDEX(GOOGLEFINANCE($C50, ""price"", WORKDAY(INT($B50), 5)), 2, 2), """")-$G50)/$G50, ($G50-IFERROR(INDEX(GOOGLE"&amp;"FINANCE($C50, ""price"", WORKDAY(INT($B50), 5)), 2, 2), """"))/$G50))"),"")</f>
        <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5960</v>
      </c>
    </row>
    <row r="51">
      <c r="A51" s="9">
        <f t="shared" si="1"/>
        <v>50</v>
      </c>
      <c r="B51" s="11">
        <v>46237.66756944444</v>
      </c>
      <c r="C51" s="10" t="s">
        <v>2311</v>
      </c>
      <c r="D51" s="10" t="s">
        <v>36</v>
      </c>
      <c r="E51" s="10" t="s">
        <v>37</v>
      </c>
      <c r="F51" s="13">
        <v>2.0</v>
      </c>
      <c r="G51" s="14">
        <v>226.44</v>
      </c>
      <c r="H51" s="10" t="s">
        <v>5962</v>
      </c>
      <c r="I51" s="10">
        <v>94.0</v>
      </c>
      <c r="O51" s="15">
        <f>IFERROR(__xludf.DUMMYFUNCTION("IF(ISBLANK($C51), """", GOOGLEFINANCE($C51, ""price""))"),229.01)</f>
        <v>229.01</v>
      </c>
      <c r="P51" s="16">
        <f t="shared" si="2"/>
        <v>0.01134958488</v>
      </c>
      <c r="Q51" s="16">
        <f>IFERROR(__xludf.DUMMYFUNCTION("IF(OR(ISBLANK($G51), IFERROR(INDEX(GOOGLEFINANCE($C51, ""price"", WORKDAY(INT($B51), 1)), 2, 2), """")=""""), """", IF($D51=""LONG"", (IFERROR(INDEX(GOOGLEFINANCE($C51, ""price"", WORKDAY(INT($B51), 1)), 2, 2), """")-$G51)/$G51, ($G51-IFERROR(INDEX(GOOGLE"&amp;"FINANCE($C51, ""price"", WORKDAY(INT($B51), 1)), 2, 2), """"))/$G51))"),-0.005255255255255245)</f>
        <v>-0.005255255255</v>
      </c>
      <c r="R51" s="16" t="str">
        <f>IFERROR(__xludf.DUMMYFUNCTION("IF(OR(ISBLANK($G51), IFERROR(INDEX(GOOGLEFINANCE($C51, ""price"", WORKDAY(INT($B51), 5)), 2, 2), """")=""""), """", IF($D51=""LONG"", (IFERROR(INDEX(GOOGLEFINANCE($C51, ""price"", WORKDAY(INT($B51), 5)), 2, 2), """")-$G51)/$G51, ($G51-IFERROR(INDEX(GOOGLE"&amp;"FINANCE($C51, ""price"", WORKDAY(INT($B51), 5)), 2, 2), """"))/$G51))"),"")</f>
        <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5964</v>
      </c>
    </row>
    <row r="52">
      <c r="A52" s="9">
        <f t="shared" si="1"/>
        <v>51</v>
      </c>
      <c r="B52" s="11">
        <v>46237.667662037034</v>
      </c>
      <c r="C52" s="10" t="s">
        <v>499</v>
      </c>
      <c r="D52" s="10" t="s">
        <v>36</v>
      </c>
      <c r="E52" s="10" t="s">
        <v>37</v>
      </c>
      <c r="F52" s="13">
        <v>2.0</v>
      </c>
      <c r="G52" s="14">
        <v>116.18</v>
      </c>
      <c r="H52" s="10" t="s">
        <v>5965</v>
      </c>
      <c r="I52" s="10">
        <v>89.3</v>
      </c>
      <c r="O52" s="15">
        <f>IFERROR(__xludf.DUMMYFUNCTION("IF(ISBLANK($C52), """", GOOGLEFINANCE($C52, ""price""))"),115.98)</f>
        <v>115.98</v>
      </c>
      <c r="P52" s="16">
        <f t="shared" si="2"/>
        <v>-0.00172146669</v>
      </c>
      <c r="Q52" s="16">
        <f>IFERROR(__xludf.DUMMYFUNCTION("IF(OR(ISBLANK($G52), IFERROR(INDEX(GOOGLEFINANCE($C52, ""price"", WORKDAY(INT($B52), 1)), 2, 2), """")=""""), """", IF($D52=""LONG"", (IFERROR(INDEX(GOOGLEFINANCE($C52, ""price"", WORKDAY(INT($B52), 1)), 2, 2), """")-$G52)/$G52, ($G52-IFERROR(INDEX(GOOGLE"&amp;"FINANCE($C52, ""price"", WORKDAY(INT($B52), 1)), 2, 2), """"))/$G52))"),-0.0017214666896195802)</f>
        <v>-0.00172146669</v>
      </c>
      <c r="R52" s="16" t="str">
        <f>IFERROR(__xludf.DUMMYFUNCTION("IF(OR(ISBLANK($G52), IFERROR(INDEX(GOOGLEFINANCE($C52, ""price"", WORKDAY(INT($B52), 5)), 2, 2), """")=""""), """", IF($D52=""LONG"", (IFERROR(INDEX(GOOGLEFINANCE($C52, ""price"", WORKDAY(INT($B52), 5)), 2, 2), """")-$G52)/$G52, ($G52-IFERROR(INDEX(GOOGLE"&amp;"FINANCE($C52, ""price"", WORKDAY(INT($B52), 5)), 2, 2), """"))/$G52))"),"")</f>
        <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5967</v>
      </c>
    </row>
    <row r="53">
      <c r="A53" s="9">
        <f t="shared" si="1"/>
        <v>52</v>
      </c>
      <c r="B53" s="11">
        <v>46237.66763888889</v>
      </c>
      <c r="C53" s="10" t="s">
        <v>5099</v>
      </c>
      <c r="D53" s="10" t="s">
        <v>36</v>
      </c>
      <c r="E53" s="10" t="s">
        <v>37</v>
      </c>
      <c r="F53" s="13">
        <v>2.0</v>
      </c>
      <c r="G53" s="14">
        <v>206.16</v>
      </c>
      <c r="H53" s="10" t="s">
        <v>1846</v>
      </c>
      <c r="I53" s="10">
        <v>93.8</v>
      </c>
      <c r="O53" s="15">
        <f>IFERROR(__xludf.DUMMYFUNCTION("IF(ISBLANK($C53), """", GOOGLEFINANCE($C53, ""price""))"),205.52)</f>
        <v>205.52</v>
      </c>
      <c r="P53" s="16">
        <f t="shared" si="2"/>
        <v>-0.003104384944</v>
      </c>
      <c r="Q53" s="16">
        <f>IFERROR(__xludf.DUMMYFUNCTION("IF(OR(ISBLANK($G53), IFERROR(INDEX(GOOGLEFINANCE($C53, ""price"", WORKDAY(INT($B53), 1)), 2, 2), """")=""""), """", IF($D53=""LONG"", (IFERROR(INDEX(GOOGLEFINANCE($C53, ""price"", WORKDAY(INT($B53), 1)), 2, 2), """")-$G53)/$G53, ($G53-IFERROR(INDEX(GOOGLE"&amp;"FINANCE($C53, ""price"", WORKDAY(INT($B53), 1)), 2, 2), """"))/$G53))"),-0.0013096623981374187)</f>
        <v>-0.001309662398</v>
      </c>
      <c r="R53" s="16" t="str">
        <f>IFERROR(__xludf.DUMMYFUNCTION("IF(OR(ISBLANK($G53), IFERROR(INDEX(GOOGLEFINANCE($C53, ""price"", WORKDAY(INT($B53), 5)), 2, 2), """")=""""), """", IF($D53=""LONG"", (IFERROR(INDEX(GOOGLEFINANCE($C53, ""price"", WORKDAY(INT($B53), 5)), 2, 2), """")-$G53)/$G53, ($G53-IFERROR(INDEX(GOOGLE"&amp;"FINANCE($C53, ""price"", WORKDAY(INT($B53), 5)), 2, 2), """"))/$G53))"),"")</f>
        <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5969</v>
      </c>
    </row>
    <row r="54">
      <c r="A54" s="9">
        <f t="shared" si="1"/>
        <v>53</v>
      </c>
      <c r="B54" s="11">
        <v>46237.66773148148</v>
      </c>
      <c r="C54" s="10" t="s">
        <v>288</v>
      </c>
      <c r="D54" s="10" t="s">
        <v>36</v>
      </c>
      <c r="E54" s="10" t="s">
        <v>37</v>
      </c>
      <c r="F54" s="13">
        <v>2.0</v>
      </c>
      <c r="G54" s="14">
        <v>19.0</v>
      </c>
      <c r="H54" s="10" t="s">
        <v>5971</v>
      </c>
      <c r="I54" s="10">
        <v>87.4</v>
      </c>
      <c r="O54" s="15">
        <f>IFERROR(__xludf.DUMMYFUNCTION("IF(ISBLANK($C54), """", GOOGLEFINANCE($C54, ""price""))"),19.18)</f>
        <v>19.18</v>
      </c>
      <c r="P54" s="16">
        <f t="shared" si="2"/>
        <v>0.009473684211</v>
      </c>
      <c r="Q54" s="16">
        <f>IFERROR(__xludf.DUMMYFUNCTION("IF(OR(ISBLANK($G54), IFERROR(INDEX(GOOGLEFINANCE($C54, ""price"", WORKDAY(INT($B54), 1)), 2, 2), """")=""""), """", IF($D54=""LONG"", (IFERROR(INDEX(GOOGLEFINANCE($C54, ""price"", WORKDAY(INT($B54), 1)), 2, 2), """")-$G54)/$G54, ($G54-IFERROR(INDEX(GOOGLE"&amp;"FINANCE($C54, ""price"", WORKDAY(INT($B54), 1)), 2, 2), """"))/$G54))"),0.02894736842105267)</f>
        <v>0.02894736842</v>
      </c>
      <c r="R54" s="16" t="str">
        <f>IFERROR(__xludf.DUMMYFUNCTION("IF(OR(ISBLANK($G54), IFERROR(INDEX(GOOGLEFINANCE($C54, ""price"", WORKDAY(INT($B54), 5)), 2, 2), """")=""""), """", IF($D54=""LONG"", (IFERROR(INDEX(GOOGLEFINANCE($C54, ""price"", WORKDAY(INT($B54), 5)), 2, 2), """")-$G54)/$G54, ($G54-IFERROR(INDEX(GOOGLE"&amp;"FINANCE($C54, ""price"", WORKDAY(INT($B54), 5)), 2, 2), """"))/$G54))"),"")</f>
        <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5973</v>
      </c>
    </row>
    <row r="55">
      <c r="A55" s="9">
        <f t="shared" si="1"/>
        <v>54</v>
      </c>
      <c r="B55" s="11">
        <v>46237.66767361111</v>
      </c>
      <c r="C55" s="10" t="s">
        <v>800</v>
      </c>
      <c r="D55" s="10" t="s">
        <v>36</v>
      </c>
      <c r="E55" s="10" t="s">
        <v>37</v>
      </c>
      <c r="F55" s="13">
        <v>2.0</v>
      </c>
      <c r="G55" s="14">
        <v>308.37</v>
      </c>
      <c r="H55" s="10" t="s">
        <v>5974</v>
      </c>
      <c r="I55" s="10">
        <v>93.9</v>
      </c>
      <c r="O55" s="15">
        <f>IFERROR(__xludf.DUMMYFUNCTION("IF(ISBLANK($C55), """", GOOGLEFINANCE($C55, ""price""))"),325.01)</f>
        <v>325.01</v>
      </c>
      <c r="P55" s="16">
        <f t="shared" si="2"/>
        <v>0.05396115057</v>
      </c>
      <c r="Q55" s="16">
        <f>IFERROR(__xludf.DUMMYFUNCTION("IF(OR(ISBLANK($G55), IFERROR(INDEX(GOOGLEFINANCE($C55, ""price"", WORKDAY(INT($B55), 1)), 2, 2), """")=""""), """", IF($D55=""LONG"", (IFERROR(INDEX(GOOGLEFINANCE($C55, ""price"", WORKDAY(INT($B55), 1)), 2, 2), """")-$G55)/$G55, ($G55-IFERROR(INDEX(GOOGLE"&amp;"FINANCE($C55, ""price"", WORKDAY(INT($B55), 1)), 2, 2), """"))/$G55))"),-0.00677757239679616)</f>
        <v>-0.006777572397</v>
      </c>
      <c r="R55" s="16" t="str">
        <f>IFERROR(__xludf.DUMMYFUNCTION("IF(OR(ISBLANK($G55), IFERROR(INDEX(GOOGLEFINANCE($C55, ""price"", WORKDAY(INT($B55), 5)), 2, 2), """")=""""), """", IF($D55=""LONG"", (IFERROR(INDEX(GOOGLEFINANCE($C55, ""price"", WORKDAY(INT($B55), 5)), 2, 2), """")-$G55)/$G55, ($G55-IFERROR(INDEX(GOOGLE"&amp;"FINANCE($C55, ""price"", WORKDAY(INT($B55), 5)), 2, 2), """"))/$G55))"),"")</f>
        <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5977</v>
      </c>
    </row>
    <row r="56">
      <c r="A56" s="9">
        <f t="shared" si="1"/>
        <v>55</v>
      </c>
      <c r="B56" s="11">
        <v>46237.66762731481</v>
      </c>
      <c r="C56" s="10" t="s">
        <v>3699</v>
      </c>
      <c r="D56" s="10" t="s">
        <v>36</v>
      </c>
      <c r="E56" s="10" t="s">
        <v>37</v>
      </c>
      <c r="F56" s="13">
        <v>2.0</v>
      </c>
      <c r="G56" s="14">
        <v>824.8</v>
      </c>
      <c r="H56" s="10" t="s">
        <v>5978</v>
      </c>
      <c r="I56" s="10">
        <v>93.8</v>
      </c>
      <c r="O56" s="15">
        <f>IFERROR(__xludf.DUMMYFUNCTION("IF(ISBLANK($C56), """", GOOGLEFINANCE($C56, ""price""))"),871.38)</f>
        <v>871.38</v>
      </c>
      <c r="P56" s="16">
        <f t="shared" si="2"/>
        <v>0.0564742968</v>
      </c>
      <c r="Q56" s="16">
        <f>IFERROR(__xludf.DUMMYFUNCTION("IF(OR(ISBLANK($G56), IFERROR(INDEX(GOOGLEFINANCE($C56, ""price"", WORKDAY(INT($B56), 1)), 2, 2), """")=""""), """", IF($D56=""LONG"", (IFERROR(INDEX(GOOGLEFINANCE($C56, ""price"", WORKDAY(INT($B56), 1)), 2, 2), """")-$G56)/$G56, ($G56-IFERROR(INDEX(GOOGLE"&amp;"FINANCE($C56, ""price"", WORKDAY(INT($B56), 1)), 2, 2), """"))/$G56))"),0.006825897187196891)</f>
        <v>0.006825897187</v>
      </c>
      <c r="R56" s="16" t="str">
        <f>IFERROR(__xludf.DUMMYFUNCTION("IF(OR(ISBLANK($G56), IFERROR(INDEX(GOOGLEFINANCE($C56, ""price"", WORKDAY(INT($B56), 5)), 2, 2), """")=""""), """", IF($D56=""LONG"", (IFERROR(INDEX(GOOGLEFINANCE($C56, ""price"", WORKDAY(INT($B56), 5)), 2, 2), """")-$G56)/$G56, ($G56-IFERROR(INDEX(GOOGLE"&amp;"FINANCE($C56, ""price"", WORKDAY(INT($B56), 5)), 2, 2), """"))/$G56))"),"")</f>
        <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5979</v>
      </c>
    </row>
    <row r="57">
      <c r="A57" s="9">
        <f t="shared" si="1"/>
        <v>56</v>
      </c>
      <c r="B57" s="11">
        <v>46237.66767361111</v>
      </c>
      <c r="C57" s="10" t="s">
        <v>201</v>
      </c>
      <c r="D57" s="10" t="s">
        <v>36</v>
      </c>
      <c r="E57" s="10" t="s">
        <v>37</v>
      </c>
      <c r="F57" s="13">
        <v>2.0</v>
      </c>
      <c r="G57" s="14">
        <v>131.31</v>
      </c>
      <c r="H57" s="10" t="s">
        <v>5981</v>
      </c>
      <c r="I57" s="10">
        <v>96.5</v>
      </c>
      <c r="O57" s="15">
        <f>IFERROR(__xludf.DUMMYFUNCTION("IF(ISBLANK($C57), """", GOOGLEFINANCE($C57, ""price""))"),134.82)</f>
        <v>134.82</v>
      </c>
      <c r="P57" s="16">
        <f t="shared" si="2"/>
        <v>0.02673063742</v>
      </c>
      <c r="Q57" s="16">
        <f>IFERROR(__xludf.DUMMYFUNCTION("IF(OR(ISBLANK($G57), IFERROR(INDEX(GOOGLEFINANCE($C57, ""price"", WORKDAY(INT($B57), 1)), 2, 2), """")=""""), """", IF($D57=""LONG"", (IFERROR(INDEX(GOOGLEFINANCE($C57, ""price"", WORKDAY(INT($B57), 1)), 2, 2), """")-$G57)/$G57, ($G57-IFERROR(INDEX(GOOGLE"&amp;"FINANCE($C57, ""price"", WORKDAY(INT($B57), 1)), 2, 2), """"))/$G57))"),0.020562028786840214)</f>
        <v>0.02056202879</v>
      </c>
      <c r="R57" s="16" t="str">
        <f>IFERROR(__xludf.DUMMYFUNCTION("IF(OR(ISBLANK($G57), IFERROR(INDEX(GOOGLEFINANCE($C57, ""price"", WORKDAY(INT($B57), 5)), 2, 2), """")=""""), """", IF($D57=""LONG"", (IFERROR(INDEX(GOOGLEFINANCE($C57, ""price"", WORKDAY(INT($B57), 5)), 2, 2), """")-$G57)/$G57, ($G57-IFERROR(INDEX(GOOGLE"&amp;"FINANCE($C57, ""price"", WORKDAY(INT($B57), 5)), 2, 2), """"))/$G57))"),"")</f>
        <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5983</v>
      </c>
    </row>
    <row r="58">
      <c r="A58" s="9">
        <f t="shared" si="1"/>
        <v>57</v>
      </c>
      <c r="B58" s="11">
        <v>46237.66773148148</v>
      </c>
      <c r="C58" s="10" t="s">
        <v>424</v>
      </c>
      <c r="D58" s="10" t="s">
        <v>36</v>
      </c>
      <c r="E58" s="10" t="s">
        <v>37</v>
      </c>
      <c r="F58" s="13">
        <v>2.0</v>
      </c>
      <c r="G58" s="14">
        <v>84.96</v>
      </c>
      <c r="H58" s="10" t="s">
        <v>5984</v>
      </c>
      <c r="I58" s="10">
        <v>81.7</v>
      </c>
      <c r="O58" s="15">
        <f>IFERROR(__xludf.DUMMYFUNCTION("IF(ISBLANK($C58), """", GOOGLEFINANCE($C58, ""price""))"),84.35)</f>
        <v>84.35</v>
      </c>
      <c r="P58" s="16">
        <f t="shared" si="2"/>
        <v>-0.007179849341</v>
      </c>
      <c r="Q58" s="16">
        <f>IFERROR(__xludf.DUMMYFUNCTION("IF(OR(ISBLANK($G58), IFERROR(INDEX(GOOGLEFINANCE($C58, ""price"", WORKDAY(INT($B58), 1)), 2, 2), """")=""""), """", IF($D58=""LONG"", (IFERROR(INDEX(GOOGLEFINANCE($C58, ""price"", WORKDAY(INT($B58), 1)), 2, 2), """")-$G58)/$G58, ($G58-IFERROR(INDEX(GOOGLE"&amp;"FINANCE($C58, ""price"", WORKDAY(INT($B58), 1)), 2, 2), """"))/$G58))"),-0.0255414312617701)</f>
        <v>-0.02554143126</v>
      </c>
      <c r="R58" s="16" t="str">
        <f>IFERROR(__xludf.DUMMYFUNCTION("IF(OR(ISBLANK($G58), IFERROR(INDEX(GOOGLEFINANCE($C58, ""price"", WORKDAY(INT($B58), 5)), 2, 2), """")=""""), """", IF($D58=""LONG"", (IFERROR(INDEX(GOOGLEFINANCE($C58, ""price"", WORKDAY(INT($B58), 5)), 2, 2), """")-$G58)/$G58, ($G58-IFERROR(INDEX(GOOGLE"&amp;"FINANCE($C58, ""price"", WORKDAY(INT($B58), 5)), 2, 2), """"))/$G58))"),"")</f>
        <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5987</v>
      </c>
    </row>
    <row r="59">
      <c r="A59" s="9">
        <f t="shared" si="1"/>
        <v>58</v>
      </c>
      <c r="B59" s="11">
        <v>46237.66768518519</v>
      </c>
      <c r="C59" s="10" t="s">
        <v>3615</v>
      </c>
      <c r="D59" s="10" t="s">
        <v>36</v>
      </c>
      <c r="E59" s="10" t="s">
        <v>37</v>
      </c>
      <c r="F59" s="13">
        <v>2.0</v>
      </c>
      <c r="G59" s="14">
        <v>31.8</v>
      </c>
      <c r="H59" s="10" t="s">
        <v>5988</v>
      </c>
      <c r="I59" s="10">
        <v>96.4</v>
      </c>
      <c r="O59" s="15">
        <f>IFERROR(__xludf.DUMMYFUNCTION("IF(ISBLANK($C59), """", GOOGLEFINANCE($C59, ""price""))"),33.87)</f>
        <v>33.87</v>
      </c>
      <c r="P59" s="16">
        <f t="shared" si="2"/>
        <v>0.06509433962</v>
      </c>
      <c r="Q59" s="16">
        <f>IFERROR(__xludf.DUMMYFUNCTION("IF(OR(ISBLANK($G59), IFERROR(INDEX(GOOGLEFINANCE($C59, ""price"", WORKDAY(INT($B59), 1)), 2, 2), """")=""""), """", IF($D59=""LONG"", (IFERROR(INDEX(GOOGLEFINANCE($C59, ""price"", WORKDAY(INT($B59), 1)), 2, 2), """")-$G59)/$G59, ($G59-IFERROR(INDEX(GOOGLE"&amp;"FINANCE($C59, ""price"", WORKDAY(INT($B59), 1)), 2, 2), """"))/$G59))"),0.028930817610062835)</f>
        <v>0.02893081761</v>
      </c>
      <c r="R59" s="16" t="str">
        <f>IFERROR(__xludf.DUMMYFUNCTION("IF(OR(ISBLANK($G59), IFERROR(INDEX(GOOGLEFINANCE($C59, ""price"", WORKDAY(INT($B59), 5)), 2, 2), """")=""""), """", IF($D59=""LONG"", (IFERROR(INDEX(GOOGLEFINANCE($C59, ""price"", WORKDAY(INT($B59), 5)), 2, 2), """")-$G59)/$G59, ($G59-IFERROR(INDEX(GOOGLE"&amp;"FINANCE($C59, ""price"", WORKDAY(INT($B59), 5)), 2, 2), """"))/$G59))"),"")</f>
        <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5989</v>
      </c>
    </row>
    <row r="60">
      <c r="A60" s="9">
        <f t="shared" si="1"/>
        <v>59</v>
      </c>
      <c r="B60" s="11">
        <v>46237.667708333334</v>
      </c>
      <c r="C60" s="10" t="s">
        <v>108</v>
      </c>
      <c r="D60" s="10" t="s">
        <v>36</v>
      </c>
      <c r="E60" s="10" t="s">
        <v>37</v>
      </c>
      <c r="F60" s="13">
        <v>2.0</v>
      </c>
      <c r="G60" s="14">
        <v>129.37</v>
      </c>
      <c r="H60" s="10" t="s">
        <v>5990</v>
      </c>
      <c r="I60" s="10">
        <v>93.1</v>
      </c>
      <c r="O60" s="15">
        <f>IFERROR(__xludf.DUMMYFUNCTION("IF(ISBLANK($C60), """", GOOGLEFINANCE($C60, ""price""))"),129.68)</f>
        <v>129.68</v>
      </c>
      <c r="P60" s="16">
        <f t="shared" si="2"/>
        <v>0.002396227874</v>
      </c>
      <c r="Q60" s="16">
        <f>IFERROR(__xludf.DUMMYFUNCTION("IF(OR(ISBLANK($G60), IFERROR(INDEX(GOOGLEFINANCE($C60, ""price"", WORKDAY(INT($B60), 1)), 2, 2), """")=""""), """", IF($D60=""LONG"", (IFERROR(INDEX(GOOGLEFINANCE($C60, ""price"", WORKDAY(INT($B60), 1)), 2, 2), """")-$G60)/$G60, ($G60-IFERROR(INDEX(GOOGLE"&amp;"FINANCE($C60, ""price"", WORKDAY(INT($B60), 1)), 2, 2), """"))/$G60))"),0.010357888227564376)</f>
        <v>0.01035788823</v>
      </c>
      <c r="R60" s="16" t="str">
        <f>IFERROR(__xludf.DUMMYFUNCTION("IF(OR(ISBLANK($G60), IFERROR(INDEX(GOOGLEFINANCE($C60, ""price"", WORKDAY(INT($B60), 5)), 2, 2), """")=""""), """", IF($D60=""LONG"", (IFERROR(INDEX(GOOGLEFINANCE($C60, ""price"", WORKDAY(INT($B60), 5)), 2, 2), """")-$G60)/$G60, ($G60-IFERROR(INDEX(GOOGLE"&amp;"FINANCE($C60, ""price"", WORKDAY(INT($B60), 5)), 2, 2), """"))/$G60))"),"")</f>
        <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5994</v>
      </c>
    </row>
    <row r="61">
      <c r="A61" s="9">
        <f t="shared" si="1"/>
        <v>60</v>
      </c>
      <c r="B61" s="11">
        <v>46237.667766203704</v>
      </c>
      <c r="C61" s="10" t="s">
        <v>67</v>
      </c>
      <c r="D61" s="10" t="s">
        <v>36</v>
      </c>
      <c r="E61" s="10" t="s">
        <v>37</v>
      </c>
      <c r="F61" s="13">
        <v>2.0</v>
      </c>
      <c r="G61" s="14">
        <v>85.27</v>
      </c>
      <c r="H61" s="10" t="s">
        <v>5995</v>
      </c>
      <c r="I61" s="10">
        <v>94.0</v>
      </c>
      <c r="O61" s="15">
        <f>IFERROR(__xludf.DUMMYFUNCTION("IF(ISBLANK($C61), """", GOOGLEFINANCE($C61, ""price""))"),80.02)</f>
        <v>80.02</v>
      </c>
      <c r="P61" s="16">
        <f t="shared" si="2"/>
        <v>-0.06156913334</v>
      </c>
      <c r="Q61" s="16">
        <f>IFERROR(__xludf.DUMMYFUNCTION("IF(OR(ISBLANK($G61), IFERROR(INDEX(GOOGLEFINANCE($C61, ""price"", WORKDAY(INT($B61), 1)), 2, 2), """")=""""), """", IF($D61=""LONG"", (IFERROR(INDEX(GOOGLEFINANCE($C61, ""price"", WORKDAY(INT($B61), 1)), 2, 2), """")-$G61)/$G61, ($G61-IFERROR(INDEX(GOOGLE"&amp;"FINANCE($C61, ""price"", WORKDAY(INT($B61), 1)), 2, 2), """"))/$G61))"),0.012665650287322602)</f>
        <v>0.01266565029</v>
      </c>
      <c r="R61" s="16" t="str">
        <f>IFERROR(__xludf.DUMMYFUNCTION("IF(OR(ISBLANK($G61), IFERROR(INDEX(GOOGLEFINANCE($C61, ""price"", WORKDAY(INT($B61), 5)), 2, 2), """")=""""), """", IF($D61=""LONG"", (IFERROR(INDEX(GOOGLEFINANCE($C61, ""price"", WORKDAY(INT($B61), 5)), 2, 2), """")-$G61)/$G61, ($G61-IFERROR(INDEX(GOOGLE"&amp;"FINANCE($C61, ""price"", WORKDAY(INT($B61), 5)), 2, 2), """"))/$G61))"),"")</f>
        <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5996</v>
      </c>
    </row>
    <row r="62">
      <c r="A62" s="9">
        <f t="shared" si="1"/>
        <v>61</v>
      </c>
      <c r="B62" s="11">
        <v>46237.66774305556</v>
      </c>
      <c r="C62" s="10" t="s">
        <v>641</v>
      </c>
      <c r="D62" s="10" t="s">
        <v>36</v>
      </c>
      <c r="E62" s="10" t="s">
        <v>37</v>
      </c>
      <c r="F62" s="13">
        <v>2.0</v>
      </c>
      <c r="G62" s="14">
        <v>65.19</v>
      </c>
      <c r="H62" s="10" t="s">
        <v>5998</v>
      </c>
      <c r="I62" s="10">
        <v>91.2</v>
      </c>
      <c r="O62" s="15">
        <f>IFERROR(__xludf.DUMMYFUNCTION("IF(ISBLANK($C62), """", GOOGLEFINANCE($C62, ""price""))"),63.13)</f>
        <v>63.13</v>
      </c>
      <c r="P62" s="16">
        <f t="shared" si="2"/>
        <v>-0.03159993864</v>
      </c>
      <c r="Q62" s="16">
        <f>IFERROR(__xludf.DUMMYFUNCTION("IF(OR(ISBLANK($G62), IFERROR(INDEX(GOOGLEFINANCE($C62, ""price"", WORKDAY(INT($B62), 1)), 2, 2), """")=""""), """", IF($D62=""LONG"", (IFERROR(INDEX(GOOGLEFINANCE($C62, ""price"", WORKDAY(INT($B62), 1)), 2, 2), """")-$G62)/$G62, ($G62-IFERROR(INDEX(GOOGLE"&amp;"FINANCE($C62, ""price"", WORKDAY(INT($B62), 1)), 2, 2), """"))/$G62))"),-0.022089277496548515)</f>
        <v>-0.0220892775</v>
      </c>
      <c r="R62" s="16" t="str">
        <f>IFERROR(__xludf.DUMMYFUNCTION("IF(OR(ISBLANK($G62), IFERROR(INDEX(GOOGLEFINANCE($C62, ""price"", WORKDAY(INT($B62), 5)), 2, 2), """")=""""), """", IF($D62=""LONG"", (IFERROR(INDEX(GOOGLEFINANCE($C62, ""price"", WORKDAY(INT($B62), 5)), 2, 2), """")-$G62)/$G62, ($G62-IFERROR(INDEX(GOOGLE"&amp;"FINANCE($C62, ""price"", WORKDAY(INT($B62), 5)), 2, 2), """"))/$G62))"),"")</f>
        <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6000</v>
      </c>
    </row>
    <row r="63">
      <c r="A63" s="9">
        <f t="shared" si="1"/>
        <v>62</v>
      </c>
      <c r="B63" s="11">
        <v>46237.66768518519</v>
      </c>
      <c r="C63" s="10" t="s">
        <v>296</v>
      </c>
      <c r="D63" s="10" t="s">
        <v>36</v>
      </c>
      <c r="E63" s="10" t="s">
        <v>37</v>
      </c>
      <c r="F63" s="13">
        <v>2.0</v>
      </c>
      <c r="G63" s="14">
        <v>123.0</v>
      </c>
      <c r="H63" s="10" t="s">
        <v>6001</v>
      </c>
      <c r="I63" s="10">
        <v>91.1</v>
      </c>
      <c r="O63" s="15">
        <f>IFERROR(__xludf.DUMMYFUNCTION("IF(ISBLANK($C63), """", GOOGLEFINANCE($C63, ""price""))"),121.5)</f>
        <v>121.5</v>
      </c>
      <c r="P63" s="16">
        <f t="shared" si="2"/>
        <v>-0.01219512195</v>
      </c>
      <c r="Q63" s="16">
        <f>IFERROR(__xludf.DUMMYFUNCTION("IF(OR(ISBLANK($G63), IFERROR(INDEX(GOOGLEFINANCE($C63, ""price"", WORKDAY(INT($B63), 1)), 2, 2), """")=""""), """", IF($D63=""LONG"", (IFERROR(INDEX(GOOGLEFINANCE($C63, ""price"", WORKDAY(INT($B63), 1)), 2, 2), """")-$G63)/$G63, ($G63-IFERROR(INDEX(GOOGLE"&amp;"FINANCE($C63, ""price"", WORKDAY(INT($B63), 1)), 2, 2), """"))/$G63))"),0.004390243902439075)</f>
        <v>0.004390243902</v>
      </c>
      <c r="R63" s="16" t="str">
        <f>IFERROR(__xludf.DUMMYFUNCTION("IF(OR(ISBLANK($G63), IFERROR(INDEX(GOOGLEFINANCE($C63, ""price"", WORKDAY(INT($B63), 5)), 2, 2), """")=""""), """", IF($D63=""LONG"", (IFERROR(INDEX(GOOGLEFINANCE($C63, ""price"", WORKDAY(INT($B63), 5)), 2, 2), """")-$G63)/$G63, ($G63-IFERROR(INDEX(GOOGLE"&amp;"FINANCE($C63, ""price"", WORKDAY(INT($B63), 5)), 2, 2), """"))/$G63))"),"")</f>
        <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6004</v>
      </c>
    </row>
    <row r="64">
      <c r="A64" s="9">
        <f t="shared" si="1"/>
        <v>63</v>
      </c>
      <c r="B64" s="11">
        <v>46237.66768518519</v>
      </c>
      <c r="C64" s="10" t="s">
        <v>92</v>
      </c>
      <c r="D64" s="10" t="s">
        <v>36</v>
      </c>
      <c r="E64" s="10" t="s">
        <v>37</v>
      </c>
      <c r="F64" s="13">
        <v>2.0</v>
      </c>
      <c r="G64" s="14">
        <v>86.87</v>
      </c>
      <c r="H64" s="10" t="s">
        <v>6005</v>
      </c>
      <c r="I64" s="10">
        <v>92.4</v>
      </c>
      <c r="O64" s="15">
        <f>IFERROR(__xludf.DUMMYFUNCTION("IF(ISBLANK($C64), """", GOOGLEFINANCE($C64, ""price""))"),86.85)</f>
        <v>86.85</v>
      </c>
      <c r="P64" s="16">
        <f t="shared" si="2"/>
        <v>-0.0002302290779</v>
      </c>
      <c r="Q64" s="16">
        <f>IFERROR(__xludf.DUMMYFUNCTION("IF(OR(ISBLANK($G64), IFERROR(INDEX(GOOGLEFINANCE($C64, ""price"", WORKDAY(INT($B64), 1)), 2, 2), """")=""""), """", IF($D64=""LONG"", (IFERROR(INDEX(GOOGLEFINANCE($C64, ""price"", WORKDAY(INT($B64), 1)), 2, 2), """")-$G64)/$G64, ($G64-IFERROR(INDEX(GOOGLE"&amp;"FINANCE($C64, ""price"", WORKDAY(INT($B64), 1)), 2, 2), """"))/$G64))"),-0.0035685507079544405)</f>
        <v>-0.003568550708</v>
      </c>
      <c r="R64" s="16" t="str">
        <f>IFERROR(__xludf.DUMMYFUNCTION("IF(OR(ISBLANK($G64), IFERROR(INDEX(GOOGLEFINANCE($C64, ""price"", WORKDAY(INT($B64), 5)), 2, 2), """")=""""), """", IF($D64=""LONG"", (IFERROR(INDEX(GOOGLEFINANCE($C64, ""price"", WORKDAY(INT($B64), 5)), 2, 2), """")-$G64)/$G64, ($G64-IFERROR(INDEX(GOOGLE"&amp;"FINANCE($C64, ""price"", WORKDAY(INT($B64), 5)), 2, 2), """"))/$G64))"),"")</f>
        <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6007</v>
      </c>
    </row>
    <row r="65">
      <c r="A65" s="9">
        <f t="shared" si="1"/>
        <v>64</v>
      </c>
      <c r="B65" s="11">
        <v>46237.66777777778</v>
      </c>
      <c r="C65" s="10" t="s">
        <v>3574</v>
      </c>
      <c r="D65" s="10" t="s">
        <v>36</v>
      </c>
      <c r="E65" s="10" t="s">
        <v>37</v>
      </c>
      <c r="F65" s="13">
        <v>2.0</v>
      </c>
      <c r="G65" s="14">
        <v>336.58</v>
      </c>
      <c r="H65" s="10" t="s">
        <v>6008</v>
      </c>
      <c r="I65" s="10">
        <v>92.2</v>
      </c>
      <c r="O65" s="15">
        <f>IFERROR(__xludf.DUMMYFUNCTION("IF(ISBLANK($C65), """", GOOGLEFINANCE($C65, ""price""))"),342.46)</f>
        <v>342.46</v>
      </c>
      <c r="P65" s="16">
        <f t="shared" si="2"/>
        <v>0.01746984372</v>
      </c>
      <c r="Q65" s="16">
        <f>IFERROR(__xludf.DUMMYFUNCTION("IF(OR(ISBLANK($G65), IFERROR(INDEX(GOOGLEFINANCE($C65, ""price"", WORKDAY(INT($B65), 1)), 2, 2), """")=""""), """", IF($D65=""LONG"", (IFERROR(INDEX(GOOGLEFINANCE($C65, ""price"", WORKDAY(INT($B65), 1)), 2, 2), """")-$G65)/$G65, ($G65-IFERROR(INDEX(GOOGLE"&amp;"FINANCE($C65, ""price"", WORKDAY(INT($B65), 1)), 2, 2), """"))/$G65))"),0.01393428011171192)</f>
        <v>0.01393428011</v>
      </c>
      <c r="R65" s="16" t="str">
        <f>IFERROR(__xludf.DUMMYFUNCTION("IF(OR(ISBLANK($G65), IFERROR(INDEX(GOOGLEFINANCE($C65, ""price"", WORKDAY(INT($B65), 5)), 2, 2), """")=""""), """", IF($D65=""LONG"", (IFERROR(INDEX(GOOGLEFINANCE($C65, ""price"", WORKDAY(INT($B65), 5)), 2, 2), """")-$G65)/$G65, ($G65-IFERROR(INDEX(GOOGLE"&amp;"FINANCE($C65, ""price"", WORKDAY(INT($B65), 5)), 2, 2), """"))/$G65))"),"")</f>
        <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6010</v>
      </c>
    </row>
    <row r="66">
      <c r="A66" s="9">
        <f t="shared" si="1"/>
        <v>65</v>
      </c>
      <c r="B66" s="11">
        <v>46237.667766203704</v>
      </c>
      <c r="C66" s="10" t="s">
        <v>6012</v>
      </c>
      <c r="D66" s="10" t="s">
        <v>36</v>
      </c>
      <c r="E66" s="10" t="s">
        <v>37</v>
      </c>
      <c r="F66" s="13">
        <v>2.0</v>
      </c>
      <c r="G66" s="14">
        <v>145.67</v>
      </c>
      <c r="H66" s="10" t="s">
        <v>6013</v>
      </c>
      <c r="I66" s="10">
        <v>97.8</v>
      </c>
      <c r="O66" s="15">
        <f>IFERROR(__xludf.DUMMYFUNCTION("IF(ISBLANK($C66), """", GOOGLEFINANCE($C66, ""price""))"),136.2)</f>
        <v>136.2</v>
      </c>
      <c r="P66" s="16">
        <f t="shared" si="2"/>
        <v>-0.06500995401</v>
      </c>
      <c r="Q66" s="16">
        <f>IFERROR(__xludf.DUMMYFUNCTION("IF(OR(ISBLANK($G66), IFERROR(INDEX(GOOGLEFINANCE($C66, ""price"", WORKDAY(INT($B66), 1)), 2, 2), """")=""""), """", IF($D66=""LONG"", (IFERROR(INDEX(GOOGLEFINANCE($C66, ""price"", WORKDAY(INT($B66), 1)), 2, 2), """")-$G66)/$G66, ($G66-IFERROR(INDEX(GOOGLE"&amp;"FINANCE($C66, ""price"", WORKDAY(INT($B66), 1)), 2, 2), """"))/$G66))"),-0.014759387657032864)</f>
        <v>-0.01475938766</v>
      </c>
      <c r="R66" s="16" t="str">
        <f>IFERROR(__xludf.DUMMYFUNCTION("IF(OR(ISBLANK($G66), IFERROR(INDEX(GOOGLEFINANCE($C66, ""price"", WORKDAY(INT($B66), 5)), 2, 2), """")=""""), """", IF($D66=""LONG"", (IFERROR(INDEX(GOOGLEFINANCE($C66, ""price"", WORKDAY(INT($B66), 5)), 2, 2), """")-$G66)/$G66, ($G66-IFERROR(INDEX(GOOGLE"&amp;"FINANCE($C66, ""price"", WORKDAY(INT($B66), 5)), 2, 2), """"))/$G66))"),"")</f>
        <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6015</v>
      </c>
    </row>
    <row r="67">
      <c r="A67" s="9">
        <f t="shared" si="1"/>
        <v>66</v>
      </c>
      <c r="B67" s="11">
        <v>46237.667708333334</v>
      </c>
      <c r="C67" s="10" t="s">
        <v>248</v>
      </c>
      <c r="D67" s="10" t="s">
        <v>36</v>
      </c>
      <c r="E67" s="10" t="s">
        <v>37</v>
      </c>
      <c r="F67" s="13">
        <v>2.0</v>
      </c>
      <c r="G67" s="14">
        <v>72.7</v>
      </c>
      <c r="H67" s="10" t="s">
        <v>3312</v>
      </c>
      <c r="I67" s="10">
        <v>87.7</v>
      </c>
      <c r="O67" s="15">
        <f>IFERROR(__xludf.DUMMYFUNCTION("IF(ISBLANK($C67), """", GOOGLEFINANCE($C67, ""price""))"),72.43)</f>
        <v>72.43</v>
      </c>
      <c r="P67" s="16">
        <f t="shared" si="2"/>
        <v>-0.00371389271</v>
      </c>
      <c r="Q67" s="16">
        <f>IFERROR(__xludf.DUMMYFUNCTION("IF(OR(ISBLANK($G67), IFERROR(INDEX(GOOGLEFINANCE($C67, ""price"", WORKDAY(INT($B67), 1)), 2, 2), """")=""""), """", IF($D67=""LONG"", (IFERROR(INDEX(GOOGLEFINANCE($C67, ""price"", WORKDAY(INT($B67), 1)), 2, 2), """")-$G67)/$G67, ($G67-IFERROR(INDEX(GOOGLE"&amp;"FINANCE($C67, ""price"", WORKDAY(INT($B67), 1)), 2, 2), """"))/$G67))"),0.013480055020632792)</f>
        <v>0.01348005502</v>
      </c>
      <c r="R67" s="16" t="str">
        <f>IFERROR(__xludf.DUMMYFUNCTION("IF(OR(ISBLANK($G67), IFERROR(INDEX(GOOGLEFINANCE($C67, ""price"", WORKDAY(INT($B67), 5)), 2, 2), """")=""""), """", IF($D67=""LONG"", (IFERROR(INDEX(GOOGLEFINANCE($C67, ""price"", WORKDAY(INT($B67), 5)), 2, 2), """")-$G67)/$G67, ($G67-IFERROR(INDEX(GOOGLE"&amp;"FINANCE($C67, ""price"", WORKDAY(INT($B67), 5)), 2, 2), """"))/$G67))"),"")</f>
        <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6018</v>
      </c>
    </row>
    <row r="68">
      <c r="A68" s="9">
        <f t="shared" si="1"/>
        <v>67</v>
      </c>
      <c r="B68" s="11">
        <v>46237.667662037034</v>
      </c>
      <c r="C68" s="10" t="s">
        <v>104</v>
      </c>
      <c r="D68" s="10" t="s">
        <v>36</v>
      </c>
      <c r="E68" s="10" t="s">
        <v>37</v>
      </c>
      <c r="F68" s="13">
        <v>2.0</v>
      </c>
      <c r="G68" s="14">
        <v>127.72</v>
      </c>
      <c r="H68" s="10" t="s">
        <v>601</v>
      </c>
      <c r="I68" s="10">
        <v>95.5</v>
      </c>
      <c r="O68" s="15">
        <f>IFERROR(__xludf.DUMMYFUNCTION("IF(ISBLANK($C68), """", GOOGLEFINANCE($C68, ""price""))"),127.45)</f>
        <v>127.45</v>
      </c>
      <c r="P68" s="16">
        <f t="shared" si="2"/>
        <v>-0.002113999374</v>
      </c>
      <c r="Q68" s="16">
        <f>IFERROR(__xludf.DUMMYFUNCTION("IF(OR(ISBLANK($G68), IFERROR(INDEX(GOOGLEFINANCE($C68, ""price"", WORKDAY(INT($B68), 1)), 2, 2), """")=""""), """", IF($D68=""LONG"", (IFERROR(INDEX(GOOGLEFINANCE($C68, ""price"", WORKDAY(INT($B68), 1)), 2, 2), """")-$G68)/$G68, ($G68-IFERROR(INDEX(GOOGLE"&amp;"FINANCE($C68, ""price"", WORKDAY(INT($B68), 1)), 2, 2), """"))/$G68))"),-0.003601628562480377)</f>
        <v>-0.003601628562</v>
      </c>
      <c r="R68" s="16" t="str">
        <f>IFERROR(__xludf.DUMMYFUNCTION("IF(OR(ISBLANK($G68), IFERROR(INDEX(GOOGLEFINANCE($C68, ""price"", WORKDAY(INT($B68), 5)), 2, 2), """")=""""), """", IF($D68=""LONG"", (IFERROR(INDEX(GOOGLEFINANCE($C68, ""price"", WORKDAY(INT($B68), 5)), 2, 2), """")-$G68)/$G68, ($G68-IFERROR(INDEX(GOOGLE"&amp;"FINANCE($C68, ""price"", WORKDAY(INT($B68), 5)), 2, 2), """"))/$G68))"),"")</f>
        <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6021</v>
      </c>
    </row>
    <row r="69">
      <c r="A69" s="9">
        <f t="shared" si="1"/>
        <v>68</v>
      </c>
      <c r="B69" s="11">
        <v>46237.66780092593</v>
      </c>
      <c r="C69" s="10" t="s">
        <v>765</v>
      </c>
      <c r="D69" s="10" t="s">
        <v>36</v>
      </c>
      <c r="E69" s="10" t="s">
        <v>37</v>
      </c>
      <c r="F69" s="13">
        <v>2.0</v>
      </c>
      <c r="G69" s="14">
        <v>126.69</v>
      </c>
      <c r="H69" s="10" t="s">
        <v>2953</v>
      </c>
      <c r="I69" s="10">
        <v>89.7</v>
      </c>
      <c r="O69" s="15">
        <f>IFERROR(__xludf.DUMMYFUNCTION("IF(ISBLANK($C69), """", GOOGLEFINANCE($C69, ""price""))"),126.66)</f>
        <v>126.66</v>
      </c>
      <c r="P69" s="16">
        <f t="shared" si="2"/>
        <v>-0.0002367984845</v>
      </c>
      <c r="Q69" s="16">
        <f>IFERROR(__xludf.DUMMYFUNCTION("IF(OR(ISBLANK($G69), IFERROR(INDEX(GOOGLEFINANCE($C69, ""price"", WORKDAY(INT($B69), 1)), 2, 2), """")=""""), """", IF($D69=""LONG"", (IFERROR(INDEX(GOOGLEFINANCE($C69, ""price"", WORKDAY(INT($B69), 1)), 2, 2), """")-$G69)/$G69, ($G69-IFERROR(INDEX(GOOGLE"&amp;"FINANCE($C69, ""price"", WORKDAY(INT($B69), 1)), 2, 2), """"))/$G69))"),-0.012155655537137834)</f>
        <v>-0.01215565554</v>
      </c>
      <c r="R69" s="16" t="str">
        <f>IFERROR(__xludf.DUMMYFUNCTION("IF(OR(ISBLANK($G69), IFERROR(INDEX(GOOGLEFINANCE($C69, ""price"", WORKDAY(INT($B69), 5)), 2, 2), """")=""""), """", IF($D69=""LONG"", (IFERROR(INDEX(GOOGLEFINANCE($C69, ""price"", WORKDAY(INT($B69), 5)), 2, 2), """")-$G69)/$G69, ($G69-IFERROR(INDEX(GOOGLE"&amp;"FINANCE($C69, ""price"", WORKDAY(INT($B69), 5)), 2, 2), """"))/$G69))"),"")</f>
        <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6024</v>
      </c>
    </row>
    <row r="70">
      <c r="A70" s="9">
        <f t="shared" si="1"/>
        <v>69</v>
      </c>
      <c r="B70" s="11">
        <v>46237.66780092593</v>
      </c>
      <c r="C70" s="10" t="s">
        <v>5682</v>
      </c>
      <c r="D70" s="10" t="s">
        <v>36</v>
      </c>
      <c r="E70" s="10" t="s">
        <v>37</v>
      </c>
      <c r="F70" s="13">
        <v>2.0</v>
      </c>
      <c r="G70" s="14">
        <v>117.52</v>
      </c>
      <c r="H70" s="10" t="s">
        <v>6025</v>
      </c>
      <c r="I70" s="10">
        <v>92.3</v>
      </c>
      <c r="O70" s="15">
        <f>IFERROR(__xludf.DUMMYFUNCTION("IF(ISBLANK($C70), """", GOOGLEFINANCE($C70, ""price""))"),118.8)</f>
        <v>118.8</v>
      </c>
      <c r="P70" s="16">
        <f t="shared" si="2"/>
        <v>0.0108917631</v>
      </c>
      <c r="Q70" s="16">
        <f>IFERROR(__xludf.DUMMYFUNCTION("IF(OR(ISBLANK($G70), IFERROR(INDEX(GOOGLEFINANCE($C70, ""price"", WORKDAY(INT($B70), 1)), 2, 2), """")=""""), """", IF($D70=""LONG"", (IFERROR(INDEX(GOOGLEFINANCE($C70, ""price"", WORKDAY(INT($B70), 1)), 2, 2), """")-$G70)/$G70, ($G70-IFERROR(INDEX(GOOGLE"&amp;"FINANCE($C70, ""price"", WORKDAY(INT($B70), 1)), 2, 2), """"))/$G70))"),0.014040163376446611)</f>
        <v>0.01404016338</v>
      </c>
      <c r="R70" s="16" t="str">
        <f>IFERROR(__xludf.DUMMYFUNCTION("IF(OR(ISBLANK($G70), IFERROR(INDEX(GOOGLEFINANCE($C70, ""price"", WORKDAY(INT($B70), 5)), 2, 2), """")=""""), """", IF($D70=""LONG"", (IFERROR(INDEX(GOOGLEFINANCE($C70, ""price"", WORKDAY(INT($B70), 5)), 2, 2), """")-$G70)/$G70, ($G70-IFERROR(INDEX(GOOGLE"&amp;"FINANCE($C70, ""price"", WORKDAY(INT($B70), 5)), 2, 2), """"))/$G70))"),"")</f>
        <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6027</v>
      </c>
    </row>
    <row r="71">
      <c r="A71" s="9">
        <f t="shared" si="1"/>
        <v>70</v>
      </c>
      <c r="B71" s="11">
        <v>46237.66775462963</v>
      </c>
      <c r="C71" s="10" t="s">
        <v>1672</v>
      </c>
      <c r="D71" s="10" t="s">
        <v>36</v>
      </c>
      <c r="E71" s="10" t="s">
        <v>37</v>
      </c>
      <c r="F71" s="13">
        <v>2.0</v>
      </c>
      <c r="G71" s="14">
        <v>101.12</v>
      </c>
      <c r="H71" s="10" t="s">
        <v>6029</v>
      </c>
      <c r="I71" s="10">
        <v>93.5</v>
      </c>
      <c r="O71" s="15">
        <f>IFERROR(__xludf.DUMMYFUNCTION("IF(ISBLANK($C71), """", GOOGLEFINANCE($C71, ""price""))"),99.29)</f>
        <v>99.29</v>
      </c>
      <c r="P71" s="16">
        <f t="shared" si="2"/>
        <v>-0.01809731013</v>
      </c>
      <c r="Q71" s="16">
        <f>IFERROR(__xludf.DUMMYFUNCTION("IF(OR(ISBLANK($G71), IFERROR(INDEX(GOOGLEFINANCE($C71, ""price"", WORKDAY(INT($B71), 1)), 2, 2), """")=""""), """", IF($D71=""LONG"", (IFERROR(INDEX(GOOGLEFINANCE($C71, ""price"", WORKDAY(INT($B71), 1)), 2, 2), """")-$G71)/$G71, ($G71-IFERROR(INDEX(GOOGLE"&amp;"FINANCE($C71, ""price"", WORKDAY(INT($B71), 1)), 2, 2), """"))/$G71))"),-0.015822784810126667)</f>
        <v>-0.01582278481</v>
      </c>
      <c r="R71" s="16" t="str">
        <f>IFERROR(__xludf.DUMMYFUNCTION("IF(OR(ISBLANK($G71), IFERROR(INDEX(GOOGLEFINANCE($C71, ""price"", WORKDAY(INT($B71), 5)), 2, 2), """")=""""), """", IF($D71=""LONG"", (IFERROR(INDEX(GOOGLEFINANCE($C71, ""price"", WORKDAY(INT($B71), 5)), 2, 2), """")-$G71)/$G71, ($G71-IFERROR(INDEX(GOOGLE"&amp;"FINANCE($C71, ""price"", WORKDAY(INT($B71), 5)), 2, 2), """"))/$G71))"),"")</f>
        <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6031</v>
      </c>
    </row>
    <row r="72">
      <c r="A72" s="9">
        <f t="shared" si="1"/>
        <v>71</v>
      </c>
      <c r="B72" s="11">
        <v>46237.66782407407</v>
      </c>
      <c r="C72" s="10" t="s">
        <v>257</v>
      </c>
      <c r="D72" s="10" t="s">
        <v>36</v>
      </c>
      <c r="E72" s="10" t="s">
        <v>37</v>
      </c>
      <c r="F72" s="13">
        <v>2.0</v>
      </c>
      <c r="G72" s="14">
        <v>70.41</v>
      </c>
      <c r="H72" s="10" t="s">
        <v>6033</v>
      </c>
      <c r="I72" s="10">
        <v>91.4</v>
      </c>
      <c r="O72" s="15">
        <f>IFERROR(__xludf.DUMMYFUNCTION("IF(ISBLANK($C72), """", GOOGLEFINANCE($C72, ""price""))"),68.81)</f>
        <v>68.81</v>
      </c>
      <c r="P72" s="16">
        <f t="shared" si="2"/>
        <v>-0.02272404488</v>
      </c>
      <c r="Q72" s="16">
        <f>IFERROR(__xludf.DUMMYFUNCTION("IF(OR(ISBLANK($G72), IFERROR(INDEX(GOOGLEFINANCE($C72, ""price"", WORKDAY(INT($B72), 1)), 2, 2), """")=""""), """", IF($D72=""LONG"", (IFERROR(INDEX(GOOGLEFINANCE($C72, ""price"", WORKDAY(INT($B72), 1)), 2, 2), """")-$G72)/$G72, ($G72-IFERROR(INDEX(GOOGLE"&amp;"FINANCE($C72, ""price"", WORKDAY(INT($B72), 1)), 2, 2), """"))/$G72))"),0.0036926572929982266)</f>
        <v>0.003692657293</v>
      </c>
      <c r="R72" s="16" t="str">
        <f>IFERROR(__xludf.DUMMYFUNCTION("IF(OR(ISBLANK($G72), IFERROR(INDEX(GOOGLEFINANCE($C72, ""price"", WORKDAY(INT($B72), 5)), 2, 2), """")=""""), """", IF($D72=""LONG"", (IFERROR(INDEX(GOOGLEFINANCE($C72, ""price"", WORKDAY(INT($B72), 5)), 2, 2), """")-$G72)/$G72, ($G72-IFERROR(INDEX(GOOGLE"&amp;"FINANCE($C72, ""price"", WORKDAY(INT($B72), 5)), 2, 2), """"))/$G72))"),"")</f>
        <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6034</v>
      </c>
    </row>
    <row r="73">
      <c r="A73" s="9">
        <f t="shared" si="1"/>
        <v>72</v>
      </c>
      <c r="B73" s="11">
        <v>46237.6678125</v>
      </c>
      <c r="C73" s="10" t="s">
        <v>348</v>
      </c>
      <c r="D73" s="10" t="s">
        <v>36</v>
      </c>
      <c r="E73" s="10" t="s">
        <v>1892</v>
      </c>
      <c r="F73" s="13">
        <v>2.0</v>
      </c>
      <c r="G73" s="14">
        <v>291.48</v>
      </c>
      <c r="H73" s="10" t="s">
        <v>6036</v>
      </c>
      <c r="I73" s="10">
        <v>82.2</v>
      </c>
      <c r="O73" s="15">
        <f>IFERROR(__xludf.DUMMYFUNCTION("IF(ISBLANK($C73), """", GOOGLEFINANCE($C73, ""price""))"),364.24)</f>
        <v>364.24</v>
      </c>
      <c r="P73" s="16">
        <f t="shared" si="2"/>
        <v>0.2496226156</v>
      </c>
      <c r="Q73" s="16">
        <f>IFERROR(__xludf.DUMMYFUNCTION("IF(OR(ISBLANK($G73), IFERROR(INDEX(GOOGLEFINANCE($C73, ""price"", WORKDAY(INT($B73), 1)), 2, 2), """")=""""), """", IF($D73=""LONG"", (IFERROR(INDEX(GOOGLEFINANCE($C73, ""price"", WORKDAY(INT($B73), 1)), 2, 2), """")-$G73)/$G73, ($G73-IFERROR(INDEX(GOOGLE"&amp;"FINANCE($C73, ""price"", WORKDAY(INT($B73), 1)), 2, 2), """"))/$G73))"),0.265369836695485)</f>
        <v>0.2653698367</v>
      </c>
      <c r="R73" s="16" t="str">
        <f>IFERROR(__xludf.DUMMYFUNCTION("IF(OR(ISBLANK($G73), IFERROR(INDEX(GOOGLEFINANCE($C73, ""price"", WORKDAY(INT($B73), 5)), 2, 2), """")=""""), """", IF($D73=""LONG"", (IFERROR(INDEX(GOOGLEFINANCE($C73, ""price"", WORKDAY(INT($B73), 5)), 2, 2), """")-$G73)/$G73, ($G73-IFERROR(INDEX(GOOGLE"&amp;"FINANCE($C73, ""price"", WORKDAY(INT($B73), 5)), 2, 2), """"))/$G73))"),"")</f>
        <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6038</v>
      </c>
    </row>
    <row r="74">
      <c r="A74" s="9">
        <f t="shared" si="1"/>
        <v>73</v>
      </c>
      <c r="B74" s="11">
        <v>46237.667719907404</v>
      </c>
      <c r="C74" s="10" t="s">
        <v>530</v>
      </c>
      <c r="D74" s="10" t="s">
        <v>36</v>
      </c>
      <c r="E74" s="10" t="s">
        <v>87</v>
      </c>
      <c r="F74" s="13">
        <v>2.0</v>
      </c>
      <c r="G74" s="14">
        <v>182.94</v>
      </c>
      <c r="H74" s="10" t="s">
        <v>6039</v>
      </c>
      <c r="I74" s="10">
        <v>73.9</v>
      </c>
      <c r="O74" s="15">
        <f>IFERROR(__xludf.DUMMYFUNCTION("IF(ISBLANK($C74), """", GOOGLEFINANCE($C74, ""price""))"),191.48)</f>
        <v>191.48</v>
      </c>
      <c r="P74" s="16">
        <f t="shared" si="2"/>
        <v>0.04668197223</v>
      </c>
      <c r="Q74" s="16">
        <f>IFERROR(__xludf.DUMMYFUNCTION("IF(OR(ISBLANK($G74), IFERROR(INDEX(GOOGLEFINANCE($C74, ""price"", WORKDAY(INT($B74), 1)), 2, 2), """")=""""), """", IF($D74=""LONG"", (IFERROR(INDEX(GOOGLEFINANCE($C74, ""price"", WORKDAY(INT($B74), 1)), 2, 2), """")-$G74)/$G74, ($G74-IFERROR(INDEX(GOOGLE"&amp;"FINANCE($C74, ""price"", WORKDAY(INT($B74), 1)), 2, 2), """"))/$G74))"),0.041106373674428834)</f>
        <v>0.04110637367</v>
      </c>
      <c r="R74" s="16" t="str">
        <f>IFERROR(__xludf.DUMMYFUNCTION("IF(OR(ISBLANK($G74), IFERROR(INDEX(GOOGLEFINANCE($C74, ""price"", WORKDAY(INT($B74), 5)), 2, 2), """")=""""), """", IF($D74=""LONG"", (IFERROR(INDEX(GOOGLEFINANCE($C74, ""price"", WORKDAY(INT($B74), 5)), 2, 2), """")-$G74)/$G74, ($G74-IFERROR(INDEX(GOOGLE"&amp;"FINANCE($C74, ""price"", WORKDAY(INT($B74), 5)), 2, 2), """"))/$G74))"),"")</f>
        <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6042</v>
      </c>
    </row>
    <row r="75">
      <c r="A75" s="9">
        <f t="shared" si="1"/>
        <v>74</v>
      </c>
      <c r="B75" s="11">
        <v>46237.66782407407</v>
      </c>
      <c r="C75" s="10" t="s">
        <v>331</v>
      </c>
      <c r="D75" s="10" t="s">
        <v>36</v>
      </c>
      <c r="E75" s="10" t="s">
        <v>37</v>
      </c>
      <c r="F75" s="13">
        <v>2.0</v>
      </c>
      <c r="G75" s="14">
        <v>251.69</v>
      </c>
      <c r="H75" s="10" t="s">
        <v>6043</v>
      </c>
      <c r="I75" s="10">
        <v>90.2</v>
      </c>
      <c r="O75" s="15">
        <f>IFERROR(__xludf.DUMMYFUNCTION("IF(ISBLANK($C75), """", GOOGLEFINANCE($C75, ""price""))"),252.76)</f>
        <v>252.76</v>
      </c>
      <c r="P75" s="16">
        <f t="shared" si="2"/>
        <v>0.004251261472</v>
      </c>
      <c r="Q75" s="16">
        <f>IFERROR(__xludf.DUMMYFUNCTION("IF(OR(ISBLANK($G75), IFERROR(INDEX(GOOGLEFINANCE($C75, ""price"", WORKDAY(INT($B75), 1)), 2, 2), """")=""""), """", IF($D75=""LONG"", (IFERROR(INDEX(GOOGLEFINANCE($C75, ""price"", WORKDAY(INT($B75), 1)), 2, 2), """")-$G75)/$G75, ($G75-IFERROR(INDEX(GOOGLE"&amp;"FINANCE($C75, ""price"", WORKDAY(INT($B75), 1)), 2, 2), """"))/$G75))"),0.009734196829432988)</f>
        <v>0.009734196829</v>
      </c>
      <c r="R75" s="16" t="str">
        <f>IFERROR(__xludf.DUMMYFUNCTION("IF(OR(ISBLANK($G75), IFERROR(INDEX(GOOGLEFINANCE($C75, ""price"", WORKDAY(INT($B75), 5)), 2, 2), """")=""""), """", IF($D75=""LONG"", (IFERROR(INDEX(GOOGLEFINANCE($C75, ""price"", WORKDAY(INT($B75), 5)), 2, 2), """")-$G75)/$G75, ($G75-IFERROR(INDEX(GOOGLE"&amp;"FINANCE($C75, ""price"", WORKDAY(INT($B75), 5)), 2, 2), """"))/$G75))"),"")</f>
        <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6046</v>
      </c>
    </row>
    <row r="76">
      <c r="A76" s="9">
        <f t="shared" si="1"/>
        <v>75</v>
      </c>
      <c r="B76" s="11">
        <v>46237.66780092593</v>
      </c>
      <c r="C76" s="10" t="s">
        <v>66</v>
      </c>
      <c r="D76" s="10" t="s">
        <v>36</v>
      </c>
      <c r="E76" s="10" t="s">
        <v>37</v>
      </c>
      <c r="F76" s="13">
        <v>2.0</v>
      </c>
      <c r="G76" s="14">
        <v>282.46</v>
      </c>
      <c r="H76" s="10" t="s">
        <v>6047</v>
      </c>
      <c r="I76" s="10">
        <v>77.6</v>
      </c>
      <c r="O76" s="15">
        <f>IFERROR(__xludf.DUMMYFUNCTION("IF(ISBLANK($C76), """", GOOGLEFINANCE($C76, ""price""))"),296.4)</f>
        <v>296.4</v>
      </c>
      <c r="P76" s="16">
        <f t="shared" si="2"/>
        <v>0.04935212065</v>
      </c>
      <c r="Q76" s="16">
        <f>IFERROR(__xludf.DUMMYFUNCTION("IF(OR(ISBLANK($G76), IFERROR(INDEX(GOOGLEFINANCE($C76, ""price"", WORKDAY(INT($B76), 1)), 2, 2), """")=""""), """", IF($D76=""LONG"", (IFERROR(INDEX(GOOGLEFINANCE($C76, ""price"", WORKDAY(INT($B76), 1)), 2, 2), """")-$G76)/$G76, ($G76-IFERROR(INDEX(GOOGLE"&amp;"FINANCE($C76, ""price"", WORKDAY(INT($B76), 1)), 2, 2), """"))/$G76))"),-0.004071372937761018)</f>
        <v>-0.004071372938</v>
      </c>
      <c r="R76" s="16" t="str">
        <f>IFERROR(__xludf.DUMMYFUNCTION("IF(OR(ISBLANK($G76), IFERROR(INDEX(GOOGLEFINANCE($C76, ""price"", WORKDAY(INT($B76), 5)), 2, 2), """")=""""), """", IF($D76=""LONG"", (IFERROR(INDEX(GOOGLEFINANCE($C76, ""price"", WORKDAY(INT($B76), 5)), 2, 2), """")-$G76)/$G76, ($G76-IFERROR(INDEX(GOOGLE"&amp;"FINANCE($C76, ""price"", WORKDAY(INT($B76), 5)), 2, 2), """"))/$G76))"),"")</f>
        <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6048</v>
      </c>
    </row>
    <row r="77">
      <c r="A77" s="9">
        <f t="shared" si="1"/>
        <v>76</v>
      </c>
      <c r="B77" s="11">
        <v>46237.6678125</v>
      </c>
      <c r="C77" s="10" t="s">
        <v>5228</v>
      </c>
      <c r="D77" s="10" t="s">
        <v>36</v>
      </c>
      <c r="E77" s="10" t="s">
        <v>37</v>
      </c>
      <c r="F77" s="13">
        <v>2.0</v>
      </c>
      <c r="G77" s="14">
        <v>17.63</v>
      </c>
      <c r="H77" s="10" t="s">
        <v>6050</v>
      </c>
      <c r="I77" s="10">
        <v>84.0</v>
      </c>
      <c r="O77" s="15">
        <f>IFERROR(__xludf.DUMMYFUNCTION("IF(ISBLANK($C77), """", GOOGLEFINANCE($C77, ""price""))"),16.29)</f>
        <v>16.29</v>
      </c>
      <c r="P77" s="16">
        <f t="shared" si="2"/>
        <v>-0.07600680658</v>
      </c>
      <c r="Q77" s="16">
        <f>IFERROR(__xludf.DUMMYFUNCTION("IF(OR(ISBLANK($G77), IFERROR(INDEX(GOOGLEFINANCE($C77, ""price"", WORKDAY(INT($B77), 1)), 2, 2), """")=""""), """", IF($D77=""LONG"", (IFERROR(INDEX(GOOGLEFINANCE($C77, ""price"", WORKDAY(INT($B77), 1)), 2, 2), """")-$G77)/$G77, ($G77-IFERROR(INDEX(GOOGLE"&amp;"FINANCE($C77, ""price"", WORKDAY(INT($B77), 1)), 2, 2), """"))/$G77))"),0.003970504821327299)</f>
        <v>0.003970504821</v>
      </c>
      <c r="R77" s="16" t="str">
        <f>IFERROR(__xludf.DUMMYFUNCTION("IF(OR(ISBLANK($G77), IFERROR(INDEX(GOOGLEFINANCE($C77, ""price"", WORKDAY(INT($B77), 5)), 2, 2), """")=""""), """", IF($D77=""LONG"", (IFERROR(INDEX(GOOGLEFINANCE($C77, ""price"", WORKDAY(INT($B77), 5)), 2, 2), """")-$G77)/$G77, ($G77-IFERROR(INDEX(GOOGLE"&amp;"FINANCE($C77, ""price"", WORKDAY(INT($B77), 5)), 2, 2), """"))/$G77))"),"")</f>
        <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6052</v>
      </c>
    </row>
    <row r="78">
      <c r="A78" s="9">
        <f t="shared" si="1"/>
        <v>77</v>
      </c>
      <c r="B78" s="11">
        <v>46237.66782407407</v>
      </c>
      <c r="C78" s="10" t="s">
        <v>3721</v>
      </c>
      <c r="D78" s="10" t="s">
        <v>36</v>
      </c>
      <c r="E78" s="10" t="s">
        <v>37</v>
      </c>
      <c r="F78" s="13">
        <v>2.0</v>
      </c>
      <c r="G78" s="14">
        <v>105.85</v>
      </c>
      <c r="H78" s="10" t="s">
        <v>6053</v>
      </c>
      <c r="I78" s="10">
        <v>96.0</v>
      </c>
      <c r="O78" s="15">
        <f>IFERROR(__xludf.DUMMYFUNCTION("IF(ISBLANK($C78), """", GOOGLEFINANCE($C78, ""price""))"),107.66)</f>
        <v>107.66</v>
      </c>
      <c r="P78" s="16">
        <f t="shared" si="2"/>
        <v>0.01709966934</v>
      </c>
      <c r="Q78" s="16">
        <f>IFERROR(__xludf.DUMMYFUNCTION("IF(OR(ISBLANK($G78), IFERROR(INDEX(GOOGLEFINANCE($C78, ""price"", WORKDAY(INT($B78), 1)), 2, 2), """")=""""), """", IF($D78=""LONG"", (IFERROR(INDEX(GOOGLEFINANCE($C78, ""price"", WORKDAY(INT($B78), 1)), 2, 2), """")-$G78)/$G78, ($G78-IFERROR(INDEX(GOOGLE"&amp;"FINANCE($C78, ""price"", WORKDAY(INT($B78), 1)), 2, 2), """"))/$G78))"),0.004723665564478035)</f>
        <v>0.004723665564</v>
      </c>
      <c r="R78" s="16" t="str">
        <f>IFERROR(__xludf.DUMMYFUNCTION("IF(OR(ISBLANK($G78), IFERROR(INDEX(GOOGLEFINANCE($C78, ""price"", WORKDAY(INT($B78), 5)), 2, 2), """")=""""), """", IF($D78=""LONG"", (IFERROR(INDEX(GOOGLEFINANCE($C78, ""price"", WORKDAY(INT($B78), 5)), 2, 2), """")-$G78)/$G78, ($G78-IFERROR(INDEX(GOOGLE"&amp;"FINANCE($C78, ""price"", WORKDAY(INT($B78), 5)), 2, 2), """"))/$G78))"),"")</f>
        <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6056</v>
      </c>
    </row>
    <row r="79">
      <c r="A79" s="9">
        <f t="shared" si="1"/>
        <v>78</v>
      </c>
      <c r="B79" s="11">
        <v>46237.66782407407</v>
      </c>
      <c r="C79" s="10" t="s">
        <v>6057</v>
      </c>
      <c r="D79" s="10" t="s">
        <v>36</v>
      </c>
      <c r="E79" s="10" t="s">
        <v>87</v>
      </c>
      <c r="F79" s="13">
        <v>2.0</v>
      </c>
      <c r="G79" s="14">
        <v>138.54</v>
      </c>
      <c r="H79" s="10" t="s">
        <v>6058</v>
      </c>
      <c r="I79" s="10">
        <v>52.4</v>
      </c>
      <c r="O79" s="15">
        <f>IFERROR(__xludf.DUMMYFUNCTION("IF(ISBLANK($C79), """", GOOGLEFINANCE($C79, ""price""))"),138.17)</f>
        <v>138.17</v>
      </c>
      <c r="P79" s="16">
        <f t="shared" si="2"/>
        <v>-0.002670708821</v>
      </c>
      <c r="Q79" s="16">
        <f>IFERROR(__xludf.DUMMYFUNCTION("IF(OR(ISBLANK($G79), IFERROR(INDEX(GOOGLEFINANCE($C79, ""price"", WORKDAY(INT($B79), 1)), 2, 2), """")=""""), """", IF($D79=""LONG"", (IFERROR(INDEX(GOOGLEFINANCE($C79, ""price"", WORKDAY(INT($B79), 1)), 2, 2), """")-$G79)/$G79, ($G79-IFERROR(INDEX(GOOGLE"&amp;"FINANCE($C79, ""price"", WORKDAY(INT($B79), 1)), 2, 2), """"))/$G79))"),0.031543236610365274)</f>
        <v>0.03154323661</v>
      </c>
      <c r="R79" s="16" t="str">
        <f>IFERROR(__xludf.DUMMYFUNCTION("IF(OR(ISBLANK($G79), IFERROR(INDEX(GOOGLEFINANCE($C79, ""price"", WORKDAY(INT($B79), 5)), 2, 2), """")=""""), """", IF($D79=""LONG"", (IFERROR(INDEX(GOOGLEFINANCE($C79, ""price"", WORKDAY(INT($B79), 5)), 2, 2), """")-$G79)/$G79, ($G79-IFERROR(INDEX(GOOGLE"&amp;"FINANCE($C79, ""price"", WORKDAY(INT($B79), 5)), 2, 2), """"))/$G79))"),"")</f>
        <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6060</v>
      </c>
    </row>
    <row r="80">
      <c r="A80" s="9">
        <f t="shared" si="1"/>
        <v>79</v>
      </c>
      <c r="B80" s="11">
        <v>46237.66752314815</v>
      </c>
      <c r="C80" s="10" t="s">
        <v>3828</v>
      </c>
      <c r="D80" s="10" t="s">
        <v>36</v>
      </c>
      <c r="E80" s="10" t="s">
        <v>37</v>
      </c>
      <c r="F80" s="13">
        <v>2.0</v>
      </c>
      <c r="G80" s="14">
        <v>156.61</v>
      </c>
      <c r="H80" s="10" t="s">
        <v>6061</v>
      </c>
      <c r="I80" s="10">
        <v>97.8</v>
      </c>
      <c r="O80" s="15">
        <f>IFERROR(__xludf.DUMMYFUNCTION("IF(ISBLANK($C80), """", GOOGLEFINANCE($C80, ""price""))"),156.94)</f>
        <v>156.94</v>
      </c>
      <c r="P80" s="16">
        <f t="shared" si="2"/>
        <v>0.002107145138</v>
      </c>
      <c r="Q80" s="16">
        <f>IFERROR(__xludf.DUMMYFUNCTION("IF(OR(ISBLANK($G80), IFERROR(INDEX(GOOGLEFINANCE($C80, ""price"", WORKDAY(INT($B80), 1)), 2, 2), """")=""""), """", IF($D80=""LONG"", (IFERROR(INDEX(GOOGLEFINANCE($C80, ""price"", WORKDAY(INT($B80), 1)), 2, 2), """")-$G80)/$G80, ($G80-IFERROR(INDEX(GOOGLE"&amp;"FINANCE($C80, ""price"", WORKDAY(INT($B80), 1)), 2, 2), """"))/$G80))"),1.2770576591521492E-4)</f>
        <v>0.0001277057659</v>
      </c>
      <c r="R80" s="16" t="str">
        <f>IFERROR(__xludf.DUMMYFUNCTION("IF(OR(ISBLANK($G80), IFERROR(INDEX(GOOGLEFINANCE($C80, ""price"", WORKDAY(INT($B80), 5)), 2, 2), """")=""""), """", IF($D80=""LONG"", (IFERROR(INDEX(GOOGLEFINANCE($C80, ""price"", WORKDAY(INT($B80), 5)), 2, 2), """")-$G80)/$G80, ($G80-IFERROR(INDEX(GOOGLE"&amp;"FINANCE($C80, ""price"", WORKDAY(INT($B80), 5)), 2, 2), """"))/$G80))"),"")</f>
        <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6062</v>
      </c>
    </row>
    <row r="81">
      <c r="A81" s="9">
        <f t="shared" si="1"/>
        <v>80</v>
      </c>
      <c r="B81" s="11">
        <v>46237.66767361111</v>
      </c>
      <c r="C81" s="10" t="s">
        <v>98</v>
      </c>
      <c r="D81" s="10" t="s">
        <v>36</v>
      </c>
      <c r="E81" s="10" t="s">
        <v>37</v>
      </c>
      <c r="F81" s="13">
        <v>2.0</v>
      </c>
      <c r="G81" s="14">
        <v>31.49</v>
      </c>
      <c r="H81" s="10" t="s">
        <v>6063</v>
      </c>
      <c r="I81" s="10">
        <v>79.5</v>
      </c>
      <c r="O81" s="15">
        <f>IFERROR(__xludf.DUMMYFUNCTION("IF(ISBLANK($C81), """", GOOGLEFINANCE($C81, ""price""))"),31.39)</f>
        <v>31.39</v>
      </c>
      <c r="P81" s="16">
        <f t="shared" si="2"/>
        <v>-0.003175611305</v>
      </c>
      <c r="Q81" s="16">
        <f>IFERROR(__xludf.DUMMYFUNCTION("IF(OR(ISBLANK($G81), IFERROR(INDEX(GOOGLEFINANCE($C81, ""price"", WORKDAY(INT($B81), 1)), 2, 2), """")=""""), """", IF($D81=""LONG"", (IFERROR(INDEX(GOOGLEFINANCE($C81, ""price"", WORKDAY(INT($B81), 1)), 2, 2), """")-$G81)/$G81, ($G81-IFERROR(INDEX(GOOGLE"&amp;"FINANCE($C81, ""price"", WORKDAY(INT($B81), 1)), 2, 2), """"))/$G81))"),0.014607812003810762)</f>
        <v>0.014607812</v>
      </c>
      <c r="R81" s="16" t="str">
        <f>IFERROR(__xludf.DUMMYFUNCTION("IF(OR(ISBLANK($G81), IFERROR(INDEX(GOOGLEFINANCE($C81, ""price"", WORKDAY(INT($B81), 5)), 2, 2), """")=""""), """", IF($D81=""LONG"", (IFERROR(INDEX(GOOGLEFINANCE($C81, ""price"", WORKDAY(INT($B81), 5)), 2, 2), """")-$G81)/$G81, ($G81-IFERROR(INDEX(GOOGLE"&amp;"FINANCE($C81, ""price"", WORKDAY(INT($B81), 5)), 2, 2), """"))/$G81))"),"")</f>
        <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6065</v>
      </c>
    </row>
    <row r="82">
      <c r="A82" s="9">
        <f t="shared" si="1"/>
        <v>81</v>
      </c>
      <c r="B82" s="11">
        <v>46237.66783564815</v>
      </c>
      <c r="C82" s="10" t="s">
        <v>351</v>
      </c>
      <c r="D82" s="10" t="s">
        <v>36</v>
      </c>
      <c r="E82" s="10" t="s">
        <v>37</v>
      </c>
      <c r="F82" s="13">
        <v>2.0</v>
      </c>
      <c r="G82" s="14">
        <v>229.15</v>
      </c>
      <c r="H82" s="10" t="s">
        <v>6066</v>
      </c>
      <c r="I82" s="10">
        <v>77.7</v>
      </c>
      <c r="O82" s="15">
        <f>IFERROR(__xludf.DUMMYFUNCTION("IF(ISBLANK($C82), """", GOOGLEFINANCE($C82, ""price""))"),221.83)</f>
        <v>221.83</v>
      </c>
      <c r="P82" s="16">
        <f t="shared" si="2"/>
        <v>-0.03194414139</v>
      </c>
      <c r="Q82" s="16">
        <f>IFERROR(__xludf.DUMMYFUNCTION("IF(OR(ISBLANK($G82), IFERROR(INDEX(GOOGLEFINANCE($C82, ""price"", WORKDAY(INT($B82), 1)), 2, 2), """")=""""), """", IF($D82=""LONG"", (IFERROR(INDEX(GOOGLEFINANCE($C82, ""price"", WORKDAY(INT($B82), 1)), 2, 2), """")-$G82)/$G82, ($G82-IFERROR(INDEX(GOOGLE"&amp;"FINANCE($C82, ""price"", WORKDAY(INT($B82), 1)), 2, 2), """"))/$G82))"),-0.014182849661793584)</f>
        <v>-0.01418284966</v>
      </c>
      <c r="R82" s="16" t="str">
        <f>IFERROR(__xludf.DUMMYFUNCTION("IF(OR(ISBLANK($G82), IFERROR(INDEX(GOOGLEFINANCE($C82, ""price"", WORKDAY(INT($B82), 5)), 2, 2), """")=""""), """", IF($D82=""LONG"", (IFERROR(INDEX(GOOGLEFINANCE($C82, ""price"", WORKDAY(INT($B82), 5)), 2, 2), """")-$G82)/$G82, ($G82-IFERROR(INDEX(GOOGLE"&amp;"FINANCE($C82, ""price"", WORKDAY(INT($B82), 5)), 2, 2), """"))/$G82))"),"")</f>
        <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6067</v>
      </c>
    </row>
    <row r="83">
      <c r="A83" s="9">
        <f t="shared" si="1"/>
        <v>82</v>
      </c>
      <c r="B83" s="11">
        <v>46237.66746527778</v>
      </c>
      <c r="C83" s="10" t="s">
        <v>426</v>
      </c>
      <c r="D83" s="10" t="s">
        <v>36</v>
      </c>
      <c r="E83" s="10" t="s">
        <v>37</v>
      </c>
      <c r="F83" s="13">
        <v>2.0</v>
      </c>
      <c r="G83" s="14">
        <v>574.04</v>
      </c>
      <c r="H83" s="10" t="s">
        <v>4158</v>
      </c>
      <c r="I83" s="10">
        <v>89.4</v>
      </c>
      <c r="O83" s="15">
        <f>IFERROR(__xludf.DUMMYFUNCTION("IF(ISBLANK($C83), """", GOOGLEFINANCE($C83, ""price""))"),580.02)</f>
        <v>580.02</v>
      </c>
      <c r="P83" s="16">
        <f t="shared" si="2"/>
        <v>0.01041739252</v>
      </c>
      <c r="Q83" s="16">
        <f>IFERROR(__xludf.DUMMYFUNCTION("IF(OR(ISBLANK($G83), IFERROR(INDEX(GOOGLEFINANCE($C83, ""price"", WORKDAY(INT($B83), 1)), 2, 2), """")=""""), """", IF($D83=""LONG"", (IFERROR(INDEX(GOOGLEFINANCE($C83, ""price"", WORKDAY(INT($B83), 1)), 2, 2), """")-$G83)/$G83, ($G83-IFERROR(INDEX(GOOGLE"&amp;"FINANCE($C83, ""price"", WORKDAY(INT($B83), 1)), 2, 2), """"))/$G83))"),-0.016183541216639893)</f>
        <v>-0.01618354122</v>
      </c>
      <c r="R83" s="16" t="str">
        <f>IFERROR(__xludf.DUMMYFUNCTION("IF(OR(ISBLANK($G83), IFERROR(INDEX(GOOGLEFINANCE($C83, ""price"", WORKDAY(INT($B83), 5)), 2, 2), """")=""""), """", IF($D83=""LONG"", (IFERROR(INDEX(GOOGLEFINANCE($C83, ""price"", WORKDAY(INT($B83), 5)), 2, 2), """")-$G83)/$G83, ($G83-IFERROR(INDEX(GOOGLE"&amp;"FINANCE($C83, ""price"", WORKDAY(INT($B83), 5)), 2, 2), """"))/$G83))"),"")</f>
        <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6070</v>
      </c>
    </row>
    <row r="84">
      <c r="A84" s="9">
        <f t="shared" si="1"/>
        <v>83</v>
      </c>
      <c r="B84" s="11">
        <v>46237.66751157407</v>
      </c>
      <c r="C84" s="10" t="s">
        <v>91</v>
      </c>
      <c r="D84" s="10" t="s">
        <v>36</v>
      </c>
      <c r="E84" s="10" t="s">
        <v>37</v>
      </c>
      <c r="F84" s="13">
        <v>2.0</v>
      </c>
      <c r="G84" s="14">
        <v>41.47</v>
      </c>
      <c r="H84" s="10" t="s">
        <v>6071</v>
      </c>
      <c r="I84" s="10">
        <v>96.7</v>
      </c>
      <c r="O84" s="15">
        <f>IFERROR(__xludf.DUMMYFUNCTION("IF(ISBLANK($C84), """", GOOGLEFINANCE($C84, ""price""))"),40.53)</f>
        <v>40.53</v>
      </c>
      <c r="P84" s="16">
        <f t="shared" si="2"/>
        <v>-0.02266698818</v>
      </c>
      <c r="Q84" s="16">
        <f>IFERROR(__xludf.DUMMYFUNCTION("IF(OR(ISBLANK($G84), IFERROR(INDEX(GOOGLEFINANCE($C84, ""price"", WORKDAY(INT($B84), 1)), 2, 2), """")=""""), """", IF($D84=""LONG"", (IFERROR(INDEX(GOOGLEFINANCE($C84, ""price"", WORKDAY(INT($B84), 1)), 2, 2), """")-$G84)/$G84, ($G84-IFERROR(INDEX(GOOGLE"&amp;"FINANCE($C84, ""price"", WORKDAY(INT($B84), 1)), 2, 2), """"))/$G84))"),0.020255606462503097)</f>
        <v>0.02025560646</v>
      </c>
      <c r="R84" s="16" t="str">
        <f>IFERROR(__xludf.DUMMYFUNCTION("IF(OR(ISBLANK($G84), IFERROR(INDEX(GOOGLEFINANCE($C84, ""price"", WORKDAY(INT($B84), 5)), 2, 2), """")=""""), """", IF($D84=""LONG"", (IFERROR(INDEX(GOOGLEFINANCE($C84, ""price"", WORKDAY(INT($B84), 5)), 2, 2), """")-$G84)/$G84, ($G84-IFERROR(INDEX(GOOGLE"&amp;"FINANCE($C84, ""price"", WORKDAY(INT($B84), 5)), 2, 2), """"))/$G84))"),"")</f>
        <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6074</v>
      </c>
    </row>
    <row r="85">
      <c r="A85" s="9">
        <f t="shared" si="1"/>
        <v>84</v>
      </c>
      <c r="B85" s="11">
        <v>46237.66756944444</v>
      </c>
      <c r="C85" s="10" t="s">
        <v>6075</v>
      </c>
      <c r="D85" s="10" t="s">
        <v>36</v>
      </c>
      <c r="E85" s="10" t="s">
        <v>87</v>
      </c>
      <c r="F85" s="13">
        <v>2.0</v>
      </c>
      <c r="G85" s="14">
        <v>243.84</v>
      </c>
      <c r="H85" s="10" t="s">
        <v>6076</v>
      </c>
      <c r="I85" s="10">
        <v>83.0</v>
      </c>
      <c r="O85" s="15">
        <f>IFERROR(__xludf.DUMMYFUNCTION("IF(ISBLANK($C85), """", GOOGLEFINANCE($C85, ""price""))"),251.38)</f>
        <v>251.38</v>
      </c>
      <c r="P85" s="16">
        <f t="shared" si="2"/>
        <v>0.03092191601</v>
      </c>
      <c r="Q85" s="16">
        <f>IFERROR(__xludf.DUMMYFUNCTION("IF(OR(ISBLANK($G85), IFERROR(INDEX(GOOGLEFINANCE($C85, ""price"", WORKDAY(INT($B85), 1)), 2, 2), """")=""""), """", IF($D85=""LONG"", (IFERROR(INDEX(GOOGLEFINANCE($C85, ""price"", WORKDAY(INT($B85), 1)), 2, 2), """")-$G85)/$G85, ($G85-IFERROR(INDEX(GOOGLE"&amp;"FINANCE($C85, ""price"", WORKDAY(INT($B85), 1)), 2, 2), """"))/$G85))"),0.04187171916010502)</f>
        <v>0.04187171916</v>
      </c>
      <c r="R85" s="16" t="str">
        <f>IFERROR(__xludf.DUMMYFUNCTION("IF(OR(ISBLANK($G85), IFERROR(INDEX(GOOGLEFINANCE($C85, ""price"", WORKDAY(INT($B85), 5)), 2, 2), """")=""""), """", IF($D85=""LONG"", (IFERROR(INDEX(GOOGLEFINANCE($C85, ""price"", WORKDAY(INT($B85), 5)), 2, 2), """")-$G85)/$G85, ($G85-IFERROR(INDEX(GOOGLE"&amp;"FINANCE($C85, ""price"", WORKDAY(INT($B85), 5)), 2, 2), """"))/$G85))"),"")</f>
        <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6078</v>
      </c>
    </row>
    <row r="86">
      <c r="A86" s="9">
        <f t="shared" si="1"/>
        <v>85</v>
      </c>
      <c r="B86" s="11">
        <v>46237.66752314815</v>
      </c>
      <c r="C86" s="10" t="s">
        <v>4394</v>
      </c>
      <c r="D86" s="10" t="s">
        <v>36</v>
      </c>
      <c r="E86" s="10" t="s">
        <v>37</v>
      </c>
      <c r="F86" s="13">
        <v>2.0</v>
      </c>
      <c r="G86" s="14">
        <v>307.44</v>
      </c>
      <c r="H86" s="10" t="s">
        <v>6079</v>
      </c>
      <c r="I86" s="10">
        <v>93.5</v>
      </c>
      <c r="O86" s="15">
        <f>IFERROR(__xludf.DUMMYFUNCTION("IF(ISBLANK($C86), """", GOOGLEFINANCE($C86, ""price""))"),302.99)</f>
        <v>302.99</v>
      </c>
      <c r="P86" s="16">
        <f t="shared" si="2"/>
        <v>-0.01447436898</v>
      </c>
      <c r="Q86" s="16">
        <f>IFERROR(__xludf.DUMMYFUNCTION("IF(OR(ISBLANK($G86), IFERROR(INDEX(GOOGLEFINANCE($C86, ""price"", WORKDAY(INT($B86), 1)), 2, 2), """")=""""), """", IF($D86=""LONG"", (IFERROR(INDEX(GOOGLEFINANCE($C86, ""price"", WORKDAY(INT($B86), 1)), 2, 2), """")-$G86)/$G86, ($G86-IFERROR(INDEX(GOOGLE"&amp;"FINANCE($C86, ""price"", WORKDAY(INT($B86), 1)), 2, 2), """"))/$G86))"),0.004195940671350574)</f>
        <v>0.004195940671</v>
      </c>
      <c r="R86" s="16" t="str">
        <f>IFERROR(__xludf.DUMMYFUNCTION("IF(OR(ISBLANK($G86), IFERROR(INDEX(GOOGLEFINANCE($C86, ""price"", WORKDAY(INT($B86), 5)), 2, 2), """")=""""), """", IF($D86=""LONG"", (IFERROR(INDEX(GOOGLEFINANCE($C86, ""price"", WORKDAY(INT($B86), 5)), 2, 2), """")-$G86)/$G86, ($G86-IFERROR(INDEX(GOOGLE"&amp;"FINANCE($C86, ""price"", WORKDAY(INT($B86), 5)), 2, 2), """"))/$G86))"),"")</f>
        <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6081</v>
      </c>
    </row>
    <row r="87">
      <c r="A87" s="9">
        <f t="shared" si="1"/>
        <v>86</v>
      </c>
      <c r="B87" s="11">
        <v>46237.66756944444</v>
      </c>
      <c r="C87" s="10" t="s">
        <v>3690</v>
      </c>
      <c r="D87" s="10" t="s">
        <v>36</v>
      </c>
      <c r="E87" s="10" t="s">
        <v>37</v>
      </c>
      <c r="F87" s="13">
        <v>2.0</v>
      </c>
      <c r="G87" s="14">
        <v>670.67</v>
      </c>
      <c r="H87" s="10" t="s">
        <v>6082</v>
      </c>
      <c r="I87" s="10">
        <v>95.3</v>
      </c>
      <c r="O87" s="15">
        <f>IFERROR(__xludf.DUMMYFUNCTION("IF(ISBLANK($C87), """", GOOGLEFINANCE($C87, ""price""))"),687.52)</f>
        <v>687.52</v>
      </c>
      <c r="P87" s="16">
        <f t="shared" si="2"/>
        <v>0.0251241296</v>
      </c>
      <c r="Q87" s="16">
        <f>IFERROR(__xludf.DUMMYFUNCTION("IF(OR(ISBLANK($G87), IFERROR(INDEX(GOOGLEFINANCE($C87, ""price"", WORKDAY(INT($B87), 1)), 2, 2), """")=""""), """", IF($D87=""LONG"", (IFERROR(INDEX(GOOGLEFINANCE($C87, ""price"", WORKDAY(INT($B87), 1)), 2, 2), """")-$G87)/$G87, ($G87-IFERROR(INDEX(GOOGLE"&amp;"FINANCE($C87, ""price"", WORKDAY(INT($B87), 1)), 2, 2), """"))/$G87))"),0.02100884190436434)</f>
        <v>0.0210088419</v>
      </c>
      <c r="R87" s="16" t="str">
        <f>IFERROR(__xludf.DUMMYFUNCTION("IF(OR(ISBLANK($G87), IFERROR(INDEX(GOOGLEFINANCE($C87, ""price"", WORKDAY(INT($B87), 5)), 2, 2), """")=""""), """", IF($D87=""LONG"", (IFERROR(INDEX(GOOGLEFINANCE($C87, ""price"", WORKDAY(INT($B87), 5)), 2, 2), """")-$G87)/$G87, ($G87-IFERROR(INDEX(GOOGLE"&amp;"FINANCE($C87, ""price"", WORKDAY(INT($B87), 5)), 2, 2), """"))/$G87))"),"")</f>
        <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6085</v>
      </c>
    </row>
    <row r="88">
      <c r="A88" s="9">
        <f t="shared" si="1"/>
        <v>87</v>
      </c>
      <c r="B88" s="11">
        <v>46237.667592592596</v>
      </c>
      <c r="C88" s="10" t="s">
        <v>455</v>
      </c>
      <c r="D88" s="10" t="s">
        <v>36</v>
      </c>
      <c r="E88" s="10" t="s">
        <v>37</v>
      </c>
      <c r="F88" s="13">
        <v>2.0</v>
      </c>
      <c r="G88" s="14">
        <v>107.64</v>
      </c>
      <c r="H88" s="10" t="s">
        <v>6086</v>
      </c>
      <c r="I88" s="10">
        <v>90.1</v>
      </c>
      <c r="O88" s="15">
        <f>IFERROR(__xludf.DUMMYFUNCTION("IF(ISBLANK($C88), """", GOOGLEFINANCE($C88, ""price""))"),108.66)</f>
        <v>108.66</v>
      </c>
      <c r="P88" s="16">
        <f t="shared" si="2"/>
        <v>0.009476031215</v>
      </c>
      <c r="Q88" s="16">
        <f>IFERROR(__xludf.DUMMYFUNCTION("IF(OR(ISBLANK($G88), IFERROR(INDEX(GOOGLEFINANCE($C88, ""price"", WORKDAY(INT($B88), 1)), 2, 2), """")=""""), """", IF($D88=""LONG"", (IFERROR(INDEX(GOOGLEFINANCE($C88, ""price"", WORKDAY(INT($B88), 1)), 2, 2), """")-$G88)/$G88, ($G88-IFERROR(INDEX(GOOGLE"&amp;"FINANCE($C88, ""price"", WORKDAY(INT($B88), 1)), 2, 2), """"))/$G88))"),0.036510590858416875)</f>
        <v>0.03651059086</v>
      </c>
      <c r="R88" s="16" t="str">
        <f>IFERROR(__xludf.DUMMYFUNCTION("IF(OR(ISBLANK($G88), IFERROR(INDEX(GOOGLEFINANCE($C88, ""price"", WORKDAY(INT($B88), 5)), 2, 2), """")=""""), """", IF($D88=""LONG"", (IFERROR(INDEX(GOOGLEFINANCE($C88, ""price"", WORKDAY(INT($B88), 5)), 2, 2), """")-$G88)/$G88, ($G88-IFERROR(INDEX(GOOGLE"&amp;"FINANCE($C88, ""price"", WORKDAY(INT($B88), 5)), 2, 2), """"))/$G88))"),"")</f>
        <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6087</v>
      </c>
    </row>
    <row r="89">
      <c r="A89" s="9">
        <f t="shared" si="1"/>
        <v>88</v>
      </c>
      <c r="B89" s="11">
        <v>46237.66755787037</v>
      </c>
      <c r="C89" s="10" t="s">
        <v>471</v>
      </c>
      <c r="D89" s="10" t="s">
        <v>36</v>
      </c>
      <c r="E89" s="10" t="s">
        <v>37</v>
      </c>
      <c r="F89" s="13">
        <v>2.0</v>
      </c>
      <c r="G89" s="14">
        <v>382.5</v>
      </c>
      <c r="H89" s="10" t="s">
        <v>6089</v>
      </c>
      <c r="I89" s="10">
        <v>95.4</v>
      </c>
      <c r="O89" s="15">
        <f>IFERROR(__xludf.DUMMYFUNCTION("IF(ISBLANK($C89), """", GOOGLEFINANCE($C89, ""price""))"),386.92)</f>
        <v>386.92</v>
      </c>
      <c r="P89" s="16">
        <f t="shared" si="2"/>
        <v>0.01155555556</v>
      </c>
      <c r="Q89" s="16">
        <f>IFERROR(__xludf.DUMMYFUNCTION("IF(OR(ISBLANK($G89), IFERROR(INDEX(GOOGLEFINANCE($C89, ""price"", WORKDAY(INT($B89), 1)), 2, 2), """")=""""), """", IF($D89=""LONG"", (IFERROR(INDEX(GOOGLEFINANCE($C89, ""price"", WORKDAY(INT($B89), 1)), 2, 2), """")-$G89)/$G89, ($G89-IFERROR(INDEX(GOOGLE"&amp;"FINANCE($C89, ""price"", WORKDAY(INT($B89), 1)), 2, 2), """"))/$G89))"),0.00852287581699344)</f>
        <v>0.008522875817</v>
      </c>
      <c r="R89" s="16" t="str">
        <f>IFERROR(__xludf.DUMMYFUNCTION("IF(OR(ISBLANK($G89), IFERROR(INDEX(GOOGLEFINANCE($C89, ""price"", WORKDAY(INT($B89), 5)), 2, 2), """")=""""), """", IF($D89=""LONG"", (IFERROR(INDEX(GOOGLEFINANCE($C89, ""price"", WORKDAY(INT($B89), 5)), 2, 2), """")-$G89)/$G89, ($G89-IFERROR(INDEX(GOOGLE"&amp;"FINANCE($C89, ""price"", WORKDAY(INT($B89), 5)), 2, 2), """"))/$G89))"),"")</f>
        <v/>
      </c>
      <c r="S89" s="16" t="str">
        <f>IFERROR(__xludf.DUMMYFUNCTION("IF(OR(ISBLANK($G89), IFERROR(INDEX(GOOGLEFINANCE($C89, ""price"", WORKDAY(INT($B89), 20)), 2, 2), """")=""""), """", IF($D89=""LONG"", (IFERROR(INDEX(GOOGLEFINANCE($C89, ""price"", WORKDAY(INT($B89), 20)), 2, 2), """")-$G89)/$G89, ($G89-IFERROR(INDEX(GOOG"&amp;"LEFINANCE($C89, ""price"", WORKDAY(INT($B89), 20)), 2, 2), """"))/$G89))"),"")</f>
        <v/>
      </c>
      <c r="T89" s="10" t="s">
        <v>6091</v>
      </c>
    </row>
    <row r="90">
      <c r="A90" s="9">
        <f t="shared" si="1"/>
        <v>89</v>
      </c>
      <c r="B90" s="11">
        <v>46237.66747685185</v>
      </c>
      <c r="C90" s="10" t="s">
        <v>1920</v>
      </c>
      <c r="D90" s="10" t="s">
        <v>36</v>
      </c>
      <c r="E90" s="10" t="s">
        <v>37</v>
      </c>
      <c r="F90" s="13">
        <v>2.0</v>
      </c>
      <c r="G90" s="14">
        <v>203.93</v>
      </c>
      <c r="H90" s="10" t="s">
        <v>6092</v>
      </c>
      <c r="I90" s="10">
        <v>97.3</v>
      </c>
      <c r="O90" s="15">
        <f>IFERROR(__xludf.DUMMYFUNCTION("IF(ISBLANK($C90), """", GOOGLEFINANCE($C90, ""price""))"),202.15)</f>
        <v>202.15</v>
      </c>
      <c r="P90" s="16">
        <f t="shared" si="2"/>
        <v>-0.008728485265</v>
      </c>
      <c r="Q90" s="16">
        <f>IFERROR(__xludf.DUMMYFUNCTION("IF(OR(ISBLANK($G90), IFERROR(INDEX(GOOGLEFINANCE($C90, ""price"", WORKDAY(INT($B90), 1)), 2, 2), """")=""""), """", IF($D90=""LONG"", (IFERROR(INDEX(GOOGLEFINANCE($C90, ""price"", WORKDAY(INT($B90), 1)), 2, 2), """")-$G90)/$G90, ($G90-IFERROR(INDEX(GOOGLE"&amp;"FINANCE($C90, ""price"", WORKDAY(INT($B90), 1)), 2, 2), """"))/$G90))"),-0.0013730201539744085)</f>
        <v>-0.001373020154</v>
      </c>
      <c r="R90" s="16" t="str">
        <f>IFERROR(__xludf.DUMMYFUNCTION("IF(OR(ISBLANK($G90), IFERROR(INDEX(GOOGLEFINANCE($C90, ""price"", WORKDAY(INT($B90), 5)), 2, 2), """")=""""), """", IF($D90=""LONG"", (IFERROR(INDEX(GOOGLEFINANCE($C90, ""price"", WORKDAY(INT($B90), 5)), 2, 2), """")-$G90)/$G90, ($G90-IFERROR(INDEX(GOOGLE"&amp;"FINANCE($C90, ""price"", WORKDAY(INT($B90), 5)), 2, 2), """"))/$G90))"),"")</f>
        <v/>
      </c>
      <c r="S90" s="16" t="str">
        <f>IFERROR(__xludf.DUMMYFUNCTION("IF(OR(ISBLANK($G90), IFERROR(INDEX(GOOGLEFINANCE($C90, ""price"", WORKDAY(INT($B90), 20)), 2, 2), """")=""""), """", IF($D90=""LONG"", (IFERROR(INDEX(GOOGLEFINANCE($C90, ""price"", WORKDAY(INT($B90), 20)), 2, 2), """")-$G90)/$G90, ($G90-IFERROR(INDEX(GOOG"&amp;"LEFINANCE($C90, ""price"", WORKDAY(INT($B90), 20)), 2, 2), """"))/$G90))"),"")</f>
        <v/>
      </c>
      <c r="T90" s="10" t="s">
        <v>6094</v>
      </c>
    </row>
    <row r="91">
      <c r="A91" s="9">
        <f t="shared" si="1"/>
        <v>90</v>
      </c>
      <c r="B91" s="11">
        <v>46237.66744212963</v>
      </c>
      <c r="C91" s="10" t="s">
        <v>2229</v>
      </c>
      <c r="D91" s="10" t="s">
        <v>36</v>
      </c>
      <c r="E91" s="10" t="s">
        <v>37</v>
      </c>
      <c r="F91" s="13">
        <v>2.0</v>
      </c>
      <c r="G91" s="14">
        <v>119.12</v>
      </c>
      <c r="H91" s="10" t="s">
        <v>3796</v>
      </c>
      <c r="I91" s="10">
        <v>96.6</v>
      </c>
      <c r="O91" s="15">
        <f>IFERROR(__xludf.DUMMYFUNCTION("IF(ISBLANK($C91), """", GOOGLEFINANCE($C91, ""price""))"),120.76)</f>
        <v>120.76</v>
      </c>
      <c r="P91" s="16">
        <f t="shared" si="2"/>
        <v>0.01376762928</v>
      </c>
      <c r="Q91" s="16">
        <f>IFERROR(__xludf.DUMMYFUNCTION("IF(OR(ISBLANK($G91), IFERROR(INDEX(GOOGLEFINANCE($C91, ""price"", WORKDAY(INT($B91), 1)), 2, 2), """")=""""), """", IF($D91=""LONG"", (IFERROR(INDEX(GOOGLEFINANCE($C91, ""price"", WORKDAY(INT($B91), 1)), 2, 2), """")-$G91)/$G91, ($G91-IFERROR(INDEX(GOOGLE"&amp;"FINANCE($C91, ""price"", WORKDAY(INT($B91), 1)), 2, 2), """"))/$G91))"),0.02560443250503691)</f>
        <v>0.02560443251</v>
      </c>
      <c r="R91" s="16" t="str">
        <f>IFERROR(__xludf.DUMMYFUNCTION("IF(OR(ISBLANK($G91), IFERROR(INDEX(GOOGLEFINANCE($C91, ""price"", WORKDAY(INT($B91), 5)), 2, 2), """")=""""), """", IF($D91=""LONG"", (IFERROR(INDEX(GOOGLEFINANCE($C91, ""price"", WORKDAY(INT($B91), 5)), 2, 2), """")-$G91)/$G91, ($G91-IFERROR(INDEX(GOOGLE"&amp;"FINANCE($C91, ""price"", WORKDAY(INT($B91), 5)), 2, 2), """"))/$G91))"),"")</f>
        <v/>
      </c>
      <c r="S91" s="16" t="str">
        <f>IFERROR(__xludf.DUMMYFUNCTION("IF(OR(ISBLANK($G91), IFERROR(INDEX(GOOGLEFINANCE($C91, ""price"", WORKDAY(INT($B91), 20)), 2, 2), """")=""""), """", IF($D91=""LONG"", (IFERROR(INDEX(GOOGLEFINANCE($C91, ""price"", WORKDAY(INT($B91), 20)), 2, 2), """")-$G91)/$G91, ($G91-IFERROR(INDEX(GOOG"&amp;"LEFINANCE($C91, ""price"", WORKDAY(INT($B91), 20)), 2, 2), """"))/$G91))"),"")</f>
        <v/>
      </c>
      <c r="T91" s="10" t="s">
        <v>6096</v>
      </c>
    </row>
    <row r="92">
      <c r="A92" s="9">
        <f t="shared" si="1"/>
        <v>91</v>
      </c>
      <c r="B92" s="11">
        <v>46237.66761574074</v>
      </c>
      <c r="C92" s="10" t="s">
        <v>691</v>
      </c>
      <c r="D92" s="10" t="s">
        <v>36</v>
      </c>
      <c r="E92" s="10" t="s">
        <v>37</v>
      </c>
      <c r="F92" s="13">
        <v>2.0</v>
      </c>
      <c r="G92" s="14">
        <v>30.91</v>
      </c>
      <c r="H92" s="10" t="s">
        <v>6097</v>
      </c>
      <c r="I92" s="10">
        <v>89.4</v>
      </c>
      <c r="O92" s="15">
        <f>IFERROR(__xludf.DUMMYFUNCTION("IF(ISBLANK($C92), """", GOOGLEFINANCE($C92, ""price""))"),31.69)</f>
        <v>31.69</v>
      </c>
      <c r="P92" s="16">
        <f t="shared" si="2"/>
        <v>0.02523455192</v>
      </c>
      <c r="Q92" s="16">
        <f>IFERROR(__xludf.DUMMYFUNCTION("IF(OR(ISBLANK($G92), IFERROR(INDEX(GOOGLEFINANCE($C92, ""price"", WORKDAY(INT($B92), 1)), 2, 2), """")=""""), """", IF($D92=""LONG"", (IFERROR(INDEX(GOOGLEFINANCE($C92, ""price"", WORKDAY(INT($B92), 1)), 2, 2), """")-$G92)/$G92, ($G92-IFERROR(INDEX(GOOGLE"&amp;"FINANCE($C92, ""price"", WORKDAY(INT($B92), 1)), 2, 2), """"))/$G92))"),0.03526366871562601)</f>
        <v>0.03526366872</v>
      </c>
      <c r="R92" s="16" t="str">
        <f>IFERROR(__xludf.DUMMYFUNCTION("IF(OR(ISBLANK($G92), IFERROR(INDEX(GOOGLEFINANCE($C92, ""price"", WORKDAY(INT($B92), 5)), 2, 2), """")=""""), """", IF($D92=""LONG"", (IFERROR(INDEX(GOOGLEFINANCE($C92, ""price"", WORKDAY(INT($B92), 5)), 2, 2), """")-$G92)/$G92, ($G92-IFERROR(INDEX(GOOGLE"&amp;"FINANCE($C92, ""price"", WORKDAY(INT($B92), 5)), 2, 2), """"))/$G92))"),"")</f>
        <v/>
      </c>
      <c r="S92" s="16" t="str">
        <f>IFERROR(__xludf.DUMMYFUNCTION("IF(OR(ISBLANK($G92), IFERROR(INDEX(GOOGLEFINANCE($C92, ""price"", WORKDAY(INT($B92), 20)), 2, 2), """")=""""), """", IF($D92=""LONG"", (IFERROR(INDEX(GOOGLEFINANCE($C92, ""price"", WORKDAY(INT($B92), 20)), 2, 2), """")-$G92)/$G92, ($G92-IFERROR(INDEX(GOOG"&amp;"LEFINANCE($C92, ""price"", WORKDAY(INT($B92), 20)), 2, 2), """"))/$G92))"),"")</f>
        <v/>
      </c>
      <c r="T92" s="10" t="s">
        <v>6099</v>
      </c>
    </row>
    <row r="93">
      <c r="A93" s="9">
        <f t="shared" si="1"/>
        <v>92</v>
      </c>
      <c r="B93" s="11">
        <v>46237.66753472222</v>
      </c>
      <c r="C93" s="10" t="s">
        <v>5556</v>
      </c>
      <c r="D93" s="10" t="s">
        <v>36</v>
      </c>
      <c r="E93" s="10" t="s">
        <v>37</v>
      </c>
      <c r="F93" s="13">
        <v>2.0</v>
      </c>
      <c r="G93" s="14">
        <v>269.76</v>
      </c>
      <c r="H93" s="10" t="s">
        <v>3639</v>
      </c>
      <c r="I93" s="10">
        <v>86.5</v>
      </c>
      <c r="O93" s="15">
        <f>IFERROR(__xludf.DUMMYFUNCTION("IF(ISBLANK($C93), """", GOOGLEFINANCE($C93, ""price""))"),274.58)</f>
        <v>274.58</v>
      </c>
      <c r="P93" s="16">
        <f t="shared" si="2"/>
        <v>0.01786773428</v>
      </c>
      <c r="Q93" s="16">
        <f>IFERROR(__xludf.DUMMYFUNCTION("IF(OR(ISBLANK($G93), IFERROR(INDEX(GOOGLEFINANCE($C93, ""price"", WORKDAY(INT($B93), 1)), 2, 2), """")=""""), """", IF($D93=""LONG"", (IFERROR(INDEX(GOOGLEFINANCE($C93, ""price"", WORKDAY(INT($B93), 1)), 2, 2), """")-$G93)/$G93, ($G93-IFERROR(INDEX(GOOGLE"&amp;"FINANCE($C93, ""price"", WORKDAY(INT($B93), 1)), 2, 2), """"))/$G93))"),0.017534104389086664)</f>
        <v>0.01753410439</v>
      </c>
      <c r="R93" s="16" t="str">
        <f>IFERROR(__xludf.DUMMYFUNCTION("IF(OR(ISBLANK($G93), IFERROR(INDEX(GOOGLEFINANCE($C93, ""price"", WORKDAY(INT($B93), 5)), 2, 2), """")=""""), """", IF($D93=""LONG"", (IFERROR(INDEX(GOOGLEFINANCE($C93, ""price"", WORKDAY(INT($B93), 5)), 2, 2), """")-$G93)/$G93, ($G93-IFERROR(INDEX(GOOGLE"&amp;"FINANCE($C93, ""price"", WORKDAY(INT($B93), 5)), 2, 2), """"))/$G93))"),"")</f>
        <v/>
      </c>
      <c r="S93" s="16" t="str">
        <f>IFERROR(__xludf.DUMMYFUNCTION("IF(OR(ISBLANK($G93), IFERROR(INDEX(GOOGLEFINANCE($C93, ""price"", WORKDAY(INT($B93), 20)), 2, 2), """")=""""), """", IF($D93=""LONG"", (IFERROR(INDEX(GOOGLEFINANCE($C93, ""price"", WORKDAY(INT($B93), 20)), 2, 2), """")-$G93)/$G93, ($G93-IFERROR(INDEX(GOOG"&amp;"LEFINANCE($C93, ""price"", WORKDAY(INT($B93), 20)), 2, 2), """"))/$G93))"),"")</f>
        <v/>
      </c>
      <c r="T93" s="10" t="s">
        <v>6101</v>
      </c>
    </row>
    <row r="94">
      <c r="A94" s="9">
        <f t="shared" si="1"/>
        <v>93</v>
      </c>
      <c r="B94" s="11">
        <v>46237.66748842593</v>
      </c>
      <c r="C94" s="10" t="s">
        <v>5267</v>
      </c>
      <c r="D94" s="10" t="s">
        <v>36</v>
      </c>
      <c r="E94" s="10" t="s">
        <v>87</v>
      </c>
      <c r="F94" s="13">
        <v>2.0</v>
      </c>
      <c r="G94" s="14">
        <v>149.71</v>
      </c>
      <c r="H94" s="10" t="s">
        <v>6103</v>
      </c>
      <c r="I94" s="10">
        <v>88.8</v>
      </c>
      <c r="O94" s="15">
        <f>IFERROR(__xludf.DUMMYFUNCTION("IF(ISBLANK($C94), """", GOOGLEFINANCE($C94, ""price""))"),149.54)</f>
        <v>149.54</v>
      </c>
      <c r="P94" s="16">
        <f t="shared" si="2"/>
        <v>-0.001135528689</v>
      </c>
      <c r="Q94" s="16">
        <f>IFERROR(__xludf.DUMMYFUNCTION("IF(OR(ISBLANK($G94), IFERROR(INDEX(GOOGLEFINANCE($C94, ""price"", WORKDAY(INT($B94), 1)), 2, 2), """")=""""), """", IF($D94=""LONG"", (IFERROR(INDEX(GOOGLEFINANCE($C94, ""price"", WORKDAY(INT($B94), 1)), 2, 2), """")-$G94)/$G94, ($G94-IFERROR(INDEX(GOOGLE"&amp;"FINANCE($C94, ""price"", WORKDAY(INT($B94), 1)), 2, 2), """"))/$G94))"),0.0010019370783515174)</f>
        <v>0.001001937078</v>
      </c>
      <c r="R94" s="16" t="str">
        <f>IFERROR(__xludf.DUMMYFUNCTION("IF(OR(ISBLANK($G94), IFERROR(INDEX(GOOGLEFINANCE($C94, ""price"", WORKDAY(INT($B94), 5)), 2, 2), """")=""""), """", IF($D94=""LONG"", (IFERROR(INDEX(GOOGLEFINANCE($C94, ""price"", WORKDAY(INT($B94), 5)), 2, 2), """")-$G94)/$G94, ($G94-IFERROR(INDEX(GOOGLE"&amp;"FINANCE($C94, ""price"", WORKDAY(INT($B94), 5)), 2, 2), """"))/$G94))"),"")</f>
        <v/>
      </c>
      <c r="S94" s="16" t="str">
        <f>IFERROR(__xludf.DUMMYFUNCTION("IF(OR(ISBLANK($G94), IFERROR(INDEX(GOOGLEFINANCE($C94, ""price"", WORKDAY(INT($B94), 20)), 2, 2), """")=""""), """", IF($D94=""LONG"", (IFERROR(INDEX(GOOGLEFINANCE($C94, ""price"", WORKDAY(INT($B94), 20)), 2, 2), """")-$G94)/$G94, ($G94-IFERROR(INDEX(GOOG"&amp;"LEFINANCE($C94, ""price"", WORKDAY(INT($B94), 20)), 2, 2), """"))/$G94))"),"")</f>
        <v/>
      </c>
      <c r="T94" s="10" t="s">
        <v>6105</v>
      </c>
    </row>
    <row r="95">
      <c r="B95" s="43"/>
      <c r="G95" s="15"/>
      <c r="O95" s="15"/>
      <c r="P95" s="16"/>
      <c r="Q95" s="16"/>
      <c r="R95" s="16"/>
      <c r="S95" s="16"/>
    </row>
    <row r="96">
      <c r="B96" s="43"/>
      <c r="G96" s="15"/>
      <c r="O96" s="15"/>
      <c r="P96" s="16"/>
      <c r="Q96" s="16"/>
      <c r="R96" s="16"/>
      <c r="S96" s="16"/>
    </row>
    <row r="97">
      <c r="B97" s="43"/>
      <c r="G97" s="15"/>
      <c r="O97" s="15"/>
      <c r="P97" s="16"/>
      <c r="Q97" s="16"/>
      <c r="R97" s="16"/>
      <c r="S97" s="16"/>
    </row>
    <row r="98">
      <c r="B98" s="43"/>
      <c r="G98" s="15"/>
      <c r="O98" s="15"/>
      <c r="P98" s="16"/>
      <c r="Q98" s="16"/>
      <c r="R98" s="16"/>
      <c r="S98" s="16"/>
    </row>
    <row r="99">
      <c r="B99" s="43"/>
      <c r="G99" s="15"/>
      <c r="O99" s="15"/>
      <c r="P99" s="16"/>
      <c r="Q99" s="16"/>
      <c r="R99" s="16"/>
      <c r="S99" s="16"/>
    </row>
    <row r="100">
      <c r="B100" s="43"/>
      <c r="G100" s="15"/>
      <c r="O100" s="15"/>
      <c r="P100" s="16"/>
      <c r="Q100" s="16"/>
      <c r="R100" s="16"/>
      <c r="S100" s="16"/>
    </row>
    <row r="101">
      <c r="B101" s="43"/>
      <c r="G101" s="15"/>
      <c r="O101" s="15"/>
      <c r="P101" s="16"/>
      <c r="Q101" s="16"/>
      <c r="R101" s="16"/>
      <c r="S101" s="16"/>
    </row>
    <row r="102">
      <c r="B102" s="43"/>
      <c r="G102" s="15"/>
      <c r="O102" s="15"/>
      <c r="P102" s="16"/>
      <c r="Q102" s="16"/>
      <c r="R102" s="16"/>
      <c r="S102" s="16"/>
    </row>
    <row r="103">
      <c r="B103" s="43"/>
      <c r="G103" s="15"/>
      <c r="O103" s="15"/>
      <c r="P103" s="16"/>
      <c r="Q103" s="16"/>
      <c r="R103" s="16"/>
      <c r="S103" s="16"/>
    </row>
    <row r="104">
      <c r="B104" s="43"/>
      <c r="G104" s="15"/>
      <c r="O104" s="15"/>
      <c r="P104" s="16"/>
      <c r="Q104" s="16"/>
      <c r="R104" s="16"/>
      <c r="S104" s="16"/>
    </row>
    <row r="105">
      <c r="B105" s="43"/>
      <c r="G105" s="15"/>
      <c r="O105" s="15"/>
      <c r="P105" s="16"/>
      <c r="Q105" s="16"/>
      <c r="R105" s="16"/>
      <c r="S105" s="16"/>
    </row>
    <row r="106">
      <c r="B106" s="43"/>
      <c r="G106" s="15"/>
      <c r="O106" s="15"/>
      <c r="P106" s="16"/>
      <c r="Q106" s="16"/>
      <c r="R106" s="16"/>
      <c r="S106" s="16"/>
    </row>
    <row r="107">
      <c r="B107" s="43"/>
      <c r="G107" s="15"/>
      <c r="O107" s="15"/>
      <c r="P107" s="16"/>
      <c r="Q107" s="16"/>
      <c r="R107" s="16"/>
      <c r="S107" s="16"/>
    </row>
    <row r="108">
      <c r="B108" s="43"/>
      <c r="G108" s="15"/>
      <c r="O108" s="15"/>
      <c r="P108" s="16"/>
      <c r="Q108" s="16"/>
      <c r="R108" s="16"/>
      <c r="S108" s="16"/>
    </row>
    <row r="109">
      <c r="B109" s="43"/>
      <c r="G109" s="15"/>
      <c r="O109" s="15"/>
      <c r="P109" s="16"/>
      <c r="Q109" s="16"/>
      <c r="R109" s="16"/>
      <c r="S109" s="16"/>
    </row>
    <row r="110">
      <c r="B110" s="43"/>
      <c r="G110" s="15"/>
      <c r="O110" s="15"/>
      <c r="P110" s="16"/>
      <c r="Q110" s="16"/>
      <c r="R110" s="16"/>
      <c r="S110" s="16"/>
    </row>
    <row r="111">
      <c r="B111" s="43"/>
      <c r="G111" s="15"/>
      <c r="O111" s="15"/>
      <c r="P111" s="16"/>
      <c r="Q111" s="16"/>
      <c r="R111" s="16"/>
      <c r="S111" s="16"/>
    </row>
    <row r="112">
      <c r="B112" s="43"/>
      <c r="G112" s="15"/>
      <c r="O112" s="15"/>
      <c r="P112" s="16"/>
      <c r="Q112" s="16"/>
      <c r="R112" s="16"/>
      <c r="S112" s="16"/>
    </row>
    <row r="113">
      <c r="B113" s="43"/>
      <c r="G113" s="15"/>
      <c r="O113" s="15"/>
      <c r="P113" s="16"/>
      <c r="Q113" s="16"/>
      <c r="R113" s="16"/>
      <c r="S113" s="16"/>
    </row>
    <row r="114">
      <c r="B114" s="43"/>
      <c r="G114" s="15"/>
      <c r="O114" s="15"/>
      <c r="P114" s="16"/>
      <c r="Q114" s="16"/>
      <c r="R114" s="16"/>
      <c r="S114" s="16"/>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87" si="1">ROW()-1</f>
        <v>1</v>
      </c>
      <c r="B2" s="11">
        <v>46238.66748842593</v>
      </c>
      <c r="C2" s="10" t="s">
        <v>4135</v>
      </c>
      <c r="D2" s="10" t="s">
        <v>36</v>
      </c>
      <c r="E2" s="10" t="s">
        <v>37</v>
      </c>
      <c r="F2" s="13">
        <v>2.0</v>
      </c>
      <c r="G2" s="14">
        <v>390.18</v>
      </c>
      <c r="H2" s="10" t="s">
        <v>5866</v>
      </c>
      <c r="I2" s="10">
        <v>91.9</v>
      </c>
      <c r="O2" s="15">
        <f>IFERROR(__xludf.DUMMYFUNCTION("IF(ISBLANK($C3), """", GOOGLEFINANCE($C3, ""price""))"),120.76)</f>
        <v>120.76</v>
      </c>
      <c r="P2" s="16">
        <f t="shared" ref="P2:P5" si="2">IF(OR(ISBLANK($G3), ISBLANK($O3)), "", IF($D3="LONG", ($O3-$G3)/$G3, ($G3-$O3)/$G3))</f>
        <v>4.628028815</v>
      </c>
      <c r="Q2" s="16">
        <f>IFERROR(__xludf.DUMMYFUNCTION("IF(OR(ISBLANK($G3), IFERROR(INDEX(GOOGLEFINANCE($C3, ""price"", WORKDAY(INT($B3), 1)), 2, 2), """")=""""), """", IF($D3=""LONG"", (IFERROR(INDEX(GOOGLEFINANCE($C3, ""price"", WORKDAY(INT($B3), 1)), 2, 2), """")-$G3)/$G3, ($G3-IFERROR(INDEX(GOOGLEFINANCE($"&amp;"C3, ""price"", WORKDAY(INT($B3), 1)), 2, 2), """"))/$G3))"),7.367387033399101E-4)</f>
        <v>0.0007367387033</v>
      </c>
      <c r="R2" s="16" t="str">
        <f>IFERROR(__xludf.DUMMYFUNCTION("IF(OR(ISBLANK($G3), IFERROR(INDEX(GOOGLEFINANCE($C3, ""price"", WORKDAY(INT($B3), 5)), 2, 2), """")=""""), """", IF($D3=""LONG"", (IFERROR(INDEX(GOOGLEFINANCE($C3, ""price"", WORKDAY(INT($B3), 5)), 2, 2), """")-$G3)/$G3, ($G3-IFERROR(INDEX(GOOGLEFINANCE($"&amp;"C3, ""price"", WORKDAY(INT($B3), 5)), 2, 2), """"))/$G3))"),"")</f>
        <v/>
      </c>
      <c r="S2" s="16" t="str">
        <f>IFERROR(__xludf.DUMMYFUNCTION("IF(OR(ISBLANK($G3), IFERROR(INDEX(GOOGLEFINANCE($C3, ""price"", WORKDAY(INT($B3), 20)), 2, 2), """")=""""), """", IF($D3=""LONG"", (IFERROR(INDEX(GOOGLEFINANCE($C3, ""price"", WORKDAY(INT($B3), 20)), 2, 2), """")-$G3)/$G3, ($G3-IFERROR(INDEX(GOOGLEFINANCE"&amp;"($C3, ""price"", WORKDAY(INT($B3), 20)), 2, 2), """"))/$G3))"),"")</f>
        <v/>
      </c>
      <c r="T2" s="10" t="s">
        <v>5880</v>
      </c>
      <c r="U2" s="10" t="s">
        <v>984</v>
      </c>
      <c r="V2" s="10" t="s">
        <v>5881</v>
      </c>
      <c r="W2" s="10" t="s">
        <v>51</v>
      </c>
      <c r="X2" s="10" t="s">
        <v>984</v>
      </c>
    </row>
    <row r="3">
      <c r="A3" s="9">
        <f t="shared" si="1"/>
        <v>2</v>
      </c>
      <c r="B3" s="11">
        <v>46238.66737268519</v>
      </c>
      <c r="C3" s="10" t="s">
        <v>2229</v>
      </c>
      <c r="D3" s="10" t="s">
        <v>36</v>
      </c>
      <c r="E3" s="10" t="s">
        <v>37</v>
      </c>
      <c r="F3" s="13">
        <v>2.0</v>
      </c>
      <c r="G3" s="14">
        <v>122.16</v>
      </c>
      <c r="H3" s="10" t="s">
        <v>5882</v>
      </c>
      <c r="I3" s="10">
        <v>96.6</v>
      </c>
      <c r="O3" s="15">
        <f>IFERROR(__xludf.DUMMYFUNCTION("IF(ISBLANK($C4), """", GOOGLEFINANCE($C4, ""price""))"),687.52)</f>
        <v>687.52</v>
      </c>
      <c r="P3" s="16">
        <f t="shared" si="2"/>
        <v>-0.8225837069</v>
      </c>
      <c r="Q3" s="16">
        <f>IFERROR(__xludf.DUMMYFUNCTION("IF(OR(ISBLANK($G4), IFERROR(INDEX(GOOGLEFINANCE($C4, ""price"", WORKDAY(INT($B4), 1)), 2, 2), """")=""""), """", IF($D4=""LONG"", (IFERROR(INDEX(GOOGLEFINANCE($C4, ""price"", WORKDAY(INT($B4), 1)), 2, 2), """")-$G4)/$G4, ($G4-IFERROR(INDEX(GOOGLEFINANCE($"&amp;"C4, ""price"", WORKDAY(INT($B4), 1)), 2, 2), """"))/$G4))"),-0.0016062380444782248)</f>
        <v>-0.001606238044</v>
      </c>
      <c r="R3" s="16" t="str">
        <f>IFERROR(__xludf.DUMMYFUNCTION("IF(OR(ISBLANK($G4), IFERROR(INDEX(GOOGLEFINANCE($C4, ""price"", WORKDAY(INT($B4), 5)), 2, 2), """")=""""), """", IF($D4=""LONG"", (IFERROR(INDEX(GOOGLEFINANCE($C4, ""price"", WORKDAY(INT($B4), 5)), 2, 2), """")-$G4)/$G4, ($G4-IFERROR(INDEX(GOOGLEFINANCE($"&amp;"C4, ""price"", WORKDAY(INT($B4), 5)), 2, 2), """"))/$G4))"),"")</f>
        <v/>
      </c>
      <c r="S3" s="16" t="str">
        <f>IFERROR(__xludf.DUMMYFUNCTION("IF(OR(ISBLANK($G4), IFERROR(INDEX(GOOGLEFINANCE($C4, ""price"", WORKDAY(INT($B4), 20)), 2, 2), """")=""""), """", IF($D4=""LONG"", (IFERROR(INDEX(GOOGLEFINANCE($C4, ""price"", WORKDAY(INT($B4), 20)), 2, 2), """")-$G4)/$G4, ($G4-IFERROR(INDEX(GOOGLEFINANCE"&amp;"($C4, ""price"", WORKDAY(INT($B4), 20)), 2, 2), """"))/$G4))"),"")</f>
        <v/>
      </c>
      <c r="T3" s="10" t="s">
        <v>5888</v>
      </c>
      <c r="U3" s="10" t="s">
        <v>984</v>
      </c>
      <c r="V3" s="10" t="s">
        <v>5889</v>
      </c>
      <c r="W3" s="10" t="s">
        <v>51</v>
      </c>
      <c r="X3" s="10" t="s">
        <v>984</v>
      </c>
    </row>
    <row r="4">
      <c r="A4" s="9">
        <f t="shared" si="1"/>
        <v>3</v>
      </c>
      <c r="B4" s="11">
        <v>46238.66737268519</v>
      </c>
      <c r="C4" s="10" t="s">
        <v>3690</v>
      </c>
      <c r="D4" s="10" t="s">
        <v>36</v>
      </c>
      <c r="E4" s="10" t="s">
        <v>87</v>
      </c>
      <c r="F4" s="13">
        <v>2.0</v>
      </c>
      <c r="G4" s="14">
        <v>684.83</v>
      </c>
      <c r="H4" s="10" t="s">
        <v>5893</v>
      </c>
      <c r="I4" s="10">
        <v>87.2</v>
      </c>
      <c r="O4" s="15">
        <f>IFERROR(__xludf.DUMMYFUNCTION("IF(ISBLANK($C5), """", GOOGLEFINANCE($C5, ""price""))"),121.5)</f>
        <v>121.5</v>
      </c>
      <c r="P4" s="16">
        <f t="shared" si="2"/>
        <v>1.026573767</v>
      </c>
      <c r="Q4" s="16">
        <f>IFERROR(__xludf.DUMMYFUNCTION("IF(OR(ISBLANK($G5), IFERROR(INDEX(GOOGLEFINANCE($C5, ""price"", WORKDAY(INT($B5), 1)), 2, 2), """")=""""), """", IF($D5=""LONG"", (IFERROR(INDEX(GOOGLEFINANCE($C5, ""price"", WORKDAY(INT($B5), 1)), 2, 2), """")-$G5)/$G5, ($G5-IFERROR(INDEX(GOOGLEFINANCE($"&amp;"C5, ""price"", WORKDAY(INT($B5), 1)), 2, 2), """"))/$G5))"),-0.026492748926517137)</f>
        <v>-0.02649274893</v>
      </c>
      <c r="R4" s="16" t="str">
        <f>IFERROR(__xludf.DUMMYFUNCTION("IF(OR(ISBLANK($G5), IFERROR(INDEX(GOOGLEFINANCE($C5, ""price"", WORKDAY(INT($B5), 5)), 2, 2), """")=""""), """", IF($D5=""LONG"", (IFERROR(INDEX(GOOGLEFINANCE($C5, ""price"", WORKDAY(INT($B5), 5)), 2, 2), """")-$G5)/$G5, ($G5-IFERROR(INDEX(GOOGLEFINANCE($"&amp;"C5, ""price"", WORKDAY(INT($B5), 5)), 2, 2), """"))/$G5))"),"")</f>
        <v/>
      </c>
      <c r="S4" s="16" t="str">
        <f>IFERROR(__xludf.DUMMYFUNCTION("IF(OR(ISBLANK($G5), IFERROR(INDEX(GOOGLEFINANCE($C5, ""price"", WORKDAY(INT($B5), 20)), 2, 2), """")=""""), """", IF($D5=""LONG"", (IFERROR(INDEX(GOOGLEFINANCE($C5, ""price"", WORKDAY(INT($B5), 20)), 2, 2), """")-$G5)/$G5, ($G5-IFERROR(INDEX(GOOGLEFINANCE"&amp;"($C5, ""price"", WORKDAY(INT($B5), 20)), 2, 2), """"))/$G5))"),"")</f>
        <v/>
      </c>
      <c r="T4" s="10" t="s">
        <v>5897</v>
      </c>
      <c r="U4" s="10" t="s">
        <v>984</v>
      </c>
      <c r="V4" s="10" t="s">
        <v>5881</v>
      </c>
      <c r="W4" s="10" t="s">
        <v>51</v>
      </c>
      <c r="X4" s="10" t="s">
        <v>984</v>
      </c>
    </row>
    <row r="5">
      <c r="A5" s="9">
        <f t="shared" si="1"/>
        <v>4</v>
      </c>
      <c r="B5" s="11">
        <v>46238.66740740741</v>
      </c>
      <c r="C5" s="10" t="s">
        <v>296</v>
      </c>
      <c r="D5" s="10" t="s">
        <v>36</v>
      </c>
      <c r="E5" s="10" t="s">
        <v>37</v>
      </c>
      <c r="F5" s="13">
        <v>2.0</v>
      </c>
      <c r="G5" s="14">
        <v>123.43</v>
      </c>
      <c r="H5" s="10" t="s">
        <v>5899</v>
      </c>
      <c r="I5" s="10">
        <v>89.0</v>
      </c>
      <c r="O5" s="15">
        <f>IFERROR(__xludf.DUMMYFUNCTION("IF(ISBLANK($C6), """", GOOGLEFINANCE($C6, ""price""))"),250.14)</f>
        <v>250.14</v>
      </c>
      <c r="P5" s="16">
        <f t="shared" si="2"/>
        <v>-0.01103071996</v>
      </c>
      <c r="Q5" s="16">
        <f>IFERROR(__xludf.DUMMYFUNCTION("IF(OR(ISBLANK($G6), IFERROR(INDEX(GOOGLEFINANCE($C6, ""price"", WORKDAY(INT($B6), 1)), 2, 2), """")=""""), """", IF($D6=""LONG"", (IFERROR(INDEX(GOOGLEFINANCE($C6, ""price"", WORKDAY(INT($B6), 1)), 2, 2), """")-$G6)/$G6, ($G6-IFERROR(INDEX(GOOGLEFINANCE($"&amp;"C6, ""price"", WORKDAY(INT($B6), 1)), 2, 2), """"))/$G6))"),-0.003914126438144977)</f>
        <v>-0.003914126438</v>
      </c>
      <c r="R5" s="16" t="str">
        <f>IFERROR(__xludf.DUMMYFUNCTION("IF(OR(ISBLANK($G6), IFERROR(INDEX(GOOGLEFINANCE($C6, ""price"", WORKDAY(INT($B6), 5)), 2, 2), """")=""""), """", IF($D6=""LONG"", (IFERROR(INDEX(GOOGLEFINANCE($C6, ""price"", WORKDAY(INT($B6), 5)), 2, 2), """")-$G6)/$G6, ($G6-IFERROR(INDEX(GOOGLEFINANCE($"&amp;"C6, ""price"", WORKDAY(INT($B6), 5)), 2, 2), """"))/$G6))"),"")</f>
        <v/>
      </c>
      <c r="S5" s="16" t="str">
        <f>IFERROR(__xludf.DUMMYFUNCTION("IF(OR(ISBLANK($G6), IFERROR(INDEX(GOOGLEFINANCE($C6, ""price"", WORKDAY(INT($B6), 20)), 2, 2), """")=""""), """", IF($D6=""LONG"", (IFERROR(INDEX(GOOGLEFINANCE($C6, ""price"", WORKDAY(INT($B6), 20)), 2, 2), """")-$G6)/$G6, ($G6-IFERROR(INDEX(GOOGLEFINANCE"&amp;"($C6, ""price"", WORKDAY(INT($B6), 20)), 2, 2), """"))/$G6))"),"")</f>
        <v/>
      </c>
      <c r="T5" s="10" t="s">
        <v>5904</v>
      </c>
      <c r="U5" s="10" t="s">
        <v>984</v>
      </c>
      <c r="V5" s="10" t="s">
        <v>5881</v>
      </c>
      <c r="W5" s="10" t="s">
        <v>51</v>
      </c>
      <c r="X5" s="10" t="s">
        <v>984</v>
      </c>
    </row>
    <row r="6">
      <c r="A6" s="9">
        <f t="shared" si="1"/>
        <v>5</v>
      </c>
      <c r="B6" s="11">
        <v>46238.66744212963</v>
      </c>
      <c r="C6" s="10" t="s">
        <v>408</v>
      </c>
      <c r="D6" s="10" t="s">
        <v>36</v>
      </c>
      <c r="E6" s="10" t="s">
        <v>37</v>
      </c>
      <c r="F6" s="13">
        <v>2.0</v>
      </c>
      <c r="G6" s="14">
        <v>252.93</v>
      </c>
      <c r="H6" s="10" t="s">
        <v>5905</v>
      </c>
      <c r="I6" s="10">
        <v>92.4</v>
      </c>
      <c r="O6" s="15">
        <f>IFERROR(__xludf.DUMMYFUNCTION("IF(ISBLANK($C6), """", GOOGLEFINANCE($C6, ""price""))"),250.14)</f>
        <v>250.14</v>
      </c>
      <c r="P6" s="16">
        <f t="shared" ref="P6:P87" si="3">IF(OR(ISBLANK($G6), ISBLANK($O6)), "", IF($D6="LONG", ($O6-$G6)/$G6, ($G6-$O6)/$G6))</f>
        <v>-0.01103071996</v>
      </c>
      <c r="Q6" s="16">
        <f>IFERROR(__xludf.DUMMYFUNCTION("IF(OR(ISBLANK($G6), IFERROR(INDEX(GOOGLEFINANCE($C6, ""price"", WORKDAY(INT($B6), 1)), 2, 2), """")=""""), """", IF($D6=""LONG"", (IFERROR(INDEX(GOOGLEFINANCE($C6, ""price"", WORKDAY(INT($B6), 1)), 2, 2), """")-$G6)/$G6, ($G6-IFERROR(INDEX(GOOGLEFINANCE($"&amp;"C6, ""price"", WORKDAY(INT($B6), 1)), 2, 2), """"))/$G6))"),-0.003914126438144977)</f>
        <v>-0.003914126438</v>
      </c>
      <c r="R6" s="16" t="str">
        <f>IFERROR(__xludf.DUMMYFUNCTION("IF(OR(ISBLANK($G6), IFERROR(INDEX(GOOGLEFINANCE($C6, ""price"", WORKDAY(INT($B6), 5)), 2, 2), """")=""""), """", IF($D6=""LONG"", (IFERROR(INDEX(GOOGLEFINANCE($C6, ""price"", WORKDAY(INT($B6), 5)), 2, 2), """")-$G6)/$G6, ($G6-IFERROR(INDEX(GOOGLEFINANCE($"&amp;"C6, ""price"", WORKDAY(INT($B6), 5)), 2, 2), """"))/$G6))"),"")</f>
        <v/>
      </c>
      <c r="S6" s="16" t="str">
        <f>IFERROR(__xludf.DUMMYFUNCTION("IF(OR(ISBLANK($G6), IFERROR(INDEX(GOOGLEFINANCE($C6, ""price"", WORKDAY(INT($B6), 20)), 2, 2), """")=""""), """", IF($D6=""LONG"", (IFERROR(INDEX(GOOGLEFINANCE($C6, ""price"", WORKDAY(INT($B6), 20)), 2, 2), """")-$G6)/$G6, ($G6-IFERROR(INDEX(GOOGLEFINANCE"&amp;"($C6, ""price"", WORKDAY(INT($B6), 20)), 2, 2), """"))/$G6))"),"")</f>
        <v/>
      </c>
      <c r="T6" s="10" t="s">
        <v>5911</v>
      </c>
      <c r="U6" s="10" t="s">
        <v>984</v>
      </c>
      <c r="V6" s="10" t="s">
        <v>5881</v>
      </c>
      <c r="W6" s="10" t="s">
        <v>51</v>
      </c>
      <c r="X6" s="10" t="s">
        <v>984</v>
      </c>
    </row>
    <row r="7">
      <c r="A7" s="9">
        <f t="shared" si="1"/>
        <v>6</v>
      </c>
      <c r="B7" s="11">
        <v>46238.6674537037</v>
      </c>
      <c r="C7" s="10" t="s">
        <v>41</v>
      </c>
      <c r="D7" s="10" t="s">
        <v>36</v>
      </c>
      <c r="E7" s="10" t="s">
        <v>37</v>
      </c>
      <c r="F7" s="13">
        <v>2.0</v>
      </c>
      <c r="G7" s="14">
        <v>183.92</v>
      </c>
      <c r="H7" s="10" t="s">
        <v>5913</v>
      </c>
      <c r="I7" s="10">
        <v>81.9</v>
      </c>
      <c r="O7" s="15">
        <f>IFERROR(__xludf.DUMMYFUNCTION("IF(ISBLANK($C7), """", GOOGLEFINANCE($C7, ""price""))"),186.02)</f>
        <v>186.02</v>
      </c>
      <c r="P7" s="16">
        <f t="shared" si="3"/>
        <v>0.01141800783</v>
      </c>
      <c r="Q7" s="16">
        <f>IFERROR(__xludf.DUMMYFUNCTION("IF(OR(ISBLANK($G7), IFERROR(INDEX(GOOGLEFINANCE($C7, ""price"", WORKDAY(INT($B7), 1)), 2, 2), """")=""""), """", IF($D7=""LONG"", (IFERROR(INDEX(GOOGLEFINANCE($C7, ""price"", WORKDAY(INT($B7), 1)), 2, 2), """")-$G7)/$G7, ($G7-IFERROR(INDEX(GOOGLEFINANCE($"&amp;"C7, ""price"", WORKDAY(INT($B7), 1)), 2, 2), """"))/$G7))"),-3.2622879512817453E-4)</f>
        <v>-0.0003262287951</v>
      </c>
      <c r="R7" s="16" t="str">
        <f>IFERROR(__xludf.DUMMYFUNCTION("IF(OR(ISBLANK($G7), IFERROR(INDEX(GOOGLEFINANCE($C7, ""price"", WORKDAY(INT($B7), 5)), 2, 2), """")=""""), """", IF($D7=""LONG"", (IFERROR(INDEX(GOOGLEFINANCE($C7, ""price"", WORKDAY(INT($B7), 5)), 2, 2), """")-$G7)/$G7, ($G7-IFERROR(INDEX(GOOGLEFINANCE($"&amp;"C7, ""price"", WORKDAY(INT($B7), 5)), 2, 2), """"))/$G7))"),"")</f>
        <v/>
      </c>
      <c r="S7" s="16" t="str">
        <f>IFERROR(__xludf.DUMMYFUNCTION("IF(OR(ISBLANK($G7), IFERROR(INDEX(GOOGLEFINANCE($C7, ""price"", WORKDAY(INT($B7), 20)), 2, 2), """")=""""), """", IF($D7=""LONG"", (IFERROR(INDEX(GOOGLEFINANCE($C7, ""price"", WORKDAY(INT($B7), 20)), 2, 2), """")-$G7)/$G7, ($G7-IFERROR(INDEX(GOOGLEFINANCE"&amp;"($C7, ""price"", WORKDAY(INT($B7), 20)), 2, 2), """"))/$G7))"),"")</f>
        <v/>
      </c>
      <c r="T7" s="10" t="s">
        <v>5918</v>
      </c>
      <c r="U7" s="10" t="s">
        <v>492</v>
      </c>
      <c r="V7" s="10" t="s">
        <v>5919</v>
      </c>
      <c r="W7" s="10" t="s">
        <v>51</v>
      </c>
      <c r="X7" s="10" t="s">
        <v>492</v>
      </c>
    </row>
    <row r="8">
      <c r="A8" s="9">
        <f t="shared" si="1"/>
        <v>7</v>
      </c>
      <c r="B8" s="11">
        <v>46238.66746527778</v>
      </c>
      <c r="C8" s="10" t="s">
        <v>471</v>
      </c>
      <c r="D8" s="10" t="s">
        <v>36</v>
      </c>
      <c r="E8" s="10" t="s">
        <v>37</v>
      </c>
      <c r="F8" s="13">
        <v>2.0</v>
      </c>
      <c r="G8" s="14">
        <v>385.79</v>
      </c>
      <c r="H8" s="10" t="s">
        <v>3672</v>
      </c>
      <c r="I8" s="10">
        <v>95.5</v>
      </c>
      <c r="O8" s="15">
        <f>IFERROR(__xludf.DUMMYFUNCTION("IF(ISBLANK($C8), """", GOOGLEFINANCE($C8, ""price""))"),386.92)</f>
        <v>386.92</v>
      </c>
      <c r="P8" s="16">
        <f t="shared" si="3"/>
        <v>0.002929054667</v>
      </c>
      <c r="Q8" s="16">
        <f>IFERROR(__xludf.DUMMYFUNCTION("IF(OR(ISBLANK($G8), IFERROR(INDEX(GOOGLEFINANCE($C8, ""price"", WORKDAY(INT($B8), 1)), 2, 2), """")=""""), """", IF($D8=""LONG"", (IFERROR(INDEX(GOOGLEFINANCE($C8, ""price"", WORKDAY(INT($B8), 1)), 2, 2), """")-$G8)/$G8, ($G8-IFERROR(INDEX(GOOGLEFINANCE($"&amp;"C8, ""price"", WORKDAY(INT($B8), 1)), 2, 2), """"))/$G8))"),-0.004432463257212567)</f>
        <v>-0.004432463257</v>
      </c>
      <c r="R8" s="16" t="str">
        <f>IFERROR(__xludf.DUMMYFUNCTION("IF(OR(ISBLANK($G8), IFERROR(INDEX(GOOGLEFINANCE($C8, ""price"", WORKDAY(INT($B8), 5)), 2, 2), """")=""""), """", IF($D8=""LONG"", (IFERROR(INDEX(GOOGLEFINANCE($C8, ""price"", WORKDAY(INT($B8), 5)), 2, 2), """")-$G8)/$G8, ($G8-IFERROR(INDEX(GOOGLEFINANCE($"&amp;"C8, ""price"", WORKDAY(INT($B8), 5)), 2, 2), """"))/$G8))"),"")</f>
        <v/>
      </c>
      <c r="S8" s="16" t="str">
        <f>IFERROR(__xludf.DUMMYFUNCTION("IF(OR(ISBLANK($G8), IFERROR(INDEX(GOOGLEFINANCE($C8, ""price"", WORKDAY(INT($B8), 20)), 2, 2), """")=""""), """", IF($D8=""LONG"", (IFERROR(INDEX(GOOGLEFINANCE($C8, ""price"", WORKDAY(INT($B8), 20)), 2, 2), """")-$G8)/$G8, ($G8-IFERROR(INDEX(GOOGLEFINANCE"&amp;"($C8, ""price"", WORKDAY(INT($B8), 20)), 2, 2), """"))/$G8))"),"")</f>
        <v/>
      </c>
      <c r="T8" s="10" t="s">
        <v>5924</v>
      </c>
      <c r="U8" s="10" t="s">
        <v>984</v>
      </c>
      <c r="V8" s="10" t="s">
        <v>5881</v>
      </c>
      <c r="W8" s="10" t="s">
        <v>51</v>
      </c>
      <c r="X8" s="10" t="s">
        <v>984</v>
      </c>
    </row>
    <row r="9">
      <c r="A9" s="9">
        <f t="shared" si="1"/>
        <v>8</v>
      </c>
      <c r="B9" s="11">
        <v>46238.66746527778</v>
      </c>
      <c r="C9" s="10" t="s">
        <v>918</v>
      </c>
      <c r="D9" s="10" t="s">
        <v>36</v>
      </c>
      <c r="E9" s="10" t="s">
        <v>37</v>
      </c>
      <c r="F9" s="13">
        <v>2.0</v>
      </c>
      <c r="G9" s="14">
        <v>377.37</v>
      </c>
      <c r="H9" s="10" t="s">
        <v>5926</v>
      </c>
      <c r="I9" s="10">
        <v>94.2</v>
      </c>
      <c r="O9" s="15">
        <f>IFERROR(__xludf.DUMMYFUNCTION("IF(ISBLANK($C9), """", GOOGLEFINANCE($C9, ""price""))"),386.0)</f>
        <v>386</v>
      </c>
      <c r="P9" s="16">
        <f t="shared" si="3"/>
        <v>0.0228688025</v>
      </c>
      <c r="Q9" s="16">
        <f>IFERROR(__xludf.DUMMYFUNCTION("IF(OR(ISBLANK($G9), IFERROR(INDEX(GOOGLEFINANCE($C9, ""price"", WORKDAY(INT($B9), 1)), 2, 2), """")=""""), """", IF($D9=""LONG"", (IFERROR(INDEX(GOOGLEFINANCE($C9, ""price"", WORKDAY(INT($B9), 1)), 2, 2), """")-$G9)/$G9, ($G9-IFERROR(INDEX(GOOGLEFINANCE($"&amp;"C9, ""price"", WORKDAY(INT($B9), 1)), 2, 2), """"))/$G9))"),0.013461589421522601)</f>
        <v>0.01346158942</v>
      </c>
      <c r="R9" s="16" t="str">
        <f>IFERROR(__xludf.DUMMYFUNCTION("IF(OR(ISBLANK($G9), IFERROR(INDEX(GOOGLEFINANCE($C9, ""price"", WORKDAY(INT($B9), 5)), 2, 2), """")=""""), """", IF($D9=""LONG"", (IFERROR(INDEX(GOOGLEFINANCE($C9, ""price"", WORKDAY(INT($B9), 5)), 2, 2), """")-$G9)/$G9, ($G9-IFERROR(INDEX(GOOGLEFINANCE($"&amp;"C9, ""price"", WORKDAY(INT($B9), 5)), 2, 2), """"))/$G9))"),"")</f>
        <v/>
      </c>
      <c r="S9" s="16" t="str">
        <f>IFERROR(__xludf.DUMMYFUNCTION("IF(OR(ISBLANK($G9), IFERROR(INDEX(GOOGLEFINANCE($C9, ""price"", WORKDAY(INT($B9), 20)), 2, 2), """")=""""), """", IF($D9=""LONG"", (IFERROR(INDEX(GOOGLEFINANCE($C9, ""price"", WORKDAY(INT($B9), 20)), 2, 2), """")-$G9)/$G9, ($G9-IFERROR(INDEX(GOOGLEFINANCE"&amp;"($C9, ""price"", WORKDAY(INT($B9), 20)), 2, 2), """"))/$G9))"),"")</f>
        <v/>
      </c>
      <c r="T9" s="10" t="s">
        <v>5930</v>
      </c>
      <c r="U9" s="10" t="s">
        <v>492</v>
      </c>
      <c r="V9" s="10" t="s">
        <v>5931</v>
      </c>
      <c r="W9" s="10" t="s">
        <v>51</v>
      </c>
      <c r="X9" s="10" t="s">
        <v>492</v>
      </c>
    </row>
    <row r="10">
      <c r="A10" s="9">
        <f t="shared" si="1"/>
        <v>9</v>
      </c>
      <c r="B10" s="11">
        <v>46238.6674537037</v>
      </c>
      <c r="C10" s="10" t="s">
        <v>4586</v>
      </c>
      <c r="D10" s="10" t="s">
        <v>36</v>
      </c>
      <c r="E10" s="10" t="s">
        <v>37</v>
      </c>
      <c r="F10" s="13">
        <v>2.0</v>
      </c>
      <c r="G10" s="14">
        <v>312.62</v>
      </c>
      <c r="H10" s="10" t="s">
        <v>3851</v>
      </c>
      <c r="I10" s="10">
        <v>94.0</v>
      </c>
      <c r="O10" s="15">
        <f>IFERROR(__xludf.DUMMYFUNCTION("IF(ISBLANK($C10), """", GOOGLEFINANCE($C10, ""price""))"),299.25)</f>
        <v>299.25</v>
      </c>
      <c r="P10" s="16">
        <f t="shared" si="3"/>
        <v>-0.04276757725</v>
      </c>
      <c r="Q10" s="16">
        <f>IFERROR(__xludf.DUMMYFUNCTION("IF(OR(ISBLANK($G10), IFERROR(INDEX(GOOGLEFINANCE($C10, ""price"", WORKDAY(INT($B10), 1)), 2, 2), """")=""""), """", IF($D10=""LONG"", (IFERROR(INDEX(GOOGLEFINANCE($C10, ""price"", WORKDAY(INT($B10), 1)), 2, 2), """")-$G10)/$G10, ($G10-IFERROR(INDEX(GOOGLE"&amp;"FINANCE($C10, ""price"", WORKDAY(INT($B10), 1)), 2, 2), """"))/$G10))"),-0.047565734757853)</f>
        <v>-0.04756573476</v>
      </c>
      <c r="R10" s="16" t="str">
        <f>IFERROR(__xludf.DUMMYFUNCTION("IF(OR(ISBLANK($G10), IFERROR(INDEX(GOOGLEFINANCE($C10, ""price"", WORKDAY(INT($B10), 5)), 2, 2), """")=""""), """", IF($D10=""LONG"", (IFERROR(INDEX(GOOGLEFINANCE($C10, ""price"", WORKDAY(INT($B10), 5)), 2, 2), """")-$G10)/$G10, ($G10-IFERROR(INDEX(GOOGLE"&amp;"FINANCE($C10, ""price"", WORKDAY(INT($B10), 5)), 2, 2), """"))/$G10))"),"")</f>
        <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5939</v>
      </c>
      <c r="U10" s="10" t="s">
        <v>492</v>
      </c>
      <c r="V10" s="10" t="s">
        <v>5940</v>
      </c>
      <c r="W10" s="10" t="s">
        <v>51</v>
      </c>
      <c r="X10" s="10" t="s">
        <v>492</v>
      </c>
    </row>
    <row r="11">
      <c r="A11" s="9">
        <f t="shared" si="1"/>
        <v>10</v>
      </c>
      <c r="B11" s="11">
        <v>46238.66748842593</v>
      </c>
      <c r="C11" s="10" t="s">
        <v>332</v>
      </c>
      <c r="D11" s="10" t="s">
        <v>36</v>
      </c>
      <c r="E11" s="10" t="s">
        <v>1892</v>
      </c>
      <c r="F11" s="13">
        <v>2.0</v>
      </c>
      <c r="G11" s="14">
        <v>89.09</v>
      </c>
      <c r="H11" s="10" t="s">
        <v>5941</v>
      </c>
      <c r="I11" s="10">
        <v>80.3</v>
      </c>
      <c r="O11" s="15">
        <f>IFERROR(__xludf.DUMMYFUNCTION("IF(ISBLANK($C11), """", GOOGLEFINANCE($C11, ""price""))"),88.23)</f>
        <v>88.23</v>
      </c>
      <c r="P11" s="16">
        <f t="shared" si="3"/>
        <v>-0.009653159726</v>
      </c>
      <c r="Q11" s="16">
        <f>IFERROR(__xludf.DUMMYFUNCTION("IF(OR(ISBLANK($G11), IFERROR(INDEX(GOOGLEFINANCE($C11, ""price"", WORKDAY(INT($B11), 1)), 2, 2), """")=""""), """", IF($D11=""LONG"", (IFERROR(INDEX(GOOGLEFINANCE($C11, ""price"", WORKDAY(INT($B11), 1)), 2, 2), """")-$G11)/$G11, ($G11-IFERROR(INDEX(GOOGLE"&amp;"FINANCE($C11, ""price"", WORKDAY(INT($B11), 1)), 2, 2), """"))/$G11))"),0.005612302166348636)</f>
        <v>0.005612302166</v>
      </c>
      <c r="R11" s="16" t="str">
        <f>IFERROR(__xludf.DUMMYFUNCTION("IF(OR(ISBLANK($G11), IFERROR(INDEX(GOOGLEFINANCE($C11, ""price"", WORKDAY(INT($B11), 5)), 2, 2), """")=""""), """", IF($D11=""LONG"", (IFERROR(INDEX(GOOGLEFINANCE($C11, ""price"", WORKDAY(INT($B11), 5)), 2, 2), """")-$G11)/$G11, ($G11-IFERROR(INDEX(GOOGLE"&amp;"FINANCE($C11, ""price"", WORKDAY(INT($B11), 5)), 2, 2), """"))/$G11))"),"")</f>
        <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5946</v>
      </c>
      <c r="U11" s="10" t="s">
        <v>984</v>
      </c>
      <c r="V11" s="10" t="s">
        <v>5881</v>
      </c>
      <c r="W11" s="10" t="s">
        <v>51</v>
      </c>
      <c r="X11" s="10" t="s">
        <v>984</v>
      </c>
    </row>
    <row r="12">
      <c r="A12" s="9">
        <f t="shared" si="1"/>
        <v>11</v>
      </c>
      <c r="B12" s="11">
        <v>46238.66747685185</v>
      </c>
      <c r="C12" s="10" t="s">
        <v>2250</v>
      </c>
      <c r="D12" s="10" t="s">
        <v>36</v>
      </c>
      <c r="E12" s="10" t="s">
        <v>37</v>
      </c>
      <c r="F12" s="13">
        <v>2.0</v>
      </c>
      <c r="G12" s="14">
        <v>248.03</v>
      </c>
      <c r="H12" s="10" t="s">
        <v>5950</v>
      </c>
      <c r="I12" s="10">
        <v>96.6</v>
      </c>
      <c r="O12" s="15">
        <f>IFERROR(__xludf.DUMMYFUNCTION("IF(ISBLANK($C12), """", GOOGLEFINANCE($C12, ""price""))"),251.74)</f>
        <v>251.74</v>
      </c>
      <c r="P12" s="16">
        <f t="shared" si="3"/>
        <v>0.014957868</v>
      </c>
      <c r="Q12" s="16">
        <f>IFERROR(__xludf.DUMMYFUNCTION("IF(OR(ISBLANK($G12), IFERROR(INDEX(GOOGLEFINANCE($C12, ""price"", WORKDAY(INT($B12), 1)), 2, 2), """")=""""), """", IF($D12=""LONG"", (IFERROR(INDEX(GOOGLEFINANCE($C12, ""price"", WORKDAY(INT($B12), 1)), 2, 2), """")-$G12)/$G12, ($G12-IFERROR(INDEX(GOOGLE"&amp;"FINANCE($C12, ""price"", WORKDAY(INT($B12), 1)), 2, 2), """"))/$G12))"),0.01209531105108253)</f>
        <v>0.01209531105</v>
      </c>
      <c r="R12" s="16" t="str">
        <f>IFERROR(__xludf.DUMMYFUNCTION("IF(OR(ISBLANK($G12), IFERROR(INDEX(GOOGLEFINANCE($C12, ""price"", WORKDAY(INT($B12), 5)), 2, 2), """")=""""), """", IF($D12=""LONG"", (IFERROR(INDEX(GOOGLEFINANCE($C12, ""price"", WORKDAY(INT($B12), 5)), 2, 2), """")-$G12)/$G12, ($G12-IFERROR(INDEX(GOOGLE"&amp;"FINANCE($C12, ""price"", WORKDAY(INT($B12), 5)), 2, 2), """"))/$G12))"),"")</f>
        <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5953</v>
      </c>
      <c r="U12" s="10" t="s">
        <v>492</v>
      </c>
      <c r="V12" s="10" t="s">
        <v>5931</v>
      </c>
      <c r="W12" s="10" t="s">
        <v>51</v>
      </c>
      <c r="X12" s="10" t="s">
        <v>492</v>
      </c>
    </row>
    <row r="13">
      <c r="A13" s="9">
        <f t="shared" si="1"/>
        <v>12</v>
      </c>
      <c r="B13" s="11">
        <v>46238.66748842593</v>
      </c>
      <c r="C13" s="10" t="s">
        <v>2025</v>
      </c>
      <c r="D13" s="10" t="s">
        <v>36</v>
      </c>
      <c r="E13" s="10" t="s">
        <v>37</v>
      </c>
      <c r="F13" s="13">
        <v>2.0</v>
      </c>
      <c r="G13" s="14">
        <v>71.17</v>
      </c>
      <c r="H13" s="10" t="s">
        <v>2727</v>
      </c>
      <c r="I13" s="10">
        <v>99.3</v>
      </c>
      <c r="O13" s="15">
        <f>IFERROR(__xludf.DUMMYFUNCTION("IF(ISBLANK($C13), """", GOOGLEFINANCE($C13, ""price""))"),71.18)</f>
        <v>71.18</v>
      </c>
      <c r="P13" s="16">
        <f t="shared" si="3"/>
        <v>0.0001405086413</v>
      </c>
      <c r="Q13" s="16">
        <f>IFERROR(__xludf.DUMMYFUNCTION("IF(OR(ISBLANK($G13), IFERROR(INDEX(GOOGLEFINANCE($C13, ""price"", WORKDAY(INT($B13), 1)), 2, 2), """")=""""), """", IF($D13=""LONG"", (IFERROR(INDEX(GOOGLEFINANCE($C13, ""price"", WORKDAY(INT($B13), 1)), 2, 2), """")-$G13)/$G13, ($G13-IFERROR(INDEX(GOOGLE"&amp;"FINANCE($C13, ""price"", WORKDAY(INT($B13), 1)), 2, 2), """"))/$G13))"),-0.0030911901081916377)</f>
        <v>-0.003091190108</v>
      </c>
      <c r="R13" s="16" t="str">
        <f>IFERROR(__xludf.DUMMYFUNCTION("IF(OR(ISBLANK($G13), IFERROR(INDEX(GOOGLEFINANCE($C13, ""price"", WORKDAY(INT($B13), 5)), 2, 2), """")=""""), """", IF($D13=""LONG"", (IFERROR(INDEX(GOOGLEFINANCE($C13, ""price"", WORKDAY(INT($B13), 5)), 2, 2), """")-$G13)/$G13, ($G13-IFERROR(INDEX(GOOGLE"&amp;"FINANCE($C13, ""price"", WORKDAY(INT($B13), 5)), 2, 2), """"))/$G13))"),"")</f>
        <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5956</v>
      </c>
      <c r="U13" s="10" t="s">
        <v>492</v>
      </c>
      <c r="V13" s="10" t="s">
        <v>5919</v>
      </c>
      <c r="W13" s="10" t="s">
        <v>51</v>
      </c>
      <c r="X13" s="10" t="s">
        <v>492</v>
      </c>
    </row>
    <row r="14">
      <c r="A14" s="9">
        <f t="shared" si="1"/>
        <v>13</v>
      </c>
      <c r="B14" s="11">
        <v>46238.66746527778</v>
      </c>
      <c r="C14" s="10" t="s">
        <v>641</v>
      </c>
      <c r="D14" s="10" t="s">
        <v>36</v>
      </c>
      <c r="E14" s="10" t="s">
        <v>37</v>
      </c>
      <c r="F14" s="13">
        <v>2.0</v>
      </c>
      <c r="G14" s="14">
        <v>63.72</v>
      </c>
      <c r="H14" s="10" t="s">
        <v>5957</v>
      </c>
      <c r="I14" s="10">
        <v>92.7</v>
      </c>
      <c r="O14" s="15">
        <f>IFERROR(__xludf.DUMMYFUNCTION("IF(ISBLANK($C14), """", GOOGLEFINANCE($C14, ""price""))"),63.13)</f>
        <v>63.13</v>
      </c>
      <c r="P14" s="16">
        <f t="shared" si="3"/>
        <v>-0.009259259259</v>
      </c>
      <c r="Q14" s="16">
        <f>IFERROR(__xludf.DUMMYFUNCTION("IF(OR(ISBLANK($G14), IFERROR(INDEX(GOOGLEFINANCE($C14, ""price"", WORKDAY(INT($B14), 1)), 2, 2), """")=""""), """", IF($D14=""LONG"", (IFERROR(INDEX(GOOGLEFINANCE($C14, ""price"", WORKDAY(INT($B14), 1)), 2, 2), """")-$G14)/$G14, ($G14-IFERROR(INDEX(GOOGLE"&amp;"FINANCE($C14, ""price"", WORKDAY(INT($B14), 1)), 2, 2), """"))/$G14))"),-0.0036095417451349164)</f>
        <v>-0.003609541745</v>
      </c>
      <c r="R14" s="16" t="str">
        <f>IFERROR(__xludf.DUMMYFUNCTION("IF(OR(ISBLANK($G14), IFERROR(INDEX(GOOGLEFINANCE($C14, ""price"", WORKDAY(INT($B14), 5)), 2, 2), """")=""""), """", IF($D14=""LONG"", (IFERROR(INDEX(GOOGLEFINANCE($C14, ""price"", WORKDAY(INT($B14), 5)), 2, 2), """")-$G14)/$G14, ($G14-IFERROR(INDEX(GOOGLE"&amp;"FINANCE($C14, ""price"", WORKDAY(INT($B14), 5)), 2, 2), """"))/$G14))"),"")</f>
        <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5961</v>
      </c>
      <c r="U14" s="10" t="s">
        <v>984</v>
      </c>
      <c r="V14" s="10" t="s">
        <v>5881</v>
      </c>
      <c r="W14" s="10" t="s">
        <v>51</v>
      </c>
      <c r="X14" s="10" t="s">
        <v>984</v>
      </c>
    </row>
    <row r="15">
      <c r="A15" s="9">
        <f t="shared" si="1"/>
        <v>14</v>
      </c>
      <c r="B15" s="11">
        <v>46238.6675</v>
      </c>
      <c r="C15" s="10" t="s">
        <v>72</v>
      </c>
      <c r="D15" s="10" t="s">
        <v>36</v>
      </c>
      <c r="E15" s="10" t="s">
        <v>4224</v>
      </c>
      <c r="F15" s="13">
        <v>4.0</v>
      </c>
      <c r="G15" s="14">
        <v>1300.0</v>
      </c>
      <c r="H15" s="10" t="s">
        <v>5963</v>
      </c>
      <c r="I15" s="10">
        <v>43.3</v>
      </c>
      <c r="O15" s="15">
        <f>IFERROR(__xludf.DUMMYFUNCTION("IF(ISBLANK($C15), """", GOOGLEFINANCE($C15, ""price""))"),1282.58)</f>
        <v>1282.58</v>
      </c>
      <c r="P15" s="16">
        <f t="shared" si="3"/>
        <v>-0.0134</v>
      </c>
      <c r="Q15" s="16">
        <f>IFERROR(__xludf.DUMMYFUNCTION("IF(OR(ISBLANK($G15), IFERROR(INDEX(GOOGLEFINANCE($C15, ""price"", WORKDAY(INT($B15), 1)), 2, 2), """")=""""), """", IF($D15=""LONG"", (IFERROR(INDEX(GOOGLEFINANCE($C15, ""price"", WORKDAY(INT($B15), 1)), 2, 2), """")-$G15)/$G15, ($G15-IFERROR(INDEX(GOOGLE"&amp;"FINANCE($C15, ""price"", WORKDAY(INT($B15), 1)), 2, 2), """"))/$G15))"),-0.011484615384615433)</f>
        <v>-0.01148461538</v>
      </c>
      <c r="R15" s="16" t="str">
        <f>IFERROR(__xludf.DUMMYFUNCTION("IF(OR(ISBLANK($G15), IFERROR(INDEX(GOOGLEFINANCE($C15, ""price"", WORKDAY(INT($B15), 5)), 2, 2), """")=""""), """", IF($D15=""LONG"", (IFERROR(INDEX(GOOGLEFINANCE($C15, ""price"", WORKDAY(INT($B15), 5)), 2, 2), """")-$G15)/$G15, ($G15-IFERROR(INDEX(GOOGLE"&amp;"FINANCE($C15, ""price"", WORKDAY(INT($B15), 5)), 2, 2), """"))/$G15))"),"")</f>
        <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5966</v>
      </c>
      <c r="U15" s="10" t="s">
        <v>984</v>
      </c>
      <c r="V15" s="10" t="s">
        <v>5881</v>
      </c>
      <c r="W15" s="10" t="s">
        <v>51</v>
      </c>
      <c r="X15" s="10" t="s">
        <v>984</v>
      </c>
    </row>
    <row r="16">
      <c r="A16" s="9">
        <f t="shared" si="1"/>
        <v>15</v>
      </c>
      <c r="B16" s="11">
        <v>46238.66738425926</v>
      </c>
      <c r="C16" s="10" t="s">
        <v>3615</v>
      </c>
      <c r="D16" s="10" t="s">
        <v>36</v>
      </c>
      <c r="E16" s="10" t="s">
        <v>37</v>
      </c>
      <c r="F16" s="13">
        <v>2.0</v>
      </c>
      <c r="G16" s="14">
        <v>32.71</v>
      </c>
      <c r="H16" s="10" t="s">
        <v>5968</v>
      </c>
      <c r="I16" s="10">
        <v>95.2</v>
      </c>
      <c r="O16" s="15">
        <f>IFERROR(__xludf.DUMMYFUNCTION("IF(ISBLANK($C16), """", GOOGLEFINANCE($C16, ""price""))"),33.87)</f>
        <v>33.87</v>
      </c>
      <c r="P16" s="16">
        <f t="shared" si="3"/>
        <v>0.03546316111</v>
      </c>
      <c r="Q16" s="16">
        <f>IFERROR(__xludf.DUMMYFUNCTION("IF(OR(ISBLANK($G16), IFERROR(INDEX(GOOGLEFINANCE($C16, ""price"", WORKDAY(INT($B16), 1)), 2, 2), """")=""""), """", IF($D16=""LONG"", (IFERROR(INDEX(GOOGLEFINANCE($C16, ""price"", WORKDAY(INT($B16), 1)), 2, 2), """")-$G16)/$G16, ($G16-IFERROR(INDEX(GOOGLE"&amp;"FINANCE($C16, ""price"", WORKDAY(INT($B16), 1)), 2, 2), """"))/$G16))"),0.012840110058086263)</f>
        <v>0.01284011006</v>
      </c>
      <c r="R16" s="16" t="str">
        <f>IFERROR(__xludf.DUMMYFUNCTION("IF(OR(ISBLANK($G16), IFERROR(INDEX(GOOGLEFINANCE($C16, ""price"", WORKDAY(INT($B16), 5)), 2, 2), """")=""""), """", IF($D16=""LONG"", (IFERROR(INDEX(GOOGLEFINANCE($C16, ""price"", WORKDAY(INT($B16), 5)), 2, 2), """")-$G16)/$G16, ($G16-IFERROR(INDEX(GOOGLE"&amp;"FINANCE($C16, ""price"", WORKDAY(INT($B16), 5)), 2, 2), """"))/$G16))"),"")</f>
        <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5970</v>
      </c>
      <c r="U16" s="10" t="s">
        <v>984</v>
      </c>
      <c r="V16" s="10" t="s">
        <v>5881</v>
      </c>
      <c r="W16" s="10" t="s">
        <v>51</v>
      </c>
      <c r="X16" s="10" t="s">
        <v>984</v>
      </c>
    </row>
    <row r="17">
      <c r="A17" s="9">
        <f t="shared" si="1"/>
        <v>16</v>
      </c>
      <c r="B17" s="11">
        <v>46238.66751157407</v>
      </c>
      <c r="C17" s="10" t="s">
        <v>826</v>
      </c>
      <c r="D17" s="10" t="s">
        <v>36</v>
      </c>
      <c r="E17" s="10" t="s">
        <v>37</v>
      </c>
      <c r="F17" s="13">
        <v>2.0</v>
      </c>
      <c r="G17" s="14">
        <v>369.44</v>
      </c>
      <c r="H17" s="10" t="s">
        <v>5972</v>
      </c>
      <c r="I17" s="10">
        <v>95.2</v>
      </c>
      <c r="O17" s="15">
        <f>IFERROR(__xludf.DUMMYFUNCTION("IF(ISBLANK($C17), """", GOOGLEFINANCE($C17, ""price""))"),370.47)</f>
        <v>370.47</v>
      </c>
      <c r="P17" s="16">
        <f t="shared" si="3"/>
        <v>0.002788003465</v>
      </c>
      <c r="Q17" s="16">
        <f>IFERROR(__xludf.DUMMYFUNCTION("IF(OR(ISBLANK($G17), IFERROR(INDEX(GOOGLEFINANCE($C17, ""price"", WORKDAY(INT($B17), 1)), 2, 2), """")=""""), """", IF($D17=""LONG"", (IFERROR(INDEX(GOOGLEFINANCE($C17, ""price"", WORKDAY(INT($B17), 1)), 2, 2), """")-$G17)/$G17, ($G17-IFERROR(INDEX(GOOGLE"&amp;"FINANCE($C17, ""price"", WORKDAY(INT($B17), 1)), 2, 2), """"))/$G17))"),-0.002436119532264988)</f>
        <v>-0.002436119532</v>
      </c>
      <c r="R17" s="16" t="str">
        <f>IFERROR(__xludf.DUMMYFUNCTION("IF(OR(ISBLANK($G17), IFERROR(INDEX(GOOGLEFINANCE($C17, ""price"", WORKDAY(INT($B17), 5)), 2, 2), """")=""""), """", IF($D17=""LONG"", (IFERROR(INDEX(GOOGLEFINANCE($C17, ""price"", WORKDAY(INT($B17), 5)), 2, 2), """")-$G17)/$G17, ($G17-IFERROR(INDEX(GOOGLE"&amp;"FINANCE($C17, ""price"", WORKDAY(INT($B17), 5)), 2, 2), """"))/$G17))"),"")</f>
        <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5975</v>
      </c>
      <c r="U17" s="10" t="s">
        <v>984</v>
      </c>
      <c r="V17" s="10" t="s">
        <v>5881</v>
      </c>
      <c r="W17" s="10" t="s">
        <v>51</v>
      </c>
      <c r="X17" s="10" t="s">
        <v>984</v>
      </c>
    </row>
    <row r="18">
      <c r="A18" s="9">
        <f t="shared" si="1"/>
        <v>17</v>
      </c>
      <c r="B18" s="11">
        <v>46238.66751157407</v>
      </c>
      <c r="C18" s="10" t="s">
        <v>4394</v>
      </c>
      <c r="D18" s="10" t="s">
        <v>36</v>
      </c>
      <c r="E18" s="10" t="s">
        <v>37</v>
      </c>
      <c r="F18" s="13">
        <v>2.0</v>
      </c>
      <c r="G18" s="14">
        <v>308.7</v>
      </c>
      <c r="H18" s="10" t="s">
        <v>5976</v>
      </c>
      <c r="I18" s="10">
        <v>93.3</v>
      </c>
      <c r="O18" s="15">
        <f>IFERROR(__xludf.DUMMYFUNCTION("IF(ISBLANK($C18), """", GOOGLEFINANCE($C18, ""price""))"),302.99)</f>
        <v>302.99</v>
      </c>
      <c r="P18" s="16">
        <f t="shared" si="3"/>
        <v>-0.01849692258</v>
      </c>
      <c r="Q18" s="16">
        <f>IFERROR(__xludf.DUMMYFUNCTION("IF(OR(ISBLANK($G18), IFERROR(INDEX(GOOGLEFINANCE($C18, ""price"", WORKDAY(INT($B18), 1)), 2, 2), """")=""""), """", IF($D18=""LONG"", (IFERROR(INDEX(GOOGLEFINANCE($C18, ""price"", WORKDAY(INT($B18), 1)), 2, 2), """")-$G18)/$G18, ($G18-IFERROR(INDEX(GOOGLE"&amp;"FINANCE($C18, ""price"", WORKDAY(INT($B18), 1)), 2, 2), """"))/$G18))"),-0.020440557175251062)</f>
        <v>-0.02044055718</v>
      </c>
      <c r="R18" s="16" t="str">
        <f>IFERROR(__xludf.DUMMYFUNCTION("IF(OR(ISBLANK($G18), IFERROR(INDEX(GOOGLEFINANCE($C18, ""price"", WORKDAY(INT($B18), 5)), 2, 2), """")=""""), """", IF($D18=""LONG"", (IFERROR(INDEX(GOOGLEFINANCE($C18, ""price"", WORKDAY(INT($B18), 5)), 2, 2), """")-$G18)/$G18, ($G18-IFERROR(INDEX(GOOGLE"&amp;"FINANCE($C18, ""price"", WORKDAY(INT($B18), 5)), 2, 2), """"))/$G18))"),"")</f>
        <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5980</v>
      </c>
      <c r="U18" s="10" t="s">
        <v>492</v>
      </c>
      <c r="V18" s="10" t="s">
        <v>5940</v>
      </c>
      <c r="W18" s="10" t="s">
        <v>51</v>
      </c>
      <c r="X18" s="10" t="s">
        <v>492</v>
      </c>
    </row>
    <row r="19">
      <c r="A19" s="9">
        <f t="shared" si="1"/>
        <v>18</v>
      </c>
      <c r="B19" s="11">
        <v>46238.66751157407</v>
      </c>
      <c r="C19" s="10" t="s">
        <v>1216</v>
      </c>
      <c r="D19" s="10" t="s">
        <v>36</v>
      </c>
      <c r="E19" s="10" t="s">
        <v>37</v>
      </c>
      <c r="F19" s="13">
        <v>2.0</v>
      </c>
      <c r="G19" s="14">
        <v>84.66</v>
      </c>
      <c r="H19" s="10" t="s">
        <v>5982</v>
      </c>
      <c r="I19" s="10">
        <v>92.0</v>
      </c>
      <c r="O19" s="15">
        <f>IFERROR(__xludf.DUMMYFUNCTION("IF(ISBLANK($C19), """", GOOGLEFINANCE($C19, ""price""))"),79.02)</f>
        <v>79.02</v>
      </c>
      <c r="P19" s="16">
        <f t="shared" si="3"/>
        <v>-0.06661941885</v>
      </c>
      <c r="Q19" s="16">
        <f>IFERROR(__xludf.DUMMYFUNCTION("IF(OR(ISBLANK($G19), IFERROR(INDEX(GOOGLEFINANCE($C19, ""price"", WORKDAY(INT($B19), 1)), 2, 2), """")=""""), """", IF($D19=""LONG"", (IFERROR(INDEX(GOOGLEFINANCE($C19, ""price"", WORKDAY(INT($B19), 1)), 2, 2), """")-$G19)/$G19, ($G19-IFERROR(INDEX(GOOGLE"&amp;"FINANCE($C19, ""price"", WORKDAY(INT($B19), 1)), 2, 2), """"))/$G19))"),-0.00543349870068502)</f>
        <v>-0.005433498701</v>
      </c>
      <c r="R19" s="16" t="str">
        <f>IFERROR(__xludf.DUMMYFUNCTION("IF(OR(ISBLANK($G19), IFERROR(INDEX(GOOGLEFINANCE($C19, ""price"", WORKDAY(INT($B19), 5)), 2, 2), """")=""""), """", IF($D19=""LONG"", (IFERROR(INDEX(GOOGLEFINANCE($C19, ""price"", WORKDAY(INT($B19), 5)), 2, 2), """")-$G19)/$G19, ($G19-IFERROR(INDEX(GOOGLE"&amp;"FINANCE($C19, ""price"", WORKDAY(INT($B19), 5)), 2, 2), """"))/$G19))"),"")</f>
        <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5985</v>
      </c>
      <c r="U19" s="10" t="s">
        <v>984</v>
      </c>
      <c r="V19" s="10" t="s">
        <v>5881</v>
      </c>
      <c r="W19" s="10" t="s">
        <v>51</v>
      </c>
      <c r="X19" s="10" t="s">
        <v>984</v>
      </c>
    </row>
    <row r="20">
      <c r="A20" s="9">
        <f t="shared" si="1"/>
        <v>19</v>
      </c>
      <c r="B20" s="11">
        <v>46238.66748842593</v>
      </c>
      <c r="C20" s="10" t="s">
        <v>217</v>
      </c>
      <c r="D20" s="10" t="s">
        <v>36</v>
      </c>
      <c r="E20" s="10" t="s">
        <v>1892</v>
      </c>
      <c r="F20" s="13">
        <v>2.0</v>
      </c>
      <c r="G20" s="14">
        <v>396.25</v>
      </c>
      <c r="H20" s="10" t="s">
        <v>5986</v>
      </c>
      <c r="I20" s="10">
        <v>73.7</v>
      </c>
      <c r="O20" s="15">
        <f>IFERROR(__xludf.DUMMYFUNCTION("IF(ISBLANK($C20), """", GOOGLEFINANCE($C20, ""price""))"),399.7)</f>
        <v>399.7</v>
      </c>
      <c r="P20" s="16">
        <f t="shared" si="3"/>
        <v>0.008706624606</v>
      </c>
      <c r="Q20" s="16">
        <f>IFERROR(__xludf.DUMMYFUNCTION("IF(OR(ISBLANK($G20), IFERROR(INDEX(GOOGLEFINANCE($C20, ""price"", WORKDAY(INT($B20), 1)), 2, 2), """")=""""), """", IF($D20=""LONG"", (IFERROR(INDEX(GOOGLEFINANCE($C20, ""price"", WORKDAY(INT($B20), 1)), 2, 2), """")-$G20)/$G20, ($G20-IFERROR(INDEX(GOOGLE"&amp;"FINANCE($C20, ""price"", WORKDAY(INT($B20), 1)), 2, 2), """"))/$G20))"),0.00946372239747634)</f>
        <v>0.009463722397</v>
      </c>
      <c r="R20" s="16" t="str">
        <f>IFERROR(__xludf.DUMMYFUNCTION("IF(OR(ISBLANK($G20), IFERROR(INDEX(GOOGLEFINANCE($C20, ""price"", WORKDAY(INT($B20), 5)), 2, 2), """")=""""), """", IF($D20=""LONG"", (IFERROR(INDEX(GOOGLEFINANCE($C20, ""price"", WORKDAY(INT($B20), 5)), 2, 2), """")-$G20)/$G20, ($G20-IFERROR(INDEX(GOOGLE"&amp;"FINANCE($C20, ""price"", WORKDAY(INT($B20), 5)), 2, 2), """"))/$G20))"),"")</f>
        <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5991</v>
      </c>
      <c r="U20" s="10" t="s">
        <v>492</v>
      </c>
      <c r="V20" s="10" t="s">
        <v>5992</v>
      </c>
      <c r="W20" s="10" t="s">
        <v>51</v>
      </c>
      <c r="X20" s="10" t="s">
        <v>492</v>
      </c>
    </row>
    <row r="21">
      <c r="A21" s="9">
        <f t="shared" si="1"/>
        <v>20</v>
      </c>
      <c r="B21" s="11">
        <v>46238.6675</v>
      </c>
      <c r="C21" s="10" t="s">
        <v>52</v>
      </c>
      <c r="D21" s="10" t="s">
        <v>36</v>
      </c>
      <c r="E21" s="10" t="s">
        <v>37</v>
      </c>
      <c r="F21" s="13">
        <v>2.0</v>
      </c>
      <c r="G21" s="14">
        <v>120.59</v>
      </c>
      <c r="H21" s="10" t="s">
        <v>5993</v>
      </c>
      <c r="I21" s="10">
        <v>93.1</v>
      </c>
      <c r="O21" s="15">
        <f>IFERROR(__xludf.DUMMYFUNCTION("IF(ISBLANK($C21), """", GOOGLEFINANCE($C21, ""price""))"),118.38)</f>
        <v>118.38</v>
      </c>
      <c r="P21" s="16">
        <f t="shared" si="3"/>
        <v>-0.01832656107</v>
      </c>
      <c r="Q21" s="16">
        <f>IFERROR(__xludf.DUMMYFUNCTION("IF(OR(ISBLANK($G21), IFERROR(INDEX(GOOGLEFINANCE($C21, ""price"", WORKDAY(INT($B21), 1)), 2, 2), """")=""""), """", IF($D21=""LONG"", (IFERROR(INDEX(GOOGLEFINANCE($C21, ""price"", WORKDAY(INT($B21), 1)), 2, 2), """")-$G21)/$G21, ($G21-IFERROR(INDEX(GOOGLE"&amp;"FINANCE($C21, ""price"", WORKDAY(INT($B21), 1)), 2, 2), """"))/$G21))"),-0.006551123642093094)</f>
        <v>-0.006551123642</v>
      </c>
      <c r="R21" s="16" t="str">
        <f>IFERROR(__xludf.DUMMYFUNCTION("IF(OR(ISBLANK($G21), IFERROR(INDEX(GOOGLEFINANCE($C21, ""price"", WORKDAY(INT($B21), 5)), 2, 2), """")=""""), """", IF($D21=""LONG"", (IFERROR(INDEX(GOOGLEFINANCE($C21, ""price"", WORKDAY(INT($B21), 5)), 2, 2), """")-$G21)/$G21, ($G21-IFERROR(INDEX(GOOGLE"&amp;"FINANCE($C21, ""price"", WORKDAY(INT($B21), 5)), 2, 2), """"))/$G21))"),"")</f>
        <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5997</v>
      </c>
      <c r="U21" s="10" t="s">
        <v>492</v>
      </c>
      <c r="V21" s="10" t="s">
        <v>5919</v>
      </c>
      <c r="W21" s="10" t="s">
        <v>51</v>
      </c>
      <c r="X21" s="10" t="s">
        <v>492</v>
      </c>
    </row>
    <row r="22">
      <c r="A22" s="9">
        <f t="shared" si="1"/>
        <v>21</v>
      </c>
      <c r="B22" s="11">
        <v>46238.66755787037</v>
      </c>
      <c r="C22" s="10" t="s">
        <v>3574</v>
      </c>
      <c r="D22" s="10" t="s">
        <v>36</v>
      </c>
      <c r="E22" s="10" t="s">
        <v>37</v>
      </c>
      <c r="F22" s="13">
        <v>2.0</v>
      </c>
      <c r="G22" s="14">
        <v>341.32</v>
      </c>
      <c r="H22" s="10" t="s">
        <v>5999</v>
      </c>
      <c r="I22" s="10">
        <v>91.6</v>
      </c>
      <c r="O22" s="15">
        <f>IFERROR(__xludf.DUMMYFUNCTION("IF(ISBLANK($C22), """", GOOGLEFINANCE($C22, ""price""))"),342.46)</f>
        <v>342.46</v>
      </c>
      <c r="P22" s="16">
        <f t="shared" si="3"/>
        <v>0.003339974218</v>
      </c>
      <c r="Q22" s="16">
        <f>IFERROR(__xludf.DUMMYFUNCTION("IF(OR(ISBLANK($G22), IFERROR(INDEX(GOOGLEFINANCE($C22, ""price"", WORKDAY(INT($B22), 1)), 2, 2), """")=""""), """", IF($D22=""LONG"", (IFERROR(INDEX(GOOGLEFINANCE($C22, ""price"", WORKDAY(INT($B22), 1)), 2, 2), """")-$G22)/$G22, ($G22-IFERROR(INDEX(GOOGLE"&amp;"FINANCE($C22, ""price"", WORKDAY(INT($B22), 1)), 2, 2), """"))/$G22))"),0.0012305168170632132)</f>
        <v>0.001230516817</v>
      </c>
      <c r="R22" s="16" t="str">
        <f>IFERROR(__xludf.DUMMYFUNCTION("IF(OR(ISBLANK($G22), IFERROR(INDEX(GOOGLEFINANCE($C22, ""price"", WORKDAY(INT($B22), 5)), 2, 2), """")=""""), """", IF($D22=""LONG"", (IFERROR(INDEX(GOOGLEFINANCE($C22, ""price"", WORKDAY(INT($B22), 5)), 2, 2), """")-$G22)/$G22, ($G22-IFERROR(INDEX(GOOGLE"&amp;"FINANCE($C22, ""price"", WORKDAY(INT($B22), 5)), 2, 2), """"))/$G22))"),"")</f>
        <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6002</v>
      </c>
      <c r="U22" s="10" t="s">
        <v>984</v>
      </c>
      <c r="V22" s="10" t="s">
        <v>5881</v>
      </c>
      <c r="W22" s="10" t="s">
        <v>51</v>
      </c>
      <c r="X22" s="10" t="s">
        <v>984</v>
      </c>
    </row>
    <row r="23">
      <c r="A23" s="9">
        <f t="shared" si="1"/>
        <v>22</v>
      </c>
      <c r="B23" s="11">
        <v>46238.667974537035</v>
      </c>
      <c r="C23" s="10" t="s">
        <v>66</v>
      </c>
      <c r="D23" s="10" t="s">
        <v>36</v>
      </c>
      <c r="E23" s="10" t="s">
        <v>37</v>
      </c>
      <c r="F23" s="13">
        <v>2.0</v>
      </c>
      <c r="G23" s="14">
        <v>281.15</v>
      </c>
      <c r="H23" s="10" t="s">
        <v>6003</v>
      </c>
      <c r="I23" s="10">
        <v>79.5</v>
      </c>
      <c r="O23" s="15">
        <f>IFERROR(__xludf.DUMMYFUNCTION("IF(ISBLANK($C23), """", GOOGLEFINANCE($C23, ""price""))"),296.4)</f>
        <v>296.4</v>
      </c>
      <c r="P23" s="16">
        <f t="shared" si="3"/>
        <v>0.05424150809</v>
      </c>
      <c r="Q23" s="16">
        <f>IFERROR(__xludf.DUMMYFUNCTION("IF(OR(ISBLANK($G23), IFERROR(INDEX(GOOGLEFINANCE($C23, ""price"", WORKDAY(INT($B23), 1)), 2, 2), """")=""""), """", IF($D23=""LONG"", (IFERROR(INDEX(GOOGLEFINANCE($C23, ""price"", WORKDAY(INT($B23), 1)), 2, 2), """")-$G23)/$G23, ($G23-IFERROR(INDEX(GOOGLE"&amp;"FINANCE($C23, ""price"", WORKDAY(INT($B23), 1)), 2, 2), """"))/$G23))"),0.07263026853992537)</f>
        <v>0.07263026854</v>
      </c>
      <c r="R23" s="16" t="str">
        <f>IFERROR(__xludf.DUMMYFUNCTION("IF(OR(ISBLANK($G23), IFERROR(INDEX(GOOGLEFINANCE($C23, ""price"", WORKDAY(INT($B23), 5)), 2, 2), """")=""""), """", IF($D23=""LONG"", (IFERROR(INDEX(GOOGLEFINANCE($C23, ""price"", WORKDAY(INT($B23), 5)), 2, 2), """")-$G23)/$G23, ($G23-IFERROR(INDEX(GOOGLE"&amp;"FINANCE($C23, ""price"", WORKDAY(INT($B23), 5)), 2, 2), """"))/$G23))"),"")</f>
        <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6006</v>
      </c>
      <c r="U23" s="10" t="s">
        <v>492</v>
      </c>
      <c r="V23" s="10" t="s">
        <v>493</v>
      </c>
      <c r="W23" s="10" t="s">
        <v>51</v>
      </c>
      <c r="X23" s="10" t="s">
        <v>492</v>
      </c>
    </row>
    <row r="24">
      <c r="A24" s="9">
        <f t="shared" si="1"/>
        <v>23</v>
      </c>
      <c r="B24" s="11">
        <v>46238.6675</v>
      </c>
      <c r="C24" s="10" t="s">
        <v>445</v>
      </c>
      <c r="D24" s="10" t="s">
        <v>36</v>
      </c>
      <c r="E24" s="10" t="s">
        <v>37</v>
      </c>
      <c r="F24" s="13">
        <v>2.0</v>
      </c>
      <c r="G24" s="14">
        <v>149.94</v>
      </c>
      <c r="H24" s="10" t="s">
        <v>6009</v>
      </c>
      <c r="I24" s="10">
        <v>84.8</v>
      </c>
      <c r="O24" s="15">
        <f>IFERROR(__xludf.DUMMYFUNCTION("IF(ISBLANK($C24), """", GOOGLEFINANCE($C24, ""price""))"),151.64)</f>
        <v>151.64</v>
      </c>
      <c r="P24" s="16">
        <f t="shared" si="3"/>
        <v>0.01133786848</v>
      </c>
      <c r="Q24" s="16">
        <f>IFERROR(__xludf.DUMMYFUNCTION("IF(OR(ISBLANK($G24), IFERROR(INDEX(GOOGLEFINANCE($C24, ""price"", WORKDAY(INT($B24), 1)), 2, 2), """")=""""), """", IF($D24=""LONG"", (IFERROR(INDEX(GOOGLEFINANCE($C24, ""price"", WORKDAY(INT($B24), 1)), 2, 2), """")-$G24)/$G24, ($G24-IFERROR(INDEX(GOOGLE"&amp;"FINANCE($C24, ""price"", WORKDAY(INT($B24), 1)), 2, 2), """"))/$G24))"),0.01700680272108851)</f>
        <v>0.01700680272</v>
      </c>
      <c r="R24" s="16" t="str">
        <f>IFERROR(__xludf.DUMMYFUNCTION("IF(OR(ISBLANK($G24), IFERROR(INDEX(GOOGLEFINANCE($C24, ""price"", WORKDAY(INT($B24), 5)), 2, 2), """")=""""), """", IF($D24=""LONG"", (IFERROR(INDEX(GOOGLEFINANCE($C24, ""price"", WORKDAY(INT($B24), 5)), 2, 2), """")-$G24)/$G24, ($G24-IFERROR(INDEX(GOOGLE"&amp;"FINANCE($C24, ""price"", WORKDAY(INT($B24), 5)), 2, 2), """"))/$G24))"),"")</f>
        <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6011</v>
      </c>
      <c r="U24" s="10" t="s">
        <v>984</v>
      </c>
      <c r="V24" s="10" t="s">
        <v>5881</v>
      </c>
      <c r="W24" s="10" t="s">
        <v>51</v>
      </c>
      <c r="X24" s="10" t="s">
        <v>984</v>
      </c>
    </row>
    <row r="25">
      <c r="A25" s="9">
        <f t="shared" si="1"/>
        <v>24</v>
      </c>
      <c r="B25" s="11">
        <v>46238.66748842593</v>
      </c>
      <c r="C25" s="10" t="s">
        <v>455</v>
      </c>
      <c r="D25" s="10" t="s">
        <v>36</v>
      </c>
      <c r="E25" s="10" t="s">
        <v>37</v>
      </c>
      <c r="F25" s="13">
        <v>2.0</v>
      </c>
      <c r="G25" s="14">
        <v>111.55</v>
      </c>
      <c r="H25" s="10" t="s">
        <v>6014</v>
      </c>
      <c r="I25" s="10">
        <v>88.3</v>
      </c>
      <c r="O25" s="15">
        <f>IFERROR(__xludf.DUMMYFUNCTION("IF(ISBLANK($C25), """", GOOGLEFINANCE($C25, ""price""))"),108.66)</f>
        <v>108.66</v>
      </c>
      <c r="P25" s="16">
        <f t="shared" si="3"/>
        <v>-0.02590766472</v>
      </c>
      <c r="Q25" s="16">
        <f>IFERROR(__xludf.DUMMYFUNCTION("IF(OR(ISBLANK($G25), IFERROR(INDEX(GOOGLEFINANCE($C25, ""price"", WORKDAY(INT($B25), 1)), 2, 2), """")=""""), """", IF($D25=""LONG"", (IFERROR(INDEX(GOOGLEFINANCE($C25, ""price"", WORKDAY(INT($B25), 1)), 2, 2), """")-$G25)/$G25, ($G25-IFERROR(INDEX(GOOGLE"&amp;"FINANCE($C25, ""price"", WORKDAY(INT($B25), 1)), 2, 2), """"))/$G25))"),0.007350963693411093)</f>
        <v>0.007350963693</v>
      </c>
      <c r="R25" s="16" t="str">
        <f>IFERROR(__xludf.DUMMYFUNCTION("IF(OR(ISBLANK($G25), IFERROR(INDEX(GOOGLEFINANCE($C25, ""price"", WORKDAY(INT($B25), 5)), 2, 2), """")=""""), """", IF($D25=""LONG"", (IFERROR(INDEX(GOOGLEFINANCE($C25, ""price"", WORKDAY(INT($B25), 5)), 2, 2), """")-$G25)/$G25, ($G25-IFERROR(INDEX(GOOGLE"&amp;"FINANCE($C25, ""price"", WORKDAY(INT($B25), 5)), 2, 2), """"))/$G25))"),"")</f>
        <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6016</v>
      </c>
      <c r="U25" s="10" t="s">
        <v>984</v>
      </c>
      <c r="V25" s="10" t="s">
        <v>5881</v>
      </c>
      <c r="W25" s="10" t="s">
        <v>51</v>
      </c>
      <c r="X25" s="10" t="s">
        <v>984</v>
      </c>
    </row>
    <row r="26">
      <c r="A26" s="9">
        <f t="shared" si="1"/>
        <v>25</v>
      </c>
      <c r="B26" s="11">
        <v>46238.66748842593</v>
      </c>
      <c r="C26" s="10" t="s">
        <v>600</v>
      </c>
      <c r="D26" s="10" t="s">
        <v>36</v>
      </c>
      <c r="E26" s="10" t="s">
        <v>37</v>
      </c>
      <c r="F26" s="13">
        <v>2.0</v>
      </c>
      <c r="G26" s="14">
        <v>234.16</v>
      </c>
      <c r="H26" s="10" t="s">
        <v>6017</v>
      </c>
      <c r="I26" s="10">
        <v>83.0</v>
      </c>
      <c r="O26" s="15">
        <f>IFERROR(__xludf.DUMMYFUNCTION("IF(ISBLANK($C26), """", GOOGLEFINANCE($C26, ""price""))"),265.51)</f>
        <v>265.51</v>
      </c>
      <c r="P26" s="16">
        <f t="shared" si="3"/>
        <v>0.1338828152</v>
      </c>
      <c r="Q26" s="16">
        <f>IFERROR(__xludf.DUMMYFUNCTION("IF(OR(ISBLANK($G26), IFERROR(INDEX(GOOGLEFINANCE($C26, ""price"", WORKDAY(INT($B26), 1)), 2, 2), """")=""""), """", IF($D26=""LONG"", (IFERROR(INDEX(GOOGLEFINANCE($C26, ""price"", WORKDAY(INT($B26), 1)), 2, 2), """")-$G26)/$G26, ($G26-IFERROR(INDEX(GOOGLE"&amp;"FINANCE($C26, ""price"", WORKDAY(INT($B26), 1)), 2, 2), """"))/$G26))"),0.11342671677485493)</f>
        <v>0.1134267168</v>
      </c>
      <c r="R26" s="16" t="str">
        <f>IFERROR(__xludf.DUMMYFUNCTION("IF(OR(ISBLANK($G26), IFERROR(INDEX(GOOGLEFINANCE($C26, ""price"", WORKDAY(INT($B26), 5)), 2, 2), """")=""""), """", IF($D26=""LONG"", (IFERROR(INDEX(GOOGLEFINANCE($C26, ""price"", WORKDAY(INT($B26), 5)), 2, 2), """")-$G26)/$G26, ($G26-IFERROR(INDEX(GOOGLE"&amp;"FINANCE($C26, ""price"", WORKDAY(INT($B26), 5)), 2, 2), """"))/$G26))"),"")</f>
        <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6019</v>
      </c>
      <c r="U26" s="10" t="s">
        <v>492</v>
      </c>
      <c r="V26" s="10" t="s">
        <v>5931</v>
      </c>
      <c r="W26" s="10" t="s">
        <v>51</v>
      </c>
      <c r="X26" s="10" t="s">
        <v>492</v>
      </c>
    </row>
    <row r="27">
      <c r="A27" s="9">
        <f t="shared" si="1"/>
        <v>26</v>
      </c>
      <c r="B27" s="11">
        <v>46238.667604166665</v>
      </c>
      <c r="C27" s="10" t="s">
        <v>141</v>
      </c>
      <c r="D27" s="10" t="s">
        <v>36</v>
      </c>
      <c r="E27" s="10" t="s">
        <v>37</v>
      </c>
      <c r="F27" s="13">
        <v>2.0</v>
      </c>
      <c r="G27" s="14">
        <v>128.1</v>
      </c>
      <c r="H27" s="10" t="s">
        <v>6020</v>
      </c>
      <c r="I27" s="10">
        <v>89.7</v>
      </c>
      <c r="O27" s="15">
        <f>IFERROR(__xludf.DUMMYFUNCTION("IF(ISBLANK($C27), """", GOOGLEFINANCE($C27, ""price""))"),128.37)</f>
        <v>128.37</v>
      </c>
      <c r="P27" s="16">
        <f t="shared" si="3"/>
        <v>0.002107728337</v>
      </c>
      <c r="Q27" s="16">
        <f>IFERROR(__xludf.DUMMYFUNCTION("IF(OR(ISBLANK($G27), IFERROR(INDEX(GOOGLEFINANCE($C27, ""price"", WORKDAY(INT($B27), 1)), 2, 2), """")=""""), """", IF($D27=""LONG"", (IFERROR(INDEX(GOOGLEFINANCE($C27, ""price"", WORKDAY(INT($B27), 1)), 2, 2), """")-$G27)/$G27, ($G27-IFERROR(INDEX(GOOGLE"&amp;"FINANCE($C27, ""price"", WORKDAY(INT($B27), 1)), 2, 2), """"))/$G27))"),0.001795472287275708)</f>
        <v>0.001795472287</v>
      </c>
      <c r="R27" s="16" t="str">
        <f>IFERROR(__xludf.DUMMYFUNCTION("IF(OR(ISBLANK($G27), IFERROR(INDEX(GOOGLEFINANCE($C27, ""price"", WORKDAY(INT($B27), 5)), 2, 2), """")=""""), """", IF($D27=""LONG"", (IFERROR(INDEX(GOOGLEFINANCE($C27, ""price"", WORKDAY(INT($B27), 5)), 2, 2), """")-$G27)/$G27, ($G27-IFERROR(INDEX(GOOGLE"&amp;"FINANCE($C27, ""price"", WORKDAY(INT($B27), 5)), 2, 2), """"))/$G27))"),"")</f>
        <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6022</v>
      </c>
      <c r="U27" s="10" t="s">
        <v>984</v>
      </c>
      <c r="V27" s="10" t="s">
        <v>5881</v>
      </c>
      <c r="W27" s="10" t="s">
        <v>51</v>
      </c>
      <c r="X27" s="10" t="s">
        <v>984</v>
      </c>
    </row>
    <row r="28">
      <c r="A28" s="9">
        <f t="shared" si="1"/>
        <v>27</v>
      </c>
      <c r="B28" s="11">
        <v>46238.66762731481</v>
      </c>
      <c r="C28" s="10" t="s">
        <v>437</v>
      </c>
      <c r="D28" s="10" t="s">
        <v>36</v>
      </c>
      <c r="E28" s="10" t="s">
        <v>1892</v>
      </c>
      <c r="F28" s="13">
        <v>2.0</v>
      </c>
      <c r="G28" s="14">
        <v>190.55</v>
      </c>
      <c r="H28" s="10" t="s">
        <v>6023</v>
      </c>
      <c r="I28" s="10">
        <v>80.9</v>
      </c>
      <c r="O28" s="15">
        <f>IFERROR(__xludf.DUMMYFUNCTION("IF(ISBLANK($C28), """", GOOGLEFINANCE($C28, ""price""))"),192.32)</f>
        <v>192.32</v>
      </c>
      <c r="P28" s="16">
        <f t="shared" si="3"/>
        <v>0.009288900551</v>
      </c>
      <c r="Q28" s="16">
        <f>IFERROR(__xludf.DUMMYFUNCTION("IF(OR(ISBLANK($G28), IFERROR(INDEX(GOOGLEFINANCE($C28, ""price"", WORKDAY(INT($B28), 1)), 2, 2), """")=""""), """", IF($D28=""LONG"", (IFERROR(INDEX(GOOGLEFINANCE($C28, ""price"", WORKDAY(INT($B28), 1)), 2, 2), """")-$G28)/$G28, ($G28-IFERROR(INDEX(GOOGLE"&amp;"FINANCE($C28, ""price"", WORKDAY(INT($B28), 1)), 2, 2), """"))/$G28))"),0.035476252951981056)</f>
        <v>0.03547625295</v>
      </c>
      <c r="R28" s="16" t="str">
        <f>IFERROR(__xludf.DUMMYFUNCTION("IF(OR(ISBLANK($G28), IFERROR(INDEX(GOOGLEFINANCE($C28, ""price"", WORKDAY(INT($B28), 5)), 2, 2), """")=""""), """", IF($D28=""LONG"", (IFERROR(INDEX(GOOGLEFINANCE($C28, ""price"", WORKDAY(INT($B28), 5)), 2, 2), """")-$G28)/$G28, ($G28-IFERROR(INDEX(GOOGLE"&amp;"FINANCE($C28, ""price"", WORKDAY(INT($B28), 5)), 2, 2), """"))/$G28))"),"")</f>
        <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6026</v>
      </c>
      <c r="U28" s="10" t="s">
        <v>492</v>
      </c>
      <c r="V28" s="10" t="s">
        <v>5940</v>
      </c>
      <c r="W28" s="10" t="s">
        <v>51</v>
      </c>
      <c r="X28" s="10" t="s">
        <v>492</v>
      </c>
    </row>
    <row r="29">
      <c r="A29" s="9">
        <f t="shared" si="1"/>
        <v>28</v>
      </c>
      <c r="B29" s="11">
        <v>46238.66762731481</v>
      </c>
      <c r="C29" s="10" t="s">
        <v>398</v>
      </c>
      <c r="D29" s="10" t="s">
        <v>36</v>
      </c>
      <c r="E29" s="10" t="s">
        <v>37</v>
      </c>
      <c r="F29" s="13">
        <v>2.0</v>
      </c>
      <c r="G29" s="14">
        <v>72.1</v>
      </c>
      <c r="H29" s="10" t="s">
        <v>6028</v>
      </c>
      <c r="I29" s="10">
        <v>89.6</v>
      </c>
      <c r="O29" s="15">
        <f>IFERROR(__xludf.DUMMYFUNCTION("IF(ISBLANK($C29), """", GOOGLEFINANCE($C29, ""price""))"),71.9)</f>
        <v>71.9</v>
      </c>
      <c r="P29" s="16">
        <f t="shared" si="3"/>
        <v>-0.002773925104</v>
      </c>
      <c r="Q29" s="16">
        <f>IFERROR(__xludf.DUMMYFUNCTION("IF(OR(ISBLANK($G29), IFERROR(INDEX(GOOGLEFINANCE($C29, ""price"", WORKDAY(INT($B29), 1)), 2, 2), """")=""""), """", IF($D29=""LONG"", (IFERROR(INDEX(GOOGLEFINANCE($C29, ""price"", WORKDAY(INT($B29), 1)), 2, 2), """")-$G29)/$G29, ($G29-IFERROR(INDEX(GOOGLE"&amp;"FINANCE($C29, ""price"", WORKDAY(INT($B29), 1)), 2, 2), """"))/$G29))"),-0.001386962552011017)</f>
        <v>-0.001386962552</v>
      </c>
      <c r="R29" s="16" t="str">
        <f>IFERROR(__xludf.DUMMYFUNCTION("IF(OR(ISBLANK($G29), IFERROR(INDEX(GOOGLEFINANCE($C29, ""price"", WORKDAY(INT($B29), 5)), 2, 2), """")=""""), """", IF($D29=""LONG"", (IFERROR(INDEX(GOOGLEFINANCE($C29, ""price"", WORKDAY(INT($B29), 5)), 2, 2), """")-$G29)/$G29, ($G29-IFERROR(INDEX(GOOGLE"&amp;"FINANCE($C29, ""price"", WORKDAY(INT($B29), 5)), 2, 2), """"))/$G29))"),"")</f>
        <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6030</v>
      </c>
      <c r="U29" s="10" t="s">
        <v>984</v>
      </c>
      <c r="V29" s="10" t="s">
        <v>5881</v>
      </c>
      <c r="W29" s="10" t="s">
        <v>51</v>
      </c>
      <c r="X29" s="10" t="s">
        <v>984</v>
      </c>
    </row>
    <row r="30">
      <c r="A30" s="9">
        <f t="shared" si="1"/>
        <v>29</v>
      </c>
      <c r="B30" s="11">
        <v>46238.667592592596</v>
      </c>
      <c r="C30" s="10" t="s">
        <v>3721</v>
      </c>
      <c r="D30" s="10" t="s">
        <v>36</v>
      </c>
      <c r="E30" s="10" t="s">
        <v>87</v>
      </c>
      <c r="F30" s="13">
        <v>2.0</v>
      </c>
      <c r="G30" s="14">
        <v>106.34</v>
      </c>
      <c r="H30" s="10" t="s">
        <v>6032</v>
      </c>
      <c r="I30" s="10">
        <v>95.5</v>
      </c>
      <c r="O30" s="15">
        <f>IFERROR(__xludf.DUMMYFUNCTION("IF(ISBLANK($C30), """", GOOGLEFINANCE($C30, ""price""))"),107.66)</f>
        <v>107.66</v>
      </c>
      <c r="P30" s="16">
        <f t="shared" si="3"/>
        <v>0.01241301486</v>
      </c>
      <c r="Q30" s="16">
        <f>IFERROR(__xludf.DUMMYFUNCTION("IF(OR(ISBLANK($G30), IFERROR(INDEX(GOOGLEFINANCE($C30, ""price"", WORKDAY(INT($B30), 1)), 2, 2), """")=""""), """", IF($D30=""LONG"", (IFERROR(INDEX(GOOGLEFINANCE($C30, ""price"", WORKDAY(INT($B30), 1)), 2, 2), """")-$G30)/$G30, ($G30-IFERROR(INDEX(GOOGLE"&amp;"FINANCE($C30, ""price"", WORKDAY(INT($B30), 1)), 2, 2), """"))/$G30))"),0.015798382546548737)</f>
        <v>0.01579838255</v>
      </c>
      <c r="R30" s="16" t="str">
        <f>IFERROR(__xludf.DUMMYFUNCTION("IF(OR(ISBLANK($G30), IFERROR(INDEX(GOOGLEFINANCE($C30, ""price"", WORKDAY(INT($B30), 5)), 2, 2), """")=""""), """", IF($D30=""LONG"", (IFERROR(INDEX(GOOGLEFINANCE($C30, ""price"", WORKDAY(INT($B30), 5)), 2, 2), """")-$G30)/$G30, ($G30-IFERROR(INDEX(GOOGLE"&amp;"FINANCE($C30, ""price"", WORKDAY(INT($B30), 5)), 2, 2), """"))/$G30))"),"")</f>
        <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6035</v>
      </c>
      <c r="U30" s="10" t="s">
        <v>984</v>
      </c>
      <c r="V30" s="10" t="s">
        <v>5881</v>
      </c>
      <c r="W30" s="10" t="s">
        <v>51</v>
      </c>
      <c r="X30" s="10" t="s">
        <v>984</v>
      </c>
    </row>
    <row r="31">
      <c r="A31" s="9">
        <f t="shared" si="1"/>
        <v>30</v>
      </c>
      <c r="B31" s="11">
        <v>46238.66751157407</v>
      </c>
      <c r="C31" s="10" t="s">
        <v>342</v>
      </c>
      <c r="D31" s="10" t="s">
        <v>36</v>
      </c>
      <c r="E31" s="10" t="s">
        <v>37</v>
      </c>
      <c r="F31" s="13">
        <v>2.0</v>
      </c>
      <c r="G31" s="14">
        <v>62.91</v>
      </c>
      <c r="H31" s="10" t="s">
        <v>6037</v>
      </c>
      <c r="I31" s="10">
        <v>89.3</v>
      </c>
      <c r="O31" s="15">
        <f>IFERROR(__xludf.DUMMYFUNCTION("IF(ISBLANK($C31), """", GOOGLEFINANCE($C31, ""price""))"),63.0)</f>
        <v>63</v>
      </c>
      <c r="P31" s="16">
        <f t="shared" si="3"/>
        <v>0.001430615165</v>
      </c>
      <c r="Q31" s="16">
        <f>IFERROR(__xludf.DUMMYFUNCTION("IF(OR(ISBLANK($G31), IFERROR(INDEX(GOOGLEFINANCE($C31, ""price"", WORKDAY(INT($B31), 1)), 2, 2), """")=""""), """", IF($D31=""LONG"", (IFERROR(INDEX(GOOGLEFINANCE($C31, ""price"", WORKDAY(INT($B31), 1)), 2, 2), """")-$G31)/$G31, ($G31-IFERROR(INDEX(GOOGLE"&amp;"FINANCE($C31, ""price"", WORKDAY(INT($B31), 1)), 2, 2), """"))/$G31))"),0.00540454617707842)</f>
        <v>0.005404546177</v>
      </c>
      <c r="R31" s="16" t="str">
        <f>IFERROR(__xludf.DUMMYFUNCTION("IF(OR(ISBLANK($G31), IFERROR(INDEX(GOOGLEFINANCE($C31, ""price"", WORKDAY(INT($B31), 5)), 2, 2), """")=""""), """", IF($D31=""LONG"", (IFERROR(INDEX(GOOGLEFINANCE($C31, ""price"", WORKDAY(INT($B31), 5)), 2, 2), """")-$G31)/$G31, ($G31-IFERROR(INDEX(GOOGLE"&amp;"FINANCE($C31, ""price"", WORKDAY(INT($B31), 5)), 2, 2), """"))/$G31))"),"")</f>
        <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6040</v>
      </c>
      <c r="U31" s="10" t="s">
        <v>984</v>
      </c>
      <c r="V31" s="10" t="s">
        <v>5881</v>
      </c>
      <c r="W31" s="10" t="s">
        <v>51</v>
      </c>
      <c r="X31" s="10" t="s">
        <v>984</v>
      </c>
    </row>
    <row r="32">
      <c r="A32" s="9">
        <f t="shared" si="1"/>
        <v>31</v>
      </c>
      <c r="B32" s="11">
        <v>46238.66761574074</v>
      </c>
      <c r="C32" s="10" t="s">
        <v>2793</v>
      </c>
      <c r="D32" s="10" t="s">
        <v>36</v>
      </c>
      <c r="E32" s="10" t="s">
        <v>37</v>
      </c>
      <c r="F32" s="13">
        <v>2.0</v>
      </c>
      <c r="G32" s="14">
        <v>48.27</v>
      </c>
      <c r="H32" s="10" t="s">
        <v>6041</v>
      </c>
      <c r="I32" s="10">
        <v>88.3</v>
      </c>
      <c r="O32" s="15">
        <f>IFERROR(__xludf.DUMMYFUNCTION("IF(ISBLANK($C32), """", GOOGLEFINANCE($C32, ""price""))"),47.37)</f>
        <v>47.37</v>
      </c>
      <c r="P32" s="16">
        <f t="shared" si="3"/>
        <v>-0.01864512119</v>
      </c>
      <c r="Q32" s="16">
        <f>IFERROR(__xludf.DUMMYFUNCTION("IF(OR(ISBLANK($G32), IFERROR(INDEX(GOOGLEFINANCE($C32, ""price"", WORKDAY(INT($B32), 1)), 2, 2), """")=""""), """", IF($D32=""LONG"", (IFERROR(INDEX(GOOGLEFINANCE($C32, ""price"", WORKDAY(INT($B32), 1)), 2, 2), """")-$G32)/$G32, ($G32-IFERROR(INDEX(GOOGLE"&amp;"FINANCE($C32, ""price"", WORKDAY(INT($B32), 1)), 2, 2), """"))/$G32))"),-0.00994406463642022)</f>
        <v>-0.009944064636</v>
      </c>
      <c r="R32" s="16" t="str">
        <f>IFERROR(__xludf.DUMMYFUNCTION("IF(OR(ISBLANK($G32), IFERROR(INDEX(GOOGLEFINANCE($C32, ""price"", WORKDAY(INT($B32), 5)), 2, 2), """")=""""), """", IF($D32=""LONG"", (IFERROR(INDEX(GOOGLEFINANCE($C32, ""price"", WORKDAY(INT($B32), 5)), 2, 2), """")-$G32)/$G32, ($G32-IFERROR(INDEX(GOOGLE"&amp;"FINANCE($C32, ""price"", WORKDAY(INT($B32), 5)), 2, 2), """"))/$G32))"),"")</f>
        <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6044</v>
      </c>
      <c r="U32" s="10" t="s">
        <v>984</v>
      </c>
      <c r="V32" s="10" t="s">
        <v>5881</v>
      </c>
      <c r="W32" s="10" t="s">
        <v>51</v>
      </c>
      <c r="X32" s="10" t="s">
        <v>984</v>
      </c>
    </row>
    <row r="33">
      <c r="A33" s="9">
        <f t="shared" si="1"/>
        <v>32</v>
      </c>
      <c r="B33" s="11">
        <v>46238.66763888889</v>
      </c>
      <c r="C33" s="10" t="s">
        <v>69</v>
      </c>
      <c r="D33" s="10" t="s">
        <v>36</v>
      </c>
      <c r="E33" s="10" t="s">
        <v>37</v>
      </c>
      <c r="F33" s="13">
        <v>2.0</v>
      </c>
      <c r="G33" s="14">
        <v>254.95</v>
      </c>
      <c r="H33" s="10" t="s">
        <v>6045</v>
      </c>
      <c r="I33" s="10">
        <v>91.8</v>
      </c>
      <c r="O33" s="15">
        <f>IFERROR(__xludf.DUMMYFUNCTION("IF(ISBLANK($C33), """", GOOGLEFINANCE($C33, ""price""))"),256.98)</f>
        <v>256.98</v>
      </c>
      <c r="P33" s="16">
        <f t="shared" si="3"/>
        <v>0.007962345558</v>
      </c>
      <c r="Q33" s="16">
        <f>IFERROR(__xludf.DUMMYFUNCTION("IF(OR(ISBLANK($G33), IFERROR(INDEX(GOOGLEFINANCE($C33, ""price"", WORKDAY(INT($B33), 1)), 2, 2), """")=""""), """", IF($D33=""LONG"", (IFERROR(INDEX(GOOGLEFINANCE($C33, ""price"", WORKDAY(INT($B33), 1)), 2, 2), """")-$G33)/$G33, ($G33-IFERROR(INDEX(GOOGLE"&amp;"FINANCE($C33, ""price"", WORKDAY(INT($B33), 1)), 2, 2), """"))/$G33))"),0.010354971563051527)</f>
        <v>0.01035497156</v>
      </c>
      <c r="R33" s="16" t="str">
        <f>IFERROR(__xludf.DUMMYFUNCTION("IF(OR(ISBLANK($G33), IFERROR(INDEX(GOOGLEFINANCE($C33, ""price"", WORKDAY(INT($B33), 5)), 2, 2), """")=""""), """", IF($D33=""LONG"", (IFERROR(INDEX(GOOGLEFINANCE($C33, ""price"", WORKDAY(INT($B33), 5)), 2, 2), """")-$G33)/$G33, ($G33-IFERROR(INDEX(GOOGLE"&amp;"FINANCE($C33, ""price"", WORKDAY(INT($B33), 5)), 2, 2), """"))/$G33))"),"")</f>
        <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6049</v>
      </c>
      <c r="U33" s="10" t="s">
        <v>984</v>
      </c>
      <c r="V33" s="10" t="s">
        <v>5881</v>
      </c>
      <c r="W33" s="10" t="s">
        <v>51</v>
      </c>
      <c r="X33" s="10" t="s">
        <v>984</v>
      </c>
    </row>
    <row r="34">
      <c r="A34" s="9">
        <f t="shared" si="1"/>
        <v>33</v>
      </c>
      <c r="B34" s="11">
        <v>46238.66767361111</v>
      </c>
      <c r="C34" s="10" t="s">
        <v>201</v>
      </c>
      <c r="D34" s="10" t="s">
        <v>36</v>
      </c>
      <c r="E34" s="10" t="s">
        <v>37</v>
      </c>
      <c r="F34" s="13">
        <v>2.0</v>
      </c>
      <c r="G34" s="14">
        <v>133.99</v>
      </c>
      <c r="H34" s="10" t="s">
        <v>6051</v>
      </c>
      <c r="I34" s="10">
        <v>96.5</v>
      </c>
      <c r="O34" s="15">
        <f>IFERROR(__xludf.DUMMYFUNCTION("IF(ISBLANK($C34), """", GOOGLEFINANCE($C34, ""price""))"),134.82)</f>
        <v>134.82</v>
      </c>
      <c r="P34" s="16">
        <f t="shared" si="3"/>
        <v>0.006194492126</v>
      </c>
      <c r="Q34" s="16">
        <f>IFERROR(__xludf.DUMMYFUNCTION("IF(OR(ISBLANK($G34), IFERROR(INDEX(GOOGLEFINANCE($C34, ""price"", WORKDAY(INT($B34), 1)), 2, 2), """")=""""), """", IF($D34=""LONG"", (IFERROR(INDEX(GOOGLEFINANCE($C34, ""price"", WORKDAY(INT($B34), 1)), 2, 2), """")-$G34)/$G34, ($G34-IFERROR(INDEX(GOOGLE"&amp;"FINANCE($C34, ""price"", WORKDAY(INT($B34), 1)), 2, 2), """"))/$G34))"),0.0012687513993580677)</f>
        <v>0.001268751399</v>
      </c>
      <c r="R34" s="16" t="str">
        <f>IFERROR(__xludf.DUMMYFUNCTION("IF(OR(ISBLANK($G34), IFERROR(INDEX(GOOGLEFINANCE($C34, ""price"", WORKDAY(INT($B34), 5)), 2, 2), """")=""""), """", IF($D34=""LONG"", (IFERROR(INDEX(GOOGLEFINANCE($C34, ""price"", WORKDAY(INT($B34), 5)), 2, 2), """")-$G34)/$G34, ($G34-IFERROR(INDEX(GOOGLE"&amp;"FINANCE($C34, ""price"", WORKDAY(INT($B34), 5)), 2, 2), """"))/$G34))"),"")</f>
        <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6054</v>
      </c>
      <c r="U34" s="10" t="s">
        <v>984</v>
      </c>
      <c r="V34" s="10" t="s">
        <v>5881</v>
      </c>
      <c r="W34" s="10" t="s">
        <v>51</v>
      </c>
      <c r="X34" s="10" t="s">
        <v>984</v>
      </c>
    </row>
    <row r="35">
      <c r="A35" s="9">
        <f t="shared" si="1"/>
        <v>34</v>
      </c>
      <c r="B35" s="11">
        <v>46238.66769675926</v>
      </c>
      <c r="C35" s="10" t="s">
        <v>82</v>
      </c>
      <c r="D35" s="10" t="s">
        <v>36</v>
      </c>
      <c r="E35" s="10" t="s">
        <v>87</v>
      </c>
      <c r="F35" s="13">
        <v>2.0</v>
      </c>
      <c r="G35" s="14">
        <v>171.36</v>
      </c>
      <c r="H35" s="10" t="s">
        <v>6055</v>
      </c>
      <c r="I35" s="10">
        <v>49.0</v>
      </c>
      <c r="O35" s="15">
        <f>IFERROR(__xludf.DUMMYFUNCTION("IF(ISBLANK($C35), """", GOOGLEFINANCE($C35, ""price""))"),170.61)</f>
        <v>170.61</v>
      </c>
      <c r="P35" s="16">
        <f t="shared" si="3"/>
        <v>-0.0043767507</v>
      </c>
      <c r="Q35" s="16">
        <f>IFERROR(__xludf.DUMMYFUNCTION("IF(OR(ISBLANK($G35), IFERROR(INDEX(GOOGLEFINANCE($C35, ""price"", WORKDAY(INT($B35), 1)), 2, 2), """")=""""), """", IF($D35=""LONG"", (IFERROR(INDEX(GOOGLEFINANCE($C35, ""price"", WORKDAY(INT($B35), 1)), 2, 2), """")-$G35)/$G35, ($G35-IFERROR(INDEX(GOOGLE"&amp;"FINANCE($C35, ""price"", WORKDAY(INT($B35), 1)), 2, 2), """"))/$G35))"),0.005135387488328638)</f>
        <v>0.005135387488</v>
      </c>
      <c r="R35" s="16" t="str">
        <f>IFERROR(__xludf.DUMMYFUNCTION("IF(OR(ISBLANK($G35), IFERROR(INDEX(GOOGLEFINANCE($C35, ""price"", WORKDAY(INT($B35), 5)), 2, 2), """")=""""), """", IF($D35=""LONG"", (IFERROR(INDEX(GOOGLEFINANCE($C35, ""price"", WORKDAY(INT($B35), 5)), 2, 2), """")-$G35)/$G35, ($G35-IFERROR(INDEX(GOOGLE"&amp;"FINANCE($C35, ""price"", WORKDAY(INT($B35), 5)), 2, 2), """"))/$G35))"),"")</f>
        <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6059</v>
      </c>
      <c r="U35" s="10" t="s">
        <v>492</v>
      </c>
      <c r="V35" s="10" t="s">
        <v>5931</v>
      </c>
      <c r="W35" s="10" t="s">
        <v>51</v>
      </c>
      <c r="X35" s="10" t="s">
        <v>492</v>
      </c>
    </row>
    <row r="36">
      <c r="A36" s="9">
        <f t="shared" si="1"/>
        <v>35</v>
      </c>
      <c r="B36" s="11">
        <v>46238.66763888889</v>
      </c>
      <c r="C36" s="10" t="s">
        <v>499</v>
      </c>
      <c r="D36" s="10" t="s">
        <v>36</v>
      </c>
      <c r="E36" s="10" t="s">
        <v>37</v>
      </c>
      <c r="F36" s="13">
        <v>2.0</v>
      </c>
      <c r="G36" s="14">
        <v>116.02</v>
      </c>
      <c r="H36" s="10" t="s">
        <v>5529</v>
      </c>
      <c r="I36" s="10">
        <v>89.8</v>
      </c>
      <c r="O36" s="15">
        <f>IFERROR(__xludf.DUMMYFUNCTION("IF(ISBLANK($C36), """", GOOGLEFINANCE($C36, ""price""))"),115.98)</f>
        <v>115.98</v>
      </c>
      <c r="P36" s="16">
        <f t="shared" si="3"/>
        <v>-0.0003447681434</v>
      </c>
      <c r="Q36" s="16">
        <f>IFERROR(__xludf.DUMMYFUNCTION("IF(OR(ISBLANK($G36), IFERROR(INDEX(GOOGLEFINANCE($C36, ""price"", WORKDAY(INT($B36), 1)), 2, 2), """")=""""), """", IF($D36=""LONG"", (IFERROR(INDEX(GOOGLEFINANCE($C36, ""price"", WORKDAY(INT($B36), 1)), 2, 2), """")-$G36)/$G36, ($G36-IFERROR(INDEX(GOOGLE"&amp;"FINANCE($C36, ""price"", WORKDAY(INT($B36), 1)), 2, 2), """"))/$G36))"),-0.0024133770039648436)</f>
        <v>-0.002413377004</v>
      </c>
      <c r="R36" s="16" t="str">
        <f>IFERROR(__xludf.DUMMYFUNCTION("IF(OR(ISBLANK($G36), IFERROR(INDEX(GOOGLEFINANCE($C36, ""price"", WORKDAY(INT($B36), 5)), 2, 2), """")=""""), """", IF($D36=""LONG"", (IFERROR(INDEX(GOOGLEFINANCE($C36, ""price"", WORKDAY(INT($B36), 5)), 2, 2), """")-$G36)/$G36, ($G36-IFERROR(INDEX(GOOGLE"&amp;"FINANCE($C36, ""price"", WORKDAY(INT($B36), 5)), 2, 2), """"))/$G36))"),"")</f>
        <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6064</v>
      </c>
      <c r="U36" s="10" t="s">
        <v>984</v>
      </c>
      <c r="V36" s="10" t="s">
        <v>5881</v>
      </c>
      <c r="W36" s="10" t="s">
        <v>51</v>
      </c>
      <c r="X36" s="10" t="s">
        <v>984</v>
      </c>
    </row>
    <row r="37">
      <c r="A37" s="9">
        <f t="shared" si="1"/>
        <v>36</v>
      </c>
      <c r="B37" s="11">
        <v>46238.66762731481</v>
      </c>
      <c r="C37" s="10" t="s">
        <v>5682</v>
      </c>
      <c r="D37" s="10" t="s">
        <v>36</v>
      </c>
      <c r="E37" s="10" t="s">
        <v>37</v>
      </c>
      <c r="F37" s="13">
        <v>2.0</v>
      </c>
      <c r="G37" s="14">
        <v>119.2</v>
      </c>
      <c r="H37" s="10" t="s">
        <v>3812</v>
      </c>
      <c r="I37" s="10">
        <v>92.6</v>
      </c>
      <c r="O37" s="15">
        <f>IFERROR(__xludf.DUMMYFUNCTION("IF(ISBLANK($C37), """", GOOGLEFINANCE($C37, ""price""))"),118.8)</f>
        <v>118.8</v>
      </c>
      <c r="P37" s="16">
        <f t="shared" si="3"/>
        <v>-0.003355704698</v>
      </c>
      <c r="Q37" s="16">
        <f>IFERROR(__xludf.DUMMYFUNCTION("IF(OR(ISBLANK($G37), IFERROR(INDEX(GOOGLEFINANCE($C37, ""price"", WORKDAY(INT($B37), 1)), 2, 2), """")=""""), """", IF($D37=""LONG"", (IFERROR(INDEX(GOOGLEFINANCE($C37, ""price"", WORKDAY(INT($B37), 1)), 2, 2), """")-$G37)/$G37, ($G37-IFERROR(INDEX(GOOGLE"&amp;"FINANCE($C37, ""price"", WORKDAY(INT($B37), 1)), 2, 2), """"))/$G37))"),8.389261744958812E-5)</f>
        <v>0.00008389261745</v>
      </c>
      <c r="R37" s="16" t="str">
        <f>IFERROR(__xludf.DUMMYFUNCTION("IF(OR(ISBLANK($G37), IFERROR(INDEX(GOOGLEFINANCE($C37, ""price"", WORKDAY(INT($B37), 5)), 2, 2), """")=""""), """", IF($D37=""LONG"", (IFERROR(INDEX(GOOGLEFINANCE($C37, ""price"", WORKDAY(INT($B37), 5)), 2, 2), """")-$G37)/$G37, ($G37-IFERROR(INDEX(GOOGLE"&amp;"FINANCE($C37, ""price"", WORKDAY(INT($B37), 5)), 2, 2), """"))/$G37))"),"")</f>
        <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6068</v>
      </c>
      <c r="U37" s="10" t="s">
        <v>984</v>
      </c>
      <c r="V37" s="10" t="s">
        <v>5881</v>
      </c>
      <c r="W37" s="10" t="s">
        <v>51</v>
      </c>
      <c r="X37" s="10" t="s">
        <v>984</v>
      </c>
    </row>
    <row r="38">
      <c r="A38" s="9">
        <f t="shared" si="1"/>
        <v>37</v>
      </c>
      <c r="B38" s="11">
        <v>46238.667708333334</v>
      </c>
      <c r="C38" s="10" t="s">
        <v>431</v>
      </c>
      <c r="D38" s="10" t="s">
        <v>36</v>
      </c>
      <c r="E38" s="10" t="s">
        <v>37</v>
      </c>
      <c r="F38" s="13">
        <v>2.0</v>
      </c>
      <c r="G38" s="14">
        <v>153.97</v>
      </c>
      <c r="H38" s="10" t="s">
        <v>6069</v>
      </c>
      <c r="I38" s="10">
        <v>90.6</v>
      </c>
      <c r="O38" s="15">
        <f>IFERROR(__xludf.DUMMYFUNCTION("IF(ISBLANK($C38), """", GOOGLEFINANCE($C38, ""price""))"),154.84)</f>
        <v>154.84</v>
      </c>
      <c r="P38" s="16">
        <f t="shared" si="3"/>
        <v>0.005650451387</v>
      </c>
      <c r="Q38" s="16">
        <f>IFERROR(__xludf.DUMMYFUNCTION("IF(OR(ISBLANK($G38), IFERROR(INDEX(GOOGLEFINANCE($C38, ""price"", WORKDAY(INT($B38), 1)), 2, 2), """")=""""), """", IF($D38=""LONG"", (IFERROR(INDEX(GOOGLEFINANCE($C38, ""price"", WORKDAY(INT($B38), 1)), 2, 2), """")-$G38)/$G38, ($G38-IFERROR(INDEX(GOOGLE"&amp;"FINANCE($C38, ""price"", WORKDAY(INT($B38), 1)), 2, 2), """"))/$G38))"),-0.015197765798532204)</f>
        <v>-0.0151977658</v>
      </c>
      <c r="R38" s="16" t="str">
        <f>IFERROR(__xludf.DUMMYFUNCTION("IF(OR(ISBLANK($G38), IFERROR(INDEX(GOOGLEFINANCE($C38, ""price"", WORKDAY(INT($B38), 5)), 2, 2), """")=""""), """", IF($D38=""LONG"", (IFERROR(INDEX(GOOGLEFINANCE($C38, ""price"", WORKDAY(INT($B38), 5)), 2, 2), """")-$G38)/$G38, ($G38-IFERROR(INDEX(GOOGLE"&amp;"FINANCE($C38, ""price"", WORKDAY(INT($B38), 5)), 2, 2), """"))/$G38))"),"")</f>
        <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6072</v>
      </c>
      <c r="U38" s="10" t="s">
        <v>984</v>
      </c>
      <c r="V38" s="10" t="s">
        <v>5881</v>
      </c>
      <c r="W38" s="10" t="s">
        <v>51</v>
      </c>
      <c r="X38" s="10" t="s">
        <v>984</v>
      </c>
    </row>
    <row r="39">
      <c r="A39" s="9">
        <f t="shared" si="1"/>
        <v>38</v>
      </c>
      <c r="B39" s="11">
        <v>46238.66762731481</v>
      </c>
      <c r="C39" s="10" t="s">
        <v>5556</v>
      </c>
      <c r="D39" s="10" t="s">
        <v>36</v>
      </c>
      <c r="E39" s="10" t="s">
        <v>37</v>
      </c>
      <c r="F39" s="13">
        <v>2.0</v>
      </c>
      <c r="G39" s="14">
        <v>274.73</v>
      </c>
      <c r="H39" s="10" t="s">
        <v>6073</v>
      </c>
      <c r="I39" s="10">
        <v>90.3</v>
      </c>
      <c r="O39" s="15">
        <f>IFERROR(__xludf.DUMMYFUNCTION("IF(ISBLANK($C39), """", GOOGLEFINANCE($C39, ""price""))"),274.58)</f>
        <v>274.58</v>
      </c>
      <c r="P39" s="16">
        <f t="shared" si="3"/>
        <v>-0.000545990609</v>
      </c>
      <c r="Q39" s="16">
        <f>IFERROR(__xludf.DUMMYFUNCTION("IF(OR(ISBLANK($G39), IFERROR(INDEX(GOOGLEFINANCE($C39, ""price"", WORKDAY(INT($B39), 1)), 2, 2), """")=""""), """", IF($D39=""LONG"", (IFERROR(INDEX(GOOGLEFINANCE($C39, ""price"", WORKDAY(INT($B39), 1)), 2, 2), """")-$G39)/$G39, ($G39-IFERROR(INDEX(GOOGLE"&amp;"FINANCE($C39, ""price"", WORKDAY(INT($B39), 1)), 2, 2), """"))/$G39))"),0.012011793397153402)</f>
        <v>0.0120117934</v>
      </c>
      <c r="R39" s="16" t="str">
        <f>IFERROR(__xludf.DUMMYFUNCTION("IF(OR(ISBLANK($G39), IFERROR(INDEX(GOOGLEFINANCE($C39, ""price"", WORKDAY(INT($B39), 5)), 2, 2), """")=""""), """", IF($D39=""LONG"", (IFERROR(INDEX(GOOGLEFINANCE($C39, ""price"", WORKDAY(INT($B39), 5)), 2, 2), """")-$G39)/$G39, ($G39-IFERROR(INDEX(GOOGLE"&amp;"FINANCE($C39, ""price"", WORKDAY(INT($B39), 5)), 2, 2), """"))/$G39))"),"")</f>
        <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6077</v>
      </c>
      <c r="U39" s="10" t="s">
        <v>492</v>
      </c>
      <c r="V39" s="10" t="s">
        <v>5931</v>
      </c>
      <c r="W39" s="10" t="s">
        <v>51</v>
      </c>
      <c r="X39" s="10" t="s">
        <v>492</v>
      </c>
    </row>
    <row r="40">
      <c r="A40" s="9">
        <f t="shared" si="1"/>
        <v>39</v>
      </c>
      <c r="B40" s="11">
        <v>46238.66768518519</v>
      </c>
      <c r="C40" s="10" t="s">
        <v>6012</v>
      </c>
      <c r="D40" s="10" t="s">
        <v>36</v>
      </c>
      <c r="E40" s="10" t="s">
        <v>37</v>
      </c>
      <c r="F40" s="13">
        <v>2.0</v>
      </c>
      <c r="G40" s="14">
        <v>143.52</v>
      </c>
      <c r="H40" s="10" t="s">
        <v>6080</v>
      </c>
      <c r="I40" s="10">
        <v>98.1</v>
      </c>
      <c r="O40" s="15">
        <f>IFERROR(__xludf.DUMMYFUNCTION("IF(ISBLANK($C40), """", GOOGLEFINANCE($C40, ""price""))"),136.2)</f>
        <v>136.2</v>
      </c>
      <c r="P40" s="16">
        <f t="shared" si="3"/>
        <v>-0.05100334448</v>
      </c>
      <c r="Q40" s="16">
        <f>IFERROR(__xludf.DUMMYFUNCTION("IF(OR(ISBLANK($G40), IFERROR(INDEX(GOOGLEFINANCE($C40, ""price"", WORKDAY(INT($B40), 1)), 2, 2), """")=""""), """", IF($D40=""LONG"", (IFERROR(INDEX(GOOGLEFINANCE($C40, ""price"", WORKDAY(INT($B40), 1)), 2, 2), """")-$G40)/$G40, ($G40-IFERROR(INDEX(GOOGLE"&amp;"FINANCE($C40, ""price"", WORKDAY(INT($B40), 1)), 2, 2), """"))/$G40))"),-0.06472965440356758)</f>
        <v>-0.0647296544</v>
      </c>
      <c r="R40" s="16" t="str">
        <f>IFERROR(__xludf.DUMMYFUNCTION("IF(OR(ISBLANK($G40), IFERROR(INDEX(GOOGLEFINANCE($C40, ""price"", WORKDAY(INT($B40), 5)), 2, 2), """")=""""), """", IF($D40=""LONG"", (IFERROR(INDEX(GOOGLEFINANCE($C40, ""price"", WORKDAY(INT($B40), 5)), 2, 2), """")-$G40)/$G40, ($G40-IFERROR(INDEX(GOOGLE"&amp;"FINANCE($C40, ""price"", WORKDAY(INT($B40), 5)), 2, 2), """"))/$G40))"),"")</f>
        <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6083</v>
      </c>
      <c r="U40" s="10" t="s">
        <v>984</v>
      </c>
      <c r="V40" s="10" t="s">
        <v>5881</v>
      </c>
      <c r="W40" s="10" t="s">
        <v>51</v>
      </c>
      <c r="X40" s="10" t="s">
        <v>984</v>
      </c>
    </row>
    <row r="41">
      <c r="A41" s="9">
        <f t="shared" si="1"/>
        <v>40</v>
      </c>
      <c r="B41" s="11">
        <v>46238.66752314815</v>
      </c>
      <c r="C41" s="10" t="s">
        <v>5228</v>
      </c>
      <c r="D41" s="10" t="s">
        <v>36</v>
      </c>
      <c r="E41" s="10" t="s">
        <v>37</v>
      </c>
      <c r="F41" s="13">
        <v>2.0</v>
      </c>
      <c r="G41" s="14">
        <v>17.7</v>
      </c>
      <c r="H41" s="10" t="s">
        <v>6084</v>
      </c>
      <c r="I41" s="10">
        <v>88.4</v>
      </c>
      <c r="O41" s="15">
        <f>IFERROR(__xludf.DUMMYFUNCTION("IF(ISBLANK($C41), """", GOOGLEFINANCE($C41, ""price""))"),16.29)</f>
        <v>16.29</v>
      </c>
      <c r="P41" s="16">
        <f t="shared" si="3"/>
        <v>-0.07966101695</v>
      </c>
      <c r="Q41" s="16">
        <f>IFERROR(__xludf.DUMMYFUNCTION("IF(OR(ISBLANK($G41), IFERROR(INDEX(GOOGLEFINANCE($C41, ""price"", WORKDAY(INT($B41), 1)), 2, 2), """")=""""), """", IF($D41=""LONG"", (IFERROR(INDEX(GOOGLEFINANCE($C41, ""price"", WORKDAY(INT($B41), 1)), 2, 2), """")-$G41)/$G41, ($G41-IFERROR(INDEX(GOOGLE"&amp;"FINANCE($C41, ""price"", WORKDAY(INT($B41), 1)), 2, 2), """"))/$G41))"),-0.002824858757062187)</f>
        <v>-0.002824858757</v>
      </c>
      <c r="R41" s="16" t="str">
        <f>IFERROR(__xludf.DUMMYFUNCTION("IF(OR(ISBLANK($G41), IFERROR(INDEX(GOOGLEFINANCE($C41, ""price"", WORKDAY(INT($B41), 5)), 2, 2), """")=""""), """", IF($D41=""LONG"", (IFERROR(INDEX(GOOGLEFINANCE($C41, ""price"", WORKDAY(INT($B41), 5)), 2, 2), """")-$G41)/$G41, ($G41-IFERROR(INDEX(GOOGLE"&amp;"FINANCE($C41, ""price"", WORKDAY(INT($B41), 5)), 2, 2), """"))/$G41))"),"")</f>
        <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6088</v>
      </c>
      <c r="U41" s="10" t="s">
        <v>984</v>
      </c>
      <c r="V41" s="10" t="s">
        <v>5889</v>
      </c>
      <c r="W41" s="10" t="s">
        <v>51</v>
      </c>
      <c r="X41" s="10" t="s">
        <v>984</v>
      </c>
    </row>
    <row r="42">
      <c r="A42" s="9">
        <f t="shared" si="1"/>
        <v>41</v>
      </c>
      <c r="B42" s="11">
        <v>46238.66752314815</v>
      </c>
      <c r="C42" s="10" t="s">
        <v>4463</v>
      </c>
      <c r="D42" s="10" t="s">
        <v>36</v>
      </c>
      <c r="E42" s="10" t="s">
        <v>37</v>
      </c>
      <c r="F42" s="13">
        <v>2.0</v>
      </c>
      <c r="G42" s="14">
        <v>26.63</v>
      </c>
      <c r="H42" s="10" t="s">
        <v>6090</v>
      </c>
      <c r="I42" s="10">
        <v>95.5</v>
      </c>
      <c r="O42" s="15">
        <f>IFERROR(__xludf.DUMMYFUNCTION("IF(ISBLANK($C42), """", GOOGLEFINANCE($C42, ""price""))"),24.96)</f>
        <v>24.96</v>
      </c>
      <c r="P42" s="16">
        <f t="shared" si="3"/>
        <v>-0.06271122794</v>
      </c>
      <c r="Q42" s="16">
        <f>IFERROR(__xludf.DUMMYFUNCTION("IF(OR(ISBLANK($G42), IFERROR(INDEX(GOOGLEFINANCE($C42, ""price"", WORKDAY(INT($B42), 1)), 2, 2), """")=""""), """", IF($D42=""LONG"", (IFERROR(INDEX(GOOGLEFINANCE($C42, ""price"", WORKDAY(INT($B42), 1)), 2, 2), """")-$G42)/$G42, ($G42-IFERROR(INDEX(GOOGLE"&amp;"FINANCE($C42, ""price"", WORKDAY(INT($B42), 1)), 2, 2), """"))/$G42))"),-0.03379647014645132)</f>
        <v>-0.03379647015</v>
      </c>
      <c r="R42" s="16" t="str">
        <f>IFERROR(__xludf.DUMMYFUNCTION("IF(OR(ISBLANK($G42), IFERROR(INDEX(GOOGLEFINANCE($C42, ""price"", WORKDAY(INT($B42), 5)), 2, 2), """")=""""), """", IF($D42=""LONG"", (IFERROR(INDEX(GOOGLEFINANCE($C42, ""price"", WORKDAY(INT($B42), 5)), 2, 2), """")-$G42)/$G42, ($G42-IFERROR(INDEX(GOOGLE"&amp;"FINANCE($C42, ""price"", WORKDAY(INT($B42), 5)), 2, 2), """"))/$G42))"),"")</f>
        <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6093</v>
      </c>
      <c r="U42" s="10" t="s">
        <v>984</v>
      </c>
      <c r="V42" s="10" t="s">
        <v>5881</v>
      </c>
      <c r="W42" s="10" t="s">
        <v>51</v>
      </c>
      <c r="X42" s="10" t="s">
        <v>984</v>
      </c>
    </row>
    <row r="43">
      <c r="A43" s="9">
        <f t="shared" si="1"/>
        <v>42</v>
      </c>
      <c r="B43" s="11">
        <v>46238.66769675926</v>
      </c>
      <c r="C43" s="10" t="s">
        <v>2535</v>
      </c>
      <c r="D43" s="10" t="s">
        <v>36</v>
      </c>
      <c r="E43" s="10" t="s">
        <v>87</v>
      </c>
      <c r="F43" s="13">
        <v>2.0</v>
      </c>
      <c r="G43" s="14">
        <v>237.89</v>
      </c>
      <c r="H43" s="10" t="s">
        <v>6095</v>
      </c>
      <c r="I43" s="10">
        <v>71.0</v>
      </c>
      <c r="O43" s="15">
        <f>IFERROR(__xludf.DUMMYFUNCTION("IF(ISBLANK($C43), """", GOOGLEFINANCE($C43, ""price""))"),233.71)</f>
        <v>233.71</v>
      </c>
      <c r="P43" s="16">
        <f t="shared" si="3"/>
        <v>-0.01757114633</v>
      </c>
      <c r="Q43" s="16">
        <f>IFERROR(__xludf.DUMMYFUNCTION("IF(OR(ISBLANK($G43), IFERROR(INDEX(GOOGLEFINANCE($C43, ""price"", WORKDAY(INT($B43), 1)), 2, 2), """")=""""), """", IF($D43=""LONG"", (IFERROR(INDEX(GOOGLEFINANCE($C43, ""price"", WORKDAY(INT($B43), 1)), 2, 2), """")-$G43)/$G43, ($G43-IFERROR(INDEX(GOOGLE"&amp;"FINANCE($C43, ""price"", WORKDAY(INT($B43), 1)), 2, 2), """"))/$G43))"),-0.0038252974063642717)</f>
        <v>-0.003825297406</v>
      </c>
      <c r="R43" s="16" t="str">
        <f>IFERROR(__xludf.DUMMYFUNCTION("IF(OR(ISBLANK($G43), IFERROR(INDEX(GOOGLEFINANCE($C43, ""price"", WORKDAY(INT($B43), 5)), 2, 2), """")=""""), """", IF($D43=""LONG"", (IFERROR(INDEX(GOOGLEFINANCE($C43, ""price"", WORKDAY(INT($B43), 5)), 2, 2), """")-$G43)/$G43, ($G43-IFERROR(INDEX(GOOGLE"&amp;"FINANCE($C43, ""price"", WORKDAY(INT($B43), 5)), 2, 2), """"))/$G43))"),"")</f>
        <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6098</v>
      </c>
      <c r="U43" s="10" t="s">
        <v>492</v>
      </c>
      <c r="V43" s="10" t="s">
        <v>5931</v>
      </c>
      <c r="W43" s="10" t="s">
        <v>51</v>
      </c>
      <c r="X43" s="10" t="s">
        <v>492</v>
      </c>
    </row>
    <row r="44">
      <c r="A44" s="9">
        <f t="shared" si="1"/>
        <v>43</v>
      </c>
      <c r="B44" s="11">
        <v>46238.66773148148</v>
      </c>
      <c r="C44" s="10" t="s">
        <v>424</v>
      </c>
      <c r="D44" s="10" t="s">
        <v>36</v>
      </c>
      <c r="E44" s="10" t="s">
        <v>37</v>
      </c>
      <c r="F44" s="13">
        <v>2.0</v>
      </c>
      <c r="G44" s="14">
        <v>82.81</v>
      </c>
      <c r="H44" s="10" t="s">
        <v>4985</v>
      </c>
      <c r="I44" s="10">
        <v>83.1</v>
      </c>
      <c r="O44" s="15">
        <f>IFERROR(__xludf.DUMMYFUNCTION("IF(ISBLANK($C44), """", GOOGLEFINANCE($C44, ""price""))"),84.35)</f>
        <v>84.35</v>
      </c>
      <c r="P44" s="16">
        <f t="shared" si="3"/>
        <v>0.01859678783</v>
      </c>
      <c r="Q44" s="16">
        <f>IFERROR(__xludf.DUMMYFUNCTION("IF(OR(ISBLANK($G44), IFERROR(INDEX(GOOGLEFINANCE($C44, ""price"", WORKDAY(INT($B44), 1)), 2, 2), """")=""""), """", IF($D44=""LONG"", (IFERROR(INDEX(GOOGLEFINANCE($C44, ""price"", WORKDAY(INT($B44), 1)), 2, 2), """")-$G44)/$G44, ($G44-IFERROR(INDEX(GOOGLE"&amp;"FINANCE($C44, ""price"", WORKDAY(INT($B44), 1)), 2, 2), """"))/$G44))"),0.016906170752324496)</f>
        <v>0.01690617075</v>
      </c>
      <c r="R44" s="16" t="str">
        <f>IFERROR(__xludf.DUMMYFUNCTION("IF(OR(ISBLANK($G44), IFERROR(INDEX(GOOGLEFINANCE($C44, ""price"", WORKDAY(INT($B44), 5)), 2, 2), """")=""""), """", IF($D44=""LONG"", (IFERROR(INDEX(GOOGLEFINANCE($C44, ""price"", WORKDAY(INT($B44), 5)), 2, 2), """")-$G44)/$G44, ($G44-IFERROR(INDEX(GOOGLE"&amp;"FINANCE($C44, ""price"", WORKDAY(INT($B44), 5)), 2, 2), """"))/$G44))"),"")</f>
        <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6100</v>
      </c>
      <c r="U44" s="10" t="s">
        <v>984</v>
      </c>
      <c r="V44" s="10" t="s">
        <v>5881</v>
      </c>
      <c r="W44" s="10" t="s">
        <v>51</v>
      </c>
      <c r="X44" s="10" t="s">
        <v>984</v>
      </c>
    </row>
    <row r="45">
      <c r="A45" s="9">
        <f t="shared" si="1"/>
        <v>44</v>
      </c>
      <c r="B45" s="11">
        <v>46238.66773148148</v>
      </c>
      <c r="C45" s="10" t="s">
        <v>6102</v>
      </c>
      <c r="D45" s="10" t="s">
        <v>36</v>
      </c>
      <c r="E45" s="10" t="s">
        <v>1892</v>
      </c>
      <c r="F45" s="13">
        <v>2.0</v>
      </c>
      <c r="G45" s="14">
        <v>104.61</v>
      </c>
      <c r="H45" s="10" t="s">
        <v>6104</v>
      </c>
      <c r="I45" s="10">
        <v>60.2</v>
      </c>
      <c r="O45" s="15">
        <f>IFERROR(__xludf.DUMMYFUNCTION("IF(ISBLANK($C45), """", GOOGLEFINANCE($C45, ""price""))"),105.6)</f>
        <v>105.6</v>
      </c>
      <c r="P45" s="16">
        <f t="shared" si="3"/>
        <v>0.009463722397</v>
      </c>
      <c r="Q45" s="16">
        <f>IFERROR(__xludf.DUMMYFUNCTION("IF(OR(ISBLANK($G45), IFERROR(INDEX(GOOGLEFINANCE($C45, ""price"", WORKDAY(INT($B45), 1)), 2, 2), """")=""""), """", IF($D45=""LONG"", (IFERROR(INDEX(GOOGLEFINANCE($C45, ""price"", WORKDAY(INT($B45), 1)), 2, 2), """")-$G45)/$G45, ($G45-IFERROR(INDEX(GOOGLE"&amp;"FINANCE($C45, ""price"", WORKDAY(INT($B45), 1)), 2, 2), """"))/$G45))"),0.011757958130197916)</f>
        <v>0.01175795813</v>
      </c>
      <c r="R45" s="16" t="str">
        <f>IFERROR(__xludf.DUMMYFUNCTION("IF(OR(ISBLANK($G45), IFERROR(INDEX(GOOGLEFINANCE($C45, ""price"", WORKDAY(INT($B45), 5)), 2, 2), """")=""""), """", IF($D45=""LONG"", (IFERROR(INDEX(GOOGLEFINANCE($C45, ""price"", WORKDAY(INT($B45), 5)), 2, 2), """")-$G45)/$G45, ($G45-IFERROR(INDEX(GOOGLE"&amp;"FINANCE($C45, ""price"", WORKDAY(INT($B45), 5)), 2, 2), """"))/$G45))"),"")</f>
        <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6106</v>
      </c>
      <c r="U45" s="10" t="s">
        <v>492</v>
      </c>
      <c r="V45" s="10" t="s">
        <v>5919</v>
      </c>
      <c r="W45" s="10" t="s">
        <v>51</v>
      </c>
      <c r="X45" s="10" t="s">
        <v>492</v>
      </c>
    </row>
    <row r="46">
      <c r="A46" s="9">
        <f t="shared" si="1"/>
        <v>45</v>
      </c>
      <c r="B46" s="11">
        <v>46238.66774305556</v>
      </c>
      <c r="C46" s="10" t="s">
        <v>236</v>
      </c>
      <c r="D46" s="10" t="s">
        <v>36</v>
      </c>
      <c r="E46" s="10" t="s">
        <v>37</v>
      </c>
      <c r="F46" s="13">
        <v>2.0</v>
      </c>
      <c r="G46" s="14">
        <v>1276.18</v>
      </c>
      <c r="H46" s="10" t="s">
        <v>6107</v>
      </c>
      <c r="I46" s="10">
        <v>76.1</v>
      </c>
      <c r="O46" s="15">
        <f>IFERROR(__xludf.DUMMYFUNCTION("IF(ISBLANK($C46), """", GOOGLEFINANCE($C46, ""price""))"),1262.07)</f>
        <v>1262.07</v>
      </c>
      <c r="P46" s="16">
        <f t="shared" si="3"/>
        <v>-0.01105643405</v>
      </c>
      <c r="Q46" s="16">
        <f>IFERROR(__xludf.DUMMYFUNCTION("IF(OR(ISBLANK($G46), IFERROR(INDEX(GOOGLEFINANCE($C46, ""price"", WORKDAY(INT($B46), 1)), 2, 2), """")=""""), """", IF($D46=""LONG"", (IFERROR(INDEX(GOOGLEFINANCE($C46, ""price"", WORKDAY(INT($B46), 1)), 2, 2), """")-$G46)/$G46, ($G46-IFERROR(INDEX(GOOGLE"&amp;"FINANCE($C46, ""price"", WORKDAY(INT($B46), 1)), 2, 2), """"))/$G46))"),-0.01682364556723975)</f>
        <v>-0.01682364557</v>
      </c>
      <c r="R46" s="16" t="str">
        <f>IFERROR(__xludf.DUMMYFUNCTION("IF(OR(ISBLANK($G46), IFERROR(INDEX(GOOGLEFINANCE($C46, ""price"", WORKDAY(INT($B46), 5)), 2, 2), """")=""""), """", IF($D46=""LONG"", (IFERROR(INDEX(GOOGLEFINANCE($C46, ""price"", WORKDAY(INT($B46), 5)), 2, 2), """")-$G46)/$G46, ($G46-IFERROR(INDEX(GOOGLE"&amp;"FINANCE($C46, ""price"", WORKDAY(INT($B46), 5)), 2, 2), """"))/$G46))"),"")</f>
        <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6108</v>
      </c>
      <c r="U46" s="10" t="s">
        <v>984</v>
      </c>
      <c r="V46" s="10" t="s">
        <v>5889</v>
      </c>
      <c r="W46" s="10" t="s">
        <v>51</v>
      </c>
      <c r="X46" s="10" t="s">
        <v>984</v>
      </c>
    </row>
    <row r="47">
      <c r="A47" s="9">
        <f t="shared" si="1"/>
        <v>46</v>
      </c>
      <c r="B47" s="11">
        <v>46238.66763888889</v>
      </c>
      <c r="C47" s="10" t="s">
        <v>5618</v>
      </c>
      <c r="D47" s="10" t="s">
        <v>36</v>
      </c>
      <c r="E47" s="10" t="s">
        <v>4224</v>
      </c>
      <c r="F47" s="13">
        <v>4.0</v>
      </c>
      <c r="G47" s="14">
        <v>41.59</v>
      </c>
      <c r="H47" s="10" t="s">
        <v>6109</v>
      </c>
      <c r="I47" s="10">
        <v>38.4</v>
      </c>
      <c r="O47" s="15">
        <f>IFERROR(__xludf.DUMMYFUNCTION("IF(ISBLANK($C47), """", GOOGLEFINANCE($C47, ""price""))"),40.67)</f>
        <v>40.67</v>
      </c>
      <c r="P47" s="16">
        <f t="shared" si="3"/>
        <v>-0.02212070209</v>
      </c>
      <c r="Q47" s="16">
        <f>IFERROR(__xludf.DUMMYFUNCTION("IF(OR(ISBLANK($G47), IFERROR(INDEX(GOOGLEFINANCE($C47, ""price"", WORKDAY(INT($B47), 1)), 2, 2), """")=""""), """", IF($D47=""LONG"", (IFERROR(INDEX(GOOGLEFINANCE($C47, ""price"", WORKDAY(INT($B47), 1)), 2, 2), """")-$G47)/$G47, ($G47-IFERROR(INDEX(GOOGLE"&amp;"FINANCE($C47, ""price"", WORKDAY(INT($B47), 1)), 2, 2), """"))/$G47))"),-0.02260158691993279)</f>
        <v>-0.02260158692</v>
      </c>
      <c r="R47" s="16" t="str">
        <f>IFERROR(__xludf.DUMMYFUNCTION("IF(OR(ISBLANK($G47), IFERROR(INDEX(GOOGLEFINANCE($C47, ""price"", WORKDAY(INT($B47), 5)), 2, 2), """")=""""), """", IF($D47=""LONG"", (IFERROR(INDEX(GOOGLEFINANCE($C47, ""price"", WORKDAY(INT($B47), 5)), 2, 2), """")-$G47)/$G47, ($G47-IFERROR(INDEX(GOOGLE"&amp;"FINANCE($C47, ""price"", WORKDAY(INT($B47), 5)), 2, 2), """"))/$G47))"),"")</f>
        <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6110</v>
      </c>
      <c r="U47" s="10" t="s">
        <v>984</v>
      </c>
      <c r="V47" s="10" t="s">
        <v>5881</v>
      </c>
      <c r="W47" s="10" t="s">
        <v>51</v>
      </c>
      <c r="X47" s="10" t="s">
        <v>984</v>
      </c>
    </row>
    <row r="48">
      <c r="A48" s="9">
        <f t="shared" si="1"/>
        <v>47</v>
      </c>
      <c r="B48" s="11">
        <v>46238.66777777778</v>
      </c>
      <c r="C48" s="10" t="s">
        <v>5099</v>
      </c>
      <c r="D48" s="10" t="s">
        <v>36</v>
      </c>
      <c r="E48" s="10" t="s">
        <v>37</v>
      </c>
      <c r="F48" s="13">
        <v>2.0</v>
      </c>
      <c r="G48" s="14">
        <v>205.86</v>
      </c>
      <c r="H48" s="10" t="s">
        <v>6111</v>
      </c>
      <c r="I48" s="10">
        <v>93.8</v>
      </c>
      <c r="O48" s="15">
        <f>IFERROR(__xludf.DUMMYFUNCTION("IF(ISBLANK($C48), """", GOOGLEFINANCE($C48, ""price""))"),205.52)</f>
        <v>205.52</v>
      </c>
      <c r="P48" s="16">
        <f t="shared" si="3"/>
        <v>-0.001651607889</v>
      </c>
      <c r="Q48" s="16">
        <f>IFERROR(__xludf.DUMMYFUNCTION("IF(OR(ISBLANK($G48), IFERROR(INDEX(GOOGLEFINANCE($C48, ""price"", WORKDAY(INT($B48), 1)), 2, 2), """")=""""), """", IF($D48=""LONG"", (IFERROR(INDEX(GOOGLEFINANCE($C48, ""price"", WORKDAY(INT($B48), 1)), 2, 2), """")-$G48)/$G48, ($G48-IFERROR(INDEX(GOOGLE"&amp;"FINANCE($C48, ""price"", WORKDAY(INT($B48), 1)), 2, 2), """"))/$G48))"),-0.016078888565044216)</f>
        <v>-0.01607888857</v>
      </c>
      <c r="R48" s="16" t="str">
        <f>IFERROR(__xludf.DUMMYFUNCTION("IF(OR(ISBLANK($G48), IFERROR(INDEX(GOOGLEFINANCE($C48, ""price"", WORKDAY(INT($B48), 5)), 2, 2), """")=""""), """", IF($D48=""LONG"", (IFERROR(INDEX(GOOGLEFINANCE($C48, ""price"", WORKDAY(INT($B48), 5)), 2, 2), """")-$G48)/$G48, ($G48-IFERROR(INDEX(GOOGLE"&amp;"FINANCE($C48, ""price"", WORKDAY(INT($B48), 5)), 2, 2), """"))/$G48))"),"")</f>
        <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6112</v>
      </c>
      <c r="U48" s="10" t="s">
        <v>492</v>
      </c>
      <c r="V48" s="10" t="s">
        <v>5940</v>
      </c>
      <c r="W48" s="10" t="s">
        <v>51</v>
      </c>
      <c r="X48" s="10" t="s">
        <v>492</v>
      </c>
    </row>
    <row r="49">
      <c r="A49" s="9">
        <f t="shared" si="1"/>
        <v>48</v>
      </c>
      <c r="B49" s="11">
        <v>46238.66773148148</v>
      </c>
      <c r="C49" s="10" t="s">
        <v>1920</v>
      </c>
      <c r="D49" s="10" t="s">
        <v>36</v>
      </c>
      <c r="E49" s="10" t="s">
        <v>37</v>
      </c>
      <c r="F49" s="13">
        <v>2.0</v>
      </c>
      <c r="G49" s="14">
        <v>203.61</v>
      </c>
      <c r="H49" s="10" t="s">
        <v>2906</v>
      </c>
      <c r="I49" s="10">
        <v>97.3</v>
      </c>
      <c r="O49" s="15">
        <f>IFERROR(__xludf.DUMMYFUNCTION("IF(ISBLANK($C49), """", GOOGLEFINANCE($C49, ""price""))"),202.15)</f>
        <v>202.15</v>
      </c>
      <c r="P49" s="16">
        <f t="shared" si="3"/>
        <v>-0.00717057119</v>
      </c>
      <c r="Q49" s="16">
        <f>IFERROR(__xludf.DUMMYFUNCTION("IF(OR(ISBLANK($G49), IFERROR(INDEX(GOOGLEFINANCE($C49, ""price"", WORKDAY(INT($B49), 1)), 2, 2), """")=""""), """", IF($D49=""LONG"", (IFERROR(INDEX(GOOGLEFINANCE($C49, ""price"", WORKDAY(INT($B49), 1)), 2, 2), """")-$G49)/$G49, ($G49-IFERROR(INDEX(GOOGLE"&amp;"FINANCE($C49, ""price"", WORKDAY(INT($B49), 1)), 2, 2), """"))/$G49))"),-0.01085408378763326)</f>
        <v>-0.01085408379</v>
      </c>
      <c r="R49" s="16" t="str">
        <f>IFERROR(__xludf.DUMMYFUNCTION("IF(OR(ISBLANK($G49), IFERROR(INDEX(GOOGLEFINANCE($C49, ""price"", WORKDAY(INT($B49), 5)), 2, 2), """")=""""), """", IF($D49=""LONG"", (IFERROR(INDEX(GOOGLEFINANCE($C49, ""price"", WORKDAY(INT($B49), 5)), 2, 2), """")-$G49)/$G49, ($G49-IFERROR(INDEX(GOOGLE"&amp;"FINANCE($C49, ""price"", WORKDAY(INT($B49), 5)), 2, 2), """"))/$G49))"),"")</f>
        <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6113</v>
      </c>
      <c r="U49" s="10" t="s">
        <v>492</v>
      </c>
      <c r="V49" s="10" t="s">
        <v>5931</v>
      </c>
      <c r="W49" s="10" t="s">
        <v>51</v>
      </c>
      <c r="X49" s="10" t="s">
        <v>492</v>
      </c>
    </row>
    <row r="50">
      <c r="A50" s="9">
        <f t="shared" si="1"/>
        <v>49</v>
      </c>
      <c r="B50" s="11">
        <v>46238.667708333334</v>
      </c>
      <c r="C50" s="10" t="s">
        <v>1672</v>
      </c>
      <c r="D50" s="10" t="s">
        <v>36</v>
      </c>
      <c r="E50" s="10" t="s">
        <v>37</v>
      </c>
      <c r="F50" s="13">
        <v>2.0</v>
      </c>
      <c r="G50" s="14">
        <v>99.55</v>
      </c>
      <c r="H50" s="10" t="s">
        <v>6114</v>
      </c>
      <c r="I50" s="10">
        <v>93.6</v>
      </c>
      <c r="O50" s="15">
        <f>IFERROR(__xludf.DUMMYFUNCTION("IF(ISBLANK($C50), """", GOOGLEFINANCE($C50, ""price""))"),99.29)</f>
        <v>99.29</v>
      </c>
      <c r="P50" s="16">
        <f t="shared" si="3"/>
        <v>-0.002611752888</v>
      </c>
      <c r="Q50" s="16">
        <f>IFERROR(__xludf.DUMMYFUNCTION("IF(OR(ISBLANK($G50), IFERROR(INDEX(GOOGLEFINANCE($C50, ""price"", WORKDAY(INT($B50), 1)), 2, 2), """")=""""), """", IF($D50=""LONG"", (IFERROR(INDEX(GOOGLEFINANCE($C50, ""price"", WORKDAY(INT($B50), 1)), 2, 2), """")-$G50)/$G50, ($G50-IFERROR(INDEX(GOOGLE"&amp;"FINANCE($C50, ""price"", WORKDAY(INT($B50), 1)), 2, 2), """"))/$G50))"),-0.004620793571069751)</f>
        <v>-0.004620793571</v>
      </c>
      <c r="R50" s="16" t="str">
        <f>IFERROR(__xludf.DUMMYFUNCTION("IF(OR(ISBLANK($G50), IFERROR(INDEX(GOOGLEFINANCE($C50, ""price"", WORKDAY(INT($B50), 5)), 2, 2), """")=""""), """", IF($D50=""LONG"", (IFERROR(INDEX(GOOGLEFINANCE($C50, ""price"", WORKDAY(INT($B50), 5)), 2, 2), """")-$G50)/$G50, ($G50-IFERROR(INDEX(GOOGLE"&amp;"FINANCE($C50, ""price"", WORKDAY(INT($B50), 5)), 2, 2), """"))/$G50))"),"")</f>
        <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6115</v>
      </c>
      <c r="U50" s="10" t="s">
        <v>984</v>
      </c>
      <c r="V50" s="10" t="s">
        <v>5881</v>
      </c>
      <c r="W50" s="10" t="s">
        <v>51</v>
      </c>
      <c r="X50" s="10" t="s">
        <v>984</v>
      </c>
    </row>
    <row r="51">
      <c r="A51" s="9">
        <f t="shared" si="1"/>
        <v>50</v>
      </c>
      <c r="B51" s="11">
        <v>46238.667766203704</v>
      </c>
      <c r="C51" s="10" t="s">
        <v>6116</v>
      </c>
      <c r="D51" s="10" t="s">
        <v>36</v>
      </c>
      <c r="E51" s="10" t="s">
        <v>1892</v>
      </c>
      <c r="F51" s="13">
        <v>2.0</v>
      </c>
      <c r="G51" s="14">
        <v>588.27</v>
      </c>
      <c r="H51" s="10" t="s">
        <v>6117</v>
      </c>
      <c r="I51" s="10">
        <v>84.5</v>
      </c>
      <c r="O51" s="15">
        <f>IFERROR(__xludf.DUMMYFUNCTION("IF(ISBLANK($C51), """", GOOGLEFINANCE($C51, ""price""))"),590.0)</f>
        <v>590</v>
      </c>
      <c r="P51" s="16">
        <f t="shared" si="3"/>
        <v>0.002940826491</v>
      </c>
      <c r="Q51" s="16">
        <f>IFERROR(__xludf.DUMMYFUNCTION("IF(OR(ISBLANK($G51), IFERROR(INDEX(GOOGLEFINANCE($C51, ""price"", WORKDAY(INT($B51), 1)), 2, 2), """")=""""), """", IF($D51=""LONG"", (IFERROR(INDEX(GOOGLEFINANCE($C51, ""price"", WORKDAY(INT($B51), 1)), 2, 2), """")-$G51)/$G51, ($G51-IFERROR(INDEX(GOOGLE"&amp;"FINANCE($C51, ""price"", WORKDAY(INT($B51), 1)), 2, 2), """"))/$G51))"),-0.00593264997365157)</f>
        <v>-0.005932649974</v>
      </c>
      <c r="R51" s="16" t="str">
        <f>IFERROR(__xludf.DUMMYFUNCTION("IF(OR(ISBLANK($G51), IFERROR(INDEX(GOOGLEFINANCE($C51, ""price"", WORKDAY(INT($B51), 5)), 2, 2), """")=""""), """", IF($D51=""LONG"", (IFERROR(INDEX(GOOGLEFINANCE($C51, ""price"", WORKDAY(INT($B51), 5)), 2, 2), """")-$G51)/$G51, ($G51-IFERROR(INDEX(GOOGLE"&amp;"FINANCE($C51, ""price"", WORKDAY(INT($B51), 5)), 2, 2), """"))/$G51))"),"")</f>
        <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6118</v>
      </c>
      <c r="U51" s="10" t="s">
        <v>984</v>
      </c>
      <c r="V51" s="10" t="s">
        <v>5881</v>
      </c>
      <c r="W51" s="10" t="s">
        <v>51</v>
      </c>
      <c r="X51" s="10" t="s">
        <v>984</v>
      </c>
    </row>
    <row r="52">
      <c r="A52" s="9">
        <f t="shared" si="1"/>
        <v>51</v>
      </c>
      <c r="B52" s="11">
        <v>46238.66778935185</v>
      </c>
      <c r="C52" s="10" t="s">
        <v>104</v>
      </c>
      <c r="D52" s="10" t="s">
        <v>36</v>
      </c>
      <c r="E52" s="10" t="s">
        <v>37</v>
      </c>
      <c r="F52" s="13">
        <v>2.0</v>
      </c>
      <c r="G52" s="14">
        <v>127.29</v>
      </c>
      <c r="H52" s="10" t="s">
        <v>6119</v>
      </c>
      <c r="I52" s="10">
        <v>95.3</v>
      </c>
      <c r="O52" s="15">
        <f>IFERROR(__xludf.DUMMYFUNCTION("IF(ISBLANK($C52), """", GOOGLEFINANCE($C52, ""price""))"),127.45)</f>
        <v>127.45</v>
      </c>
      <c r="P52" s="16">
        <f t="shared" si="3"/>
        <v>0.001256972268</v>
      </c>
      <c r="Q52" s="16">
        <f>IFERROR(__xludf.DUMMYFUNCTION("IF(OR(ISBLANK($G52), IFERROR(INDEX(GOOGLEFINANCE($C52, ""price"", WORKDAY(INT($B52), 1)), 2, 2), """")=""""), """", IF($D52=""LONG"", (IFERROR(INDEX(GOOGLEFINANCE($C52, ""price"", WORKDAY(INT($B52), 1)), 2, 2), """")-$G52)/$G52, ($G52-IFERROR(INDEX(GOOGLE"&amp;"FINANCE($C52, ""price"", WORKDAY(INT($B52), 1)), 2, 2), """"))/$G52))"),-0.0027496268363579896)</f>
        <v>-0.002749626836</v>
      </c>
      <c r="R52" s="16" t="str">
        <f>IFERROR(__xludf.DUMMYFUNCTION("IF(OR(ISBLANK($G52), IFERROR(INDEX(GOOGLEFINANCE($C52, ""price"", WORKDAY(INT($B52), 5)), 2, 2), """")=""""), """", IF($D52=""LONG"", (IFERROR(INDEX(GOOGLEFINANCE($C52, ""price"", WORKDAY(INT($B52), 5)), 2, 2), """")-$G52)/$G52, ($G52-IFERROR(INDEX(GOOGLE"&amp;"FINANCE($C52, ""price"", WORKDAY(INT($B52), 5)), 2, 2), """"))/$G52))"),"")</f>
        <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6120</v>
      </c>
      <c r="U52" s="10" t="s">
        <v>492</v>
      </c>
      <c r="V52" s="10" t="s">
        <v>5931</v>
      </c>
      <c r="W52" s="10" t="s">
        <v>51</v>
      </c>
      <c r="X52" s="10" t="s">
        <v>492</v>
      </c>
    </row>
    <row r="53">
      <c r="A53" s="9">
        <f t="shared" si="1"/>
        <v>52</v>
      </c>
      <c r="B53" s="11">
        <v>46238.66753472222</v>
      </c>
      <c r="C53" s="10" t="s">
        <v>3566</v>
      </c>
      <c r="D53" s="10" t="s">
        <v>36</v>
      </c>
      <c r="E53" s="10" t="s">
        <v>37</v>
      </c>
      <c r="F53" s="13">
        <v>2.0</v>
      </c>
      <c r="G53" s="14">
        <v>356.65</v>
      </c>
      <c r="H53" s="10" t="s">
        <v>6121</v>
      </c>
      <c r="I53" s="10">
        <v>93.6</v>
      </c>
      <c r="O53" s="15">
        <f>IFERROR(__xludf.DUMMYFUNCTION("IF(ISBLANK($C53), """", GOOGLEFINANCE($C53, ""price""))"),360.75)</f>
        <v>360.75</v>
      </c>
      <c r="P53" s="16">
        <f t="shared" si="3"/>
        <v>0.01149586429</v>
      </c>
      <c r="Q53" s="16">
        <f>IFERROR(__xludf.DUMMYFUNCTION("IF(OR(ISBLANK($G53), IFERROR(INDEX(GOOGLEFINANCE($C53, ""price"", WORKDAY(INT($B53), 1)), 2, 2), """")=""""), """", IF($D53=""LONG"", (IFERROR(INDEX(GOOGLEFINANCE($C53, ""price"", WORKDAY(INT($B53), 1)), 2, 2), """")-$G53)/$G53, ($G53-IFERROR(INDEX(GOOGLE"&amp;"FINANCE($C53, ""price"", WORKDAY(INT($B53), 1)), 2, 2), """"))/$G53))"),0.009308846207766858)</f>
        <v>0.009308846208</v>
      </c>
      <c r="R53" s="16" t="str">
        <f>IFERROR(__xludf.DUMMYFUNCTION("IF(OR(ISBLANK($G53), IFERROR(INDEX(GOOGLEFINANCE($C53, ""price"", WORKDAY(INT($B53), 5)), 2, 2), """")=""""), """", IF($D53=""LONG"", (IFERROR(INDEX(GOOGLEFINANCE($C53, ""price"", WORKDAY(INT($B53), 5)), 2, 2), """")-$G53)/$G53, ($G53-IFERROR(INDEX(GOOGLE"&amp;"FINANCE($C53, ""price"", WORKDAY(INT($B53), 5)), 2, 2), """"))/$G53))"),"")</f>
        <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6122</v>
      </c>
      <c r="U53" s="10" t="s">
        <v>984</v>
      </c>
      <c r="V53" s="10" t="s">
        <v>5881</v>
      </c>
      <c r="W53" s="10" t="s">
        <v>51</v>
      </c>
      <c r="X53" s="10" t="s">
        <v>984</v>
      </c>
    </row>
    <row r="54">
      <c r="A54" s="9">
        <f t="shared" si="1"/>
        <v>53</v>
      </c>
      <c r="B54" s="11">
        <v>46238.667766203704</v>
      </c>
      <c r="C54" s="10" t="s">
        <v>148</v>
      </c>
      <c r="D54" s="10" t="s">
        <v>36</v>
      </c>
      <c r="E54" s="10" t="s">
        <v>37</v>
      </c>
      <c r="F54" s="13">
        <v>2.0</v>
      </c>
      <c r="G54" s="14">
        <v>194.78</v>
      </c>
      <c r="H54" s="10" t="s">
        <v>6123</v>
      </c>
      <c r="I54" s="10">
        <v>80.9</v>
      </c>
      <c r="O54" s="15">
        <f>IFERROR(__xludf.DUMMYFUNCTION("IF(ISBLANK($C54), """", GOOGLEFINANCE($C54, ""price""))"),199.98)</f>
        <v>199.98</v>
      </c>
      <c r="P54" s="16">
        <f t="shared" si="3"/>
        <v>0.02669678612</v>
      </c>
      <c r="Q54" s="16">
        <f>IFERROR(__xludf.DUMMYFUNCTION("IF(OR(ISBLANK($G54), IFERROR(INDEX(GOOGLEFINANCE($C54, ""price"", WORKDAY(INT($B54), 1)), 2, 2), """")=""""), """", IF($D54=""LONG"", (IFERROR(INDEX(GOOGLEFINANCE($C54, ""price"", WORKDAY(INT($B54), 1)), 2, 2), """")-$G54)/$G54, ($G54-IFERROR(INDEX(GOOGLE"&amp;"FINANCE($C54, ""price"", WORKDAY(INT($B54), 1)), 2, 2), """"))/$G54))"),0.02505390697196835)</f>
        <v>0.02505390697</v>
      </c>
      <c r="R54" s="16" t="str">
        <f>IFERROR(__xludf.DUMMYFUNCTION("IF(OR(ISBLANK($G54), IFERROR(INDEX(GOOGLEFINANCE($C54, ""price"", WORKDAY(INT($B54), 5)), 2, 2), """")=""""), """", IF($D54=""LONG"", (IFERROR(INDEX(GOOGLEFINANCE($C54, ""price"", WORKDAY(INT($B54), 5)), 2, 2), """")-$G54)/$G54, ($G54-IFERROR(INDEX(GOOGLE"&amp;"FINANCE($C54, ""price"", WORKDAY(INT($B54), 5)), 2, 2), """"))/$G54))"),"")</f>
        <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6124</v>
      </c>
      <c r="U54" s="10" t="s">
        <v>492</v>
      </c>
      <c r="V54" s="10" t="s">
        <v>5931</v>
      </c>
      <c r="W54" s="10" t="s">
        <v>51</v>
      </c>
      <c r="X54" s="10" t="s">
        <v>492</v>
      </c>
    </row>
    <row r="55">
      <c r="A55" s="9">
        <f t="shared" si="1"/>
        <v>54</v>
      </c>
      <c r="B55" s="11">
        <v>46238.66777777778</v>
      </c>
      <c r="C55" s="10" t="s">
        <v>800</v>
      </c>
      <c r="D55" s="10" t="s">
        <v>36</v>
      </c>
      <c r="E55" s="10" t="s">
        <v>37</v>
      </c>
      <c r="F55" s="13">
        <v>2.0</v>
      </c>
      <c r="G55" s="14">
        <v>306.31</v>
      </c>
      <c r="H55" s="10" t="s">
        <v>6125</v>
      </c>
      <c r="I55" s="10">
        <v>93.9</v>
      </c>
      <c r="O55" s="15">
        <f>IFERROR(__xludf.DUMMYFUNCTION("IF(ISBLANK($C55), """", GOOGLEFINANCE($C55, ""price""))"),325.01)</f>
        <v>325.01</v>
      </c>
      <c r="P55" s="16">
        <f t="shared" si="3"/>
        <v>0.06104926382</v>
      </c>
      <c r="Q55" s="16">
        <f>IFERROR(__xludf.DUMMYFUNCTION("IF(OR(ISBLANK($G55), IFERROR(INDEX(GOOGLEFINANCE($C55, ""price"", WORKDAY(INT($B55), 1)), 2, 2), """")=""""), """", IF($D55=""LONG"", (IFERROR(INDEX(GOOGLEFINANCE($C55, ""price"", WORKDAY(INT($B55), 1)), 2, 2), """")-$G55)/$G55, ($G55-IFERROR(INDEX(GOOGLE"&amp;"FINANCE($C55, ""price"", WORKDAY(INT($B55), 1)), 2, 2), """"))/$G55))"),0.03561751167118287)</f>
        <v>0.03561751167</v>
      </c>
      <c r="R55" s="16" t="str">
        <f>IFERROR(__xludf.DUMMYFUNCTION("IF(OR(ISBLANK($G55), IFERROR(INDEX(GOOGLEFINANCE($C55, ""price"", WORKDAY(INT($B55), 5)), 2, 2), """")=""""), """", IF($D55=""LONG"", (IFERROR(INDEX(GOOGLEFINANCE($C55, ""price"", WORKDAY(INT($B55), 5)), 2, 2), """")-$G55)/$G55, ($G55-IFERROR(INDEX(GOOGLE"&amp;"FINANCE($C55, ""price"", WORKDAY(INT($B55), 5)), 2, 2), """"))/$G55))"),"")</f>
        <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6126</v>
      </c>
      <c r="U55" s="10" t="s">
        <v>984</v>
      </c>
      <c r="V55" s="10" t="s">
        <v>5889</v>
      </c>
      <c r="W55" s="10" t="s">
        <v>51</v>
      </c>
      <c r="X55" s="10" t="s">
        <v>984</v>
      </c>
    </row>
    <row r="56">
      <c r="A56" s="9">
        <f t="shared" si="1"/>
        <v>55</v>
      </c>
      <c r="B56" s="11">
        <v>46238.66778935185</v>
      </c>
      <c r="C56" s="10" t="s">
        <v>1739</v>
      </c>
      <c r="D56" s="10" t="s">
        <v>36</v>
      </c>
      <c r="E56" s="10" t="s">
        <v>37</v>
      </c>
      <c r="F56" s="13">
        <v>2.0</v>
      </c>
      <c r="G56" s="14">
        <v>262.48</v>
      </c>
      <c r="H56" s="10" t="s">
        <v>6127</v>
      </c>
      <c r="I56" s="10">
        <v>89.4</v>
      </c>
      <c r="O56" s="15">
        <f>IFERROR(__xludf.DUMMYFUNCTION("IF(ISBLANK($C56), """", GOOGLEFINANCE($C56, ""price""))"),275.11)</f>
        <v>275.11</v>
      </c>
      <c r="P56" s="16">
        <f t="shared" si="3"/>
        <v>0.04811795184</v>
      </c>
      <c r="Q56" s="16">
        <f>IFERROR(__xludf.DUMMYFUNCTION("IF(OR(ISBLANK($G56), IFERROR(INDEX(GOOGLEFINANCE($C56, ""price"", WORKDAY(INT($B56), 1)), 2, 2), """")=""""), """", IF($D56=""LONG"", (IFERROR(INDEX(GOOGLEFINANCE($C56, ""price"", WORKDAY(INT($B56), 1)), 2, 2), """")-$G56)/$G56, ($G56-IFERROR(INDEX(GOOGLE"&amp;"FINANCE($C56, ""price"", WORKDAY(INT($B56), 1)), 2, 2), """"))/$G56))"),0.008038707711063535)</f>
        <v>0.008038707711</v>
      </c>
      <c r="R56" s="16" t="str">
        <f>IFERROR(__xludf.DUMMYFUNCTION("IF(OR(ISBLANK($G56), IFERROR(INDEX(GOOGLEFINANCE($C56, ""price"", WORKDAY(INT($B56), 5)), 2, 2), """")=""""), """", IF($D56=""LONG"", (IFERROR(INDEX(GOOGLEFINANCE($C56, ""price"", WORKDAY(INT($B56), 5)), 2, 2), """")-$G56)/$G56, ($G56-IFERROR(INDEX(GOOGLE"&amp;"FINANCE($C56, ""price"", WORKDAY(INT($B56), 5)), 2, 2), """"))/$G56))"),"")</f>
        <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6128</v>
      </c>
      <c r="U56" s="10" t="s">
        <v>984</v>
      </c>
      <c r="V56" s="10" t="s">
        <v>5881</v>
      </c>
      <c r="W56" s="10" t="s">
        <v>51</v>
      </c>
      <c r="X56" s="10" t="s">
        <v>984</v>
      </c>
    </row>
    <row r="57">
      <c r="A57" s="9">
        <f t="shared" si="1"/>
        <v>56</v>
      </c>
      <c r="B57" s="11">
        <v>46238.66758101852</v>
      </c>
      <c r="C57" s="10" t="s">
        <v>3699</v>
      </c>
      <c r="D57" s="10" t="s">
        <v>36</v>
      </c>
      <c r="E57" s="10" t="s">
        <v>37</v>
      </c>
      <c r="F57" s="13">
        <v>2.0</v>
      </c>
      <c r="G57" s="14">
        <v>830.6</v>
      </c>
      <c r="H57" s="10" t="s">
        <v>6129</v>
      </c>
      <c r="I57" s="10">
        <v>94.5</v>
      </c>
      <c r="O57" s="15">
        <f>IFERROR(__xludf.DUMMYFUNCTION("IF(ISBLANK($C57), """", GOOGLEFINANCE($C57, ""price""))"),871.38)</f>
        <v>871.38</v>
      </c>
      <c r="P57" s="16">
        <f t="shared" si="3"/>
        <v>0.04909703829</v>
      </c>
      <c r="Q57" s="16">
        <f>IFERROR(__xludf.DUMMYFUNCTION("IF(OR(ISBLANK($G57), IFERROR(INDEX(GOOGLEFINANCE($C57, ""price"", WORKDAY(INT($B57), 1)), 2, 2), """")=""""), """", IF($D57=""LONG"", (IFERROR(INDEX(GOOGLEFINANCE($C57, ""price"", WORKDAY(INT($B57), 1)), 2, 2), """")-$G57)/$G57, ($G57-IFERROR(INDEX(GOOGLE"&amp;"FINANCE($C57, ""price"", WORKDAY(INT($B57), 1)), 2, 2), """"))/$G57))"),0.05614013965807849)</f>
        <v>0.05614013966</v>
      </c>
      <c r="R57" s="16" t="str">
        <f>IFERROR(__xludf.DUMMYFUNCTION("IF(OR(ISBLANK($G57), IFERROR(INDEX(GOOGLEFINANCE($C57, ""price"", WORKDAY(INT($B57), 5)), 2, 2), """")=""""), """", IF($D57=""LONG"", (IFERROR(INDEX(GOOGLEFINANCE($C57, ""price"", WORKDAY(INT($B57), 5)), 2, 2), """")-$G57)/$G57, ($G57-IFERROR(INDEX(GOOGLE"&amp;"FINANCE($C57, ""price"", WORKDAY(INT($B57), 5)), 2, 2), """"))/$G57))"),"")</f>
        <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6130</v>
      </c>
      <c r="U57" s="10" t="s">
        <v>984</v>
      </c>
      <c r="V57" s="10" t="s">
        <v>5881</v>
      </c>
      <c r="W57" s="10" t="s">
        <v>51</v>
      </c>
      <c r="X57" s="10" t="s">
        <v>984</v>
      </c>
    </row>
    <row r="58">
      <c r="A58" s="9">
        <f t="shared" si="1"/>
        <v>57</v>
      </c>
      <c r="B58" s="11">
        <v>46238.66756944444</v>
      </c>
      <c r="C58" s="10" t="s">
        <v>3688</v>
      </c>
      <c r="D58" s="10" t="s">
        <v>36</v>
      </c>
      <c r="E58" s="10" t="s">
        <v>37</v>
      </c>
      <c r="F58" s="13">
        <v>2.0</v>
      </c>
      <c r="G58" s="14">
        <v>28.6</v>
      </c>
      <c r="H58" s="10" t="s">
        <v>6131</v>
      </c>
      <c r="I58" s="10">
        <v>95.7</v>
      </c>
      <c r="O58" s="15">
        <f>IFERROR(__xludf.DUMMYFUNCTION("IF(ISBLANK($C58), """", GOOGLEFINANCE($C58, ""price""))"),29.67)</f>
        <v>29.67</v>
      </c>
      <c r="P58" s="16">
        <f t="shared" si="3"/>
        <v>0.03741258741</v>
      </c>
      <c r="Q58" s="16">
        <f>IFERROR(__xludf.DUMMYFUNCTION("IF(OR(ISBLANK($G58), IFERROR(INDEX(GOOGLEFINANCE($C58, ""price"", WORKDAY(INT($B58), 1)), 2, 2), """")=""""), """", IF($D58=""LONG"", (IFERROR(INDEX(GOOGLEFINANCE($C58, ""price"", WORKDAY(INT($B58), 1)), 2, 2), """")-$G58)/$G58, ($G58-IFERROR(INDEX(GOOGLE"&amp;"FINANCE($C58, ""price"", WORKDAY(INT($B58), 1)), 2, 2), """"))/$G58))"),0.01608391608391599)</f>
        <v>0.01608391608</v>
      </c>
      <c r="R58" s="16" t="str">
        <f>IFERROR(__xludf.DUMMYFUNCTION("IF(OR(ISBLANK($G58), IFERROR(INDEX(GOOGLEFINANCE($C58, ""price"", WORKDAY(INT($B58), 5)), 2, 2), """")=""""), """", IF($D58=""LONG"", (IFERROR(INDEX(GOOGLEFINANCE($C58, ""price"", WORKDAY(INT($B58), 5)), 2, 2), """")-$G58)/$G58, ($G58-IFERROR(INDEX(GOOGLE"&amp;"FINANCE($C58, ""price"", WORKDAY(INT($B58), 5)), 2, 2), """"))/$G58))"),"")</f>
        <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6132</v>
      </c>
      <c r="U58" s="10" t="s">
        <v>984</v>
      </c>
      <c r="V58" s="10" t="s">
        <v>5881</v>
      </c>
      <c r="W58" s="10" t="s">
        <v>51</v>
      </c>
      <c r="X58" s="10" t="s">
        <v>984</v>
      </c>
    </row>
    <row r="59">
      <c r="A59" s="9">
        <f t="shared" si="1"/>
        <v>58</v>
      </c>
      <c r="B59" s="11">
        <v>46238.66778935185</v>
      </c>
      <c r="C59" s="10" t="s">
        <v>43</v>
      </c>
      <c r="D59" s="10" t="s">
        <v>36</v>
      </c>
      <c r="E59" s="10" t="s">
        <v>87</v>
      </c>
      <c r="F59" s="13">
        <v>2.0</v>
      </c>
      <c r="G59" s="14">
        <v>288.27</v>
      </c>
      <c r="H59" s="10" t="s">
        <v>6133</v>
      </c>
      <c r="I59" s="10">
        <v>64.9</v>
      </c>
      <c r="O59" s="15">
        <f>IFERROR(__xludf.DUMMYFUNCTION("IF(ISBLANK($C59), """", GOOGLEFINANCE($C59, ""price""))"),229.29)</f>
        <v>229.29</v>
      </c>
      <c r="P59" s="16">
        <f t="shared" si="3"/>
        <v>-0.2045998543</v>
      </c>
      <c r="Q59" s="16">
        <f>IFERROR(__xludf.DUMMYFUNCTION("IF(OR(ISBLANK($G59), IFERROR(INDEX(GOOGLEFINANCE($C59, ""price"", WORKDAY(INT($B59), 1)), 2, 2), """")=""""), """", IF($D59=""LONG"", (IFERROR(INDEX(GOOGLEFINANCE($C59, ""price"", WORKDAY(INT($B59), 1)), 2, 2), """")-$G59)/$G59, ($G59-IFERROR(INDEX(GOOGLE"&amp;"FINANCE($C59, ""price"", WORKDAY(INT($B59), 1)), 2, 2), """"))/$G59))"),-0.01769174732022051)</f>
        <v>-0.01769174732</v>
      </c>
      <c r="R59" s="16" t="str">
        <f>IFERROR(__xludf.DUMMYFUNCTION("IF(OR(ISBLANK($G59), IFERROR(INDEX(GOOGLEFINANCE($C59, ""price"", WORKDAY(INT($B59), 5)), 2, 2), """")=""""), """", IF($D59=""LONG"", (IFERROR(INDEX(GOOGLEFINANCE($C59, ""price"", WORKDAY(INT($B59), 5)), 2, 2), """")-$G59)/$G59, ($G59-IFERROR(INDEX(GOOGLE"&amp;"FINANCE($C59, ""price"", WORKDAY(INT($B59), 5)), 2, 2), """"))/$G59))"),"")</f>
        <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6134</v>
      </c>
      <c r="U59" s="10" t="s">
        <v>492</v>
      </c>
      <c r="V59" s="10" t="s">
        <v>5940</v>
      </c>
      <c r="W59" s="10" t="s">
        <v>51</v>
      </c>
      <c r="X59" s="10" t="s">
        <v>492</v>
      </c>
    </row>
    <row r="60">
      <c r="A60" s="9">
        <f t="shared" si="1"/>
        <v>59</v>
      </c>
      <c r="B60" s="11">
        <v>46238.66782407407</v>
      </c>
      <c r="C60" s="10" t="s">
        <v>257</v>
      </c>
      <c r="D60" s="10" t="s">
        <v>36</v>
      </c>
      <c r="E60" s="10" t="s">
        <v>37</v>
      </c>
      <c r="F60" s="13">
        <v>2.0</v>
      </c>
      <c r="G60" s="14">
        <v>70.65</v>
      </c>
      <c r="H60" s="10" t="s">
        <v>6135</v>
      </c>
      <c r="I60" s="10">
        <v>91.5</v>
      </c>
      <c r="O60" s="15">
        <f>IFERROR(__xludf.DUMMYFUNCTION("IF(ISBLANK($C60), """", GOOGLEFINANCE($C60, ""price""))"),68.81)</f>
        <v>68.81</v>
      </c>
      <c r="P60" s="16">
        <f t="shared" si="3"/>
        <v>-0.02604387827</v>
      </c>
      <c r="Q60" s="16">
        <f>IFERROR(__xludf.DUMMYFUNCTION("IF(OR(ISBLANK($G60), IFERROR(INDEX(GOOGLEFINANCE($C60, ""price"", WORKDAY(INT($B60), 1)), 2, 2), """")=""""), """", IF($D60=""LONG"", (IFERROR(INDEX(GOOGLEFINANCE($C60, ""price"", WORKDAY(INT($B60), 1)), 2, 2), """")-$G60)/$G60, ($G60-IFERROR(INDEX(GOOGLE"&amp;"FINANCE($C60, ""price"", WORKDAY(INT($B60), 1)), 2, 2), """"))/$G60))"),-0.009058740268931359)</f>
        <v>-0.009058740269</v>
      </c>
      <c r="R60" s="16" t="str">
        <f>IFERROR(__xludf.DUMMYFUNCTION("IF(OR(ISBLANK($G60), IFERROR(INDEX(GOOGLEFINANCE($C60, ""price"", WORKDAY(INT($B60), 5)), 2, 2), """")=""""), """", IF($D60=""LONG"", (IFERROR(INDEX(GOOGLEFINANCE($C60, ""price"", WORKDAY(INT($B60), 5)), 2, 2), """")-$G60)/$G60, ($G60-IFERROR(INDEX(GOOGLE"&amp;"FINANCE($C60, ""price"", WORKDAY(INT($B60), 5)), 2, 2), """"))/$G60))"),"")</f>
        <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6136</v>
      </c>
      <c r="U60" s="10" t="s">
        <v>984</v>
      </c>
      <c r="V60" s="10" t="s">
        <v>5889</v>
      </c>
      <c r="W60" s="10" t="s">
        <v>51</v>
      </c>
      <c r="X60" s="10" t="s">
        <v>984</v>
      </c>
    </row>
    <row r="61">
      <c r="A61" s="9">
        <f t="shared" si="1"/>
        <v>60</v>
      </c>
      <c r="B61" s="11">
        <v>46238.66736111111</v>
      </c>
      <c r="C61" s="10" t="s">
        <v>34</v>
      </c>
      <c r="D61" s="10" t="s">
        <v>36</v>
      </c>
      <c r="E61" s="10" t="s">
        <v>37</v>
      </c>
      <c r="F61" s="13">
        <v>2.0</v>
      </c>
      <c r="G61" s="14">
        <v>192.78</v>
      </c>
      <c r="H61" s="10" t="s">
        <v>6137</v>
      </c>
      <c r="I61" s="10">
        <v>97.1</v>
      </c>
      <c r="O61" s="15">
        <f>IFERROR(__xludf.DUMMYFUNCTION("IF(ISBLANK($C61), """", GOOGLEFINANCE($C61, ""price""))"),189.75)</f>
        <v>189.75</v>
      </c>
      <c r="P61" s="16">
        <f t="shared" si="3"/>
        <v>-0.01571739807</v>
      </c>
      <c r="Q61" s="16">
        <f>IFERROR(__xludf.DUMMYFUNCTION("IF(OR(ISBLANK($G61), IFERROR(INDEX(GOOGLEFINANCE($C61, ""price"", WORKDAY(INT($B61), 1)), 2, 2), """")=""""), """", IF($D61=""LONG"", (IFERROR(INDEX(GOOGLEFINANCE($C61, ""price"", WORKDAY(INT($B61), 1)), 2, 2), """")-$G61)/$G61, ($G61-IFERROR(INDEX(GOOGLE"&amp;"FINANCE($C61, ""price"", WORKDAY(INT($B61), 1)), 2, 2), """"))/$G61))"),-0.020904658159560125)</f>
        <v>-0.02090465816</v>
      </c>
      <c r="R61" s="16" t="str">
        <f>IFERROR(__xludf.DUMMYFUNCTION("IF(OR(ISBLANK($G61), IFERROR(INDEX(GOOGLEFINANCE($C61, ""price"", WORKDAY(INT($B61), 5)), 2, 2), """")=""""), """", IF($D61=""LONG"", (IFERROR(INDEX(GOOGLEFINANCE($C61, ""price"", WORKDAY(INT($B61), 5)), 2, 2), """")-$G61)/$G61, ($G61-IFERROR(INDEX(GOOGLE"&amp;"FINANCE($C61, ""price"", WORKDAY(INT($B61), 5)), 2, 2), """"))/$G61))"),"")</f>
        <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6138</v>
      </c>
      <c r="U61" s="10" t="s">
        <v>492</v>
      </c>
      <c r="V61" s="10" t="s">
        <v>5931</v>
      </c>
      <c r="W61" s="10" t="s">
        <v>51</v>
      </c>
      <c r="X61" s="10" t="s">
        <v>492</v>
      </c>
    </row>
    <row r="62">
      <c r="A62" s="9">
        <f t="shared" si="1"/>
        <v>61</v>
      </c>
      <c r="B62" s="11">
        <v>46238.6675</v>
      </c>
      <c r="C62" s="10" t="s">
        <v>3081</v>
      </c>
      <c r="D62" s="10" t="s">
        <v>36</v>
      </c>
      <c r="E62" s="10" t="s">
        <v>37</v>
      </c>
      <c r="F62" s="13">
        <v>2.0</v>
      </c>
      <c r="G62" s="14">
        <v>17.43</v>
      </c>
      <c r="H62" s="10" t="s">
        <v>6139</v>
      </c>
      <c r="I62" s="10">
        <v>92.1</v>
      </c>
      <c r="O62" s="15">
        <f>IFERROR(__xludf.DUMMYFUNCTION("IF(ISBLANK($C62), """", GOOGLEFINANCE($C62, ""price""))"),17.0)</f>
        <v>17</v>
      </c>
      <c r="P62" s="16">
        <f t="shared" si="3"/>
        <v>-0.02467010901</v>
      </c>
      <c r="Q62" s="16">
        <f>IFERROR(__xludf.DUMMYFUNCTION("IF(OR(ISBLANK($G62), IFERROR(INDEX(GOOGLEFINANCE($C62, ""price"", WORKDAY(INT($B62), 1)), 2, 2), """")=""""), """", IF($D62=""LONG"", (IFERROR(INDEX(GOOGLEFINANCE($C62, ""price"", WORKDAY(INT($B62), 1)), 2, 2), """")-$G62)/$G62, ($G62-IFERROR(INDEX(GOOGLE"&amp;"FINANCE($C62, ""price"", WORKDAY(INT($B62), 1)), 2, 2), """"))/$G62))"),-0.013195639701663823)</f>
        <v>-0.0131956397</v>
      </c>
      <c r="R62" s="16" t="str">
        <f>IFERROR(__xludf.DUMMYFUNCTION("IF(OR(ISBLANK($G62), IFERROR(INDEX(GOOGLEFINANCE($C62, ""price"", WORKDAY(INT($B62), 5)), 2, 2), """")=""""), """", IF($D62=""LONG"", (IFERROR(INDEX(GOOGLEFINANCE($C62, ""price"", WORKDAY(INT($B62), 5)), 2, 2), """")-$G62)/$G62, ($G62-IFERROR(INDEX(GOOGLE"&amp;"FINANCE($C62, ""price"", WORKDAY(INT($B62), 5)), 2, 2), """"))/$G62))"),"")</f>
        <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6140</v>
      </c>
      <c r="U62" s="10" t="s">
        <v>984</v>
      </c>
      <c r="V62" s="10" t="s">
        <v>5881</v>
      </c>
      <c r="W62" s="10" t="s">
        <v>51</v>
      </c>
      <c r="X62" s="10" t="s">
        <v>984</v>
      </c>
    </row>
    <row r="63">
      <c r="A63" s="9">
        <f t="shared" si="1"/>
        <v>62</v>
      </c>
      <c r="B63" s="11">
        <v>46238.6678125</v>
      </c>
      <c r="C63" s="10" t="s">
        <v>765</v>
      </c>
      <c r="D63" s="10" t="s">
        <v>36</v>
      </c>
      <c r="E63" s="10" t="s">
        <v>37</v>
      </c>
      <c r="F63" s="13">
        <v>2.0</v>
      </c>
      <c r="G63" s="14">
        <v>125.14</v>
      </c>
      <c r="H63" s="10" t="s">
        <v>6141</v>
      </c>
      <c r="I63" s="10">
        <v>89.2</v>
      </c>
      <c r="O63" s="15">
        <f>IFERROR(__xludf.DUMMYFUNCTION("IF(ISBLANK($C63), """", GOOGLEFINANCE($C63, ""price""))"),126.66)</f>
        <v>126.66</v>
      </c>
      <c r="P63" s="16">
        <f t="shared" si="3"/>
        <v>0.01214639604</v>
      </c>
      <c r="Q63" s="16">
        <f>IFERROR(__xludf.DUMMYFUNCTION("IF(OR(ISBLANK($G63), IFERROR(INDEX(GOOGLEFINANCE($C63, ""price"", WORKDAY(INT($B63), 1)), 2, 2), """")=""""), """", IF($D63=""LONG"", (IFERROR(INDEX(GOOGLEFINANCE($C63, ""price"", WORKDAY(INT($B63), 1)), 2, 2), """")-$G63)/$G63, ($G63-IFERROR(INDEX(GOOGLE"&amp;"FINANCE($C63, ""price"", WORKDAY(INT($B63), 1)), 2, 2), """"))/$G63))"),0.0033562410100687365)</f>
        <v>0.00335624101</v>
      </c>
      <c r="R63" s="16" t="str">
        <f>IFERROR(__xludf.DUMMYFUNCTION("IF(OR(ISBLANK($G63), IFERROR(INDEX(GOOGLEFINANCE($C63, ""price"", WORKDAY(INT($B63), 5)), 2, 2), """")=""""), """", IF($D63=""LONG"", (IFERROR(INDEX(GOOGLEFINANCE($C63, ""price"", WORKDAY(INT($B63), 5)), 2, 2), """")-$G63)/$G63, ($G63-IFERROR(INDEX(GOOGLE"&amp;"FINANCE($C63, ""price"", WORKDAY(INT($B63), 5)), 2, 2), """"))/$G63))"),"")</f>
        <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6142</v>
      </c>
      <c r="U63" s="10" t="s">
        <v>984</v>
      </c>
      <c r="V63" s="10" t="s">
        <v>5881</v>
      </c>
      <c r="W63" s="10" t="s">
        <v>51</v>
      </c>
      <c r="X63" s="10" t="s">
        <v>984</v>
      </c>
    </row>
    <row r="64">
      <c r="A64" s="9">
        <f t="shared" si="1"/>
        <v>63</v>
      </c>
      <c r="B64" s="11">
        <v>46238.66780092593</v>
      </c>
      <c r="C64" s="10" t="s">
        <v>323</v>
      </c>
      <c r="D64" s="10" t="s">
        <v>36</v>
      </c>
      <c r="E64" s="10" t="s">
        <v>37</v>
      </c>
      <c r="F64" s="13">
        <v>2.0</v>
      </c>
      <c r="G64" s="14">
        <v>209.86</v>
      </c>
      <c r="H64" s="10" t="s">
        <v>6143</v>
      </c>
      <c r="I64" s="10">
        <v>73.0</v>
      </c>
      <c r="O64" s="15">
        <f>IFERROR(__xludf.DUMMYFUNCTION("IF(ISBLANK($C64), """", GOOGLEFINANCE($C64, ""price""))"),209.7)</f>
        <v>209.7</v>
      </c>
      <c r="P64" s="16">
        <f t="shared" si="3"/>
        <v>-0.0007624130373</v>
      </c>
      <c r="Q64" s="16" t="str">
        <f>IFERROR(__xludf.DUMMYFUNCTION("IF(OR(ISBLANK($G64), IFERROR(INDEX(GOOGLEFINANCE($C64, ""price"", WORKDAY(INT($B64), 1)), 2, 2), """")=""""), """", IF($D64=""LONG"", (IFERROR(INDEX(GOOGLEFINANCE($C64, ""price"", WORKDAY(INT($B64), 1)), 2, 2), """")-$G64)/$G64, ($G64-IFERROR(INDEX(GOOGLE"&amp;"FINANCE($C64, ""price"", WORKDAY(INT($B64), 1)), 2, 2), """"))/$G64))"),"")</f>
        <v/>
      </c>
      <c r="R64" s="16" t="str">
        <f>IFERROR(__xludf.DUMMYFUNCTION("IF(OR(ISBLANK($G64), IFERROR(INDEX(GOOGLEFINANCE($C64, ""price"", WORKDAY(INT($B64), 5)), 2, 2), """")=""""), """", IF($D64=""LONG"", (IFERROR(INDEX(GOOGLEFINANCE($C64, ""price"", WORKDAY(INT($B64), 5)), 2, 2), """")-$G64)/$G64, ($G64-IFERROR(INDEX(GOOGLE"&amp;"FINANCE($C64, ""price"", WORKDAY(INT($B64), 5)), 2, 2), """"))/$G64))"),"")</f>
        <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6144</v>
      </c>
      <c r="U64" s="10" t="s">
        <v>984</v>
      </c>
      <c r="V64" s="10" t="s">
        <v>5881</v>
      </c>
      <c r="W64" s="10" t="s">
        <v>51</v>
      </c>
      <c r="X64" s="10" t="s">
        <v>984</v>
      </c>
    </row>
    <row r="65">
      <c r="A65" s="9">
        <f t="shared" si="1"/>
        <v>64</v>
      </c>
      <c r="B65" s="11">
        <v>46238.66783564815</v>
      </c>
      <c r="C65" s="10" t="s">
        <v>92</v>
      </c>
      <c r="D65" s="10" t="s">
        <v>36</v>
      </c>
      <c r="E65" s="10" t="s">
        <v>37</v>
      </c>
      <c r="F65" s="13">
        <v>2.0</v>
      </c>
      <c r="G65" s="14">
        <v>86.56</v>
      </c>
      <c r="H65" s="10" t="s">
        <v>6145</v>
      </c>
      <c r="I65" s="10">
        <v>92.4</v>
      </c>
      <c r="O65" s="15">
        <f>IFERROR(__xludf.DUMMYFUNCTION("IF(ISBLANK($C65), """", GOOGLEFINANCE($C65, ""price""))"),86.85)</f>
        <v>86.85</v>
      </c>
      <c r="P65" s="16">
        <f t="shared" si="3"/>
        <v>0.003350277264</v>
      </c>
      <c r="Q65" s="16">
        <f>IFERROR(__xludf.DUMMYFUNCTION("IF(OR(ISBLANK($G65), IFERROR(INDEX(GOOGLEFINANCE($C65, ""price"", WORKDAY(INT($B65), 1)), 2, 2), """")=""""), """", IF($D65=""LONG"", (IFERROR(INDEX(GOOGLEFINANCE($C65, ""price"", WORKDAY(INT($B65), 1)), 2, 2), """")-$G65)/$G65, ($G65-IFERROR(INDEX(GOOGLE"&amp;"FINANCE($C65, ""price"", WORKDAY(INT($B65), 1)), 2, 2), """"))/$G65))"),0.0031192236598890483)</f>
        <v>0.00311922366</v>
      </c>
      <c r="R65" s="16" t="str">
        <f>IFERROR(__xludf.DUMMYFUNCTION("IF(OR(ISBLANK($G65), IFERROR(INDEX(GOOGLEFINANCE($C65, ""price"", WORKDAY(INT($B65), 5)), 2, 2), """")=""""), """", IF($D65=""LONG"", (IFERROR(INDEX(GOOGLEFINANCE($C65, ""price"", WORKDAY(INT($B65), 5)), 2, 2), """")-$G65)/$G65, ($G65-IFERROR(INDEX(GOOGLE"&amp;"FINANCE($C65, ""price"", WORKDAY(INT($B65), 5)), 2, 2), """"))/$G65))"),"")</f>
        <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6146</v>
      </c>
      <c r="U65" s="10" t="s">
        <v>984</v>
      </c>
      <c r="V65" s="10" t="s">
        <v>5881</v>
      </c>
      <c r="W65" s="10" t="s">
        <v>51</v>
      </c>
      <c r="X65" s="10" t="s">
        <v>984</v>
      </c>
    </row>
    <row r="66">
      <c r="A66" s="9">
        <f t="shared" si="1"/>
        <v>65</v>
      </c>
      <c r="B66" s="11">
        <v>46238.66782407407</v>
      </c>
      <c r="C66" s="10" t="s">
        <v>288</v>
      </c>
      <c r="D66" s="10" t="s">
        <v>36</v>
      </c>
      <c r="E66" s="10" t="s">
        <v>37</v>
      </c>
      <c r="F66" s="13">
        <v>2.0</v>
      </c>
      <c r="G66" s="14">
        <v>19.54</v>
      </c>
      <c r="H66" s="10" t="s">
        <v>6147</v>
      </c>
      <c r="I66" s="10">
        <v>88.7</v>
      </c>
      <c r="O66" s="15">
        <f>IFERROR(__xludf.DUMMYFUNCTION("IF(ISBLANK($C66), """", GOOGLEFINANCE($C66, ""price""))"),19.18)</f>
        <v>19.18</v>
      </c>
      <c r="P66" s="16">
        <f t="shared" si="3"/>
        <v>-0.01842374616</v>
      </c>
      <c r="Q66" s="16">
        <f>IFERROR(__xludf.DUMMYFUNCTION("IF(OR(ISBLANK($G66), IFERROR(INDEX(GOOGLEFINANCE($C66, ""price"", WORKDAY(INT($B66), 1)), 2, 2), """")=""""), """", IF($D66=""LONG"", (IFERROR(INDEX(GOOGLEFINANCE($C66, ""price"", WORKDAY(INT($B66), 1)), 2, 2), """")-$G66)/$G66, ($G66-IFERROR(INDEX(GOOGLE"&amp;"FINANCE($C66, ""price"", WORKDAY(INT($B66), 1)), 2, 2), """"))/$G66))"),0.006653019447287746)</f>
        <v>0.006653019447</v>
      </c>
      <c r="R66" s="16" t="str">
        <f>IFERROR(__xludf.DUMMYFUNCTION("IF(OR(ISBLANK($G66), IFERROR(INDEX(GOOGLEFINANCE($C66, ""price"", WORKDAY(INT($B66), 5)), 2, 2), """")=""""), """", IF($D66=""LONG"", (IFERROR(INDEX(GOOGLEFINANCE($C66, ""price"", WORKDAY(INT($B66), 5)), 2, 2), """")-$G66)/$G66, ($G66-IFERROR(INDEX(GOOGLE"&amp;"FINANCE($C66, ""price"", WORKDAY(INT($B66), 5)), 2, 2), """"))/$G66))"),"")</f>
        <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6148</v>
      </c>
      <c r="U66" s="10" t="s">
        <v>984</v>
      </c>
      <c r="V66" s="10" t="s">
        <v>5881</v>
      </c>
      <c r="W66" s="10" t="s">
        <v>51</v>
      </c>
      <c r="X66" s="10" t="s">
        <v>984</v>
      </c>
    </row>
    <row r="67">
      <c r="A67" s="9">
        <f t="shared" si="1"/>
        <v>66</v>
      </c>
      <c r="B67" s="11">
        <v>46238.667858796296</v>
      </c>
      <c r="C67" s="10" t="s">
        <v>166</v>
      </c>
      <c r="D67" s="10" t="s">
        <v>36</v>
      </c>
      <c r="E67" s="10" t="s">
        <v>37</v>
      </c>
      <c r="F67" s="13">
        <v>2.0</v>
      </c>
      <c r="G67" s="14">
        <v>135.9</v>
      </c>
      <c r="H67" s="10" t="s">
        <v>6149</v>
      </c>
      <c r="I67" s="10">
        <v>92.2</v>
      </c>
      <c r="O67" s="15">
        <f>IFERROR(__xludf.DUMMYFUNCTION("IF(ISBLANK($C67), """", GOOGLEFINANCE($C67, ""price""))"),132.06)</f>
        <v>132.06</v>
      </c>
      <c r="P67" s="16">
        <f t="shared" si="3"/>
        <v>-0.02825607064</v>
      </c>
      <c r="Q67" s="16">
        <f>IFERROR(__xludf.DUMMYFUNCTION("IF(OR(ISBLANK($G67), IFERROR(INDEX(GOOGLEFINANCE($C67, ""price"", WORKDAY(INT($B67), 1)), 2, 2), """")=""""), """", IF($D67=""LONG"", (IFERROR(INDEX(GOOGLEFINANCE($C67, ""price"", WORKDAY(INT($B67), 1)), 2, 2), """")-$G67)/$G67, ($G67-IFERROR(INDEX(GOOGLE"&amp;"FINANCE($C67, ""price"", WORKDAY(INT($B67), 1)), 2, 2), """"))/$G67))"),-0.018837380426784418)</f>
        <v>-0.01883738043</v>
      </c>
      <c r="R67" s="16" t="str">
        <f>IFERROR(__xludf.DUMMYFUNCTION("IF(OR(ISBLANK($G67), IFERROR(INDEX(GOOGLEFINANCE($C67, ""price"", WORKDAY(INT($B67), 5)), 2, 2), """")=""""), """", IF($D67=""LONG"", (IFERROR(INDEX(GOOGLEFINANCE($C67, ""price"", WORKDAY(INT($B67), 5)), 2, 2), """")-$G67)/$G67, ($G67-IFERROR(INDEX(GOOGLE"&amp;"FINANCE($C67, ""price"", WORKDAY(INT($B67), 5)), 2, 2), """"))/$G67))"),"")</f>
        <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6150</v>
      </c>
      <c r="U67" s="10" t="s">
        <v>984</v>
      </c>
      <c r="V67" s="10" t="s">
        <v>5881</v>
      </c>
      <c r="W67" s="10" t="s">
        <v>51</v>
      </c>
      <c r="X67" s="10" t="s">
        <v>984</v>
      </c>
    </row>
    <row r="68">
      <c r="A68" s="9">
        <f t="shared" si="1"/>
        <v>67</v>
      </c>
      <c r="B68" s="11">
        <v>46238.6678125</v>
      </c>
      <c r="C68" s="10" t="s">
        <v>108</v>
      </c>
      <c r="D68" s="10" t="s">
        <v>36</v>
      </c>
      <c r="E68" s="10" t="s">
        <v>37</v>
      </c>
      <c r="F68" s="13">
        <v>2.0</v>
      </c>
      <c r="G68" s="14">
        <v>130.75</v>
      </c>
      <c r="H68" s="10" t="s">
        <v>6151</v>
      </c>
      <c r="I68" s="10">
        <v>92.2</v>
      </c>
      <c r="O68" s="15">
        <f>IFERROR(__xludf.DUMMYFUNCTION("IF(ISBLANK($C68), """", GOOGLEFINANCE($C68, ""price""))"),129.68)</f>
        <v>129.68</v>
      </c>
      <c r="P68" s="16">
        <f t="shared" si="3"/>
        <v>-0.008183556405</v>
      </c>
      <c r="Q68" s="16">
        <f>IFERROR(__xludf.DUMMYFUNCTION("IF(OR(ISBLANK($G68), IFERROR(INDEX(GOOGLEFINANCE($C68, ""price"", WORKDAY(INT($B68), 1)), 2, 2), """")=""""), """", IF($D68=""LONG"", (IFERROR(INDEX(GOOGLEFINANCE($C68, ""price"", WORKDAY(INT($B68), 1)), 2, 2), """")-$G68)/$G68, ($G68-IFERROR(INDEX(GOOGLE"&amp;"FINANCE($C68, ""price"", WORKDAY(INT($B68), 1)), 2, 2), """"))/$G68))"),-0.015219885277246723)</f>
        <v>-0.01521988528</v>
      </c>
      <c r="R68" s="16" t="str">
        <f>IFERROR(__xludf.DUMMYFUNCTION("IF(OR(ISBLANK($G68), IFERROR(INDEX(GOOGLEFINANCE($C68, ""price"", WORKDAY(INT($B68), 5)), 2, 2), """")=""""), """", IF($D68=""LONG"", (IFERROR(INDEX(GOOGLEFINANCE($C68, ""price"", WORKDAY(INT($B68), 5)), 2, 2), """")-$G68)/$G68, ($G68-IFERROR(INDEX(GOOGLE"&amp;"FINANCE($C68, ""price"", WORKDAY(INT($B68), 5)), 2, 2), """"))/$G68))"),"")</f>
        <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6152</v>
      </c>
      <c r="U68" s="10" t="s">
        <v>492</v>
      </c>
      <c r="V68" s="10" t="s">
        <v>493</v>
      </c>
      <c r="W68" s="10" t="s">
        <v>51</v>
      </c>
      <c r="X68" s="10" t="s">
        <v>492</v>
      </c>
    </row>
    <row r="69">
      <c r="A69" s="9">
        <f t="shared" si="1"/>
        <v>68</v>
      </c>
      <c r="B69" s="11">
        <v>46238.66784722222</v>
      </c>
      <c r="C69" s="10" t="s">
        <v>3828</v>
      </c>
      <c r="D69" s="10" t="s">
        <v>36</v>
      </c>
      <c r="E69" s="10" t="s">
        <v>37</v>
      </c>
      <c r="F69" s="13">
        <v>2.0</v>
      </c>
      <c r="G69" s="14">
        <v>156.67</v>
      </c>
      <c r="H69" s="10" t="s">
        <v>2194</v>
      </c>
      <c r="I69" s="10">
        <v>97.6</v>
      </c>
      <c r="O69" s="15">
        <f>IFERROR(__xludf.DUMMYFUNCTION("IF(ISBLANK($C69), """", GOOGLEFINANCE($C69, ""price""))"),156.94)</f>
        <v>156.94</v>
      </c>
      <c r="P69" s="16">
        <f t="shared" si="3"/>
        <v>0.001723367588</v>
      </c>
      <c r="Q69" s="16">
        <f>IFERROR(__xludf.DUMMYFUNCTION("IF(OR(ISBLANK($G69), IFERROR(INDEX(GOOGLEFINANCE($C69, ""price"", WORKDAY(INT($B69), 1)), 2, 2), """")=""""), """", IF($D69=""LONG"", (IFERROR(INDEX(GOOGLEFINANCE($C69, ""price"", WORKDAY(INT($B69), 1)), 2, 2), """")-$G69)/$G69, ($G69-IFERROR(INDEX(GOOGLE"&amp;"FINANCE($C69, ""price"", WORKDAY(INT($B69), 1)), 2, 2), """"))/$G69))"),-0.014808195570306973)</f>
        <v>-0.01480819557</v>
      </c>
      <c r="R69" s="16" t="str">
        <f>IFERROR(__xludf.DUMMYFUNCTION("IF(OR(ISBLANK($G69), IFERROR(INDEX(GOOGLEFINANCE($C69, ""price"", WORKDAY(INT($B69), 5)), 2, 2), """")=""""), """", IF($D69=""LONG"", (IFERROR(INDEX(GOOGLEFINANCE($C69, ""price"", WORKDAY(INT($B69), 5)), 2, 2), """")-$G69)/$G69, ($G69-IFERROR(INDEX(GOOGLE"&amp;"FINANCE($C69, ""price"", WORKDAY(INT($B69), 5)), 2, 2), """"))/$G69))"),"")</f>
        <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6153</v>
      </c>
      <c r="U69" s="10" t="s">
        <v>492</v>
      </c>
      <c r="V69" s="10" t="s">
        <v>5992</v>
      </c>
      <c r="W69" s="10" t="s">
        <v>51</v>
      </c>
      <c r="X69" s="10" t="s">
        <v>492</v>
      </c>
    </row>
    <row r="70">
      <c r="A70" s="9">
        <f t="shared" si="1"/>
        <v>69</v>
      </c>
      <c r="B70" s="11">
        <v>46238.66736111111</v>
      </c>
      <c r="C70" s="10" t="s">
        <v>149</v>
      </c>
      <c r="D70" s="10" t="s">
        <v>36</v>
      </c>
      <c r="E70" s="10" t="s">
        <v>87</v>
      </c>
      <c r="F70" s="13">
        <v>2.0</v>
      </c>
      <c r="G70" s="14">
        <v>132.59</v>
      </c>
      <c r="H70" s="10" t="s">
        <v>6154</v>
      </c>
      <c r="I70" s="10">
        <v>89.7</v>
      </c>
      <c r="O70" s="15">
        <f>IFERROR(__xludf.DUMMYFUNCTION("IF(ISBLANK($C70), """", GOOGLEFINANCE($C70, ""price""))"),132.79)</f>
        <v>132.79</v>
      </c>
      <c r="P70" s="16">
        <f t="shared" si="3"/>
        <v>0.001508409382</v>
      </c>
      <c r="Q70" s="16">
        <f>IFERROR(__xludf.DUMMYFUNCTION("IF(OR(ISBLANK($G70), IFERROR(INDEX(GOOGLEFINANCE($C70, ""price"", WORKDAY(INT($B70), 1)), 2, 2), """")=""""), """", IF($D70=""LONG"", (IFERROR(INDEX(GOOGLEFINANCE($C70, ""price"", WORKDAY(INT($B70), 1)), 2, 2), """")-$G70)/$G70, ($G70-IFERROR(INDEX(GOOGLE"&amp;"FINANCE($C70, ""price"", WORKDAY(INT($B70), 1)), 2, 2), """"))/$G70))"),-0.00957839957764545)</f>
        <v>-0.009578399578</v>
      </c>
      <c r="R70" s="16" t="str">
        <f>IFERROR(__xludf.DUMMYFUNCTION("IF(OR(ISBLANK($G70), IFERROR(INDEX(GOOGLEFINANCE($C70, ""price"", WORKDAY(INT($B70), 5)), 2, 2), """")=""""), """", IF($D70=""LONG"", (IFERROR(INDEX(GOOGLEFINANCE($C70, ""price"", WORKDAY(INT($B70), 5)), 2, 2), """")-$G70)/$G70, ($G70-IFERROR(INDEX(GOOGLE"&amp;"FINANCE($C70, ""price"", WORKDAY(INT($B70), 5)), 2, 2), """"))/$G70))"),"")</f>
        <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6155</v>
      </c>
      <c r="U70" s="10" t="s">
        <v>984</v>
      </c>
      <c r="V70" s="10" t="s">
        <v>5881</v>
      </c>
      <c r="W70" s="10" t="s">
        <v>51</v>
      </c>
      <c r="X70" s="10" t="s">
        <v>984</v>
      </c>
    </row>
    <row r="71">
      <c r="A71" s="9">
        <f t="shared" si="1"/>
        <v>70</v>
      </c>
      <c r="B71" s="11">
        <v>46238.66767361111</v>
      </c>
      <c r="C71" s="10" t="s">
        <v>248</v>
      </c>
      <c r="D71" s="10" t="s">
        <v>36</v>
      </c>
      <c r="E71" s="10" t="s">
        <v>87</v>
      </c>
      <c r="F71" s="13">
        <v>2.0</v>
      </c>
      <c r="G71" s="14">
        <v>73.68</v>
      </c>
      <c r="H71" s="10" t="s">
        <v>6156</v>
      </c>
      <c r="I71" s="10">
        <v>85.8</v>
      </c>
      <c r="O71" s="15">
        <f>IFERROR(__xludf.DUMMYFUNCTION("IF(ISBLANK($C71), """", GOOGLEFINANCE($C71, ""price""))"),72.43)</f>
        <v>72.43</v>
      </c>
      <c r="P71" s="16">
        <f t="shared" si="3"/>
        <v>-0.01696525516</v>
      </c>
      <c r="Q71" s="16">
        <f>IFERROR(__xludf.DUMMYFUNCTION("IF(OR(ISBLANK($G71), IFERROR(INDEX(GOOGLEFINANCE($C71, ""price"", WORKDAY(INT($B71), 1)), 2, 2), """")=""""), """", IF($D71=""LONG"", (IFERROR(INDEX(GOOGLEFINANCE($C71, ""price"", WORKDAY(INT($B71), 1)), 2, 2), """")-$G71)/$G71, ($G71-IFERROR(INDEX(GOOGLE"&amp;"FINANCE($C71, ""price"", WORKDAY(INT($B71), 1)), 2, 2), """"))/$G71))"),-0.001085776330076174)</f>
        <v>-0.00108577633</v>
      </c>
      <c r="R71" s="16" t="str">
        <f>IFERROR(__xludf.DUMMYFUNCTION("IF(OR(ISBLANK($G71), IFERROR(INDEX(GOOGLEFINANCE($C71, ""price"", WORKDAY(INT($B71), 5)), 2, 2), """")=""""), """", IF($D71=""LONG"", (IFERROR(INDEX(GOOGLEFINANCE($C71, ""price"", WORKDAY(INT($B71), 5)), 2, 2), """")-$G71)/$G71, ($G71-IFERROR(INDEX(GOOGLE"&amp;"FINANCE($C71, ""price"", WORKDAY(INT($B71), 5)), 2, 2), """"))/$G71))"),"")</f>
        <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6157</v>
      </c>
      <c r="U71" s="10" t="s">
        <v>492</v>
      </c>
      <c r="V71" s="10" t="s">
        <v>5992</v>
      </c>
      <c r="W71" s="10" t="s">
        <v>51</v>
      </c>
      <c r="X71" s="10" t="s">
        <v>492</v>
      </c>
    </row>
    <row r="72">
      <c r="A72" s="9">
        <f t="shared" si="1"/>
        <v>71</v>
      </c>
      <c r="B72" s="11">
        <v>46238.66744212963</v>
      </c>
      <c r="C72" s="10" t="s">
        <v>2048</v>
      </c>
      <c r="D72" s="10" t="s">
        <v>36</v>
      </c>
      <c r="E72" s="10" t="s">
        <v>37</v>
      </c>
      <c r="F72" s="13">
        <v>2.0</v>
      </c>
      <c r="G72" s="14">
        <v>296.32</v>
      </c>
      <c r="H72" s="10" t="s">
        <v>6158</v>
      </c>
      <c r="I72" s="10">
        <v>86.9</v>
      </c>
      <c r="O72" s="15">
        <f>IFERROR(__xludf.DUMMYFUNCTION("IF(ISBLANK($C72), """", GOOGLEFINANCE($C72, ""price""))"),295.38)</f>
        <v>295.38</v>
      </c>
      <c r="P72" s="16">
        <f t="shared" si="3"/>
        <v>-0.00317224622</v>
      </c>
      <c r="Q72" s="16">
        <f>IFERROR(__xludf.DUMMYFUNCTION("IF(OR(ISBLANK($G72), IFERROR(INDEX(GOOGLEFINANCE($C72, ""price"", WORKDAY(INT($B72), 1)), 2, 2), """")=""""), """", IF($D72=""LONG"", (IFERROR(INDEX(GOOGLEFINANCE($C72, ""price"", WORKDAY(INT($B72), 1)), 2, 2), """")-$G72)/$G72, ($G72-IFERROR(INDEX(GOOGLE"&amp;"FINANCE($C72, ""price"", WORKDAY(INT($B72), 1)), 2, 2), """"))/$G72))"),-0.00263228941684656)</f>
        <v>-0.002632289417</v>
      </c>
      <c r="R72" s="16" t="str">
        <f>IFERROR(__xludf.DUMMYFUNCTION("IF(OR(ISBLANK($G72), IFERROR(INDEX(GOOGLEFINANCE($C72, ""price"", WORKDAY(INT($B72), 5)), 2, 2), """")=""""), """", IF($D72=""LONG"", (IFERROR(INDEX(GOOGLEFINANCE($C72, ""price"", WORKDAY(INT($B72), 5)), 2, 2), """")-$G72)/$G72, ($G72-IFERROR(INDEX(GOOGLE"&amp;"FINANCE($C72, ""price"", WORKDAY(INT($B72), 5)), 2, 2), """"))/$G72))"),"")</f>
        <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6159</v>
      </c>
      <c r="U72" s="10" t="s">
        <v>984</v>
      </c>
      <c r="V72" s="10" t="s">
        <v>5881</v>
      </c>
      <c r="W72" s="10" t="s">
        <v>51</v>
      </c>
      <c r="X72" s="10" t="s">
        <v>984</v>
      </c>
    </row>
    <row r="73">
      <c r="A73" s="9">
        <f t="shared" si="1"/>
        <v>72</v>
      </c>
      <c r="B73" s="11">
        <v>46238.66780092593</v>
      </c>
      <c r="C73" s="10" t="s">
        <v>426</v>
      </c>
      <c r="D73" s="10" t="s">
        <v>36</v>
      </c>
      <c r="E73" s="10" t="s">
        <v>37</v>
      </c>
      <c r="F73" s="13">
        <v>2.0</v>
      </c>
      <c r="G73" s="14">
        <v>564.49</v>
      </c>
      <c r="H73" s="10" t="s">
        <v>6160</v>
      </c>
      <c r="I73" s="10">
        <v>90.8</v>
      </c>
      <c r="O73" s="15">
        <f>IFERROR(__xludf.DUMMYFUNCTION("IF(ISBLANK($C73), """", GOOGLEFINANCE($C73, ""price""))"),580.02)</f>
        <v>580.02</v>
      </c>
      <c r="P73" s="16">
        <f t="shared" si="3"/>
        <v>0.02751155911</v>
      </c>
      <c r="Q73" s="16">
        <f>IFERROR(__xludf.DUMMYFUNCTION("IF(OR(ISBLANK($G73), IFERROR(INDEX(GOOGLEFINANCE($C73, ""price"", WORKDAY(INT($B73), 1)), 2, 2), """")=""""), """", IF($D73=""LONG"", (IFERROR(INDEX(GOOGLEFINANCE($C73, ""price"", WORKDAY(INT($B73), 1)), 2, 2), """")-$G73)/$G73, ($G73-IFERROR(INDEX(GOOGLE"&amp;"FINANCE($C73, ""price"", WORKDAY(INT($B73), 1)), 2, 2), """"))/$G73))"),0.02363195096458756)</f>
        <v>0.02363195096</v>
      </c>
      <c r="R73" s="16" t="str">
        <f>IFERROR(__xludf.DUMMYFUNCTION("IF(OR(ISBLANK($G73), IFERROR(INDEX(GOOGLEFINANCE($C73, ""price"", WORKDAY(INT($B73), 5)), 2, 2), """")=""""), """", IF($D73=""LONG"", (IFERROR(INDEX(GOOGLEFINANCE($C73, ""price"", WORKDAY(INT($B73), 5)), 2, 2), """")-$G73)/$G73, ($G73-IFERROR(INDEX(GOOGLE"&amp;"FINANCE($C73, ""price"", WORKDAY(INT($B73), 5)), 2, 2), """"))/$G73))"),"")</f>
        <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6161</v>
      </c>
      <c r="U73" s="10" t="s">
        <v>492</v>
      </c>
      <c r="V73" s="10" t="s">
        <v>5919</v>
      </c>
      <c r="W73" s="10" t="s">
        <v>51</v>
      </c>
      <c r="X73" s="10" t="s">
        <v>492</v>
      </c>
    </row>
    <row r="74">
      <c r="A74" s="9">
        <f t="shared" si="1"/>
        <v>73</v>
      </c>
      <c r="B74" s="11">
        <v>46238.66788194444</v>
      </c>
      <c r="C74" s="10" t="s">
        <v>374</v>
      </c>
      <c r="D74" s="10" t="s">
        <v>36</v>
      </c>
      <c r="E74" s="10" t="s">
        <v>87</v>
      </c>
      <c r="F74" s="13">
        <v>2.0</v>
      </c>
      <c r="G74" s="14">
        <v>74.69</v>
      </c>
      <c r="H74" s="10" t="s">
        <v>6162</v>
      </c>
      <c r="I74" s="10">
        <v>70.9</v>
      </c>
      <c r="O74" s="15">
        <f>IFERROR(__xludf.DUMMYFUNCTION("IF(ISBLANK($C74), """", GOOGLEFINANCE($C74, ""price""))"),73.32)</f>
        <v>73.32</v>
      </c>
      <c r="P74" s="16">
        <f t="shared" si="3"/>
        <v>-0.01834248226</v>
      </c>
      <c r="Q74" s="16">
        <f>IFERROR(__xludf.DUMMYFUNCTION("IF(OR(ISBLANK($G74), IFERROR(INDEX(GOOGLEFINANCE($C74, ""price"", WORKDAY(INT($B74), 1)), 2, 2), """")=""""), """", IF($D74=""LONG"", (IFERROR(INDEX(GOOGLEFINANCE($C74, ""price"", WORKDAY(INT($B74), 1)), 2, 2), """")-$G74)/$G74, ($G74-IFERROR(INDEX(GOOGLE"&amp;"FINANCE($C74, ""price"", WORKDAY(INT($B74), 1)), 2, 2), """"))/$G74))"),0.0020083009773732186)</f>
        <v>0.002008300977</v>
      </c>
      <c r="R74" s="16" t="str">
        <f>IFERROR(__xludf.DUMMYFUNCTION("IF(OR(ISBLANK($G74), IFERROR(INDEX(GOOGLEFINANCE($C74, ""price"", WORKDAY(INT($B74), 5)), 2, 2), """")=""""), """", IF($D74=""LONG"", (IFERROR(INDEX(GOOGLEFINANCE($C74, ""price"", WORKDAY(INT($B74), 5)), 2, 2), """")-$G74)/$G74, ($G74-IFERROR(INDEX(GOOGLE"&amp;"FINANCE($C74, ""price"", WORKDAY(INT($B74), 5)), 2, 2), """"))/$G74))"),"")</f>
        <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6163</v>
      </c>
      <c r="U74" s="10" t="s">
        <v>984</v>
      </c>
      <c r="V74" s="10" t="s">
        <v>5889</v>
      </c>
      <c r="W74" s="10" t="s">
        <v>51</v>
      </c>
      <c r="X74" s="10" t="s">
        <v>984</v>
      </c>
    </row>
    <row r="75">
      <c r="A75" s="9">
        <f t="shared" si="1"/>
        <v>74</v>
      </c>
      <c r="B75" s="11">
        <v>46238.66780092593</v>
      </c>
      <c r="C75" s="10" t="s">
        <v>331</v>
      </c>
      <c r="D75" s="10" t="s">
        <v>36</v>
      </c>
      <c r="E75" s="10" t="s">
        <v>37</v>
      </c>
      <c r="F75" s="13">
        <v>2.0</v>
      </c>
      <c r="G75" s="14">
        <v>254.18</v>
      </c>
      <c r="H75" s="10" t="s">
        <v>6164</v>
      </c>
      <c r="I75" s="10">
        <v>86.8</v>
      </c>
      <c r="O75" s="15">
        <f>IFERROR(__xludf.DUMMYFUNCTION("IF(ISBLANK($C75), """", GOOGLEFINANCE($C75, ""price""))"),252.76)</f>
        <v>252.76</v>
      </c>
      <c r="P75" s="16">
        <f t="shared" si="3"/>
        <v>-0.005586592179</v>
      </c>
      <c r="Q75" s="16">
        <f>IFERROR(__xludf.DUMMYFUNCTION("IF(OR(ISBLANK($G75), IFERROR(INDEX(GOOGLEFINANCE($C75, ""price"", WORKDAY(INT($B75), 1)), 2, 2), """")=""""), """", IF($D75=""LONG"", (IFERROR(INDEX(GOOGLEFINANCE($C75, ""price"", WORKDAY(INT($B75), 1)), 2, 2), """")-$G75)/$G75, ($G75-IFERROR(INDEX(GOOGLE"&amp;"FINANCE($C75, ""price"", WORKDAY(INT($B75), 1)), 2, 2), """"))/$G75))"),0.004681721614603815)</f>
        <v>0.004681721615</v>
      </c>
      <c r="R75" s="16" t="str">
        <f>IFERROR(__xludf.DUMMYFUNCTION("IF(OR(ISBLANK($G75), IFERROR(INDEX(GOOGLEFINANCE($C75, ""price"", WORKDAY(INT($B75), 5)), 2, 2), """")=""""), """", IF($D75=""LONG"", (IFERROR(INDEX(GOOGLEFINANCE($C75, ""price"", WORKDAY(INT($B75), 5)), 2, 2), """")-$G75)/$G75, ($G75-IFERROR(INDEX(GOOGLE"&amp;"FINANCE($C75, ""price"", WORKDAY(INT($B75), 5)), 2, 2), """"))/$G75))"),"")</f>
        <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6165</v>
      </c>
      <c r="U75" s="10" t="s">
        <v>984</v>
      </c>
      <c r="V75" s="10" t="s">
        <v>5881</v>
      </c>
      <c r="W75" s="10" t="s">
        <v>51</v>
      </c>
      <c r="X75" s="10" t="s">
        <v>984</v>
      </c>
    </row>
    <row r="76">
      <c r="A76" s="9">
        <f t="shared" si="1"/>
        <v>75</v>
      </c>
      <c r="B76" s="11">
        <v>46238.66774305556</v>
      </c>
      <c r="C76" s="10" t="s">
        <v>310</v>
      </c>
      <c r="D76" s="10" t="s">
        <v>36</v>
      </c>
      <c r="E76" s="10" t="s">
        <v>37</v>
      </c>
      <c r="F76" s="13">
        <v>2.0</v>
      </c>
      <c r="G76" s="14">
        <v>228.17</v>
      </c>
      <c r="H76" s="10" t="s">
        <v>6166</v>
      </c>
      <c r="I76" s="10">
        <v>91.6</v>
      </c>
      <c r="O76" s="15">
        <f>IFERROR(__xludf.DUMMYFUNCTION("IF(ISBLANK($C76), """", GOOGLEFINANCE($C76, ""price""))"),232.43)</f>
        <v>232.43</v>
      </c>
      <c r="P76" s="16">
        <f t="shared" si="3"/>
        <v>0.0186702897</v>
      </c>
      <c r="Q76" s="16">
        <f>IFERROR(__xludf.DUMMYFUNCTION("IF(OR(ISBLANK($G76), IFERROR(INDEX(GOOGLEFINANCE($C76, ""price"", WORKDAY(INT($B76), 1)), 2, 2), """")=""""), """", IF($D76=""LONG"", (IFERROR(INDEX(GOOGLEFINANCE($C76, ""price"", WORKDAY(INT($B76), 1)), 2, 2), """")-$G76)/$G76, ($G76-IFERROR(INDEX(GOOGLE"&amp;"FINANCE($C76, ""price"", WORKDAY(INT($B76), 1)), 2, 2), """"))/$G76))"),0.03453565324100462)</f>
        <v>0.03453565324</v>
      </c>
      <c r="R76" s="16" t="str">
        <f>IFERROR(__xludf.DUMMYFUNCTION("IF(OR(ISBLANK($G76), IFERROR(INDEX(GOOGLEFINANCE($C76, ""price"", WORKDAY(INT($B76), 5)), 2, 2), """")=""""), """", IF($D76=""LONG"", (IFERROR(INDEX(GOOGLEFINANCE($C76, ""price"", WORKDAY(INT($B76), 5)), 2, 2), """")-$G76)/$G76, ($G76-IFERROR(INDEX(GOOGLE"&amp;"FINANCE($C76, ""price"", WORKDAY(INT($B76), 5)), 2, 2), """"))/$G76))"),"")</f>
        <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6167</v>
      </c>
      <c r="U76" s="10" t="s">
        <v>492</v>
      </c>
      <c r="V76" s="10" t="s">
        <v>5931</v>
      </c>
      <c r="W76" s="10" t="s">
        <v>51</v>
      </c>
      <c r="X76" s="10" t="s">
        <v>492</v>
      </c>
    </row>
    <row r="77">
      <c r="A77" s="9">
        <f t="shared" si="1"/>
        <v>76</v>
      </c>
      <c r="B77" s="11">
        <v>46238.66784722222</v>
      </c>
      <c r="C77" s="10" t="s">
        <v>440</v>
      </c>
      <c r="D77" s="10" t="s">
        <v>36</v>
      </c>
      <c r="E77" s="10" t="s">
        <v>37</v>
      </c>
      <c r="F77" s="13">
        <v>2.0</v>
      </c>
      <c r="G77" s="14">
        <v>96.16</v>
      </c>
      <c r="H77" s="10" t="s">
        <v>6168</v>
      </c>
      <c r="I77" s="10">
        <v>88.7</v>
      </c>
      <c r="O77" s="15">
        <f>IFERROR(__xludf.DUMMYFUNCTION("IF(ISBLANK($C77), """", GOOGLEFINANCE($C77, ""price""))"),99.95)</f>
        <v>99.95</v>
      </c>
      <c r="P77" s="16">
        <f t="shared" si="3"/>
        <v>0.03941347754</v>
      </c>
      <c r="Q77" s="16">
        <f>IFERROR(__xludf.DUMMYFUNCTION("IF(OR(ISBLANK($G77), IFERROR(INDEX(GOOGLEFINANCE($C77, ""price"", WORKDAY(INT($B77), 1)), 2, 2), """")=""""), """", IF($D77=""LONG"", (IFERROR(INDEX(GOOGLEFINANCE($C77, ""price"", WORKDAY(INT($B77), 1)), 2, 2), """")-$G77)/$G77, ($G77-IFERROR(INDEX(GOOGLE"&amp;"FINANCE($C77, ""price"", WORKDAY(INT($B77), 1)), 2, 2), """"))/$G77))"),0.001039933444259656)</f>
        <v>0.001039933444</v>
      </c>
      <c r="R77" s="16" t="str">
        <f>IFERROR(__xludf.DUMMYFUNCTION("IF(OR(ISBLANK($G77), IFERROR(INDEX(GOOGLEFINANCE($C77, ""price"", WORKDAY(INT($B77), 5)), 2, 2), """")=""""), """", IF($D77=""LONG"", (IFERROR(INDEX(GOOGLEFINANCE($C77, ""price"", WORKDAY(INT($B77), 5)), 2, 2), """")-$G77)/$G77, ($G77-IFERROR(INDEX(GOOGLE"&amp;"FINANCE($C77, ""price"", WORKDAY(INT($B77), 5)), 2, 2), """"))/$G77))"),"")</f>
        <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6169</v>
      </c>
      <c r="U77" s="10" t="s">
        <v>984</v>
      </c>
      <c r="V77" s="10" t="s">
        <v>5881</v>
      </c>
      <c r="W77" s="10" t="s">
        <v>51</v>
      </c>
      <c r="X77" s="10" t="s">
        <v>984</v>
      </c>
    </row>
    <row r="78">
      <c r="A78" s="9">
        <f t="shared" si="1"/>
        <v>77</v>
      </c>
      <c r="B78" s="11">
        <v>46238.66787037037</v>
      </c>
      <c r="C78" s="10" t="s">
        <v>67</v>
      </c>
      <c r="D78" s="10" t="s">
        <v>36</v>
      </c>
      <c r="E78" s="10" t="s">
        <v>37</v>
      </c>
      <c r="F78" s="13">
        <v>2.0</v>
      </c>
      <c r="G78" s="14">
        <v>86.35</v>
      </c>
      <c r="H78" s="10" t="s">
        <v>6170</v>
      </c>
      <c r="I78" s="10">
        <v>93.7</v>
      </c>
      <c r="O78" s="15">
        <f>IFERROR(__xludf.DUMMYFUNCTION("IF(ISBLANK($C78), """", GOOGLEFINANCE($C78, ""price""))"),80.02)</f>
        <v>80.02</v>
      </c>
      <c r="P78" s="16">
        <f t="shared" si="3"/>
        <v>-0.07330631152</v>
      </c>
      <c r="Q78" s="16">
        <f>IFERROR(__xludf.DUMMYFUNCTION("IF(OR(ISBLANK($G78), IFERROR(INDEX(GOOGLEFINANCE($C78, ""price"", WORKDAY(INT($B78), 1)), 2, 2), """")=""""), """", IF($D78=""LONG"", (IFERROR(INDEX(GOOGLEFINANCE($C78, ""price"", WORKDAY(INT($B78), 1)), 2, 2), """")-$G78)/$G78, ($G78-IFERROR(INDEX(GOOGLE"&amp;"FINANCE($C78, ""price"", WORKDAY(INT($B78), 1)), 2, 2), """"))/$G78))"),-0.021424435437174226)</f>
        <v>-0.02142443544</v>
      </c>
      <c r="R78" s="16" t="str">
        <f>IFERROR(__xludf.DUMMYFUNCTION("IF(OR(ISBLANK($G78), IFERROR(INDEX(GOOGLEFINANCE($C78, ""price"", WORKDAY(INT($B78), 5)), 2, 2), """")=""""), """", IF($D78=""LONG"", (IFERROR(INDEX(GOOGLEFINANCE($C78, ""price"", WORKDAY(INT($B78), 5)), 2, 2), """")-$G78)/$G78, ($G78-IFERROR(INDEX(GOOGLE"&amp;"FINANCE($C78, ""price"", WORKDAY(INT($B78), 5)), 2, 2), """"))/$G78))"),"")</f>
        <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6171</v>
      </c>
      <c r="U78" s="10" t="s">
        <v>984</v>
      </c>
      <c r="V78" s="10" t="s">
        <v>5881</v>
      </c>
      <c r="W78" s="10" t="s">
        <v>51</v>
      </c>
      <c r="X78" s="10" t="s">
        <v>984</v>
      </c>
    </row>
    <row r="79">
      <c r="A79" s="9">
        <f t="shared" si="1"/>
        <v>78</v>
      </c>
      <c r="B79" s="11">
        <v>46238.667708333334</v>
      </c>
      <c r="C79" s="10" t="s">
        <v>6172</v>
      </c>
      <c r="D79" s="10" t="s">
        <v>36</v>
      </c>
      <c r="E79" s="10" t="s">
        <v>4224</v>
      </c>
      <c r="F79" s="13">
        <v>4.0</v>
      </c>
      <c r="G79" s="14">
        <v>345.2</v>
      </c>
      <c r="H79" s="10" t="s">
        <v>6173</v>
      </c>
      <c r="I79" s="10">
        <v>59.0</v>
      </c>
      <c r="O79" s="15">
        <f>IFERROR(__xludf.DUMMYFUNCTION("IF(ISBLANK($C79), """", GOOGLEFINANCE($C79, ""price""))"),359.67)</f>
        <v>359.67</v>
      </c>
      <c r="P79" s="16">
        <f t="shared" si="3"/>
        <v>0.04191772885</v>
      </c>
      <c r="Q79" s="16">
        <f>IFERROR(__xludf.DUMMYFUNCTION("IF(OR(ISBLANK($G79), IFERROR(INDEX(GOOGLEFINANCE($C79, ""price"", WORKDAY(INT($B79), 1)), 2, 2), """")=""""), """", IF($D79=""LONG"", (IFERROR(INDEX(GOOGLEFINANCE($C79, ""price"", WORKDAY(INT($B79), 1)), 2, 2), """")-$G79)/$G79, ($G79-IFERROR(INDEX(GOOGLE"&amp;"FINANCE($C79, ""price"", WORKDAY(INT($B79), 1)), 2, 2), """"))/$G79))"),0.046668597914252645)</f>
        <v>0.04666859791</v>
      </c>
      <c r="R79" s="16" t="str">
        <f>IFERROR(__xludf.DUMMYFUNCTION("IF(OR(ISBLANK($G79), IFERROR(INDEX(GOOGLEFINANCE($C79, ""price"", WORKDAY(INT($B79), 5)), 2, 2), """")=""""), """", IF($D79=""LONG"", (IFERROR(INDEX(GOOGLEFINANCE($C79, ""price"", WORKDAY(INT($B79), 5)), 2, 2), """")-$G79)/$G79, ($G79-IFERROR(INDEX(GOOGLE"&amp;"FINANCE($C79, ""price"", WORKDAY(INT($B79), 5)), 2, 2), """"))/$G79))"),"")</f>
        <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6174</v>
      </c>
      <c r="U79" s="10" t="s">
        <v>492</v>
      </c>
      <c r="V79" s="10" t="s">
        <v>5919</v>
      </c>
      <c r="W79" s="10" t="s">
        <v>51</v>
      </c>
      <c r="X79" s="10" t="s">
        <v>492</v>
      </c>
    </row>
    <row r="80">
      <c r="A80" s="9">
        <f t="shared" si="1"/>
        <v>79</v>
      </c>
      <c r="B80" s="11">
        <v>46238.66787037037</v>
      </c>
      <c r="C80" s="10" t="s">
        <v>2476</v>
      </c>
      <c r="D80" s="10" t="s">
        <v>36</v>
      </c>
      <c r="E80" s="10" t="s">
        <v>37</v>
      </c>
      <c r="F80" s="13">
        <v>2.0</v>
      </c>
      <c r="G80" s="14">
        <v>118.08</v>
      </c>
      <c r="H80" s="10" t="s">
        <v>6175</v>
      </c>
      <c r="I80" s="10">
        <v>97.2</v>
      </c>
      <c r="O80" s="15">
        <f>IFERROR(__xludf.DUMMYFUNCTION("IF(ISBLANK($C80), """", GOOGLEFINANCE($C80, ""price""))"),116.73)</f>
        <v>116.73</v>
      </c>
      <c r="P80" s="16">
        <f t="shared" si="3"/>
        <v>-0.01143292683</v>
      </c>
      <c r="Q80" s="16">
        <f>IFERROR(__xludf.DUMMYFUNCTION("IF(OR(ISBLANK($G80), IFERROR(INDEX(GOOGLEFINANCE($C80, ""price"", WORKDAY(INT($B80), 1)), 2, 2), """")=""""), """", IF($D80=""LONG"", (IFERROR(INDEX(GOOGLEFINANCE($C80, ""price"", WORKDAY(INT($B80), 1)), 2, 2), """")-$G80)/$G80, ($G80-IFERROR(INDEX(GOOGLE"&amp;"FINANCE($C80, ""price"", WORKDAY(INT($B80), 1)), 2, 2), """"))/$G80))"),-0.01160230352303527)</f>
        <v>-0.01160230352</v>
      </c>
      <c r="R80" s="16" t="str">
        <f>IFERROR(__xludf.DUMMYFUNCTION("IF(OR(ISBLANK($G80), IFERROR(INDEX(GOOGLEFINANCE($C80, ""price"", WORKDAY(INT($B80), 5)), 2, 2), """")=""""), """", IF($D80=""LONG"", (IFERROR(INDEX(GOOGLEFINANCE($C80, ""price"", WORKDAY(INT($B80), 5)), 2, 2), """")-$G80)/$G80, ($G80-IFERROR(INDEX(GOOGLE"&amp;"FINANCE($C80, ""price"", WORKDAY(INT($B80), 5)), 2, 2), """"))/$G80))"),"")</f>
        <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6176</v>
      </c>
      <c r="U80" s="10" t="s">
        <v>492</v>
      </c>
      <c r="V80" s="10" t="s">
        <v>5919</v>
      </c>
      <c r="W80" s="10" t="s">
        <v>51</v>
      </c>
      <c r="X80" s="10" t="s">
        <v>492</v>
      </c>
    </row>
    <row r="81">
      <c r="A81" s="9">
        <f t="shared" si="1"/>
        <v>80</v>
      </c>
      <c r="B81" s="11">
        <v>46238.66787037037</v>
      </c>
      <c r="C81" s="10" t="s">
        <v>1555</v>
      </c>
      <c r="D81" s="10" t="s">
        <v>36</v>
      </c>
      <c r="E81" s="10" t="s">
        <v>37</v>
      </c>
      <c r="F81" s="13">
        <v>2.0</v>
      </c>
      <c r="G81" s="14">
        <v>369.27</v>
      </c>
      <c r="H81" s="10" t="s">
        <v>6177</v>
      </c>
      <c r="I81" s="10">
        <v>87.1</v>
      </c>
      <c r="O81" s="15">
        <f>IFERROR(__xludf.DUMMYFUNCTION("IF(ISBLANK($C81), """", GOOGLEFINANCE($C81, ""price""))"),370.35)</f>
        <v>370.35</v>
      </c>
      <c r="P81" s="16">
        <f t="shared" si="3"/>
        <v>0.002924689252</v>
      </c>
      <c r="Q81" s="16">
        <f>IFERROR(__xludf.DUMMYFUNCTION("IF(OR(ISBLANK($G81), IFERROR(INDEX(GOOGLEFINANCE($C81, ""price"", WORKDAY(INT($B81), 1)), 2, 2), """")=""""), """", IF($D81=""LONG"", (IFERROR(INDEX(GOOGLEFINANCE($C81, ""price"", WORKDAY(INT($B81), 1)), 2, 2), """")-$G81)/$G81, ($G81-IFERROR(INDEX(GOOGLE"&amp;"FINANCE($C81, ""price"", WORKDAY(INT($B81), 1)), 2, 2), """"))/$G81))"),0.010859262869986706)</f>
        <v>0.01085926287</v>
      </c>
      <c r="R81" s="16" t="str">
        <f>IFERROR(__xludf.DUMMYFUNCTION("IF(OR(ISBLANK($G81), IFERROR(INDEX(GOOGLEFINANCE($C81, ""price"", WORKDAY(INT($B81), 5)), 2, 2), """")=""""), """", IF($D81=""LONG"", (IFERROR(INDEX(GOOGLEFINANCE($C81, ""price"", WORKDAY(INT($B81), 5)), 2, 2), """")-$G81)/$G81, ($G81-IFERROR(INDEX(GOOGLE"&amp;"FINANCE($C81, ""price"", WORKDAY(INT($B81), 5)), 2, 2), """"))/$G81))"),"")</f>
        <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6178</v>
      </c>
      <c r="U81" s="10" t="s">
        <v>492</v>
      </c>
      <c r="V81" s="10" t="s">
        <v>5940</v>
      </c>
      <c r="W81" s="10" t="s">
        <v>51</v>
      </c>
      <c r="X81" s="10" t="s">
        <v>492</v>
      </c>
    </row>
    <row r="82">
      <c r="A82" s="9">
        <f t="shared" si="1"/>
        <v>81</v>
      </c>
      <c r="B82" s="11">
        <v>46238.66737268519</v>
      </c>
      <c r="C82" s="10" t="s">
        <v>234</v>
      </c>
      <c r="D82" s="10" t="s">
        <v>36</v>
      </c>
      <c r="E82" s="10" t="s">
        <v>37</v>
      </c>
      <c r="F82" s="13">
        <v>2.0</v>
      </c>
      <c r="G82" s="14">
        <v>64.23</v>
      </c>
      <c r="H82" s="10" t="s">
        <v>6179</v>
      </c>
      <c r="I82" s="10">
        <v>89.8</v>
      </c>
      <c r="O82" s="15">
        <f>IFERROR(__xludf.DUMMYFUNCTION("IF(ISBLANK($C82), """", GOOGLEFINANCE($C82, ""price""))"),63.81)</f>
        <v>63.81</v>
      </c>
      <c r="P82" s="16">
        <f t="shared" si="3"/>
        <v>-0.006539000467</v>
      </c>
      <c r="Q82" s="16">
        <f>IFERROR(__xludf.DUMMYFUNCTION("IF(OR(ISBLANK($G82), IFERROR(INDEX(GOOGLEFINANCE($C82, ""price"", WORKDAY(INT($B82), 1)), 2, 2), """")=""""), """", IF($D82=""LONG"", (IFERROR(INDEX(GOOGLEFINANCE($C82, ""price"", WORKDAY(INT($B82), 1)), 2, 2), """")-$G82)/$G82, ($G82-IFERROR(INDEX(GOOGLE"&amp;"FINANCE($C82, ""price"", WORKDAY(INT($B82), 1)), 2, 2), """"))/$G82))"),-3.113809746226099E-4)</f>
        <v>-0.0003113809746</v>
      </c>
      <c r="R82" s="16" t="str">
        <f>IFERROR(__xludf.DUMMYFUNCTION("IF(OR(ISBLANK($G82), IFERROR(INDEX(GOOGLEFINANCE($C82, ""price"", WORKDAY(INT($B82), 5)), 2, 2), """")=""""), """", IF($D82=""LONG"", (IFERROR(INDEX(GOOGLEFINANCE($C82, ""price"", WORKDAY(INT($B82), 5)), 2, 2), """")-$G82)/$G82, ($G82-IFERROR(INDEX(GOOGLE"&amp;"FINANCE($C82, ""price"", WORKDAY(INT($B82), 5)), 2, 2), """"))/$G82))"),"")</f>
        <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6180</v>
      </c>
      <c r="U82" s="10" t="s">
        <v>984</v>
      </c>
      <c r="V82" s="10" t="s">
        <v>5881</v>
      </c>
      <c r="W82" s="10" t="s">
        <v>51</v>
      </c>
      <c r="X82" s="10" t="s">
        <v>984</v>
      </c>
    </row>
    <row r="83">
      <c r="A83" s="9">
        <f t="shared" si="1"/>
        <v>82</v>
      </c>
      <c r="B83" s="11">
        <v>46238.66746527778</v>
      </c>
      <c r="C83" s="10" t="s">
        <v>1103</v>
      </c>
      <c r="D83" s="10" t="s">
        <v>36</v>
      </c>
      <c r="E83" s="10" t="s">
        <v>37</v>
      </c>
      <c r="F83" s="13">
        <v>2.0</v>
      </c>
      <c r="G83" s="14">
        <v>33.82</v>
      </c>
      <c r="H83" s="10" t="s">
        <v>6181</v>
      </c>
      <c r="I83" s="10">
        <v>88.1</v>
      </c>
      <c r="O83" s="15">
        <f>IFERROR(__xludf.DUMMYFUNCTION("IF(ISBLANK($C83), """", GOOGLEFINANCE($C83, ""price""))"),33.71)</f>
        <v>33.71</v>
      </c>
      <c r="P83" s="16">
        <f t="shared" si="3"/>
        <v>-0.003252513306</v>
      </c>
      <c r="Q83" s="16">
        <f>IFERROR(__xludf.DUMMYFUNCTION("IF(OR(ISBLANK($G83), IFERROR(INDEX(GOOGLEFINANCE($C83, ""price"", WORKDAY(INT($B83), 1)), 2, 2), """")=""""), """", IF($D83=""LONG"", (IFERROR(INDEX(GOOGLEFINANCE($C83, ""price"", WORKDAY(INT($B83), 1)), 2, 2), """")-$G83)/$G83, ($G83-IFERROR(INDEX(GOOGLE"&amp;"FINANCE($C83, ""price"", WORKDAY(INT($B83), 1)), 2, 2), """"))/$G83))"),0.020106445890005906)</f>
        <v>0.02010644589</v>
      </c>
      <c r="R83" s="16" t="str">
        <f>IFERROR(__xludf.DUMMYFUNCTION("IF(OR(ISBLANK($G83), IFERROR(INDEX(GOOGLEFINANCE($C83, ""price"", WORKDAY(INT($B83), 5)), 2, 2), """")=""""), """", IF($D83=""LONG"", (IFERROR(INDEX(GOOGLEFINANCE($C83, ""price"", WORKDAY(INT($B83), 5)), 2, 2), """")-$G83)/$G83, ($G83-IFERROR(INDEX(GOOGLE"&amp;"FINANCE($C83, ""price"", WORKDAY(INT($B83), 5)), 2, 2), """"))/$G83))"),"")</f>
        <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6182</v>
      </c>
      <c r="U83" s="10" t="s">
        <v>492</v>
      </c>
      <c r="V83" s="10" t="s">
        <v>5919</v>
      </c>
      <c r="W83" s="10" t="s">
        <v>51</v>
      </c>
      <c r="X83" s="10" t="s">
        <v>492</v>
      </c>
    </row>
    <row r="84">
      <c r="A84" s="9">
        <f t="shared" si="1"/>
        <v>83</v>
      </c>
      <c r="B84" s="11">
        <v>46238.667766203704</v>
      </c>
      <c r="C84" s="10" t="s">
        <v>2156</v>
      </c>
      <c r="D84" s="10" t="s">
        <v>36</v>
      </c>
      <c r="E84" s="10" t="s">
        <v>37</v>
      </c>
      <c r="F84" s="13">
        <v>2.0</v>
      </c>
      <c r="G84" s="14">
        <v>93.62</v>
      </c>
      <c r="H84" s="10" t="s">
        <v>1857</v>
      </c>
      <c r="I84" s="10">
        <v>94.6</v>
      </c>
      <c r="O84" s="15">
        <f>IFERROR(__xludf.DUMMYFUNCTION("IF(ISBLANK($C84), """", GOOGLEFINANCE($C84, ""price""))"),94.7)</f>
        <v>94.7</v>
      </c>
      <c r="P84" s="16">
        <f t="shared" si="3"/>
        <v>0.01153599658</v>
      </c>
      <c r="Q84" s="16">
        <f>IFERROR(__xludf.DUMMYFUNCTION("IF(OR(ISBLANK($G84), IFERROR(INDEX(GOOGLEFINANCE($C84, ""price"", WORKDAY(INT($B84), 1)), 2, 2), """")=""""), """", IF($D84=""LONG"", (IFERROR(INDEX(GOOGLEFINANCE($C84, ""price"", WORKDAY(INT($B84), 1)), 2, 2), """")-$G84)/$G84, ($G84-IFERROR(INDEX(GOOGLE"&amp;"FINANCE($C84, ""price"", WORKDAY(INT($B84), 1)), 2, 2), """"))/$G84))"),0.010040589617603051)</f>
        <v>0.01004058962</v>
      </c>
      <c r="R84" s="16" t="str">
        <f>IFERROR(__xludf.DUMMYFUNCTION("IF(OR(ISBLANK($G84), IFERROR(INDEX(GOOGLEFINANCE($C84, ""price"", WORKDAY(INT($B84), 5)), 2, 2), """")=""""), """", IF($D84=""LONG"", (IFERROR(INDEX(GOOGLEFINANCE($C84, ""price"", WORKDAY(INT($B84), 5)), 2, 2), """")-$G84)/$G84, ($G84-IFERROR(INDEX(GOOGLE"&amp;"FINANCE($C84, ""price"", WORKDAY(INT($B84), 5)), 2, 2), """"))/$G84))"),"")</f>
        <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6183</v>
      </c>
      <c r="U84" s="10" t="s">
        <v>984</v>
      </c>
      <c r="V84" s="10" t="s">
        <v>5881</v>
      </c>
      <c r="W84" s="10" t="s">
        <v>51</v>
      </c>
      <c r="X84" s="10" t="s">
        <v>984</v>
      </c>
    </row>
    <row r="85">
      <c r="A85" s="9">
        <f t="shared" si="1"/>
        <v>84</v>
      </c>
      <c r="B85" s="11">
        <v>46238.667905092596</v>
      </c>
      <c r="C85" s="10" t="s">
        <v>98</v>
      </c>
      <c r="D85" s="10" t="s">
        <v>36</v>
      </c>
      <c r="E85" s="10" t="s">
        <v>37</v>
      </c>
      <c r="F85" s="13">
        <v>2.0</v>
      </c>
      <c r="G85" s="14">
        <v>31.95</v>
      </c>
      <c r="H85" s="10" t="s">
        <v>6184</v>
      </c>
      <c r="I85" s="10">
        <v>76.4</v>
      </c>
      <c r="O85" s="15">
        <f>IFERROR(__xludf.DUMMYFUNCTION("IF(ISBLANK($C85), """", GOOGLEFINANCE($C85, ""price""))"),31.39)</f>
        <v>31.39</v>
      </c>
      <c r="P85" s="16">
        <f t="shared" si="3"/>
        <v>-0.01752738654</v>
      </c>
      <c r="Q85" s="16">
        <f>IFERROR(__xludf.DUMMYFUNCTION("IF(OR(ISBLANK($G85), IFERROR(INDEX(GOOGLEFINANCE($C85, ""price"", WORKDAY(INT($B85), 1)), 2, 2), """")=""""), """", IF($D85=""LONG"", (IFERROR(INDEX(GOOGLEFINANCE($C85, ""price"", WORKDAY(INT($B85), 1)), 2, 2), """")-$G85)/$G85, ($G85-IFERROR(INDEX(GOOGLE"&amp;"FINANCE($C85, ""price"", WORKDAY(INT($B85), 1)), 2, 2), """"))/$G85))"),-0.00219092331768389)</f>
        <v>-0.002190923318</v>
      </c>
      <c r="R85" s="16" t="str">
        <f>IFERROR(__xludf.DUMMYFUNCTION("IF(OR(ISBLANK($G85), IFERROR(INDEX(GOOGLEFINANCE($C85, ""price"", WORKDAY(INT($B85), 5)), 2, 2), """")=""""), """", IF($D85=""LONG"", (IFERROR(INDEX(GOOGLEFINANCE($C85, ""price"", WORKDAY(INT($B85), 5)), 2, 2), """")-$G85)/$G85, ($G85-IFERROR(INDEX(GOOGLE"&amp;"FINANCE($C85, ""price"", WORKDAY(INT($B85), 5)), 2, 2), """"))/$G85))"),"")</f>
        <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6185</v>
      </c>
      <c r="U85" s="10" t="s">
        <v>984</v>
      </c>
      <c r="V85" s="10" t="s">
        <v>5881</v>
      </c>
      <c r="W85" s="10" t="s">
        <v>51</v>
      </c>
      <c r="X85" s="10" t="s">
        <v>984</v>
      </c>
    </row>
    <row r="86">
      <c r="A86" s="9">
        <f t="shared" si="1"/>
        <v>85</v>
      </c>
      <c r="B86" s="11">
        <v>46238.6678125</v>
      </c>
      <c r="C86" s="10" t="s">
        <v>228</v>
      </c>
      <c r="D86" s="10" t="s">
        <v>36</v>
      </c>
      <c r="E86" s="10" t="s">
        <v>37</v>
      </c>
      <c r="F86" s="13">
        <v>2.0</v>
      </c>
      <c r="G86" s="14">
        <v>71.38</v>
      </c>
      <c r="H86" s="10" t="s">
        <v>6186</v>
      </c>
      <c r="I86" s="10">
        <v>95.3</v>
      </c>
      <c r="O86" s="15">
        <f>IFERROR(__xludf.DUMMYFUNCTION("IF(ISBLANK($C86), """", GOOGLEFINANCE($C86, ""price""))"),72.13)</f>
        <v>72.13</v>
      </c>
      <c r="P86" s="16">
        <f t="shared" si="3"/>
        <v>0.01050714486</v>
      </c>
      <c r="Q86" s="16">
        <f>IFERROR(__xludf.DUMMYFUNCTION("IF(OR(ISBLANK($G86), IFERROR(INDEX(GOOGLEFINANCE($C86, ""price"", WORKDAY(INT($B86), 1)), 2, 2), """")=""""), """", IF($D86=""LONG"", (IFERROR(INDEX(GOOGLEFINANCE($C86, ""price"", WORKDAY(INT($B86), 1)), 2, 2), """")-$G86)/$G86, ($G86-IFERROR(INDEX(GOOGLE"&amp;"FINANCE($C86, ""price"", WORKDAY(INT($B86), 1)), 2, 2), """"))/$G86))"),0.00980666853460357)</f>
        <v>0.009806668535</v>
      </c>
      <c r="R86" s="16" t="str">
        <f>IFERROR(__xludf.DUMMYFUNCTION("IF(OR(ISBLANK($G86), IFERROR(INDEX(GOOGLEFINANCE($C86, ""price"", WORKDAY(INT($B86), 5)), 2, 2), """")=""""), """", IF($D86=""LONG"", (IFERROR(INDEX(GOOGLEFINANCE($C86, ""price"", WORKDAY(INT($B86), 5)), 2, 2), """")-$G86)/$G86, ($G86-IFERROR(INDEX(GOOGLE"&amp;"FINANCE($C86, ""price"", WORKDAY(INT($B86), 5)), 2, 2), """"))/$G86))"),"")</f>
        <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6187</v>
      </c>
      <c r="U86" s="10" t="s">
        <v>984</v>
      </c>
      <c r="V86" s="10" t="s">
        <v>5889</v>
      </c>
      <c r="W86" s="10" t="s">
        <v>51</v>
      </c>
      <c r="X86" s="10" t="s">
        <v>984</v>
      </c>
    </row>
    <row r="87">
      <c r="A87" s="9">
        <f t="shared" si="1"/>
        <v>86</v>
      </c>
      <c r="B87" s="11">
        <v>46238.66751157407</v>
      </c>
      <c r="C87" s="10" t="s">
        <v>174</v>
      </c>
      <c r="D87" s="10" t="s">
        <v>36</v>
      </c>
      <c r="E87" s="10" t="s">
        <v>37</v>
      </c>
      <c r="F87" s="13">
        <v>2.0</v>
      </c>
      <c r="G87" s="14">
        <v>25.34</v>
      </c>
      <c r="H87" s="10" t="s">
        <v>6188</v>
      </c>
      <c r="I87" s="10">
        <v>89.3</v>
      </c>
      <c r="O87" s="15">
        <f>IFERROR(__xludf.DUMMYFUNCTION("IF(ISBLANK($C87), """", GOOGLEFINANCE($C87, ""price""))"),25.09)</f>
        <v>25.09</v>
      </c>
      <c r="P87" s="16">
        <f t="shared" si="3"/>
        <v>-0.009865824783</v>
      </c>
      <c r="Q87" s="16">
        <f>IFERROR(__xludf.DUMMYFUNCTION("IF(OR(ISBLANK($G87), IFERROR(INDEX(GOOGLEFINANCE($C87, ""price"", WORKDAY(INT($B87), 1)), 2, 2), """")=""""), """", IF($D87=""LONG"", (IFERROR(INDEX(GOOGLEFINANCE($C87, ""price"", WORKDAY(INT($B87), 1)), 2, 2), """")-$G87)/$G87, ($G87-IFERROR(INDEX(GOOGLE"&amp;"FINANCE($C87, ""price"", WORKDAY(INT($B87), 1)), 2, 2), """"))/$G87))"),-0.004340962904498794)</f>
        <v>-0.004340962904</v>
      </c>
      <c r="R87" s="16" t="str">
        <f>IFERROR(__xludf.DUMMYFUNCTION("IF(OR(ISBLANK($G87), IFERROR(INDEX(GOOGLEFINANCE($C87, ""price"", WORKDAY(INT($B87), 5)), 2, 2), """")=""""), """", IF($D87=""LONG"", (IFERROR(INDEX(GOOGLEFINANCE($C87, ""price"", WORKDAY(INT($B87), 5)), 2, 2), """")-$G87)/$G87, ($G87-IFERROR(INDEX(GOOGLE"&amp;"FINANCE($C87, ""price"", WORKDAY(INT($B87), 5)), 2, 2), """"))/$G87))"),"")</f>
        <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6190</v>
      </c>
      <c r="U87" s="10" t="s">
        <v>492</v>
      </c>
      <c r="V87" s="10" t="s">
        <v>493</v>
      </c>
      <c r="W87" s="10" t="s">
        <v>51</v>
      </c>
      <c r="X87" s="10" t="s">
        <v>492</v>
      </c>
    </row>
    <row r="88">
      <c r="B88" s="43"/>
      <c r="G88" s="15"/>
      <c r="O88" s="15"/>
      <c r="P88" s="16"/>
      <c r="Q88" s="16"/>
      <c r="R88" s="16"/>
      <c r="S88" s="16"/>
    </row>
    <row r="89">
      <c r="B89" s="43"/>
      <c r="G89" s="15"/>
      <c r="O89" s="15"/>
      <c r="P89" s="16"/>
      <c r="Q89" s="16"/>
      <c r="R89" s="16"/>
      <c r="S89" s="16"/>
    </row>
    <row r="90">
      <c r="B90" s="43"/>
      <c r="G90" s="15"/>
      <c r="O90" s="15"/>
      <c r="P90" s="16"/>
      <c r="Q90" s="16"/>
      <c r="R90" s="16"/>
      <c r="S90" s="16"/>
    </row>
    <row r="91">
      <c r="B91" s="43"/>
      <c r="G91" s="15"/>
      <c r="O91" s="15"/>
      <c r="P91" s="16"/>
      <c r="Q91" s="16"/>
      <c r="R91" s="16"/>
      <c r="S91" s="16"/>
    </row>
    <row r="92">
      <c r="B92" s="43"/>
      <c r="G92" s="15"/>
      <c r="O92" s="15"/>
      <c r="P92" s="16"/>
      <c r="Q92" s="16"/>
      <c r="R92" s="16"/>
      <c r="S92" s="16"/>
    </row>
    <row r="93">
      <c r="B93" s="43"/>
      <c r="G93" s="15"/>
      <c r="O93" s="15"/>
      <c r="P93" s="16"/>
      <c r="Q93" s="16"/>
      <c r="R93" s="16"/>
      <c r="S93" s="16"/>
    </row>
    <row r="94">
      <c r="B94" s="43"/>
      <c r="G94" s="15"/>
      <c r="O94" s="15"/>
      <c r="P94" s="16"/>
      <c r="Q94" s="16"/>
      <c r="R94" s="16"/>
      <c r="S94" s="16"/>
    </row>
    <row r="95">
      <c r="B95" s="43"/>
      <c r="G95" s="15"/>
      <c r="O95" s="15"/>
      <c r="P95" s="16"/>
      <c r="Q95" s="16"/>
      <c r="R95" s="16"/>
      <c r="S95" s="16"/>
    </row>
    <row r="96">
      <c r="B96" s="43"/>
      <c r="G96" s="15"/>
      <c r="O96" s="15"/>
      <c r="P96" s="16"/>
      <c r="Q96" s="16"/>
      <c r="R96" s="16"/>
      <c r="S96" s="16"/>
    </row>
    <row r="97">
      <c r="B97" s="43"/>
      <c r="G97" s="15"/>
      <c r="O97" s="15"/>
      <c r="P97" s="16"/>
      <c r="Q97" s="16"/>
      <c r="R97" s="16"/>
      <c r="S97" s="16"/>
    </row>
    <row r="98">
      <c r="B98" s="43"/>
      <c r="G98" s="15"/>
      <c r="O98" s="15"/>
      <c r="P98" s="16"/>
      <c r="Q98" s="16"/>
      <c r="R98" s="16"/>
      <c r="S98" s="16"/>
    </row>
    <row r="99">
      <c r="B99" s="43"/>
      <c r="G99" s="15"/>
      <c r="O99" s="15"/>
      <c r="P99" s="16"/>
      <c r="Q99" s="16"/>
      <c r="R99" s="16"/>
      <c r="S99" s="16"/>
    </row>
    <row r="100">
      <c r="B100" s="43"/>
      <c r="G100" s="15"/>
      <c r="O100" s="15"/>
      <c r="P100" s="16"/>
      <c r="Q100" s="16"/>
      <c r="R100" s="16"/>
      <c r="S100" s="16"/>
    </row>
    <row r="101">
      <c r="B101" s="43"/>
      <c r="G101" s="15"/>
      <c r="O101" s="15"/>
      <c r="P101" s="16"/>
      <c r="Q101" s="16"/>
      <c r="R101" s="16"/>
      <c r="S101" s="16"/>
    </row>
    <row r="102">
      <c r="B102" s="43"/>
      <c r="G102" s="15"/>
      <c r="O102" s="15"/>
      <c r="P102" s="16"/>
      <c r="Q102" s="16"/>
      <c r="R102" s="16"/>
      <c r="S102" s="16"/>
    </row>
    <row r="103">
      <c r="B103" s="43"/>
      <c r="G103" s="15"/>
      <c r="O103" s="15"/>
      <c r="P103" s="16"/>
      <c r="Q103" s="16"/>
      <c r="R103" s="16"/>
      <c r="S103" s="16"/>
    </row>
    <row r="104">
      <c r="B104" s="43"/>
      <c r="G104" s="15"/>
      <c r="O104" s="15"/>
      <c r="P104" s="16"/>
      <c r="Q104" s="16"/>
      <c r="R104" s="16"/>
      <c r="S104" s="16"/>
    </row>
    <row r="105">
      <c r="B105" s="43"/>
      <c r="G105" s="15"/>
      <c r="O105" s="15"/>
      <c r="P105" s="16"/>
      <c r="Q105" s="16"/>
      <c r="R105" s="16"/>
      <c r="S105" s="16"/>
    </row>
    <row r="106">
      <c r="B106" s="43"/>
      <c r="G106" s="15"/>
      <c r="O106" s="15"/>
      <c r="P106" s="16"/>
      <c r="Q106" s="16"/>
      <c r="R106" s="16"/>
      <c r="S106" s="16"/>
    </row>
    <row r="107">
      <c r="B107" s="43"/>
      <c r="G107" s="15"/>
      <c r="O107" s="15"/>
      <c r="P107" s="16"/>
      <c r="Q107" s="16"/>
      <c r="R107" s="16"/>
      <c r="S107" s="16"/>
    </row>
    <row r="108">
      <c r="B108" s="43"/>
      <c r="G108" s="15"/>
      <c r="O108" s="15"/>
      <c r="P108" s="16"/>
      <c r="Q108" s="16"/>
      <c r="R108" s="16"/>
      <c r="S108" s="16"/>
    </row>
    <row r="109">
      <c r="B109" s="43"/>
      <c r="G109" s="15"/>
      <c r="O109" s="15"/>
      <c r="P109" s="16"/>
      <c r="Q109" s="16"/>
      <c r="R109" s="16"/>
      <c r="S109" s="16"/>
    </row>
    <row r="110">
      <c r="B110" s="43"/>
      <c r="G110" s="15"/>
      <c r="O110" s="15"/>
      <c r="P110" s="16"/>
      <c r="Q110" s="16"/>
      <c r="R110" s="16"/>
      <c r="S110" s="16"/>
    </row>
    <row r="111">
      <c r="B111" s="43"/>
      <c r="G111" s="15"/>
      <c r="O111" s="15"/>
      <c r="P111" s="16"/>
      <c r="Q111" s="16"/>
      <c r="R111" s="16"/>
      <c r="S111" s="16"/>
    </row>
    <row r="112">
      <c r="B112" s="43"/>
      <c r="G112" s="15"/>
      <c r="O112" s="15"/>
      <c r="P112" s="16"/>
      <c r="Q112" s="16"/>
      <c r="R112" s="16"/>
      <c r="S112" s="16"/>
    </row>
    <row r="113">
      <c r="B113" s="43"/>
      <c r="G113" s="15"/>
      <c r="O113" s="15"/>
      <c r="P113" s="16"/>
      <c r="Q113" s="16"/>
      <c r="R113" s="16"/>
      <c r="S113" s="16"/>
    </row>
    <row r="114">
      <c r="B114" s="43"/>
      <c r="G114" s="15"/>
      <c r="O114" s="15"/>
      <c r="P114" s="16"/>
      <c r="Q114" s="16"/>
      <c r="R114" s="16"/>
      <c r="S114" s="16"/>
    </row>
    <row r="115">
      <c r="B115" s="43"/>
      <c r="G115" s="15"/>
      <c r="O115" s="15"/>
      <c r="P115" s="16"/>
      <c r="Q115" s="16"/>
      <c r="R115" s="16"/>
      <c r="S115" s="16"/>
    </row>
    <row r="116">
      <c r="B116" s="43"/>
      <c r="G116" s="15"/>
      <c r="O116" s="15"/>
      <c r="P116" s="16"/>
      <c r="Q116" s="16"/>
      <c r="R116" s="16"/>
      <c r="S116" s="16"/>
    </row>
    <row r="117">
      <c r="B117" s="43"/>
      <c r="G117" s="15"/>
      <c r="O117" s="15"/>
      <c r="P117" s="16"/>
      <c r="Q117" s="16"/>
      <c r="R117" s="16"/>
      <c r="S117" s="16"/>
    </row>
    <row r="118">
      <c r="B118" s="43"/>
      <c r="G118" s="15"/>
      <c r="O118" s="15"/>
      <c r="P118" s="16"/>
      <c r="Q118" s="16"/>
      <c r="R118" s="16"/>
      <c r="S118" s="16"/>
    </row>
    <row r="119">
      <c r="B119" s="43"/>
      <c r="G119" s="15"/>
      <c r="O119" s="15"/>
      <c r="P119" s="16"/>
      <c r="Q119" s="16"/>
      <c r="R119" s="16"/>
      <c r="S119" s="16"/>
    </row>
    <row r="120">
      <c r="B120" s="43"/>
      <c r="G120" s="15"/>
      <c r="O120" s="15"/>
      <c r="P120" s="16"/>
      <c r="Q120" s="16"/>
      <c r="R120" s="16"/>
      <c r="S120" s="16"/>
    </row>
    <row r="121">
      <c r="B121" s="43"/>
      <c r="G121" s="15"/>
      <c r="O121" s="15"/>
      <c r="P121" s="16"/>
      <c r="Q121" s="16"/>
      <c r="R121" s="16"/>
      <c r="S121" s="16"/>
    </row>
    <row r="122">
      <c r="B122" s="43"/>
      <c r="G122" s="15"/>
      <c r="O122" s="15"/>
      <c r="P122" s="16"/>
      <c r="Q122" s="16"/>
      <c r="R122" s="16"/>
      <c r="S122" s="16"/>
    </row>
    <row r="123">
      <c r="B123" s="43"/>
      <c r="G123" s="15"/>
      <c r="O123" s="15"/>
      <c r="P123" s="16"/>
      <c r="Q123" s="16"/>
      <c r="R123" s="16"/>
      <c r="S123" s="16"/>
    </row>
    <row r="124">
      <c r="B124" s="43"/>
      <c r="G124" s="15"/>
      <c r="O124" s="15"/>
      <c r="P124" s="16"/>
      <c r="Q124" s="16"/>
      <c r="R124" s="16"/>
      <c r="S124" s="16"/>
    </row>
    <row r="125">
      <c r="B125" s="43"/>
      <c r="G125" s="15"/>
      <c r="O125" s="15"/>
      <c r="P125" s="16"/>
      <c r="Q125" s="16"/>
      <c r="R125" s="16"/>
      <c r="S125" s="16"/>
    </row>
    <row r="126">
      <c r="B126" s="43"/>
      <c r="G126" s="15"/>
      <c r="O126" s="15"/>
      <c r="P126" s="16"/>
      <c r="Q126" s="16"/>
      <c r="R126" s="16"/>
      <c r="S126" s="16"/>
    </row>
    <row r="127">
      <c r="B127" s="43"/>
      <c r="G127" s="15"/>
      <c r="O127" s="15"/>
      <c r="P127" s="16"/>
      <c r="Q127" s="16"/>
      <c r="R127" s="16"/>
      <c r="S127" s="16"/>
    </row>
    <row r="128">
      <c r="B128" s="43"/>
      <c r="G128" s="15"/>
      <c r="O128" s="15"/>
      <c r="P128" s="16"/>
      <c r="Q128" s="16"/>
      <c r="R128" s="16"/>
      <c r="S128" s="16"/>
    </row>
    <row r="129">
      <c r="B129" s="43"/>
      <c r="G129" s="15"/>
      <c r="O129" s="15"/>
      <c r="P129" s="16"/>
      <c r="Q129" s="16"/>
      <c r="R129" s="16"/>
      <c r="S129" s="16"/>
    </row>
    <row r="130">
      <c r="B130" s="43"/>
      <c r="G130" s="15"/>
      <c r="O130" s="15"/>
      <c r="P130" s="16"/>
      <c r="Q130" s="16"/>
      <c r="R130" s="16"/>
      <c r="S130" s="16"/>
    </row>
    <row r="131">
      <c r="B131" s="43"/>
      <c r="G131" s="15"/>
      <c r="O131" s="15"/>
      <c r="P131" s="16"/>
      <c r="Q131" s="16"/>
      <c r="R131" s="16"/>
      <c r="S131" s="16"/>
    </row>
    <row r="132">
      <c r="B132" s="43"/>
      <c r="G132" s="15"/>
      <c r="O132" s="15"/>
      <c r="P132" s="16"/>
      <c r="Q132" s="16"/>
      <c r="R132" s="16"/>
      <c r="S132" s="16"/>
    </row>
    <row r="133">
      <c r="B133" s="43"/>
      <c r="G133" s="15"/>
      <c r="O133" s="15"/>
      <c r="P133" s="16"/>
      <c r="Q133" s="16"/>
      <c r="R133" s="16"/>
      <c r="S133" s="16"/>
    </row>
    <row r="134">
      <c r="B134" s="43"/>
      <c r="G134" s="15"/>
      <c r="O134" s="15"/>
      <c r="P134" s="16"/>
      <c r="Q134" s="16"/>
      <c r="R134" s="16"/>
      <c r="S134" s="16"/>
    </row>
    <row r="135">
      <c r="B135" s="43"/>
      <c r="G135" s="15"/>
      <c r="O135" s="15"/>
      <c r="P135" s="16"/>
      <c r="Q135" s="16"/>
      <c r="R135" s="16"/>
      <c r="S135" s="16"/>
    </row>
    <row r="136">
      <c r="B136" s="43"/>
      <c r="G136" s="15"/>
      <c r="O136" s="15"/>
      <c r="P136" s="16"/>
      <c r="Q136" s="16"/>
      <c r="R136" s="16"/>
      <c r="S136" s="16"/>
    </row>
    <row r="137">
      <c r="B137" s="43"/>
      <c r="G137" s="15"/>
      <c r="O137" s="15"/>
      <c r="P137" s="16"/>
      <c r="Q137" s="16"/>
      <c r="R137" s="16"/>
      <c r="S137" s="16"/>
    </row>
    <row r="138">
      <c r="B138" s="43"/>
      <c r="G138" s="15"/>
      <c r="O138" s="15"/>
      <c r="P138" s="16"/>
      <c r="Q138" s="16"/>
      <c r="R138" s="16"/>
      <c r="S138" s="16"/>
    </row>
    <row r="139">
      <c r="B139" s="43"/>
      <c r="G139" s="15"/>
      <c r="O139" s="15"/>
      <c r="P139" s="16"/>
      <c r="Q139" s="16"/>
      <c r="R139" s="16"/>
      <c r="S139" s="16"/>
    </row>
    <row r="140">
      <c r="B140" s="43"/>
      <c r="G140" s="15"/>
      <c r="O140" s="15"/>
      <c r="P140" s="16"/>
      <c r="Q140" s="16"/>
      <c r="R140" s="16"/>
      <c r="S140" s="16"/>
    </row>
    <row r="141">
      <c r="B141" s="43"/>
      <c r="G141" s="15"/>
      <c r="O141" s="15"/>
      <c r="P141" s="16"/>
      <c r="Q141" s="16"/>
      <c r="R141" s="16"/>
      <c r="S141" s="16"/>
    </row>
    <row r="142">
      <c r="B142" s="43"/>
      <c r="G142" s="15"/>
      <c r="O142" s="15"/>
      <c r="P142" s="16"/>
      <c r="Q142" s="16"/>
      <c r="R142" s="16"/>
      <c r="S142" s="16"/>
    </row>
    <row r="143">
      <c r="B143" s="43"/>
      <c r="G143" s="15"/>
      <c r="O143" s="15"/>
      <c r="P143" s="16"/>
      <c r="Q143" s="16"/>
      <c r="R143" s="16"/>
      <c r="S143" s="16"/>
    </row>
    <row r="144">
      <c r="B144" s="43"/>
      <c r="G144" s="15"/>
      <c r="O144" s="15"/>
      <c r="P144" s="16"/>
      <c r="Q144" s="16"/>
      <c r="R144" s="16"/>
      <c r="S144" s="16"/>
    </row>
    <row r="145">
      <c r="B145" s="43"/>
      <c r="G145" s="15"/>
      <c r="O145" s="15"/>
      <c r="P145" s="16"/>
      <c r="Q145" s="16"/>
      <c r="R145" s="16"/>
      <c r="S145" s="16"/>
    </row>
    <row r="146">
      <c r="B146" s="43"/>
      <c r="G146" s="15"/>
      <c r="O146" s="15"/>
      <c r="P146" s="16"/>
      <c r="Q146" s="16"/>
      <c r="R146" s="16"/>
      <c r="S146" s="16"/>
    </row>
    <row r="147">
      <c r="B147" s="43"/>
      <c r="G147" s="15"/>
      <c r="O147" s="15"/>
      <c r="P147" s="16"/>
      <c r="Q147" s="16"/>
      <c r="R147" s="16"/>
      <c r="S147" s="16"/>
    </row>
    <row r="148">
      <c r="B148" s="43"/>
      <c r="G148" s="15"/>
      <c r="O148" s="15"/>
      <c r="P148" s="16"/>
      <c r="Q148" s="16"/>
      <c r="R148" s="16"/>
      <c r="S148" s="16"/>
    </row>
    <row r="149">
      <c r="B149" s="43"/>
      <c r="G149" s="15"/>
      <c r="O149" s="15"/>
      <c r="P149" s="16"/>
      <c r="Q149" s="16"/>
      <c r="R149" s="16"/>
      <c r="S149" s="16"/>
    </row>
    <row r="150">
      <c r="B150" s="43"/>
      <c r="G150" s="15"/>
      <c r="O150" s="15"/>
      <c r="P150" s="16"/>
      <c r="Q150" s="16"/>
      <c r="R150" s="16"/>
      <c r="S150" s="16"/>
    </row>
    <row r="151">
      <c r="B151" s="43"/>
      <c r="G151" s="15"/>
      <c r="O151" s="15"/>
      <c r="P151" s="16"/>
      <c r="Q151" s="16"/>
      <c r="R151" s="16"/>
      <c r="S151" s="16"/>
    </row>
    <row r="152">
      <c r="B152" s="43"/>
      <c r="G152" s="15"/>
      <c r="O152" s="15"/>
      <c r="P152" s="16"/>
      <c r="Q152" s="16"/>
      <c r="R152" s="16"/>
      <c r="S152" s="16"/>
    </row>
    <row r="153">
      <c r="B153" s="43"/>
      <c r="G153" s="15"/>
      <c r="O153" s="15"/>
      <c r="P153" s="16"/>
      <c r="Q153" s="16"/>
      <c r="R153" s="16"/>
      <c r="S153" s="16"/>
    </row>
    <row r="154">
      <c r="B154" s="43"/>
      <c r="G154" s="15"/>
      <c r="O154" s="15"/>
      <c r="P154" s="16"/>
      <c r="Q154" s="16"/>
      <c r="R154" s="16"/>
      <c r="S154" s="16"/>
    </row>
    <row r="155">
      <c r="B155" s="43"/>
      <c r="G155" s="15"/>
      <c r="O155" s="15"/>
      <c r="P155" s="16"/>
      <c r="Q155" s="16"/>
      <c r="R155" s="16"/>
      <c r="S155" s="16"/>
    </row>
    <row r="156">
      <c r="B156" s="43"/>
      <c r="G156" s="15"/>
      <c r="O156" s="15"/>
      <c r="P156" s="16"/>
      <c r="Q156" s="16"/>
      <c r="R156" s="16"/>
      <c r="S156" s="16"/>
    </row>
    <row r="157">
      <c r="B157" s="43"/>
      <c r="G157" s="15"/>
      <c r="O157" s="15"/>
      <c r="P157" s="16"/>
      <c r="Q157" s="16"/>
      <c r="R157" s="16"/>
      <c r="S157" s="16"/>
    </row>
    <row r="158">
      <c r="B158" s="43"/>
      <c r="G158" s="15"/>
      <c r="O158" s="15"/>
      <c r="P158" s="16"/>
      <c r="Q158" s="16"/>
      <c r="R158" s="16"/>
      <c r="S158" s="16"/>
    </row>
    <row r="159">
      <c r="B159" s="43"/>
      <c r="G159" s="15"/>
      <c r="O159" s="15"/>
      <c r="P159" s="16"/>
      <c r="Q159" s="16"/>
      <c r="R159" s="16"/>
      <c r="S159" s="16"/>
    </row>
    <row r="160">
      <c r="B160" s="43"/>
      <c r="G160" s="15"/>
      <c r="O160" s="15"/>
      <c r="P160" s="16"/>
      <c r="Q160" s="16"/>
      <c r="R160" s="16"/>
      <c r="S160" s="16"/>
    </row>
    <row r="161">
      <c r="B161" s="43"/>
      <c r="G161" s="15"/>
      <c r="O161" s="15"/>
      <c r="P161" s="16"/>
      <c r="Q161" s="16"/>
      <c r="R161" s="16"/>
      <c r="S161" s="16"/>
    </row>
    <row r="162">
      <c r="B162" s="43"/>
      <c r="G162" s="15"/>
      <c r="O162" s="15"/>
      <c r="P162" s="16"/>
      <c r="Q162" s="16"/>
      <c r="R162" s="16"/>
      <c r="S162" s="16"/>
    </row>
    <row r="163">
      <c r="B163" s="43"/>
      <c r="G163" s="15"/>
      <c r="O163" s="15"/>
      <c r="P163" s="16"/>
      <c r="Q163" s="16"/>
      <c r="R163" s="16"/>
      <c r="S163" s="16"/>
    </row>
    <row r="164">
      <c r="B164" s="43"/>
      <c r="G164" s="15"/>
      <c r="O164" s="15"/>
      <c r="P164" s="16"/>
      <c r="Q164" s="16"/>
      <c r="R164" s="16"/>
      <c r="S164" s="16"/>
    </row>
    <row r="165">
      <c r="B165" s="43"/>
      <c r="G165" s="15"/>
      <c r="O165" s="15"/>
      <c r="P165" s="16"/>
      <c r="Q165" s="16"/>
      <c r="R165" s="16"/>
      <c r="S165" s="16"/>
    </row>
    <row r="166">
      <c r="B166" s="43"/>
      <c r="G166" s="15"/>
      <c r="O166" s="15"/>
      <c r="P166" s="16"/>
      <c r="Q166" s="16"/>
      <c r="R166" s="16"/>
      <c r="S166" s="16"/>
    </row>
    <row r="167">
      <c r="B167" s="43"/>
      <c r="G167" s="15"/>
      <c r="O167" s="15"/>
      <c r="P167" s="16"/>
      <c r="Q167" s="16"/>
      <c r="R167" s="16"/>
      <c r="S167" s="16"/>
    </row>
    <row r="168">
      <c r="B168" s="43"/>
      <c r="G168" s="15"/>
      <c r="O168" s="15"/>
      <c r="P168" s="16"/>
      <c r="Q168" s="16"/>
      <c r="R168" s="16"/>
      <c r="S168" s="16"/>
    </row>
    <row r="169">
      <c r="B169" s="43"/>
      <c r="G169" s="15"/>
      <c r="O169" s="15"/>
      <c r="P169" s="16"/>
      <c r="Q169" s="16"/>
      <c r="R169" s="16"/>
      <c r="S169" s="16"/>
    </row>
    <row r="170">
      <c r="B170" s="43"/>
      <c r="G170" s="15"/>
      <c r="O170" s="15"/>
      <c r="P170" s="16"/>
      <c r="Q170" s="16"/>
      <c r="R170" s="16"/>
      <c r="S170" s="16"/>
    </row>
    <row r="171">
      <c r="B171" s="43"/>
      <c r="G171" s="15"/>
      <c r="O171" s="15"/>
      <c r="P171" s="16"/>
      <c r="Q171" s="16"/>
      <c r="R171" s="16"/>
      <c r="S171" s="16"/>
    </row>
    <row r="172">
      <c r="B172" s="43"/>
      <c r="G172" s="15"/>
      <c r="O172" s="15"/>
      <c r="P172" s="16"/>
      <c r="Q172" s="16"/>
      <c r="R172" s="16"/>
      <c r="S172" s="16"/>
    </row>
    <row r="173">
      <c r="B173" s="43"/>
      <c r="G173" s="15"/>
      <c r="O173" s="15"/>
      <c r="P173" s="16"/>
      <c r="Q173" s="16"/>
      <c r="R173" s="16"/>
      <c r="S173" s="16"/>
    </row>
    <row r="174">
      <c r="B174" s="43"/>
      <c r="G174" s="15"/>
      <c r="O174" s="15"/>
      <c r="P174" s="16"/>
      <c r="Q174" s="16"/>
      <c r="R174" s="16"/>
      <c r="S174" s="16"/>
    </row>
    <row r="175">
      <c r="B175" s="43"/>
      <c r="G175" s="15"/>
      <c r="O175" s="15"/>
      <c r="P175" s="16"/>
      <c r="Q175" s="16"/>
      <c r="R175" s="16"/>
      <c r="S175" s="16"/>
    </row>
    <row r="176">
      <c r="B176" s="43"/>
      <c r="G176" s="15"/>
      <c r="O176" s="15"/>
      <c r="P176" s="16"/>
      <c r="Q176" s="16"/>
      <c r="R176" s="16"/>
      <c r="S176" s="16"/>
    </row>
    <row r="177">
      <c r="B177" s="43"/>
      <c r="G177" s="15"/>
      <c r="O177" s="15"/>
      <c r="P177" s="16"/>
      <c r="Q177" s="16"/>
      <c r="R177" s="16"/>
      <c r="S177" s="16"/>
    </row>
    <row r="178">
      <c r="B178" s="43"/>
      <c r="G178" s="15"/>
      <c r="O178" s="15"/>
      <c r="P178" s="16"/>
      <c r="Q178" s="16"/>
      <c r="R178" s="16"/>
      <c r="S178" s="16"/>
    </row>
    <row r="179">
      <c r="B179" s="43"/>
      <c r="G179" s="15"/>
      <c r="O179" s="15"/>
      <c r="P179" s="16"/>
      <c r="Q179" s="16"/>
      <c r="R179" s="16"/>
      <c r="S179" s="16"/>
    </row>
    <row r="180">
      <c r="B180" s="43"/>
      <c r="G180" s="15"/>
      <c r="O180" s="15"/>
      <c r="P180" s="16"/>
      <c r="Q180" s="16"/>
      <c r="R180" s="16"/>
      <c r="S180" s="16"/>
    </row>
    <row r="181">
      <c r="B181" s="43"/>
      <c r="G181" s="15"/>
      <c r="O181" s="15"/>
      <c r="P181" s="16"/>
      <c r="Q181" s="16"/>
      <c r="R181" s="16"/>
      <c r="S181" s="16"/>
    </row>
    <row r="182">
      <c r="B182" s="43"/>
      <c r="G182" s="15"/>
      <c r="O182" s="15"/>
      <c r="P182" s="16"/>
      <c r="Q182" s="16"/>
      <c r="R182" s="16"/>
      <c r="S182" s="16"/>
    </row>
    <row r="183">
      <c r="B183" s="43"/>
      <c r="G183" s="15"/>
      <c r="O183" s="15"/>
      <c r="P183" s="16"/>
      <c r="Q183" s="16"/>
      <c r="R183" s="16"/>
      <c r="S183" s="16"/>
    </row>
    <row r="184">
      <c r="B184" s="43"/>
      <c r="G184" s="15"/>
      <c r="O184" s="15"/>
      <c r="P184" s="16"/>
      <c r="Q184" s="16"/>
      <c r="R184" s="16"/>
      <c r="S184" s="16"/>
    </row>
    <row r="185">
      <c r="B185" s="43"/>
      <c r="G185" s="15"/>
      <c r="O185" s="15"/>
      <c r="P185" s="16"/>
      <c r="Q185" s="16"/>
      <c r="R185" s="16"/>
      <c r="S185" s="16"/>
    </row>
    <row r="186">
      <c r="B186" s="43"/>
      <c r="G186" s="15"/>
      <c r="O186" s="15"/>
      <c r="P186" s="16"/>
      <c r="Q186" s="16"/>
      <c r="R186" s="16"/>
      <c r="S186" s="16"/>
    </row>
    <row r="187">
      <c r="B187" s="43"/>
      <c r="G187" s="15"/>
      <c r="O187" s="15"/>
      <c r="P187" s="16"/>
      <c r="Q187" s="16"/>
      <c r="R187" s="16"/>
      <c r="S187" s="16"/>
    </row>
    <row r="188">
      <c r="B188" s="43"/>
      <c r="G188" s="15"/>
      <c r="O188" s="15"/>
      <c r="P188" s="16"/>
      <c r="Q188" s="16"/>
      <c r="R188" s="16"/>
      <c r="S188" s="16"/>
    </row>
    <row r="189">
      <c r="B189" s="43"/>
      <c r="G189" s="15"/>
      <c r="O189" s="15"/>
      <c r="P189" s="16"/>
      <c r="Q189" s="16"/>
      <c r="R189" s="16"/>
      <c r="S189" s="16"/>
    </row>
    <row r="190">
      <c r="B190" s="43"/>
      <c r="G190" s="15"/>
      <c r="O190" s="15"/>
      <c r="P190" s="16"/>
      <c r="Q190" s="16"/>
      <c r="R190" s="16"/>
      <c r="S190" s="16"/>
    </row>
    <row r="191">
      <c r="B191" s="43"/>
      <c r="G191" s="15"/>
      <c r="O191" s="15"/>
      <c r="P191" s="16"/>
      <c r="Q191" s="16"/>
      <c r="R191" s="16"/>
      <c r="S191" s="16"/>
    </row>
    <row r="192">
      <c r="B192" s="43"/>
      <c r="G192" s="15"/>
      <c r="O192" s="15"/>
      <c r="P192" s="16"/>
      <c r="Q192" s="16"/>
      <c r="R192" s="16"/>
      <c r="S192" s="16"/>
    </row>
    <row r="193">
      <c r="B193" s="43"/>
      <c r="G193" s="15"/>
      <c r="O193" s="15"/>
      <c r="P193" s="16"/>
      <c r="Q193" s="16"/>
      <c r="R193" s="16"/>
      <c r="S193" s="16"/>
    </row>
    <row r="194">
      <c r="B194" s="43"/>
      <c r="G194" s="15"/>
      <c r="O194" s="15"/>
      <c r="P194" s="16"/>
      <c r="Q194" s="16"/>
      <c r="R194" s="16"/>
      <c r="S194" s="16"/>
    </row>
    <row r="195">
      <c r="B195" s="43"/>
      <c r="G195" s="15"/>
      <c r="O195" s="15"/>
      <c r="P195" s="16"/>
      <c r="Q195" s="16"/>
      <c r="R195" s="16"/>
      <c r="S195" s="16"/>
    </row>
    <row r="196">
      <c r="B196" s="43"/>
      <c r="G196" s="15"/>
      <c r="O196" s="15"/>
      <c r="P196" s="16"/>
      <c r="Q196" s="16"/>
      <c r="R196" s="16"/>
      <c r="S196" s="16"/>
    </row>
    <row r="197">
      <c r="B197" s="43"/>
      <c r="G197" s="15"/>
      <c r="O197" s="15"/>
      <c r="P197" s="16"/>
      <c r="Q197" s="16"/>
      <c r="R197" s="16"/>
      <c r="S197" s="16"/>
    </row>
    <row r="198">
      <c r="B198" s="43"/>
      <c r="G198" s="15"/>
      <c r="O198" s="15"/>
      <c r="P198" s="16"/>
      <c r="Q198" s="16"/>
      <c r="R198" s="16"/>
      <c r="S198" s="16"/>
    </row>
    <row r="199">
      <c r="B199" s="43"/>
      <c r="G199" s="15"/>
      <c r="O199" s="15"/>
      <c r="P199" s="16"/>
      <c r="Q199" s="16"/>
      <c r="R199" s="16"/>
      <c r="S199" s="16"/>
    </row>
    <row r="200">
      <c r="B200" s="43"/>
      <c r="G200" s="15"/>
      <c r="O200" s="15"/>
      <c r="P200" s="16"/>
      <c r="Q200" s="16"/>
      <c r="R200" s="16"/>
      <c r="S200" s="16"/>
    </row>
    <row r="201">
      <c r="B201" s="43"/>
      <c r="G201" s="15"/>
      <c r="O201" s="15"/>
      <c r="P201" s="16"/>
      <c r="Q201" s="16"/>
      <c r="R201" s="16"/>
      <c r="S201" s="16"/>
    </row>
    <row r="202">
      <c r="B202" s="43"/>
      <c r="G202" s="15"/>
      <c r="O202" s="15"/>
      <c r="P202" s="16"/>
      <c r="Q202" s="16"/>
      <c r="R202" s="16"/>
      <c r="S202" s="16"/>
    </row>
    <row r="203">
      <c r="B203" s="43"/>
      <c r="G203" s="15"/>
      <c r="O203" s="15"/>
      <c r="P203" s="16"/>
      <c r="Q203" s="16"/>
      <c r="R203" s="16"/>
      <c r="S203" s="16"/>
    </row>
    <row r="204">
      <c r="B204" s="43"/>
      <c r="G204" s="15"/>
      <c r="O204" s="15"/>
      <c r="P204" s="16"/>
      <c r="Q204" s="16"/>
      <c r="R204" s="16"/>
      <c r="S204" s="16"/>
    </row>
    <row r="205">
      <c r="B205" s="43"/>
      <c r="G205" s="15"/>
      <c r="O205" s="15"/>
      <c r="P205" s="16"/>
      <c r="Q205" s="16"/>
      <c r="R205" s="16"/>
      <c r="S205" s="16"/>
    </row>
    <row r="206">
      <c r="B206" s="43"/>
      <c r="G206" s="15"/>
      <c r="O206" s="15"/>
      <c r="P206" s="16"/>
      <c r="Q206" s="16"/>
      <c r="R206" s="16"/>
      <c r="S206" s="16"/>
    </row>
    <row r="207">
      <c r="B207" s="43"/>
      <c r="G207" s="15"/>
      <c r="O207" s="15"/>
      <c r="P207" s="16"/>
      <c r="Q207" s="16"/>
      <c r="R207" s="16"/>
      <c r="S207" s="16"/>
    </row>
    <row r="208">
      <c r="B208" s="43"/>
      <c r="G208" s="15"/>
      <c r="O208" s="15"/>
      <c r="P208" s="16"/>
      <c r="Q208" s="16"/>
      <c r="R208" s="16"/>
      <c r="S208" s="16"/>
    </row>
    <row r="209">
      <c r="B209" s="43"/>
      <c r="G209" s="15"/>
      <c r="O209" s="15"/>
      <c r="P209" s="16"/>
      <c r="Q209" s="16"/>
      <c r="R209" s="16"/>
      <c r="S209" s="16"/>
    </row>
    <row r="210">
      <c r="B210" s="43"/>
      <c r="G210" s="15"/>
      <c r="O210" s="15"/>
      <c r="P210" s="16"/>
      <c r="Q210" s="16"/>
      <c r="R210" s="16"/>
      <c r="S210" s="16"/>
    </row>
    <row r="211">
      <c r="B211" s="43"/>
      <c r="G211" s="15"/>
      <c r="O211" s="15"/>
      <c r="P211" s="16"/>
      <c r="Q211" s="16"/>
      <c r="R211" s="16"/>
      <c r="S211" s="16"/>
    </row>
    <row r="212">
      <c r="B212" s="43"/>
      <c r="G212" s="15"/>
      <c r="O212" s="15"/>
      <c r="P212" s="16"/>
      <c r="Q212" s="16"/>
      <c r="R212" s="16"/>
      <c r="S212" s="16"/>
    </row>
    <row r="213">
      <c r="B213" s="43"/>
      <c r="G213" s="15"/>
      <c r="O213" s="15"/>
      <c r="P213" s="16"/>
      <c r="Q213" s="16"/>
      <c r="R213" s="16"/>
      <c r="S213" s="16"/>
    </row>
    <row r="214">
      <c r="B214" s="43"/>
      <c r="G214" s="15"/>
      <c r="O214" s="15"/>
      <c r="P214" s="16"/>
      <c r="Q214" s="16"/>
      <c r="R214" s="16"/>
      <c r="S214" s="16"/>
    </row>
    <row r="215">
      <c r="B215" s="43"/>
      <c r="G215" s="15"/>
      <c r="O215" s="15"/>
      <c r="P215" s="16"/>
      <c r="Q215" s="16"/>
      <c r="R215" s="16"/>
      <c r="S215" s="16"/>
    </row>
    <row r="216">
      <c r="B216" s="43"/>
      <c r="G216" s="15"/>
      <c r="O216" s="15"/>
      <c r="P216" s="16"/>
      <c r="Q216" s="16"/>
      <c r="R216" s="16"/>
      <c r="S216" s="16"/>
    </row>
    <row r="217">
      <c r="B217" s="43"/>
      <c r="G217" s="15"/>
      <c r="O217" s="15"/>
      <c r="P217" s="16"/>
      <c r="Q217" s="16"/>
      <c r="R217" s="16"/>
      <c r="S217" s="16"/>
    </row>
    <row r="218">
      <c r="B218" s="43"/>
      <c r="G218" s="15"/>
      <c r="O218" s="15"/>
      <c r="P218" s="16"/>
      <c r="Q218" s="16"/>
      <c r="R218" s="16"/>
      <c r="S218" s="16"/>
    </row>
    <row r="219">
      <c r="B219" s="43"/>
      <c r="G219" s="15"/>
      <c r="O219" s="15"/>
      <c r="P219" s="16"/>
      <c r="Q219" s="16"/>
      <c r="R219" s="16"/>
      <c r="S219" s="16"/>
    </row>
    <row r="220">
      <c r="B220" s="43"/>
      <c r="G220" s="15"/>
      <c r="O220" s="15"/>
      <c r="P220" s="16"/>
      <c r="Q220" s="16"/>
      <c r="R220" s="16"/>
      <c r="S220" s="16"/>
    </row>
    <row r="221">
      <c r="B221" s="43"/>
      <c r="G221" s="15"/>
      <c r="O221" s="15"/>
      <c r="P221" s="16"/>
      <c r="Q221" s="16"/>
      <c r="R221" s="16"/>
      <c r="S221" s="16"/>
    </row>
    <row r="222">
      <c r="B222" s="43"/>
      <c r="G222" s="15"/>
      <c r="O222" s="15"/>
      <c r="P222" s="16"/>
      <c r="Q222" s="16"/>
      <c r="R222" s="16"/>
      <c r="S222" s="16"/>
    </row>
    <row r="223">
      <c r="B223" s="43"/>
      <c r="G223" s="15"/>
      <c r="O223" s="15"/>
      <c r="P223" s="16"/>
      <c r="Q223" s="16"/>
      <c r="R223" s="16"/>
      <c r="S223" s="16"/>
    </row>
    <row r="224">
      <c r="B224" s="43"/>
      <c r="G224" s="15"/>
      <c r="O224" s="15"/>
      <c r="P224" s="16"/>
      <c r="Q224" s="16"/>
      <c r="R224" s="16"/>
      <c r="S224" s="16"/>
    </row>
    <row r="225">
      <c r="B225" s="43"/>
      <c r="G225" s="15"/>
      <c r="O225" s="15"/>
      <c r="P225" s="16"/>
      <c r="Q225" s="16"/>
      <c r="R225" s="16"/>
      <c r="S225" s="16"/>
    </row>
    <row r="226">
      <c r="B226" s="43"/>
      <c r="G226" s="15"/>
      <c r="O226" s="15"/>
      <c r="P226" s="16"/>
      <c r="Q226" s="16"/>
      <c r="R226" s="16"/>
      <c r="S226" s="16"/>
    </row>
    <row r="227">
      <c r="B227" s="43"/>
      <c r="G227" s="15"/>
      <c r="O227" s="15"/>
      <c r="P227" s="16"/>
      <c r="Q227" s="16"/>
      <c r="R227" s="16"/>
      <c r="S227" s="16"/>
    </row>
    <row r="228">
      <c r="B228" s="43"/>
      <c r="G228" s="15"/>
      <c r="O228" s="15"/>
      <c r="P228" s="16"/>
      <c r="Q228" s="16"/>
      <c r="R228" s="16"/>
      <c r="S228" s="16"/>
    </row>
    <row r="229">
      <c r="B229" s="43"/>
      <c r="G229" s="15"/>
      <c r="O229" s="15"/>
      <c r="P229" s="16"/>
      <c r="Q229" s="16"/>
      <c r="R229" s="16"/>
      <c r="S229" s="16"/>
    </row>
    <row r="230">
      <c r="B230" s="43"/>
      <c r="G230" s="15"/>
      <c r="O230" s="15"/>
      <c r="P230" s="16"/>
      <c r="Q230" s="16"/>
      <c r="R230" s="16"/>
      <c r="S230" s="16"/>
    </row>
    <row r="231">
      <c r="B231" s="43"/>
      <c r="G231" s="15"/>
      <c r="O231" s="15"/>
      <c r="P231" s="16"/>
      <c r="Q231" s="16"/>
      <c r="R231" s="16"/>
      <c r="S231" s="16"/>
    </row>
    <row r="232">
      <c r="B232" s="43"/>
      <c r="G232" s="15"/>
      <c r="O232" s="15"/>
      <c r="P232" s="16"/>
      <c r="Q232" s="16"/>
      <c r="R232" s="16"/>
      <c r="S232" s="16"/>
    </row>
    <row r="233">
      <c r="B233" s="43"/>
      <c r="G233" s="15"/>
      <c r="O233" s="15"/>
      <c r="P233" s="16"/>
      <c r="Q233" s="16"/>
      <c r="R233" s="16"/>
      <c r="S233" s="16"/>
    </row>
    <row r="234">
      <c r="B234" s="43"/>
      <c r="G234" s="15"/>
      <c r="O234" s="15"/>
      <c r="P234" s="16"/>
      <c r="Q234" s="16"/>
      <c r="R234" s="16"/>
      <c r="S234" s="16"/>
    </row>
    <row r="235">
      <c r="B235" s="43"/>
      <c r="G235" s="15"/>
      <c r="O235" s="15"/>
      <c r="P235" s="16"/>
      <c r="Q235" s="16"/>
      <c r="R235" s="16"/>
      <c r="S235" s="16"/>
    </row>
    <row r="236">
      <c r="B236" s="43"/>
      <c r="G236" s="15"/>
      <c r="O236" s="15"/>
      <c r="P236" s="16"/>
      <c r="Q236" s="16"/>
      <c r="R236" s="16"/>
      <c r="S236" s="16"/>
    </row>
    <row r="237">
      <c r="B237" s="43"/>
      <c r="G237" s="15"/>
      <c r="O237" s="15"/>
      <c r="P237" s="16"/>
      <c r="Q237" s="16"/>
      <c r="R237" s="16"/>
      <c r="S237" s="16"/>
    </row>
    <row r="238">
      <c r="B238" s="43"/>
      <c r="G238" s="15"/>
      <c r="O238" s="15"/>
      <c r="P238" s="16"/>
      <c r="Q238" s="16"/>
      <c r="R238" s="16"/>
      <c r="S238" s="16"/>
    </row>
    <row r="239">
      <c r="B239" s="43"/>
      <c r="G239" s="15"/>
      <c r="O239" s="15"/>
      <c r="P239" s="16"/>
      <c r="Q239" s="16"/>
      <c r="R239" s="16"/>
      <c r="S239" s="16"/>
    </row>
    <row r="240">
      <c r="B240" s="43"/>
      <c r="G240" s="15"/>
      <c r="O240" s="15"/>
      <c r="P240" s="16"/>
      <c r="Q240" s="16"/>
      <c r="R240" s="16"/>
      <c r="S240" s="16"/>
    </row>
    <row r="241">
      <c r="B241" s="43"/>
      <c r="G241" s="15"/>
      <c r="O241" s="15"/>
      <c r="P241" s="16"/>
      <c r="Q241" s="16"/>
      <c r="R241" s="16"/>
      <c r="S241" s="16"/>
    </row>
    <row r="242">
      <c r="B242" s="43"/>
      <c r="G242" s="15"/>
      <c r="O242" s="15"/>
      <c r="P242" s="16"/>
      <c r="Q242" s="16"/>
      <c r="R242" s="16"/>
      <c r="S242" s="16"/>
    </row>
    <row r="243">
      <c r="B243" s="43"/>
      <c r="G243" s="15"/>
      <c r="O243" s="15"/>
      <c r="P243" s="16"/>
      <c r="Q243" s="16"/>
      <c r="R243" s="16"/>
      <c r="S243" s="16"/>
    </row>
    <row r="244">
      <c r="B244" s="43"/>
      <c r="G244" s="15"/>
      <c r="O244" s="15"/>
      <c r="P244" s="16"/>
      <c r="Q244" s="16"/>
      <c r="R244" s="16"/>
      <c r="S244" s="16"/>
    </row>
    <row r="245">
      <c r="B245" s="43"/>
      <c r="G245" s="15"/>
      <c r="O245" s="15"/>
      <c r="P245" s="16"/>
      <c r="Q245" s="16"/>
      <c r="R245" s="16"/>
      <c r="S245" s="16"/>
    </row>
    <row r="246">
      <c r="B246" s="43"/>
      <c r="G246" s="15"/>
      <c r="O246" s="15"/>
      <c r="P246" s="16"/>
      <c r="Q246" s="16"/>
      <c r="R246" s="16"/>
      <c r="S246" s="16"/>
    </row>
    <row r="247">
      <c r="B247" s="43"/>
      <c r="G247" s="15"/>
      <c r="O247" s="15"/>
      <c r="P247" s="16"/>
      <c r="Q247" s="16"/>
      <c r="R247" s="16"/>
      <c r="S247" s="16"/>
    </row>
    <row r="248">
      <c r="B248" s="43"/>
      <c r="G248" s="15"/>
      <c r="O248" s="15"/>
      <c r="P248" s="16"/>
      <c r="Q248" s="16"/>
      <c r="R248" s="16"/>
      <c r="S248" s="16"/>
    </row>
    <row r="249">
      <c r="B249" s="43"/>
      <c r="G249" s="15"/>
      <c r="O249" s="15"/>
      <c r="P249" s="16"/>
      <c r="Q249" s="16"/>
      <c r="R249" s="16"/>
      <c r="S249" s="16"/>
    </row>
    <row r="250">
      <c r="B250" s="43"/>
      <c r="G250" s="15"/>
      <c r="O250" s="15"/>
      <c r="P250" s="16"/>
      <c r="Q250" s="16"/>
      <c r="R250" s="16"/>
      <c r="S250" s="16"/>
    </row>
    <row r="251">
      <c r="B251" s="43"/>
      <c r="G251" s="15"/>
      <c r="O251" s="15"/>
      <c r="P251" s="16"/>
      <c r="Q251" s="16"/>
      <c r="R251" s="16"/>
      <c r="S251" s="16"/>
    </row>
    <row r="252">
      <c r="B252" s="43"/>
      <c r="G252" s="15"/>
      <c r="O252" s="15"/>
      <c r="P252" s="16"/>
      <c r="Q252" s="16"/>
      <c r="R252" s="16"/>
      <c r="S252" s="16"/>
    </row>
    <row r="253">
      <c r="B253" s="43"/>
      <c r="G253" s="15"/>
      <c r="O253" s="15"/>
      <c r="P253" s="16"/>
      <c r="Q253" s="16"/>
      <c r="R253" s="16"/>
      <c r="S253" s="16"/>
    </row>
    <row r="254">
      <c r="B254" s="43"/>
      <c r="G254" s="15"/>
      <c r="O254" s="15"/>
      <c r="P254" s="16"/>
      <c r="Q254" s="16"/>
      <c r="R254" s="16"/>
      <c r="S254" s="16"/>
    </row>
    <row r="255">
      <c r="B255" s="43"/>
      <c r="G255" s="15"/>
      <c r="O255" s="15"/>
      <c r="P255" s="16"/>
      <c r="Q255" s="16"/>
      <c r="R255" s="16"/>
      <c r="S255" s="16"/>
    </row>
    <row r="256">
      <c r="B256" s="43"/>
      <c r="G256" s="15"/>
      <c r="O256" s="15"/>
      <c r="P256" s="16"/>
      <c r="Q256" s="16"/>
      <c r="R256" s="16"/>
      <c r="S256" s="16"/>
    </row>
    <row r="257">
      <c r="B257" s="43"/>
      <c r="G257" s="15"/>
      <c r="O257" s="15"/>
      <c r="P257" s="16"/>
      <c r="Q257" s="16"/>
      <c r="R257" s="16"/>
      <c r="S257" s="16"/>
    </row>
    <row r="258">
      <c r="B258" s="43"/>
      <c r="G258" s="15"/>
      <c r="O258" s="15"/>
      <c r="P258" s="16"/>
      <c r="Q258" s="16"/>
      <c r="R258" s="16"/>
      <c r="S258" s="16"/>
    </row>
    <row r="259">
      <c r="B259" s="43"/>
      <c r="G259" s="15"/>
      <c r="O259" s="15"/>
      <c r="P259" s="16"/>
      <c r="Q259" s="16"/>
      <c r="R259" s="16"/>
      <c r="S259" s="16"/>
    </row>
    <row r="260">
      <c r="B260" s="43"/>
      <c r="G260" s="15"/>
      <c r="O260" s="15"/>
      <c r="P260" s="16"/>
      <c r="Q260" s="16"/>
      <c r="R260" s="16"/>
      <c r="S260" s="16"/>
    </row>
    <row r="261">
      <c r="B261" s="43"/>
      <c r="G261" s="15"/>
      <c r="O261" s="15"/>
      <c r="P261" s="16"/>
      <c r="Q261" s="16"/>
      <c r="R261" s="16"/>
      <c r="S261" s="16"/>
    </row>
    <row r="262">
      <c r="B262" s="43"/>
      <c r="G262" s="15"/>
      <c r="O262" s="15"/>
      <c r="P262" s="16"/>
      <c r="Q262" s="16"/>
      <c r="R262" s="16"/>
      <c r="S262" s="16"/>
    </row>
    <row r="263">
      <c r="B263" s="43"/>
      <c r="G263" s="15"/>
      <c r="O263" s="15"/>
      <c r="P263" s="16"/>
      <c r="Q263" s="16"/>
      <c r="R263" s="16"/>
      <c r="S263" s="16"/>
    </row>
    <row r="264">
      <c r="B264" s="43"/>
      <c r="G264" s="15"/>
      <c r="O264" s="15"/>
      <c r="P264" s="16"/>
      <c r="Q264" s="16"/>
      <c r="R264" s="16"/>
      <c r="S264" s="16"/>
    </row>
    <row r="265">
      <c r="B265" s="43"/>
      <c r="G265" s="15"/>
      <c r="O265" s="15"/>
      <c r="P265" s="16"/>
      <c r="Q265" s="16"/>
      <c r="R265" s="16"/>
      <c r="S265" s="16"/>
    </row>
    <row r="266">
      <c r="B266" s="43"/>
      <c r="G266" s="15"/>
      <c r="O266" s="15"/>
      <c r="P266" s="16"/>
      <c r="Q266" s="16"/>
      <c r="R266" s="16"/>
      <c r="S266" s="16"/>
    </row>
    <row r="267">
      <c r="B267" s="43"/>
      <c r="G267" s="15"/>
      <c r="O267" s="15"/>
      <c r="P267" s="16"/>
      <c r="Q267" s="16"/>
      <c r="R267" s="16"/>
      <c r="S267" s="16"/>
    </row>
    <row r="268">
      <c r="B268" s="43"/>
      <c r="G268" s="15"/>
      <c r="O268" s="15"/>
      <c r="P268" s="16"/>
      <c r="Q268" s="16"/>
      <c r="R268" s="16"/>
      <c r="S268" s="16"/>
    </row>
    <row r="269">
      <c r="B269" s="43"/>
      <c r="G269" s="15"/>
      <c r="O269" s="15"/>
      <c r="P269" s="16"/>
      <c r="Q269" s="16"/>
      <c r="R269" s="16"/>
      <c r="S269" s="16"/>
    </row>
    <row r="270">
      <c r="B270" s="43"/>
      <c r="G270" s="15"/>
      <c r="O270" s="15"/>
      <c r="P270" s="16"/>
      <c r="Q270" s="16"/>
      <c r="R270" s="16"/>
      <c r="S270" s="16"/>
    </row>
    <row r="271">
      <c r="B271" s="43"/>
      <c r="G271" s="15"/>
      <c r="O271" s="15"/>
      <c r="P271" s="16"/>
      <c r="Q271" s="16"/>
      <c r="R271" s="16"/>
      <c r="S271" s="16"/>
    </row>
    <row r="272">
      <c r="B272" s="43"/>
      <c r="G272" s="15"/>
      <c r="O272" s="15"/>
      <c r="P272" s="16"/>
      <c r="Q272" s="16"/>
      <c r="R272" s="16"/>
      <c r="S272" s="16"/>
    </row>
    <row r="273">
      <c r="B273" s="43"/>
      <c r="G273" s="15"/>
      <c r="O273" s="15"/>
      <c r="P273" s="16"/>
      <c r="Q273" s="16"/>
      <c r="R273" s="16"/>
      <c r="S273" s="16"/>
    </row>
    <row r="274">
      <c r="B274" s="43"/>
      <c r="G274" s="15"/>
      <c r="O274" s="15"/>
      <c r="P274" s="16"/>
      <c r="Q274" s="16"/>
      <c r="R274" s="16"/>
      <c r="S274" s="16"/>
    </row>
    <row r="275">
      <c r="B275" s="43"/>
      <c r="G275" s="15"/>
      <c r="O275" s="15"/>
      <c r="P275" s="16"/>
      <c r="Q275" s="16"/>
      <c r="R275" s="16"/>
      <c r="S275" s="16"/>
    </row>
    <row r="276">
      <c r="B276" s="43"/>
      <c r="G276" s="15"/>
      <c r="O276" s="15"/>
      <c r="P276" s="16"/>
      <c r="Q276" s="16"/>
      <c r="R276" s="16"/>
      <c r="S276" s="16"/>
    </row>
    <row r="277">
      <c r="B277" s="43"/>
      <c r="G277" s="15"/>
      <c r="O277" s="15"/>
      <c r="P277" s="16"/>
      <c r="Q277" s="16"/>
      <c r="R277" s="16"/>
      <c r="S277" s="16"/>
    </row>
    <row r="278">
      <c r="B278" s="43"/>
      <c r="G278" s="15"/>
      <c r="O278" s="15"/>
      <c r="P278" s="16"/>
      <c r="Q278" s="16"/>
      <c r="R278" s="16"/>
      <c r="S278" s="16"/>
    </row>
    <row r="279">
      <c r="B279" s="43"/>
      <c r="G279" s="15"/>
      <c r="O279" s="15"/>
      <c r="P279" s="16"/>
      <c r="Q279" s="16"/>
      <c r="R279" s="16"/>
      <c r="S279" s="16"/>
    </row>
    <row r="280">
      <c r="B280" s="43"/>
      <c r="G280" s="15"/>
      <c r="O280" s="15"/>
      <c r="P280" s="16"/>
      <c r="Q280" s="16"/>
      <c r="R280" s="16"/>
      <c r="S280" s="16"/>
    </row>
    <row r="281">
      <c r="B281" s="43"/>
      <c r="G281" s="15"/>
      <c r="O281" s="15"/>
      <c r="P281" s="16"/>
      <c r="Q281" s="16"/>
      <c r="R281" s="16"/>
      <c r="S281" s="16"/>
    </row>
    <row r="282">
      <c r="B282" s="43"/>
      <c r="G282" s="15"/>
      <c r="O282" s="15"/>
      <c r="P282" s="16"/>
      <c r="Q282" s="16"/>
      <c r="R282" s="16"/>
      <c r="S282" s="16"/>
    </row>
    <row r="283">
      <c r="B283" s="43"/>
      <c r="G283" s="15"/>
      <c r="O283" s="15"/>
      <c r="P283" s="16"/>
      <c r="Q283" s="16"/>
      <c r="R283" s="16"/>
      <c r="S283" s="16"/>
    </row>
    <row r="284">
      <c r="B284" s="43"/>
      <c r="G284" s="15"/>
      <c r="O284" s="15"/>
      <c r="P284" s="16"/>
      <c r="Q284" s="16"/>
      <c r="R284" s="16"/>
      <c r="S284" s="16"/>
    </row>
    <row r="285">
      <c r="B285" s="43"/>
      <c r="G285" s="15"/>
      <c r="O285" s="15"/>
      <c r="P285" s="16"/>
      <c r="Q285" s="16"/>
      <c r="R285" s="16"/>
      <c r="S285" s="16"/>
    </row>
    <row r="286">
      <c r="B286" s="43"/>
      <c r="G286" s="15"/>
      <c r="O286" s="15"/>
      <c r="P286" s="16"/>
      <c r="Q286" s="16"/>
      <c r="R286" s="16"/>
      <c r="S286" s="16"/>
    </row>
    <row r="287">
      <c r="B287" s="43"/>
      <c r="G287" s="15"/>
      <c r="O287" s="15"/>
      <c r="P287" s="16"/>
      <c r="Q287" s="16"/>
      <c r="R287" s="16"/>
      <c r="S287" s="16"/>
    </row>
    <row r="288">
      <c r="B288" s="43"/>
      <c r="G288" s="15"/>
      <c r="O288" s="15"/>
      <c r="P288" s="16"/>
      <c r="Q288" s="16"/>
      <c r="R288" s="16"/>
      <c r="S288" s="16"/>
    </row>
    <row r="289">
      <c r="B289" s="43"/>
      <c r="G289" s="15"/>
      <c r="O289" s="15"/>
      <c r="P289" s="16"/>
      <c r="Q289" s="16"/>
      <c r="R289" s="16"/>
      <c r="S289" s="16"/>
    </row>
    <row r="290">
      <c r="B290" s="43"/>
      <c r="G290" s="15"/>
      <c r="O290" s="15"/>
      <c r="P290" s="16"/>
      <c r="Q290" s="16"/>
      <c r="R290" s="16"/>
      <c r="S290" s="16"/>
    </row>
    <row r="291">
      <c r="B291" s="43"/>
      <c r="G291" s="15"/>
      <c r="O291" s="15"/>
      <c r="P291" s="16"/>
      <c r="Q291" s="16"/>
      <c r="R291" s="16"/>
      <c r="S291" s="16"/>
    </row>
    <row r="292">
      <c r="B292" s="43"/>
      <c r="G292" s="15"/>
      <c r="O292" s="15"/>
      <c r="P292" s="16"/>
      <c r="Q292" s="16"/>
      <c r="R292" s="16"/>
      <c r="S292" s="16"/>
    </row>
    <row r="293">
      <c r="B293" s="43"/>
      <c r="G293" s="15"/>
      <c r="O293" s="15"/>
      <c r="P293" s="16"/>
      <c r="Q293" s="16"/>
      <c r="R293" s="16"/>
      <c r="S293" s="16"/>
    </row>
    <row r="294">
      <c r="B294" s="43"/>
      <c r="G294" s="15"/>
      <c r="O294" s="15"/>
      <c r="P294" s="16"/>
      <c r="Q294" s="16"/>
      <c r="R294" s="16"/>
      <c r="S294" s="16"/>
    </row>
    <row r="295">
      <c r="B295" s="43"/>
      <c r="G295" s="15"/>
      <c r="O295" s="15"/>
      <c r="P295" s="16"/>
      <c r="Q295" s="16"/>
      <c r="R295" s="16"/>
      <c r="S295" s="16"/>
    </row>
    <row r="296">
      <c r="B296" s="43"/>
      <c r="G296" s="15"/>
      <c r="O296" s="15"/>
      <c r="P296" s="16"/>
      <c r="Q296" s="16"/>
      <c r="R296" s="16"/>
      <c r="S296" s="16"/>
    </row>
    <row r="297">
      <c r="B297" s="43"/>
      <c r="G297" s="15"/>
      <c r="O297" s="15"/>
      <c r="P297" s="16"/>
      <c r="Q297" s="16"/>
      <c r="R297" s="16"/>
      <c r="S297" s="16"/>
    </row>
    <row r="298">
      <c r="B298" s="43"/>
      <c r="G298" s="15"/>
      <c r="O298" s="15"/>
      <c r="P298" s="16"/>
      <c r="Q298" s="16"/>
      <c r="R298" s="16"/>
      <c r="S298" s="16"/>
    </row>
    <row r="299">
      <c r="B299" s="43"/>
      <c r="G299" s="15"/>
      <c r="O299" s="15"/>
      <c r="P299" s="16"/>
      <c r="Q299" s="16"/>
      <c r="R299" s="16"/>
      <c r="S299" s="16"/>
    </row>
    <row r="300">
      <c r="B300" s="43"/>
      <c r="G300" s="15"/>
      <c r="O300" s="15"/>
      <c r="P300" s="16"/>
      <c r="Q300" s="16"/>
      <c r="R300" s="16"/>
      <c r="S300" s="16"/>
    </row>
    <row r="301">
      <c r="B301" s="43"/>
      <c r="G301" s="15"/>
      <c r="O301" s="15"/>
      <c r="P301" s="16"/>
      <c r="Q301" s="16"/>
      <c r="R301" s="16"/>
      <c r="S301" s="16"/>
    </row>
    <row r="302">
      <c r="B302" s="43"/>
      <c r="G302" s="15"/>
      <c r="O302" s="15"/>
      <c r="P302" s="16"/>
      <c r="Q302" s="16"/>
      <c r="R302" s="16"/>
      <c r="S302" s="16"/>
    </row>
    <row r="303">
      <c r="B303" s="43"/>
      <c r="G303" s="15"/>
      <c r="O303" s="15"/>
      <c r="P303" s="16"/>
      <c r="Q303" s="16"/>
      <c r="R303" s="16"/>
      <c r="S303" s="16"/>
    </row>
    <row r="304">
      <c r="B304" s="43"/>
      <c r="G304" s="15"/>
      <c r="O304" s="15"/>
      <c r="P304" s="16"/>
      <c r="Q304" s="16"/>
      <c r="R304" s="16"/>
      <c r="S304" s="16"/>
    </row>
    <row r="305">
      <c r="B305" s="43"/>
      <c r="G305" s="15"/>
      <c r="O305" s="15"/>
      <c r="P305" s="16"/>
      <c r="Q305" s="16"/>
      <c r="R305" s="16"/>
      <c r="S305" s="16"/>
    </row>
    <row r="306">
      <c r="B306" s="43"/>
      <c r="G306" s="15"/>
      <c r="O306" s="15"/>
      <c r="P306" s="16"/>
      <c r="Q306" s="16"/>
      <c r="R306" s="16"/>
      <c r="S306" s="16"/>
    </row>
    <row r="307">
      <c r="B307" s="43"/>
      <c r="G307" s="15"/>
      <c r="O307" s="15"/>
      <c r="P307" s="16"/>
      <c r="Q307" s="16"/>
      <c r="R307" s="16"/>
      <c r="S307" s="16"/>
    </row>
    <row r="308">
      <c r="B308" s="43"/>
      <c r="G308" s="15"/>
      <c r="O308" s="15"/>
      <c r="P308" s="16"/>
      <c r="Q308" s="16"/>
      <c r="R308" s="16"/>
      <c r="S308" s="16"/>
    </row>
    <row r="309">
      <c r="B309" s="43"/>
      <c r="G309" s="15"/>
      <c r="O309" s="15"/>
      <c r="P309" s="16"/>
      <c r="Q309" s="16"/>
      <c r="R309" s="16"/>
      <c r="S309" s="16"/>
    </row>
    <row r="310">
      <c r="B310" s="43"/>
      <c r="G310" s="15"/>
      <c r="O310" s="15"/>
      <c r="P310" s="16"/>
      <c r="Q310" s="16"/>
      <c r="R310" s="16"/>
      <c r="S310" s="16"/>
    </row>
    <row r="311">
      <c r="B311" s="43"/>
      <c r="G311" s="15"/>
      <c r="O311" s="15"/>
      <c r="P311" s="16"/>
      <c r="Q311" s="16"/>
      <c r="R311" s="16"/>
      <c r="S311" s="16"/>
    </row>
    <row r="312">
      <c r="B312" s="43"/>
      <c r="G312" s="15"/>
      <c r="O312" s="15"/>
      <c r="P312" s="16"/>
      <c r="Q312" s="16"/>
      <c r="R312" s="16"/>
      <c r="S312" s="16"/>
    </row>
    <row r="313">
      <c r="B313" s="43"/>
      <c r="G313" s="15"/>
      <c r="O313" s="15"/>
      <c r="P313" s="16"/>
      <c r="Q313" s="16"/>
      <c r="R313" s="16"/>
      <c r="S313" s="16"/>
    </row>
    <row r="314">
      <c r="B314" s="43"/>
      <c r="G314" s="15"/>
      <c r="O314" s="15"/>
      <c r="P314" s="16"/>
      <c r="Q314" s="16"/>
      <c r="R314" s="16"/>
      <c r="S314" s="16"/>
    </row>
    <row r="315">
      <c r="B315" s="43"/>
      <c r="G315" s="15"/>
      <c r="O315" s="15"/>
      <c r="P315" s="16"/>
      <c r="Q315" s="16"/>
      <c r="R315" s="16"/>
      <c r="S315" s="16"/>
    </row>
    <row r="316">
      <c r="B316" s="43"/>
      <c r="G316" s="15"/>
      <c r="O316" s="15"/>
      <c r="P316" s="16"/>
      <c r="Q316" s="16"/>
      <c r="R316" s="16"/>
      <c r="S316" s="16"/>
    </row>
    <row r="317">
      <c r="B317" s="43"/>
      <c r="G317" s="15"/>
      <c r="O317" s="15"/>
      <c r="P317" s="16"/>
      <c r="Q317" s="16"/>
      <c r="R317" s="16"/>
      <c r="S317" s="16"/>
    </row>
    <row r="318">
      <c r="B318" s="43"/>
      <c r="G318" s="15"/>
      <c r="O318" s="15"/>
      <c r="P318" s="16"/>
      <c r="Q318" s="16"/>
      <c r="R318" s="16"/>
      <c r="S318" s="16"/>
    </row>
    <row r="319">
      <c r="B319" s="43"/>
      <c r="G319" s="15"/>
      <c r="O319" s="15"/>
      <c r="P319" s="16"/>
      <c r="Q319" s="16"/>
      <c r="R319" s="16"/>
      <c r="S319" s="16"/>
    </row>
    <row r="320">
      <c r="B320" s="43"/>
      <c r="G320" s="15"/>
      <c r="O320" s="15"/>
      <c r="P320" s="16"/>
      <c r="Q320" s="16"/>
      <c r="R320" s="16"/>
      <c r="S320" s="16"/>
    </row>
    <row r="321">
      <c r="B321" s="43"/>
      <c r="G321" s="15"/>
      <c r="O321" s="15"/>
      <c r="P321" s="16"/>
      <c r="Q321" s="16"/>
      <c r="R321" s="16"/>
      <c r="S321" s="16"/>
    </row>
    <row r="322">
      <c r="B322" s="43"/>
      <c r="G322" s="15"/>
      <c r="O322" s="15"/>
      <c r="P322" s="16"/>
      <c r="Q322" s="16"/>
      <c r="R322" s="16"/>
      <c r="S322" s="16"/>
    </row>
    <row r="323">
      <c r="B323" s="43"/>
      <c r="G323" s="15"/>
      <c r="O323" s="15"/>
      <c r="P323" s="16"/>
      <c r="Q323" s="16"/>
      <c r="R323" s="16"/>
      <c r="S323" s="16"/>
    </row>
    <row r="324">
      <c r="B324" s="43"/>
      <c r="G324" s="15"/>
      <c r="O324" s="15"/>
      <c r="P324" s="16"/>
      <c r="Q324" s="16"/>
      <c r="R324" s="16"/>
      <c r="S324" s="16"/>
    </row>
    <row r="325">
      <c r="B325" s="43"/>
      <c r="G325" s="15"/>
      <c r="O325" s="15"/>
      <c r="P325" s="16"/>
      <c r="Q325" s="16"/>
      <c r="R325" s="16"/>
      <c r="S325" s="16"/>
    </row>
    <row r="326">
      <c r="B326" s="43"/>
      <c r="G326" s="15"/>
      <c r="O326" s="15"/>
      <c r="P326" s="16"/>
      <c r="Q326" s="16"/>
      <c r="R326" s="16"/>
      <c r="S326" s="16"/>
    </row>
    <row r="327">
      <c r="B327" s="43"/>
      <c r="G327" s="15"/>
      <c r="O327" s="15"/>
      <c r="P327" s="16"/>
      <c r="Q327" s="16"/>
      <c r="R327" s="16"/>
      <c r="S327" s="16"/>
    </row>
    <row r="328">
      <c r="B328" s="43"/>
      <c r="G328" s="15"/>
      <c r="O328" s="15"/>
      <c r="P328" s="16"/>
      <c r="Q328" s="16"/>
      <c r="R328" s="16"/>
      <c r="S328" s="16"/>
    </row>
    <row r="329">
      <c r="B329" s="43"/>
      <c r="G329" s="15"/>
      <c r="O329" s="15"/>
      <c r="P329" s="16"/>
      <c r="Q329" s="16"/>
      <c r="R329" s="16"/>
      <c r="S329" s="16"/>
    </row>
    <row r="330">
      <c r="B330" s="43"/>
      <c r="G330" s="15"/>
      <c r="O330" s="15"/>
      <c r="P330" s="16"/>
      <c r="Q330" s="16"/>
      <c r="R330" s="16"/>
      <c r="S330" s="16"/>
    </row>
    <row r="331">
      <c r="B331" s="43"/>
      <c r="G331" s="15"/>
      <c r="O331" s="15"/>
      <c r="P331" s="16"/>
      <c r="Q331" s="16"/>
      <c r="R331" s="16"/>
      <c r="S331" s="16"/>
    </row>
    <row r="332">
      <c r="B332" s="43"/>
      <c r="G332" s="15"/>
      <c r="O332" s="15"/>
      <c r="P332" s="16"/>
      <c r="Q332" s="16"/>
      <c r="R332" s="16"/>
      <c r="S332" s="16"/>
    </row>
    <row r="333">
      <c r="B333" s="43"/>
      <c r="G333" s="15"/>
      <c r="O333" s="15"/>
      <c r="P333" s="16"/>
      <c r="Q333" s="16"/>
      <c r="R333" s="16"/>
      <c r="S333" s="16"/>
    </row>
    <row r="334">
      <c r="B334" s="43"/>
      <c r="G334" s="15"/>
      <c r="O334" s="15"/>
      <c r="P334" s="16"/>
      <c r="Q334" s="16"/>
      <c r="R334" s="16"/>
      <c r="S334" s="16"/>
    </row>
    <row r="335">
      <c r="B335" s="43"/>
      <c r="G335" s="15"/>
      <c r="O335" s="15"/>
      <c r="P335" s="16"/>
      <c r="Q335" s="16"/>
      <c r="R335" s="16"/>
      <c r="S335" s="16"/>
    </row>
    <row r="336">
      <c r="B336" s="43"/>
      <c r="G336" s="15"/>
      <c r="O336" s="15"/>
      <c r="P336" s="16"/>
      <c r="Q336" s="16"/>
      <c r="R336" s="16"/>
      <c r="S336" s="16"/>
    </row>
    <row r="337">
      <c r="B337" s="43"/>
      <c r="G337" s="15"/>
      <c r="O337" s="15"/>
      <c r="P337" s="16"/>
      <c r="Q337" s="16"/>
      <c r="R337" s="16"/>
      <c r="S337" s="16"/>
    </row>
    <row r="338">
      <c r="B338" s="43"/>
      <c r="G338" s="15"/>
      <c r="O338" s="15"/>
      <c r="P338" s="16"/>
      <c r="Q338" s="16"/>
      <c r="R338" s="16"/>
      <c r="S338" s="16"/>
    </row>
    <row r="339">
      <c r="B339" s="43"/>
      <c r="G339" s="15"/>
      <c r="O339" s="15"/>
      <c r="P339" s="16"/>
      <c r="Q339" s="16"/>
      <c r="R339" s="16"/>
      <c r="S339" s="16"/>
    </row>
    <row r="340">
      <c r="B340" s="43"/>
      <c r="G340" s="15"/>
      <c r="O340" s="15"/>
      <c r="P340" s="16"/>
      <c r="Q340" s="16"/>
      <c r="R340" s="16"/>
      <c r="S340" s="16"/>
    </row>
    <row r="341">
      <c r="B341" s="43"/>
      <c r="G341" s="15"/>
      <c r="O341" s="15"/>
      <c r="P341" s="16"/>
      <c r="Q341" s="16"/>
      <c r="R341" s="16"/>
      <c r="S341" s="16"/>
    </row>
    <row r="342">
      <c r="B342" s="43"/>
      <c r="G342" s="15"/>
      <c r="O342" s="15"/>
      <c r="P342" s="16"/>
      <c r="Q342" s="16"/>
      <c r="R342" s="16"/>
      <c r="S342" s="16"/>
    </row>
    <row r="343">
      <c r="B343" s="43"/>
      <c r="G343" s="15"/>
      <c r="O343" s="15"/>
      <c r="P343" s="16"/>
      <c r="Q343" s="16"/>
      <c r="R343" s="16"/>
      <c r="S343" s="16"/>
    </row>
    <row r="344">
      <c r="B344" s="43"/>
      <c r="G344" s="15"/>
      <c r="O344" s="15"/>
      <c r="P344" s="16"/>
      <c r="Q344" s="16"/>
      <c r="R344" s="16"/>
      <c r="S344" s="16"/>
    </row>
    <row r="345">
      <c r="B345" s="43"/>
      <c r="G345" s="15"/>
      <c r="O345" s="15"/>
      <c r="P345" s="16"/>
      <c r="Q345" s="16"/>
      <c r="R345" s="16"/>
      <c r="S345" s="16"/>
    </row>
    <row r="346">
      <c r="B346" s="43"/>
      <c r="G346" s="15"/>
      <c r="O346" s="15"/>
      <c r="P346" s="16"/>
      <c r="Q346" s="16"/>
      <c r="R346" s="16"/>
      <c r="S346" s="16"/>
    </row>
    <row r="347">
      <c r="B347" s="43"/>
      <c r="G347" s="15"/>
      <c r="O347" s="15"/>
      <c r="P347" s="16"/>
      <c r="Q347" s="16"/>
      <c r="R347" s="16"/>
      <c r="S347" s="16"/>
    </row>
    <row r="348">
      <c r="B348" s="43"/>
      <c r="G348" s="15"/>
      <c r="O348" s="15"/>
      <c r="P348" s="16"/>
      <c r="Q348" s="16"/>
      <c r="R348" s="16"/>
      <c r="S348" s="16"/>
    </row>
    <row r="349">
      <c r="B349" s="43"/>
      <c r="G349" s="15"/>
      <c r="O349" s="15"/>
      <c r="P349" s="16"/>
      <c r="Q349" s="16"/>
      <c r="R349" s="16"/>
      <c r="S349" s="16"/>
    </row>
    <row r="350">
      <c r="B350" s="43"/>
      <c r="G350" s="15"/>
      <c r="O350" s="15"/>
      <c r="P350" s="16"/>
      <c r="Q350" s="16"/>
      <c r="R350" s="16"/>
      <c r="S350" s="16"/>
    </row>
    <row r="351">
      <c r="B351" s="43"/>
      <c r="G351" s="15"/>
      <c r="O351" s="15"/>
      <c r="P351" s="16"/>
      <c r="Q351" s="16"/>
      <c r="R351" s="16"/>
      <c r="S351" s="16"/>
    </row>
    <row r="352">
      <c r="B352" s="43"/>
      <c r="G352" s="15"/>
      <c r="O352" s="15"/>
      <c r="P352" s="16"/>
      <c r="Q352" s="16"/>
      <c r="R352" s="16"/>
      <c r="S352" s="16"/>
    </row>
    <row r="353">
      <c r="B353" s="43"/>
      <c r="G353" s="15"/>
      <c r="O353" s="15"/>
      <c r="P353" s="16"/>
      <c r="Q353" s="16"/>
      <c r="R353" s="16"/>
      <c r="S353" s="16"/>
    </row>
    <row r="354">
      <c r="B354" s="43"/>
      <c r="G354" s="15"/>
      <c r="O354" s="15"/>
      <c r="P354" s="16"/>
      <c r="Q354" s="16"/>
      <c r="R354" s="16"/>
      <c r="S354" s="16"/>
    </row>
    <row r="355">
      <c r="B355" s="43"/>
      <c r="G355" s="15"/>
      <c r="O355" s="15"/>
      <c r="P355" s="16"/>
      <c r="Q355" s="16"/>
      <c r="R355" s="16"/>
      <c r="S355" s="16"/>
    </row>
    <row r="356">
      <c r="B356" s="43"/>
      <c r="G356" s="15"/>
      <c r="O356" s="15"/>
      <c r="P356" s="16"/>
      <c r="Q356" s="16"/>
      <c r="R356" s="16"/>
      <c r="S356" s="16"/>
    </row>
    <row r="357">
      <c r="B357" s="43"/>
      <c r="G357" s="15"/>
      <c r="O357" s="15"/>
      <c r="P357" s="16"/>
      <c r="Q357" s="16"/>
      <c r="R357" s="16"/>
      <c r="S357" s="16"/>
    </row>
    <row r="358">
      <c r="B358" s="43"/>
      <c r="G358" s="15"/>
      <c r="O358" s="15"/>
      <c r="P358" s="16"/>
      <c r="Q358" s="16"/>
      <c r="R358" s="16"/>
      <c r="S358" s="16"/>
    </row>
    <row r="359">
      <c r="B359" s="43"/>
      <c r="G359" s="15"/>
      <c r="O359" s="15"/>
      <c r="P359" s="16"/>
      <c r="Q359" s="16"/>
      <c r="R359" s="16"/>
      <c r="S359" s="16"/>
    </row>
    <row r="360">
      <c r="B360" s="43"/>
      <c r="G360" s="15"/>
      <c r="O360" s="15"/>
      <c r="P360" s="16"/>
      <c r="Q360" s="16"/>
      <c r="R360" s="16"/>
      <c r="S360" s="16"/>
    </row>
    <row r="361">
      <c r="B361" s="43"/>
      <c r="G361" s="15"/>
      <c r="O361" s="15"/>
      <c r="P361" s="16"/>
      <c r="Q361" s="16"/>
      <c r="R361" s="16"/>
      <c r="S361" s="16"/>
    </row>
    <row r="362">
      <c r="B362" s="43"/>
      <c r="G362" s="15"/>
      <c r="O362" s="15"/>
      <c r="P362" s="16"/>
      <c r="Q362" s="16"/>
      <c r="R362" s="16"/>
      <c r="S362" s="16"/>
    </row>
    <row r="363">
      <c r="B363" s="43"/>
      <c r="G363" s="15"/>
      <c r="O363" s="15"/>
      <c r="P363" s="16"/>
      <c r="Q363" s="16"/>
      <c r="R363" s="16"/>
      <c r="S363" s="16"/>
    </row>
    <row r="364">
      <c r="B364" s="43"/>
      <c r="G364" s="15"/>
      <c r="O364" s="15"/>
      <c r="P364" s="16"/>
      <c r="Q364" s="16"/>
      <c r="R364" s="16"/>
      <c r="S364" s="16"/>
    </row>
    <row r="365">
      <c r="B365" s="43"/>
      <c r="G365" s="15"/>
      <c r="O365" s="15"/>
      <c r="P365" s="16"/>
      <c r="Q365" s="16"/>
      <c r="R365" s="16"/>
      <c r="S365" s="16"/>
    </row>
    <row r="366">
      <c r="B366" s="43"/>
      <c r="G366" s="15"/>
      <c r="O366" s="15"/>
      <c r="P366" s="16"/>
      <c r="Q366" s="16"/>
      <c r="R366" s="16"/>
      <c r="S366" s="16"/>
    </row>
    <row r="367">
      <c r="B367" s="43"/>
      <c r="G367" s="15"/>
      <c r="O367" s="15"/>
      <c r="P367" s="16"/>
      <c r="Q367" s="16"/>
      <c r="R367" s="16"/>
      <c r="S367" s="16"/>
    </row>
    <row r="368">
      <c r="B368" s="43"/>
      <c r="G368" s="15"/>
      <c r="O368" s="15"/>
      <c r="P368" s="16"/>
      <c r="Q368" s="16"/>
      <c r="R368" s="16"/>
      <c r="S368" s="16"/>
    </row>
    <row r="369">
      <c r="B369" s="43"/>
      <c r="G369" s="15"/>
      <c r="O369" s="15"/>
      <c r="P369" s="16"/>
      <c r="Q369" s="16"/>
      <c r="R369" s="16"/>
      <c r="S369" s="16"/>
    </row>
    <row r="370">
      <c r="B370" s="43"/>
      <c r="G370" s="15"/>
      <c r="O370" s="15"/>
      <c r="P370" s="16"/>
      <c r="Q370" s="16"/>
      <c r="R370" s="16"/>
      <c r="S370" s="16"/>
    </row>
    <row r="371">
      <c r="B371" s="43"/>
      <c r="G371" s="15"/>
      <c r="O371" s="15"/>
      <c r="P371" s="16"/>
      <c r="Q371" s="16"/>
      <c r="R371" s="16"/>
      <c r="S371" s="16"/>
    </row>
    <row r="372">
      <c r="B372" s="43"/>
      <c r="G372" s="15"/>
      <c r="O372" s="15"/>
      <c r="P372" s="16"/>
      <c r="Q372" s="16"/>
      <c r="R372" s="16"/>
      <c r="S372" s="16"/>
    </row>
    <row r="373">
      <c r="B373" s="43"/>
      <c r="G373" s="15"/>
      <c r="O373" s="15"/>
      <c r="P373" s="16"/>
      <c r="Q373" s="16"/>
      <c r="R373" s="16"/>
      <c r="S373" s="16"/>
    </row>
    <row r="374">
      <c r="B374" s="43"/>
      <c r="G374" s="15"/>
      <c r="O374" s="15"/>
      <c r="P374" s="16"/>
      <c r="Q374" s="16"/>
      <c r="R374" s="16"/>
      <c r="S374" s="16"/>
    </row>
    <row r="375">
      <c r="B375" s="43"/>
      <c r="G375" s="15"/>
      <c r="O375" s="15"/>
      <c r="P375" s="16"/>
      <c r="Q375" s="16"/>
      <c r="R375" s="16"/>
      <c r="S375" s="16"/>
    </row>
    <row r="376">
      <c r="B376" s="43"/>
      <c r="G376" s="15"/>
      <c r="O376" s="15"/>
      <c r="P376" s="16"/>
      <c r="Q376" s="16"/>
      <c r="R376" s="16"/>
      <c r="S376" s="16"/>
    </row>
    <row r="377">
      <c r="B377" s="43"/>
      <c r="G377" s="15"/>
      <c r="O377" s="15"/>
      <c r="P377" s="16"/>
      <c r="Q377" s="16"/>
      <c r="R377" s="16"/>
      <c r="S377" s="16"/>
    </row>
    <row r="378">
      <c r="B378" s="43"/>
      <c r="G378" s="15"/>
      <c r="O378" s="15"/>
      <c r="P378" s="16"/>
      <c r="Q378" s="16"/>
      <c r="R378" s="16"/>
      <c r="S378" s="16"/>
    </row>
    <row r="379">
      <c r="B379" s="43"/>
      <c r="G379" s="15"/>
      <c r="O379" s="15"/>
      <c r="P379" s="16"/>
      <c r="Q379" s="16"/>
      <c r="R379" s="16"/>
      <c r="S379" s="16"/>
    </row>
    <row r="380">
      <c r="B380" s="43"/>
      <c r="G380" s="15"/>
      <c r="O380" s="15"/>
      <c r="P380" s="16"/>
      <c r="Q380" s="16"/>
      <c r="R380" s="16"/>
      <c r="S380" s="16"/>
    </row>
    <row r="381">
      <c r="B381" s="43"/>
      <c r="G381" s="15"/>
      <c r="O381" s="15"/>
      <c r="P381" s="16"/>
      <c r="Q381" s="16"/>
      <c r="R381" s="16"/>
      <c r="S381" s="16"/>
    </row>
    <row r="382">
      <c r="B382" s="43"/>
      <c r="G382" s="15"/>
      <c r="O382" s="15"/>
      <c r="P382" s="16"/>
      <c r="Q382" s="16"/>
      <c r="R382" s="16"/>
      <c r="S382" s="16"/>
    </row>
    <row r="383">
      <c r="B383" s="43"/>
      <c r="G383" s="15"/>
      <c r="O383" s="15"/>
      <c r="P383" s="16"/>
      <c r="Q383" s="16"/>
      <c r="R383" s="16"/>
      <c r="S383" s="16"/>
    </row>
    <row r="384">
      <c r="B384" s="43"/>
      <c r="G384" s="15"/>
      <c r="O384" s="15"/>
      <c r="P384" s="16"/>
      <c r="Q384" s="16"/>
      <c r="R384" s="16"/>
      <c r="S384" s="16"/>
    </row>
    <row r="385">
      <c r="B385" s="43"/>
      <c r="G385" s="15"/>
      <c r="O385" s="15"/>
      <c r="P385" s="16"/>
      <c r="Q385" s="16"/>
      <c r="R385" s="16"/>
      <c r="S385" s="16"/>
    </row>
    <row r="386">
      <c r="B386" s="43"/>
      <c r="G386" s="15"/>
      <c r="O386" s="15"/>
      <c r="P386" s="16"/>
      <c r="Q386" s="16"/>
      <c r="R386" s="16"/>
      <c r="S386" s="16"/>
    </row>
    <row r="387">
      <c r="B387" s="43"/>
      <c r="G387" s="15"/>
      <c r="O387" s="15"/>
      <c r="P387" s="16"/>
      <c r="Q387" s="16"/>
      <c r="R387" s="16"/>
      <c r="S387" s="16"/>
    </row>
    <row r="388">
      <c r="B388" s="43"/>
      <c r="G388" s="15"/>
      <c r="O388" s="15"/>
      <c r="P388" s="16"/>
      <c r="Q388" s="16"/>
      <c r="R388" s="16"/>
      <c r="S388" s="16"/>
    </row>
    <row r="389">
      <c r="B389" s="43"/>
      <c r="G389" s="15"/>
      <c r="O389" s="15"/>
      <c r="P389" s="16"/>
      <c r="Q389" s="16"/>
      <c r="R389" s="16"/>
      <c r="S389" s="16"/>
    </row>
    <row r="390">
      <c r="B390" s="43"/>
      <c r="G390" s="15"/>
      <c r="O390" s="15"/>
      <c r="P390" s="16"/>
      <c r="Q390" s="16"/>
      <c r="R390" s="16"/>
      <c r="S390" s="16"/>
    </row>
    <row r="391">
      <c r="B391" s="43"/>
      <c r="G391" s="15"/>
      <c r="O391" s="15"/>
      <c r="P391" s="16"/>
      <c r="Q391" s="16"/>
      <c r="R391" s="16"/>
      <c r="S391" s="16"/>
    </row>
    <row r="392">
      <c r="B392" s="43"/>
      <c r="G392" s="15"/>
      <c r="O392" s="15"/>
      <c r="P392" s="16"/>
      <c r="Q392" s="16"/>
      <c r="R392" s="16"/>
      <c r="S392" s="16"/>
    </row>
    <row r="393">
      <c r="B393" s="43"/>
      <c r="G393" s="15"/>
      <c r="O393" s="15"/>
      <c r="P393" s="16"/>
      <c r="Q393" s="16"/>
      <c r="R393" s="16"/>
      <c r="S393" s="16"/>
    </row>
    <row r="394">
      <c r="B394" s="43"/>
      <c r="G394" s="15"/>
      <c r="O394" s="15"/>
      <c r="P394" s="16"/>
      <c r="Q394" s="16"/>
      <c r="R394" s="16"/>
      <c r="S394" s="16"/>
    </row>
    <row r="395">
      <c r="B395" s="43"/>
      <c r="G395" s="15"/>
      <c r="O395" s="15"/>
      <c r="P395" s="16"/>
      <c r="Q395" s="16"/>
      <c r="R395" s="16"/>
      <c r="S395" s="16"/>
    </row>
    <row r="396">
      <c r="B396" s="43"/>
      <c r="G396" s="15"/>
      <c r="O396" s="15"/>
      <c r="P396" s="16"/>
      <c r="Q396" s="16"/>
      <c r="R396" s="16"/>
      <c r="S396" s="16"/>
    </row>
    <row r="397">
      <c r="B397" s="43"/>
      <c r="G397" s="15"/>
      <c r="O397" s="15"/>
      <c r="P397" s="16"/>
      <c r="Q397" s="16"/>
      <c r="R397" s="16"/>
      <c r="S397" s="16"/>
    </row>
    <row r="398">
      <c r="B398" s="43"/>
      <c r="G398" s="15"/>
      <c r="O398" s="15"/>
      <c r="P398" s="16"/>
      <c r="Q398" s="16"/>
      <c r="R398" s="16"/>
      <c r="S398" s="16"/>
    </row>
    <row r="399">
      <c r="B399" s="43"/>
      <c r="G399" s="15"/>
      <c r="O399" s="15"/>
      <c r="P399" s="16"/>
      <c r="Q399" s="16"/>
      <c r="R399" s="16"/>
      <c r="S399" s="16"/>
    </row>
    <row r="400">
      <c r="B400" s="43"/>
      <c r="G400" s="15"/>
      <c r="O400" s="15"/>
      <c r="P400" s="16"/>
      <c r="Q400" s="16"/>
      <c r="R400" s="16"/>
      <c r="S400" s="16"/>
    </row>
    <row r="401">
      <c r="B401" s="43"/>
      <c r="G401" s="15"/>
      <c r="O401" s="15"/>
      <c r="P401" s="16"/>
      <c r="Q401" s="16"/>
      <c r="R401" s="16"/>
      <c r="S401" s="16"/>
    </row>
    <row r="402">
      <c r="B402" s="43"/>
      <c r="G402" s="15"/>
      <c r="O402" s="15"/>
      <c r="P402" s="16"/>
      <c r="Q402" s="16"/>
      <c r="R402" s="16"/>
      <c r="S402" s="16"/>
    </row>
    <row r="403">
      <c r="B403" s="43"/>
      <c r="G403" s="15"/>
      <c r="O403" s="15"/>
      <c r="P403" s="16"/>
      <c r="Q403" s="16"/>
      <c r="R403" s="16"/>
      <c r="S403" s="16"/>
    </row>
    <row r="404">
      <c r="B404" s="43"/>
      <c r="G404" s="15"/>
      <c r="O404" s="15"/>
      <c r="P404" s="16"/>
      <c r="Q404" s="16"/>
      <c r="R404" s="16"/>
      <c r="S404" s="16"/>
    </row>
    <row r="405">
      <c r="B405" s="43"/>
      <c r="G405" s="15"/>
      <c r="O405" s="15"/>
      <c r="P405" s="16"/>
      <c r="Q405" s="16"/>
      <c r="R405" s="16"/>
      <c r="S405" s="16"/>
    </row>
    <row r="406">
      <c r="B406" s="43"/>
      <c r="G406" s="15"/>
      <c r="O406" s="15"/>
      <c r="P406" s="16"/>
      <c r="Q406" s="16"/>
      <c r="R406" s="16"/>
      <c r="S406" s="16"/>
    </row>
    <row r="407">
      <c r="B407" s="43"/>
      <c r="G407" s="15"/>
      <c r="O407" s="15"/>
      <c r="P407" s="16"/>
      <c r="Q407" s="16"/>
      <c r="R407" s="16"/>
      <c r="S407" s="16"/>
    </row>
    <row r="408">
      <c r="B408" s="43"/>
      <c r="G408" s="15"/>
      <c r="O408" s="15"/>
      <c r="P408" s="16"/>
      <c r="Q408" s="16"/>
      <c r="R408" s="16"/>
      <c r="S408" s="16"/>
    </row>
    <row r="409">
      <c r="B409" s="43"/>
      <c r="G409" s="15"/>
      <c r="O409" s="15"/>
      <c r="P409" s="16"/>
      <c r="Q409" s="16"/>
      <c r="R409" s="16"/>
      <c r="S409" s="16"/>
    </row>
    <row r="410">
      <c r="B410" s="43"/>
      <c r="G410" s="15"/>
      <c r="O410" s="15"/>
      <c r="P410" s="16"/>
      <c r="Q410" s="16"/>
      <c r="R410" s="16"/>
      <c r="S410" s="16"/>
    </row>
    <row r="411">
      <c r="B411" s="43"/>
      <c r="G411" s="15"/>
      <c r="O411" s="15"/>
      <c r="P411" s="16"/>
      <c r="Q411" s="16"/>
      <c r="R411" s="16"/>
      <c r="S411" s="16"/>
    </row>
    <row r="412">
      <c r="B412" s="43"/>
      <c r="G412" s="15"/>
      <c r="O412" s="15"/>
      <c r="P412" s="16"/>
      <c r="Q412" s="16"/>
      <c r="R412" s="16"/>
      <c r="S412" s="16"/>
    </row>
    <row r="413">
      <c r="B413" s="43"/>
      <c r="G413" s="15"/>
      <c r="O413" s="15"/>
      <c r="P413" s="16"/>
      <c r="Q413" s="16"/>
      <c r="R413" s="16"/>
      <c r="S413" s="16"/>
    </row>
    <row r="414">
      <c r="B414" s="43"/>
      <c r="G414" s="15"/>
      <c r="O414" s="15"/>
      <c r="P414" s="16"/>
      <c r="Q414" s="16"/>
      <c r="R414" s="16"/>
      <c r="S414" s="16"/>
    </row>
    <row r="415">
      <c r="B415" s="43"/>
      <c r="G415" s="15"/>
      <c r="O415" s="15"/>
      <c r="P415" s="16"/>
      <c r="Q415" s="16"/>
      <c r="R415" s="16"/>
      <c r="S415" s="16"/>
    </row>
    <row r="416">
      <c r="B416" s="43"/>
      <c r="G416" s="15"/>
      <c r="O416" s="15"/>
      <c r="P416" s="16"/>
      <c r="Q416" s="16"/>
      <c r="R416" s="16"/>
      <c r="S416" s="16"/>
    </row>
    <row r="417">
      <c r="B417" s="43"/>
      <c r="G417" s="15"/>
      <c r="O417" s="15"/>
      <c r="P417" s="16"/>
      <c r="Q417" s="16"/>
      <c r="R417" s="16"/>
      <c r="S417" s="16"/>
    </row>
    <row r="418">
      <c r="B418" s="43"/>
      <c r="G418" s="15"/>
      <c r="O418" s="15"/>
      <c r="P418" s="16"/>
      <c r="Q418" s="16"/>
      <c r="R418" s="16"/>
      <c r="S418" s="16"/>
    </row>
    <row r="419">
      <c r="B419" s="43"/>
      <c r="G419" s="15"/>
      <c r="O419" s="15"/>
      <c r="P419" s="16"/>
      <c r="Q419" s="16"/>
      <c r="R419" s="16"/>
      <c r="S419" s="16"/>
    </row>
    <row r="420">
      <c r="B420" s="43"/>
      <c r="G420" s="15"/>
      <c r="O420" s="15"/>
      <c r="P420" s="16"/>
      <c r="Q420" s="16"/>
      <c r="R420" s="16"/>
      <c r="S420" s="16"/>
    </row>
    <row r="421">
      <c r="B421" s="43"/>
      <c r="G421" s="15"/>
      <c r="O421" s="15"/>
      <c r="P421" s="16"/>
      <c r="Q421" s="16"/>
      <c r="R421" s="16"/>
      <c r="S421" s="16"/>
    </row>
    <row r="422">
      <c r="B422" s="43"/>
      <c r="G422" s="15"/>
      <c r="O422" s="15"/>
      <c r="P422" s="16"/>
      <c r="Q422" s="16"/>
      <c r="R422" s="16"/>
      <c r="S422" s="16"/>
    </row>
    <row r="423">
      <c r="B423" s="43"/>
      <c r="G423" s="15"/>
      <c r="O423" s="15"/>
      <c r="P423" s="16"/>
      <c r="Q423" s="16"/>
      <c r="R423" s="16"/>
      <c r="S423" s="16"/>
    </row>
    <row r="424">
      <c r="B424" s="43"/>
      <c r="G424" s="15"/>
      <c r="O424" s="15"/>
      <c r="P424" s="16"/>
      <c r="Q424" s="16"/>
      <c r="R424" s="16"/>
      <c r="S424" s="16"/>
    </row>
    <row r="425">
      <c r="B425" s="43"/>
      <c r="G425" s="15"/>
      <c r="O425" s="15"/>
      <c r="P425" s="16"/>
      <c r="Q425" s="16"/>
      <c r="R425" s="16"/>
      <c r="S425" s="16"/>
    </row>
    <row r="426">
      <c r="B426" s="43"/>
      <c r="G426" s="15"/>
      <c r="O426" s="15"/>
      <c r="P426" s="16"/>
      <c r="Q426" s="16"/>
      <c r="R426" s="16"/>
      <c r="S426" s="16"/>
    </row>
    <row r="427">
      <c r="B427" s="43"/>
      <c r="G427" s="15"/>
      <c r="O427" s="15"/>
      <c r="P427" s="16"/>
      <c r="Q427" s="16"/>
      <c r="R427" s="16"/>
      <c r="S427" s="16"/>
    </row>
    <row r="428">
      <c r="B428" s="43"/>
      <c r="G428" s="15"/>
      <c r="O428" s="15"/>
      <c r="P428" s="16"/>
      <c r="Q428" s="16"/>
      <c r="R428" s="16"/>
      <c r="S428" s="16"/>
    </row>
    <row r="429">
      <c r="B429" s="43"/>
      <c r="G429" s="15"/>
      <c r="O429" s="15"/>
      <c r="P429" s="16"/>
      <c r="Q429" s="16"/>
      <c r="R429" s="16"/>
      <c r="S429" s="16"/>
    </row>
    <row r="430">
      <c r="B430" s="43"/>
      <c r="G430" s="15"/>
      <c r="O430" s="15"/>
      <c r="P430" s="16"/>
      <c r="Q430" s="16"/>
      <c r="R430" s="16"/>
      <c r="S430" s="16"/>
    </row>
    <row r="431">
      <c r="B431" s="43"/>
      <c r="G431" s="15"/>
      <c r="O431" s="15"/>
      <c r="P431" s="16"/>
      <c r="Q431" s="16"/>
      <c r="R431" s="16"/>
      <c r="S431" s="16"/>
    </row>
    <row r="432">
      <c r="B432" s="43"/>
      <c r="G432" s="15"/>
      <c r="O432" s="15"/>
      <c r="P432" s="16"/>
      <c r="Q432" s="16"/>
      <c r="R432" s="16"/>
      <c r="S432" s="16"/>
    </row>
    <row r="433">
      <c r="B433" s="43"/>
      <c r="G433" s="15"/>
      <c r="O433" s="15"/>
      <c r="P433" s="16"/>
      <c r="Q433" s="16"/>
      <c r="R433" s="16"/>
      <c r="S433" s="16"/>
    </row>
    <row r="434">
      <c r="B434" s="43"/>
      <c r="G434" s="15"/>
      <c r="O434" s="15"/>
      <c r="P434" s="16"/>
      <c r="Q434" s="16"/>
      <c r="R434" s="16"/>
      <c r="S434" s="16"/>
    </row>
    <row r="435">
      <c r="B435" s="43"/>
      <c r="G435" s="15"/>
      <c r="O435" s="15"/>
      <c r="P435" s="16"/>
      <c r="Q435" s="16"/>
      <c r="R435" s="16"/>
      <c r="S435" s="16"/>
    </row>
    <row r="436">
      <c r="B436" s="43"/>
      <c r="G436" s="15"/>
      <c r="O436" s="15"/>
      <c r="P436" s="16"/>
      <c r="Q436" s="16"/>
      <c r="R436" s="16"/>
      <c r="S436" s="16"/>
    </row>
    <row r="437">
      <c r="B437" s="43"/>
      <c r="G437" s="15"/>
      <c r="O437" s="15"/>
      <c r="P437" s="16"/>
      <c r="Q437" s="16"/>
      <c r="R437" s="16"/>
      <c r="S437" s="16"/>
    </row>
    <row r="438">
      <c r="B438" s="43"/>
      <c r="G438" s="15"/>
      <c r="O438" s="15"/>
      <c r="P438" s="16"/>
      <c r="Q438" s="16"/>
      <c r="R438" s="16"/>
      <c r="S438" s="16"/>
    </row>
    <row r="439">
      <c r="B439" s="43"/>
      <c r="G439" s="15"/>
      <c r="O439" s="15"/>
      <c r="P439" s="16"/>
      <c r="Q439" s="16"/>
      <c r="R439" s="16"/>
      <c r="S439" s="16"/>
    </row>
    <row r="440">
      <c r="B440" s="43"/>
      <c r="G440" s="15"/>
      <c r="O440" s="15"/>
      <c r="P440" s="16"/>
      <c r="Q440" s="16"/>
      <c r="R440" s="16"/>
      <c r="S440" s="16"/>
    </row>
    <row r="441">
      <c r="B441" s="43"/>
      <c r="G441" s="15"/>
      <c r="O441" s="15"/>
      <c r="P441" s="16"/>
      <c r="Q441" s="16"/>
      <c r="R441" s="16"/>
      <c r="S441" s="16"/>
    </row>
    <row r="442">
      <c r="B442" s="43"/>
      <c r="G442" s="15"/>
      <c r="O442" s="15"/>
      <c r="P442" s="16"/>
      <c r="Q442" s="16"/>
      <c r="R442" s="16"/>
      <c r="S442" s="16"/>
    </row>
    <row r="443">
      <c r="B443" s="43"/>
      <c r="G443" s="15"/>
      <c r="O443" s="15"/>
      <c r="P443" s="16"/>
      <c r="Q443" s="16"/>
      <c r="R443" s="16"/>
      <c r="S443" s="16"/>
    </row>
    <row r="444">
      <c r="B444" s="43"/>
      <c r="G444" s="15"/>
      <c r="O444" s="15"/>
      <c r="P444" s="16"/>
      <c r="Q444" s="16"/>
      <c r="R444" s="16"/>
      <c r="S444" s="16"/>
    </row>
    <row r="445">
      <c r="B445" s="43"/>
      <c r="G445" s="15"/>
      <c r="O445" s="15"/>
      <c r="P445" s="16"/>
      <c r="Q445" s="16"/>
      <c r="R445" s="16"/>
      <c r="S445" s="16"/>
    </row>
    <row r="446">
      <c r="B446" s="43"/>
      <c r="G446" s="15"/>
      <c r="O446" s="15"/>
      <c r="P446" s="16"/>
      <c r="Q446" s="16"/>
      <c r="R446" s="16"/>
      <c r="S446" s="16"/>
    </row>
    <row r="447">
      <c r="B447" s="43"/>
      <c r="G447" s="15"/>
      <c r="O447" s="15"/>
      <c r="P447" s="16"/>
      <c r="Q447" s="16"/>
      <c r="R447" s="16"/>
      <c r="S447" s="16"/>
    </row>
    <row r="448">
      <c r="B448" s="43"/>
      <c r="G448" s="15"/>
      <c r="O448" s="15"/>
      <c r="P448" s="16"/>
      <c r="Q448" s="16"/>
      <c r="R448" s="16"/>
      <c r="S448" s="16"/>
    </row>
    <row r="449">
      <c r="B449" s="43"/>
      <c r="G449" s="15"/>
      <c r="O449" s="15"/>
      <c r="P449" s="16"/>
      <c r="Q449" s="16"/>
      <c r="R449" s="16"/>
      <c r="S449" s="16"/>
    </row>
    <row r="450">
      <c r="B450" s="43"/>
      <c r="G450" s="15"/>
      <c r="O450" s="15"/>
      <c r="P450" s="16"/>
      <c r="Q450" s="16"/>
      <c r="R450" s="16"/>
      <c r="S450" s="16"/>
    </row>
    <row r="451">
      <c r="B451" s="43"/>
      <c r="G451" s="15"/>
      <c r="O451" s="15"/>
      <c r="P451" s="16"/>
      <c r="Q451" s="16"/>
      <c r="R451" s="16"/>
      <c r="S451" s="16"/>
    </row>
    <row r="452">
      <c r="B452" s="43"/>
      <c r="G452" s="15"/>
      <c r="O452" s="15"/>
      <c r="P452" s="16"/>
      <c r="Q452" s="16"/>
      <c r="R452" s="16"/>
      <c r="S452" s="16"/>
    </row>
    <row r="453">
      <c r="B453" s="43"/>
      <c r="G453" s="15"/>
      <c r="O453" s="15"/>
      <c r="P453" s="16"/>
      <c r="Q453" s="16"/>
      <c r="R453" s="16"/>
      <c r="S453" s="16"/>
    </row>
    <row r="454">
      <c r="B454" s="43"/>
      <c r="G454" s="15"/>
      <c r="O454" s="15"/>
      <c r="P454" s="16"/>
      <c r="Q454" s="16"/>
      <c r="R454" s="16"/>
      <c r="S454" s="16"/>
    </row>
    <row r="455">
      <c r="B455" s="43"/>
      <c r="G455" s="15"/>
      <c r="O455" s="15"/>
      <c r="P455" s="16"/>
      <c r="Q455" s="16"/>
      <c r="R455" s="16"/>
      <c r="S455" s="16"/>
    </row>
    <row r="456">
      <c r="B456" s="43"/>
      <c r="G456" s="15"/>
      <c r="O456" s="15"/>
      <c r="P456" s="16"/>
      <c r="Q456" s="16"/>
      <c r="R456" s="16"/>
      <c r="S456" s="16"/>
    </row>
    <row r="457">
      <c r="B457" s="43"/>
      <c r="G457" s="15"/>
      <c r="O457" s="15"/>
      <c r="P457" s="16"/>
      <c r="Q457" s="16"/>
      <c r="R457" s="16"/>
      <c r="S457" s="16"/>
    </row>
    <row r="458">
      <c r="B458" s="43"/>
      <c r="G458" s="15"/>
      <c r="O458" s="15"/>
      <c r="P458" s="16"/>
      <c r="Q458" s="16"/>
      <c r="R458" s="16"/>
      <c r="S458" s="16"/>
    </row>
    <row r="459">
      <c r="B459" s="43"/>
      <c r="G459" s="15"/>
      <c r="O459" s="15"/>
      <c r="P459" s="16"/>
      <c r="Q459" s="16"/>
      <c r="R459" s="16"/>
      <c r="S459" s="16"/>
    </row>
    <row r="460">
      <c r="B460" s="43"/>
      <c r="G460" s="15"/>
      <c r="O460" s="15"/>
      <c r="P460" s="16"/>
      <c r="Q460" s="16"/>
      <c r="R460" s="16"/>
      <c r="S460" s="16"/>
    </row>
    <row r="461">
      <c r="B461" s="43"/>
      <c r="G461" s="15"/>
      <c r="O461" s="15"/>
      <c r="P461" s="16"/>
      <c r="Q461" s="16"/>
      <c r="R461" s="16"/>
      <c r="S461" s="16"/>
    </row>
    <row r="462">
      <c r="B462" s="43"/>
      <c r="G462" s="15"/>
      <c r="O462" s="15"/>
      <c r="P462" s="16"/>
      <c r="Q462" s="16"/>
      <c r="R462" s="16"/>
      <c r="S462" s="16"/>
    </row>
    <row r="463">
      <c r="B463" s="43"/>
      <c r="G463" s="15"/>
      <c r="O463" s="15"/>
      <c r="P463" s="16"/>
      <c r="Q463" s="16"/>
      <c r="R463" s="16"/>
      <c r="S463" s="16"/>
    </row>
    <row r="464">
      <c r="B464" s="43"/>
      <c r="G464" s="15"/>
      <c r="O464" s="15"/>
      <c r="P464" s="16"/>
      <c r="Q464" s="16"/>
      <c r="R464" s="16"/>
      <c r="S464" s="16"/>
    </row>
    <row r="465">
      <c r="B465" s="43"/>
      <c r="G465" s="15"/>
      <c r="O465" s="15"/>
      <c r="P465" s="16"/>
      <c r="Q465" s="16"/>
      <c r="R465" s="16"/>
      <c r="S465" s="16"/>
    </row>
    <row r="466">
      <c r="B466" s="43"/>
      <c r="G466" s="15"/>
      <c r="O466" s="15"/>
      <c r="P466" s="16"/>
      <c r="Q466" s="16"/>
      <c r="R466" s="16"/>
      <c r="S466" s="16"/>
    </row>
    <row r="467">
      <c r="B467" s="43"/>
      <c r="G467" s="15"/>
      <c r="O467" s="15"/>
      <c r="P467" s="16"/>
      <c r="Q467" s="16"/>
      <c r="R467" s="16"/>
      <c r="S467" s="16"/>
    </row>
    <row r="468">
      <c r="B468" s="43"/>
      <c r="G468" s="15"/>
      <c r="O468" s="15"/>
      <c r="P468" s="16"/>
      <c r="Q468" s="16"/>
      <c r="R468" s="16"/>
      <c r="S468" s="16"/>
    </row>
    <row r="469">
      <c r="B469" s="43"/>
      <c r="G469" s="15"/>
      <c r="O469" s="15"/>
      <c r="P469" s="16"/>
      <c r="Q469" s="16"/>
      <c r="R469" s="16"/>
      <c r="S469" s="16"/>
    </row>
    <row r="470">
      <c r="B470" s="43"/>
      <c r="G470" s="15"/>
      <c r="O470" s="15"/>
      <c r="P470" s="16"/>
      <c r="Q470" s="16"/>
      <c r="R470" s="16"/>
      <c r="S470" s="16"/>
    </row>
    <row r="471">
      <c r="B471" s="43"/>
      <c r="G471" s="15"/>
      <c r="O471" s="15"/>
      <c r="P471" s="16"/>
      <c r="Q471" s="16"/>
      <c r="R471" s="16"/>
      <c r="S471" s="16"/>
    </row>
    <row r="472">
      <c r="B472" s="43"/>
      <c r="G472" s="15"/>
      <c r="O472" s="15"/>
      <c r="P472" s="16"/>
      <c r="Q472" s="16"/>
      <c r="R472" s="16"/>
      <c r="S472" s="16"/>
    </row>
    <row r="473">
      <c r="B473" s="43"/>
      <c r="G473" s="15"/>
      <c r="O473" s="15"/>
      <c r="P473" s="16"/>
      <c r="Q473" s="16"/>
      <c r="R473" s="16"/>
      <c r="S473" s="16"/>
    </row>
    <row r="474">
      <c r="B474" s="43"/>
      <c r="G474" s="15"/>
      <c r="O474" s="15"/>
      <c r="P474" s="16"/>
      <c r="Q474" s="16"/>
      <c r="R474" s="16"/>
      <c r="S474" s="16"/>
    </row>
    <row r="475">
      <c r="B475" s="43"/>
      <c r="G475" s="15"/>
      <c r="O475" s="15"/>
      <c r="P475" s="16"/>
      <c r="Q475" s="16"/>
      <c r="R475" s="16"/>
      <c r="S475" s="16"/>
    </row>
    <row r="476">
      <c r="B476" s="43"/>
      <c r="G476" s="15"/>
      <c r="O476" s="15"/>
      <c r="P476" s="16"/>
      <c r="Q476" s="16"/>
      <c r="R476" s="16"/>
      <c r="S476" s="16"/>
    </row>
    <row r="477">
      <c r="B477" s="43"/>
      <c r="G477" s="15"/>
      <c r="O477" s="15"/>
      <c r="P477" s="16"/>
      <c r="Q477" s="16"/>
      <c r="R477" s="16"/>
      <c r="S477" s="16"/>
    </row>
    <row r="478">
      <c r="B478" s="43"/>
      <c r="G478" s="15"/>
      <c r="O478" s="15"/>
      <c r="P478" s="16"/>
      <c r="Q478" s="16"/>
      <c r="R478" s="16"/>
      <c r="S478" s="16"/>
    </row>
    <row r="479">
      <c r="B479" s="43"/>
      <c r="G479" s="15"/>
      <c r="O479" s="15"/>
      <c r="P479" s="16"/>
      <c r="Q479" s="16"/>
      <c r="R479" s="16"/>
      <c r="S479" s="16"/>
    </row>
    <row r="480">
      <c r="B480" s="43"/>
      <c r="G480" s="15"/>
      <c r="O480" s="15"/>
      <c r="P480" s="16"/>
      <c r="Q480" s="16"/>
      <c r="R480" s="16"/>
      <c r="S480" s="16"/>
    </row>
    <row r="481">
      <c r="B481" s="43"/>
      <c r="G481" s="15"/>
      <c r="O481" s="15"/>
      <c r="P481" s="16"/>
      <c r="Q481" s="16"/>
      <c r="R481" s="16"/>
      <c r="S481" s="16"/>
    </row>
    <row r="482">
      <c r="B482" s="43"/>
      <c r="G482" s="15"/>
      <c r="O482" s="15"/>
      <c r="P482" s="16"/>
      <c r="Q482" s="16"/>
      <c r="R482" s="16"/>
      <c r="S482" s="16"/>
    </row>
    <row r="483">
      <c r="B483" s="43"/>
      <c r="G483" s="15"/>
      <c r="O483" s="15"/>
      <c r="P483" s="16"/>
      <c r="Q483" s="16"/>
      <c r="R483" s="16"/>
      <c r="S483" s="16"/>
    </row>
    <row r="484">
      <c r="B484" s="43"/>
      <c r="G484" s="15"/>
      <c r="O484" s="15"/>
      <c r="P484" s="16"/>
      <c r="Q484" s="16"/>
      <c r="R484" s="16"/>
      <c r="S484" s="16"/>
    </row>
    <row r="485">
      <c r="B485" s="43"/>
      <c r="G485" s="15"/>
      <c r="O485" s="15"/>
      <c r="P485" s="16"/>
      <c r="Q485" s="16"/>
      <c r="R485" s="16"/>
      <c r="S485" s="16"/>
    </row>
    <row r="486">
      <c r="B486" s="43"/>
      <c r="G486" s="15"/>
      <c r="O486" s="15"/>
      <c r="P486" s="16"/>
      <c r="Q486" s="16"/>
      <c r="R486" s="16"/>
      <c r="S486" s="16"/>
    </row>
    <row r="487">
      <c r="B487" s="43"/>
      <c r="G487" s="15"/>
      <c r="O487" s="15"/>
      <c r="P487" s="16"/>
      <c r="Q487" s="16"/>
      <c r="R487" s="16"/>
      <c r="S487" s="16"/>
    </row>
    <row r="488">
      <c r="B488" s="43"/>
      <c r="G488" s="15"/>
      <c r="O488" s="15"/>
      <c r="P488" s="16"/>
      <c r="Q488" s="16"/>
      <c r="R488" s="16"/>
      <c r="S488" s="16"/>
    </row>
    <row r="489">
      <c r="B489" s="43"/>
      <c r="G489" s="15"/>
      <c r="O489" s="15"/>
      <c r="P489" s="16"/>
      <c r="Q489" s="16"/>
      <c r="R489" s="16"/>
      <c r="S489" s="16"/>
    </row>
    <row r="490">
      <c r="B490" s="43"/>
      <c r="G490" s="15"/>
      <c r="O490" s="15"/>
      <c r="P490" s="16"/>
      <c r="Q490" s="16"/>
      <c r="R490" s="16"/>
      <c r="S490" s="16"/>
    </row>
    <row r="491">
      <c r="B491" s="43"/>
      <c r="G491" s="15"/>
      <c r="O491" s="15"/>
      <c r="P491" s="16"/>
      <c r="Q491" s="16"/>
      <c r="R491" s="16"/>
      <c r="S491" s="16"/>
    </row>
    <row r="492">
      <c r="B492" s="43"/>
      <c r="G492" s="15"/>
      <c r="O492" s="15"/>
      <c r="P492" s="16"/>
      <c r="Q492" s="16"/>
      <c r="R492" s="16"/>
      <c r="S492" s="16"/>
    </row>
    <row r="493">
      <c r="B493" s="43"/>
      <c r="G493" s="15"/>
      <c r="O493" s="15"/>
      <c r="P493" s="16"/>
      <c r="Q493" s="16"/>
      <c r="R493" s="16"/>
      <c r="S493" s="16"/>
    </row>
    <row r="494">
      <c r="B494" s="43"/>
      <c r="G494" s="15"/>
      <c r="O494" s="15"/>
      <c r="P494" s="16"/>
      <c r="Q494" s="16"/>
      <c r="R494" s="16"/>
      <c r="S494" s="16"/>
    </row>
    <row r="495">
      <c r="B495" s="43"/>
      <c r="G495" s="15"/>
      <c r="O495" s="15"/>
      <c r="P495" s="16"/>
      <c r="Q495" s="16"/>
      <c r="R495" s="16"/>
      <c r="S495" s="16"/>
    </row>
    <row r="496">
      <c r="B496" s="43"/>
      <c r="G496" s="15"/>
      <c r="O496" s="15"/>
      <c r="P496" s="16"/>
      <c r="Q496" s="16"/>
      <c r="R496" s="16"/>
      <c r="S496" s="16"/>
    </row>
    <row r="497">
      <c r="B497" s="43"/>
      <c r="G497" s="15"/>
      <c r="O497" s="15"/>
      <c r="P497" s="16"/>
      <c r="Q497" s="16"/>
      <c r="R497" s="16"/>
      <c r="S497" s="16"/>
    </row>
    <row r="498">
      <c r="B498" s="43"/>
      <c r="G498" s="15"/>
      <c r="O498" s="15"/>
      <c r="P498" s="16"/>
      <c r="Q498" s="16"/>
      <c r="R498" s="16"/>
      <c r="S498" s="16"/>
    </row>
    <row r="499">
      <c r="B499" s="43"/>
      <c r="G499" s="15"/>
      <c r="O499" s="15"/>
      <c r="P499" s="16"/>
      <c r="Q499" s="16"/>
      <c r="R499" s="16"/>
      <c r="S499" s="16"/>
    </row>
    <row r="500">
      <c r="B500" s="43"/>
      <c r="G500" s="15"/>
      <c r="O500" s="15"/>
      <c r="P500" s="16"/>
      <c r="Q500" s="16"/>
      <c r="R500" s="16"/>
      <c r="S500" s="16"/>
    </row>
    <row r="501">
      <c r="B501" s="43"/>
      <c r="G501" s="15"/>
      <c r="O501" s="15"/>
      <c r="P501" s="16"/>
      <c r="Q501" s="16"/>
      <c r="R501" s="16"/>
      <c r="S501" s="16"/>
    </row>
    <row r="502">
      <c r="B502" s="43"/>
      <c r="G502" s="15"/>
      <c r="O502" s="15"/>
      <c r="P502" s="16"/>
      <c r="Q502" s="16"/>
      <c r="R502" s="16"/>
      <c r="S502" s="16"/>
    </row>
    <row r="503">
      <c r="B503" s="43"/>
      <c r="G503" s="15"/>
      <c r="O503" s="15"/>
      <c r="P503" s="16"/>
      <c r="Q503" s="16"/>
      <c r="R503" s="16"/>
      <c r="S503" s="16"/>
    </row>
    <row r="504">
      <c r="B504" s="43"/>
      <c r="G504" s="15"/>
      <c r="O504" s="15"/>
      <c r="P504" s="16"/>
      <c r="Q504" s="16"/>
      <c r="R504" s="16"/>
      <c r="S504" s="16"/>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18</v>
      </c>
      <c r="C1" s="2" t="s">
        <v>2</v>
      </c>
      <c r="D1" s="2" t="s">
        <v>3</v>
      </c>
      <c r="E1" s="2" t="s">
        <v>4</v>
      </c>
      <c r="F1" s="2" t="s">
        <v>5</v>
      </c>
      <c r="G1" s="2" t="s">
        <v>6</v>
      </c>
      <c r="H1" s="2" t="s">
        <v>7</v>
      </c>
      <c r="I1" s="2" t="s">
        <v>8</v>
      </c>
      <c r="J1" s="2" t="s">
        <v>9</v>
      </c>
      <c r="K1" s="2" t="s">
        <v>10</v>
      </c>
      <c r="L1" s="2" t="s">
        <v>25</v>
      </c>
      <c r="M1" s="2" t="s">
        <v>27</v>
      </c>
      <c r="N1" s="2" t="s">
        <v>29</v>
      </c>
      <c r="O1" s="2" t="s">
        <v>11</v>
      </c>
      <c r="P1" s="2" t="s">
        <v>12</v>
      </c>
      <c r="Q1" s="2" t="s">
        <v>13</v>
      </c>
      <c r="R1" s="2" t="s">
        <v>14</v>
      </c>
      <c r="S1" s="2" t="s">
        <v>15</v>
      </c>
      <c r="T1" s="2" t="s">
        <v>16</v>
      </c>
      <c r="U1" s="2" t="s">
        <v>17</v>
      </c>
      <c r="V1" s="2" t="s">
        <v>19</v>
      </c>
      <c r="W1" s="2" t="s">
        <v>21</v>
      </c>
      <c r="X1" s="2" t="s">
        <v>474</v>
      </c>
    </row>
    <row r="2">
      <c r="A2" s="9">
        <f t="shared" ref="A2:A88" si="1">ROW()-1</f>
        <v>1</v>
      </c>
      <c r="B2" s="11">
        <v>46239.66737268519</v>
      </c>
      <c r="C2" s="10" t="s">
        <v>1121</v>
      </c>
      <c r="D2" s="10" t="s">
        <v>36</v>
      </c>
      <c r="E2" s="10" t="s">
        <v>87</v>
      </c>
      <c r="F2" s="13">
        <v>2.0</v>
      </c>
      <c r="G2" s="14">
        <v>53.21</v>
      </c>
      <c r="H2" s="10" t="s">
        <v>6189</v>
      </c>
      <c r="I2" s="10">
        <v>54.9</v>
      </c>
      <c r="O2" s="15">
        <f>IFERROR(__xludf.DUMMYFUNCTION("IF(ISBLANK($C2), """", GOOGLEFINANCE($C2, ""price""))"),52.43)</f>
        <v>52.43</v>
      </c>
      <c r="P2" s="16">
        <f t="shared" ref="P2:P88" si="2">IF(OR(ISBLANK($G2), ISBLANK($O2)), "", IF($D2="LONG", ($O2-$G2)/$G2, ($G2-$O2)/$G2))</f>
        <v>-0.0146588987</v>
      </c>
      <c r="Q2" s="16">
        <f>IFERROR(__xludf.DUMMYFUNCTION("IF(OR(ISBLANK($G2), IFERROR(INDEX(GOOGLEFINANCE($C2, ""price"", WORKDAY(INT($B2), 1)), 2, 2), """")=""""), """", IF($D2=""LONG"", (IFERROR(INDEX(GOOGLEFINANCE($C2, ""price"", WORKDAY(INT($B2), 1)), 2, 2), """")-$G2)/$G2, ($G2-IFERROR(INDEX(GOOGLEFINANCE($"&amp;"C2, ""price"", WORKDAY(INT($B2), 1)), 2, 2), """"))/$G2))"),-0.014658898703251289)</f>
        <v>-0.0146588987</v>
      </c>
      <c r="R2" s="16" t="str">
        <f>IFERROR(__xludf.DUMMYFUNCTION("IF(OR(ISBLANK($G2), IFERROR(INDEX(GOOGLEFINANCE($C2, ""price"", WORKDAY(INT($B2), 5)), 2, 2), """")=""""), """", IF($D2=""LONG"", (IFERROR(INDEX(GOOGLEFINANCE($C2, ""price"", WORKDAY(INT($B2), 5)), 2, 2), """")-$G2)/$G2, ($G2-IFERROR(INDEX(GOOGLEFINANCE($"&amp;"C2, ""price"", WORKDAY(INT($B2), 5)), 2, 2), """"))/$G2))"),"")</f>
        <v/>
      </c>
      <c r="S2" s="16" t="str">
        <f>IFERROR(__xludf.DUMMYFUNCTION("IF(OR(ISBLANK($G2), IFERROR(INDEX(GOOGLEFINANCE($C2, ""price"", WORKDAY(INT($B2), 20)), 2, 2), """")=""""), """", IF($D2=""LONG"", (IFERROR(INDEX(GOOGLEFINANCE($C2, ""price"", WORKDAY(INT($B2), 20)), 2, 2), """")-$G2)/$G2, ($G2-IFERROR(INDEX(GOOGLEFINANCE"&amp;"($C2, ""price"", WORKDAY(INT($B2), 20)), 2, 2), """"))/$G2))"),"")</f>
        <v/>
      </c>
      <c r="T2" s="10" t="s">
        <v>6191</v>
      </c>
      <c r="U2" s="10" t="s">
        <v>176</v>
      </c>
      <c r="V2" s="10" t="s">
        <v>6192</v>
      </c>
      <c r="W2" s="10" t="s">
        <v>51</v>
      </c>
      <c r="X2" s="10" t="s">
        <v>962</v>
      </c>
    </row>
    <row r="3">
      <c r="A3" s="9">
        <f t="shared" si="1"/>
        <v>2</v>
      </c>
      <c r="B3" s="11">
        <v>46239.66736111111</v>
      </c>
      <c r="C3" s="10" t="s">
        <v>4106</v>
      </c>
      <c r="D3" s="10" t="s">
        <v>36</v>
      </c>
      <c r="E3" s="10" t="s">
        <v>37</v>
      </c>
      <c r="F3" s="13">
        <v>2.0</v>
      </c>
      <c r="G3" s="14">
        <v>63.64</v>
      </c>
      <c r="H3" s="10" t="s">
        <v>6193</v>
      </c>
      <c r="I3" s="10">
        <v>90.0</v>
      </c>
      <c r="O3" s="15">
        <f>IFERROR(__xludf.DUMMYFUNCTION("IF(ISBLANK($C3), """", GOOGLEFINANCE($C3, ""price""))"),64.15)</f>
        <v>64.15</v>
      </c>
      <c r="P3" s="16">
        <f t="shared" si="2"/>
        <v>0.008013827781</v>
      </c>
      <c r="Q3" s="16">
        <f>IFERROR(__xludf.DUMMYFUNCTION("IF(OR(ISBLANK($G3), IFERROR(INDEX(GOOGLEFINANCE($C3, ""price"", WORKDAY(INT($B3), 1)), 2, 2), """")=""""), """", IF($D3=""LONG"", (IFERROR(INDEX(GOOGLEFINANCE($C3, ""price"", WORKDAY(INT($B3), 1)), 2, 2), """")-$G3)/$G3, ($G3-IFERROR(INDEX(GOOGLEFINANCE($"&amp;"C3, ""price"", WORKDAY(INT($B3), 1)), 2, 2), """"))/$G3))"),0.008013827781269722)</f>
        <v>0.008013827781</v>
      </c>
      <c r="R3" s="16" t="str">
        <f>IFERROR(__xludf.DUMMYFUNCTION("IF(OR(ISBLANK($G3), IFERROR(INDEX(GOOGLEFINANCE($C3, ""price"", WORKDAY(INT($B3), 5)), 2, 2), """")=""""), """", IF($D3=""LONG"", (IFERROR(INDEX(GOOGLEFINANCE($C3, ""price"", WORKDAY(INT($B3), 5)), 2, 2), """")-$G3)/$G3, ($G3-IFERROR(INDEX(GOOGLEFINANCE($"&amp;"C3, ""price"", WORKDAY(INT($B3), 5)), 2, 2), """"))/$G3))"),"")</f>
        <v/>
      </c>
      <c r="S3" s="16" t="str">
        <f>IFERROR(__xludf.DUMMYFUNCTION("IF(OR(ISBLANK($G3), IFERROR(INDEX(GOOGLEFINANCE($C3, ""price"", WORKDAY(INT($B3), 20)), 2, 2), """")=""""), """", IF($D3=""LONG"", (IFERROR(INDEX(GOOGLEFINANCE($C3, ""price"", WORKDAY(INT($B3), 20)), 2, 2), """")-$G3)/$G3, ($G3-IFERROR(INDEX(GOOGLEFINANCE"&amp;"($C3, ""price"", WORKDAY(INT($B3), 20)), 2, 2), """"))/$G3))"),"")</f>
        <v/>
      </c>
      <c r="T3" s="10" t="s">
        <v>6194</v>
      </c>
      <c r="U3" s="10" t="s">
        <v>176</v>
      </c>
      <c r="V3" s="10" t="s">
        <v>6195</v>
      </c>
      <c r="W3" s="10" t="s">
        <v>51</v>
      </c>
      <c r="X3" s="10" t="s">
        <v>962</v>
      </c>
    </row>
    <row r="4">
      <c r="A4" s="9">
        <f t="shared" si="1"/>
        <v>3</v>
      </c>
      <c r="B4" s="11">
        <v>46239.66748842593</v>
      </c>
      <c r="C4" s="10" t="s">
        <v>296</v>
      </c>
      <c r="D4" s="10" t="s">
        <v>36</v>
      </c>
      <c r="E4" s="10" t="s">
        <v>37</v>
      </c>
      <c r="F4" s="13">
        <v>2.0</v>
      </c>
      <c r="G4" s="14">
        <v>120.15</v>
      </c>
      <c r="H4" s="10" t="s">
        <v>1819</v>
      </c>
      <c r="I4" s="10">
        <v>90.0</v>
      </c>
      <c r="O4" s="15">
        <f>IFERROR(__xludf.DUMMYFUNCTION("IF(ISBLANK($C4), """", GOOGLEFINANCE($C4, ""price""))"),121.5)</f>
        <v>121.5</v>
      </c>
      <c r="P4" s="16">
        <f t="shared" si="2"/>
        <v>0.01123595506</v>
      </c>
      <c r="Q4" s="16">
        <f>IFERROR(__xludf.DUMMYFUNCTION("IF(OR(ISBLANK($G4), IFERROR(INDEX(GOOGLEFINANCE($C4, ""price"", WORKDAY(INT($B4), 1)), 2, 2), """")=""""), """", IF($D4=""LONG"", (IFERROR(INDEX(GOOGLEFINANCE($C4, ""price"", WORKDAY(INT($B4), 1)), 2, 2), """")-$G4)/$G4, ($G4-IFERROR(INDEX(GOOGLEFINANCE($"&amp;"C4, ""price"", WORKDAY(INT($B4), 1)), 2, 2), """"))/$G4))"),0.011235955056179728)</f>
        <v>0.01123595506</v>
      </c>
      <c r="R4" s="16" t="str">
        <f>IFERROR(__xludf.DUMMYFUNCTION("IF(OR(ISBLANK($G4), IFERROR(INDEX(GOOGLEFINANCE($C4, ""price"", WORKDAY(INT($B4), 5)), 2, 2), """")=""""), """", IF($D4=""LONG"", (IFERROR(INDEX(GOOGLEFINANCE($C4, ""price"", WORKDAY(INT($B4), 5)), 2, 2), """")-$G4)/$G4, ($G4-IFERROR(INDEX(GOOGLEFINANCE($"&amp;"C4, ""price"", WORKDAY(INT($B4), 5)), 2, 2), """"))/$G4))"),"")</f>
        <v/>
      </c>
      <c r="S4" s="16" t="str">
        <f>IFERROR(__xludf.DUMMYFUNCTION("IF(OR(ISBLANK($G4), IFERROR(INDEX(GOOGLEFINANCE($C4, ""price"", WORKDAY(INT($B4), 20)), 2, 2), """")=""""), """", IF($D4=""LONG"", (IFERROR(INDEX(GOOGLEFINANCE($C4, ""price"", WORKDAY(INT($B4), 20)), 2, 2), """")-$G4)/$G4, ($G4-IFERROR(INDEX(GOOGLEFINANCE"&amp;"($C4, ""price"", WORKDAY(INT($B4), 20)), 2, 2), """"))/$G4))"),"")</f>
        <v/>
      </c>
      <c r="T4" s="10" t="s">
        <v>6196</v>
      </c>
      <c r="U4" s="10" t="s">
        <v>240</v>
      </c>
      <c r="V4" s="10" t="s">
        <v>6197</v>
      </c>
      <c r="W4" s="10" t="s">
        <v>51</v>
      </c>
      <c r="X4" s="10" t="s">
        <v>1905</v>
      </c>
    </row>
    <row r="5">
      <c r="A5" s="9">
        <f t="shared" si="1"/>
        <v>4</v>
      </c>
      <c r="B5" s="11">
        <v>46239.66736111111</v>
      </c>
      <c r="C5" s="10" t="s">
        <v>149</v>
      </c>
      <c r="D5" s="10" t="s">
        <v>36</v>
      </c>
      <c r="E5" s="10" t="s">
        <v>37</v>
      </c>
      <c r="F5" s="13">
        <v>2.0</v>
      </c>
      <c r="G5" s="14">
        <v>131.44</v>
      </c>
      <c r="H5" s="10" t="s">
        <v>6198</v>
      </c>
      <c r="I5" s="10">
        <v>88.5</v>
      </c>
      <c r="O5" s="15">
        <f>IFERROR(__xludf.DUMMYFUNCTION("IF(ISBLANK($C5), """", GOOGLEFINANCE($C5, ""price""))"),132.79)</f>
        <v>132.79</v>
      </c>
      <c r="P5" s="16">
        <f t="shared" si="2"/>
        <v>0.01027084601</v>
      </c>
      <c r="Q5" s="16">
        <f>IFERROR(__xludf.DUMMYFUNCTION("IF(OR(ISBLANK($G5), IFERROR(INDEX(GOOGLEFINANCE($C5, ""price"", WORKDAY(INT($B5), 1)), 2, 2), """")=""""), """", IF($D5=""LONG"", (IFERROR(INDEX(GOOGLEFINANCE($C5, ""price"", WORKDAY(INT($B5), 1)), 2, 2), """")-$G5)/$G5, ($G5-IFERROR(INDEX(GOOGLEFINANCE($"&amp;"C5, ""price"", WORKDAY(INT($B5), 1)), 2, 2), """"))/$G5))"),0.010270846013390096)</f>
        <v>0.01027084601</v>
      </c>
      <c r="R5" s="16" t="str">
        <f>IFERROR(__xludf.DUMMYFUNCTION("IF(OR(ISBLANK($G5), IFERROR(INDEX(GOOGLEFINANCE($C5, ""price"", WORKDAY(INT($B5), 5)), 2, 2), """")=""""), """", IF($D5=""LONG"", (IFERROR(INDEX(GOOGLEFINANCE($C5, ""price"", WORKDAY(INT($B5), 5)), 2, 2), """")-$G5)/$G5, ($G5-IFERROR(INDEX(GOOGLEFINANCE($"&amp;"C5, ""price"", WORKDAY(INT($B5), 5)), 2, 2), """"))/$G5))"),"")</f>
        <v/>
      </c>
      <c r="S5" s="16" t="str">
        <f>IFERROR(__xludf.DUMMYFUNCTION("IF(OR(ISBLANK($G5), IFERROR(INDEX(GOOGLEFINANCE($C5, ""price"", WORKDAY(INT($B5), 20)), 2, 2), """")=""""), """", IF($D5=""LONG"", (IFERROR(INDEX(GOOGLEFINANCE($C5, ""price"", WORKDAY(INT($B5), 20)), 2, 2), """")-$G5)/$G5, ($G5-IFERROR(INDEX(GOOGLEFINANCE"&amp;"($C5, ""price"", WORKDAY(INT($B5), 20)), 2, 2), """"))/$G5))"),"")</f>
        <v/>
      </c>
      <c r="T5" s="10" t="s">
        <v>6199</v>
      </c>
      <c r="U5" s="10" t="s">
        <v>545</v>
      </c>
      <c r="V5" s="10" t="s">
        <v>6200</v>
      </c>
      <c r="W5" s="10" t="s">
        <v>51</v>
      </c>
      <c r="X5" s="10" t="s">
        <v>3421</v>
      </c>
    </row>
    <row r="6">
      <c r="A6" s="9">
        <f t="shared" si="1"/>
        <v>5</v>
      </c>
      <c r="B6" s="11">
        <v>46239.6674537037</v>
      </c>
      <c r="C6" s="10" t="s">
        <v>918</v>
      </c>
      <c r="D6" s="10" t="s">
        <v>36</v>
      </c>
      <c r="E6" s="10" t="s">
        <v>37</v>
      </c>
      <c r="F6" s="13">
        <v>2.0</v>
      </c>
      <c r="G6" s="14">
        <v>382.62</v>
      </c>
      <c r="H6" s="10" t="s">
        <v>6201</v>
      </c>
      <c r="I6" s="10">
        <v>94.1</v>
      </c>
      <c r="O6" s="15">
        <f>IFERROR(__xludf.DUMMYFUNCTION("IF(ISBLANK($C6), """", GOOGLEFINANCE($C6, ""price""))"),386.0)</f>
        <v>386</v>
      </c>
      <c r="P6" s="16">
        <f t="shared" si="2"/>
        <v>0.00883382991</v>
      </c>
      <c r="Q6" s="16">
        <f>IFERROR(__xludf.DUMMYFUNCTION("IF(OR(ISBLANK($G6), IFERROR(INDEX(GOOGLEFINANCE($C6, ""price"", WORKDAY(INT($B6), 1)), 2, 2), """")=""""), """", IF($D6=""LONG"", (IFERROR(INDEX(GOOGLEFINANCE($C6, ""price"", WORKDAY(INT($B6), 1)), 2, 2), """")-$G6)/$G6, ($G6-IFERROR(INDEX(GOOGLEFINANCE($"&amp;"C6, ""price"", WORKDAY(INT($B6), 1)), 2, 2), """"))/$G6))"),0.008833829909570842)</f>
        <v>0.00883382991</v>
      </c>
      <c r="R6" s="16" t="str">
        <f>IFERROR(__xludf.DUMMYFUNCTION("IF(OR(ISBLANK($G6), IFERROR(INDEX(GOOGLEFINANCE($C6, ""price"", WORKDAY(INT($B6), 5)), 2, 2), """")=""""), """", IF($D6=""LONG"", (IFERROR(INDEX(GOOGLEFINANCE($C6, ""price"", WORKDAY(INT($B6), 5)), 2, 2), """")-$G6)/$G6, ($G6-IFERROR(INDEX(GOOGLEFINANCE($"&amp;"C6, ""price"", WORKDAY(INT($B6), 5)), 2, 2), """"))/$G6))"),"")</f>
        <v/>
      </c>
      <c r="S6" s="16" t="str">
        <f>IFERROR(__xludf.DUMMYFUNCTION("IF(OR(ISBLANK($G6), IFERROR(INDEX(GOOGLEFINANCE($C6, ""price"", WORKDAY(INT($B6), 20)), 2, 2), """")=""""), """", IF($D6=""LONG"", (IFERROR(INDEX(GOOGLEFINANCE($C6, ""price"", WORKDAY(INT($B6), 20)), 2, 2), """")-$G6)/$G6, ($G6-IFERROR(INDEX(GOOGLEFINANCE"&amp;"($C6, ""price"", WORKDAY(INT($B6), 20)), 2, 2), """"))/$G6))"),"")</f>
        <v/>
      </c>
      <c r="T6" s="10" t="s">
        <v>6202</v>
      </c>
      <c r="U6" s="10" t="s">
        <v>49</v>
      </c>
      <c r="V6" s="10" t="s">
        <v>6203</v>
      </c>
      <c r="W6" s="10" t="s">
        <v>51</v>
      </c>
      <c r="X6" s="10" t="s">
        <v>3975</v>
      </c>
    </row>
    <row r="7">
      <c r="A7" s="9">
        <f t="shared" si="1"/>
        <v>6</v>
      </c>
      <c r="B7" s="11">
        <v>46239.66744212963</v>
      </c>
      <c r="C7" s="10" t="s">
        <v>228</v>
      </c>
      <c r="D7" s="10" t="s">
        <v>36</v>
      </c>
      <c r="E7" s="10" t="s">
        <v>37</v>
      </c>
      <c r="F7" s="13">
        <v>2.0</v>
      </c>
      <c r="G7" s="14">
        <v>72.06</v>
      </c>
      <c r="H7" s="10" t="s">
        <v>2336</v>
      </c>
      <c r="I7" s="10">
        <v>95.0</v>
      </c>
      <c r="O7" s="15">
        <f>IFERROR(__xludf.DUMMYFUNCTION("IF(ISBLANK($C7), """", GOOGLEFINANCE($C7, ""price""))"),72.13)</f>
        <v>72.13</v>
      </c>
      <c r="P7" s="16">
        <f t="shared" si="2"/>
        <v>0.0009714127116</v>
      </c>
      <c r="Q7" s="16">
        <f>IFERROR(__xludf.DUMMYFUNCTION("IF(OR(ISBLANK($G7), IFERROR(INDEX(GOOGLEFINANCE($C7, ""price"", WORKDAY(INT($B7), 1)), 2, 2), """")=""""), """", IF($D7=""LONG"", (IFERROR(INDEX(GOOGLEFINANCE($C7, ""price"", WORKDAY(INT($B7), 1)), 2, 2), """")-$G7)/$G7, ($G7-IFERROR(INDEX(GOOGLEFINANCE($"&amp;"C7, ""price"", WORKDAY(INT($B7), 1)), 2, 2), """"))/$G7))"),9.714127116291032E-4)</f>
        <v>0.0009714127116</v>
      </c>
      <c r="R7" s="16" t="str">
        <f>IFERROR(__xludf.DUMMYFUNCTION("IF(OR(ISBLANK($G7), IFERROR(INDEX(GOOGLEFINANCE($C7, ""price"", WORKDAY(INT($B7), 5)), 2, 2), """")=""""), """", IF($D7=""LONG"", (IFERROR(INDEX(GOOGLEFINANCE($C7, ""price"", WORKDAY(INT($B7), 5)), 2, 2), """")-$G7)/$G7, ($G7-IFERROR(INDEX(GOOGLEFINANCE($"&amp;"C7, ""price"", WORKDAY(INT($B7), 5)), 2, 2), """"))/$G7))"),"")</f>
        <v/>
      </c>
      <c r="S7" s="16" t="str">
        <f>IFERROR(__xludf.DUMMYFUNCTION("IF(OR(ISBLANK($G7), IFERROR(INDEX(GOOGLEFINANCE($C7, ""price"", WORKDAY(INT($B7), 20)), 2, 2), """")=""""), """", IF($D7=""LONG"", (IFERROR(INDEX(GOOGLEFINANCE($C7, ""price"", WORKDAY(INT($B7), 20)), 2, 2), """")-$G7)/$G7, ($G7-IFERROR(INDEX(GOOGLEFINANCE"&amp;"($C7, ""price"", WORKDAY(INT($B7), 20)), 2, 2), """"))/$G7))"),"")</f>
        <v/>
      </c>
      <c r="T7" s="10" t="s">
        <v>6204</v>
      </c>
      <c r="U7" s="10" t="s">
        <v>984</v>
      </c>
      <c r="V7" s="10" t="s">
        <v>5889</v>
      </c>
      <c r="W7" s="10" t="s">
        <v>51</v>
      </c>
      <c r="X7" s="10" t="s">
        <v>984</v>
      </c>
    </row>
    <row r="8">
      <c r="A8" s="9">
        <f t="shared" si="1"/>
        <v>7</v>
      </c>
      <c r="B8" s="11">
        <v>46239.66740740741</v>
      </c>
      <c r="C8" s="10" t="s">
        <v>234</v>
      </c>
      <c r="D8" s="10" t="s">
        <v>36</v>
      </c>
      <c r="E8" s="10" t="s">
        <v>37</v>
      </c>
      <c r="F8" s="13">
        <v>2.0</v>
      </c>
      <c r="G8" s="14">
        <v>64.21</v>
      </c>
      <c r="H8" s="10" t="s">
        <v>6205</v>
      </c>
      <c r="I8" s="10">
        <v>88.8</v>
      </c>
      <c r="O8" s="15">
        <f>IFERROR(__xludf.DUMMYFUNCTION("IF(ISBLANK($C8), """", GOOGLEFINANCE($C8, ""price""))"),63.81)</f>
        <v>63.81</v>
      </c>
      <c r="P8" s="16">
        <f t="shared" si="2"/>
        <v>-0.006229559259</v>
      </c>
      <c r="Q8" s="16">
        <f>IFERROR(__xludf.DUMMYFUNCTION("IF(OR(ISBLANK($G8), IFERROR(INDEX(GOOGLEFINANCE($C8, ""price"", WORKDAY(INT($B8), 1)), 2, 2), """")=""""), """", IF($D8=""LONG"", (IFERROR(INDEX(GOOGLEFINANCE($C8, ""price"", WORKDAY(INT($B8), 1)), 2, 2), """")-$G8)/$G8, ($G8-IFERROR(INDEX(GOOGLEFINANCE($"&amp;"C8, ""price"", WORKDAY(INT($B8), 1)), 2, 2), """"))/$G8))"),-0.006229559258682316)</f>
        <v>-0.006229559259</v>
      </c>
      <c r="R8" s="16" t="str">
        <f>IFERROR(__xludf.DUMMYFUNCTION("IF(OR(ISBLANK($G8), IFERROR(INDEX(GOOGLEFINANCE($C8, ""price"", WORKDAY(INT($B8), 5)), 2, 2), """")=""""), """", IF($D8=""LONG"", (IFERROR(INDEX(GOOGLEFINANCE($C8, ""price"", WORKDAY(INT($B8), 5)), 2, 2), """")-$G8)/$G8, ($G8-IFERROR(INDEX(GOOGLEFINANCE($"&amp;"C8, ""price"", WORKDAY(INT($B8), 5)), 2, 2), """"))/$G8))"),"")</f>
        <v/>
      </c>
      <c r="S8" s="16" t="str">
        <f>IFERROR(__xludf.DUMMYFUNCTION("IF(OR(ISBLANK($G8), IFERROR(INDEX(GOOGLEFINANCE($C8, ""price"", WORKDAY(INT($B8), 20)), 2, 2), """")=""""), """", IF($D8=""LONG"", (IFERROR(INDEX(GOOGLEFINANCE($C8, ""price"", WORKDAY(INT($B8), 20)), 2, 2), """")-$G8)/$G8, ($G8-IFERROR(INDEX(GOOGLEFINANCE"&amp;"($C8, ""price"", WORKDAY(INT($B8), 20)), 2, 2), """"))/$G8))"),"")</f>
        <v/>
      </c>
      <c r="T8" s="10" t="s">
        <v>6206</v>
      </c>
      <c r="U8" s="10" t="s">
        <v>615</v>
      </c>
      <c r="V8" s="10" t="s">
        <v>6207</v>
      </c>
      <c r="W8" s="10" t="s">
        <v>51</v>
      </c>
      <c r="X8" s="10" t="s">
        <v>2637</v>
      </c>
    </row>
    <row r="9">
      <c r="A9" s="9">
        <f t="shared" si="1"/>
        <v>8</v>
      </c>
      <c r="B9" s="11">
        <v>46239.66738425926</v>
      </c>
      <c r="C9" s="10" t="s">
        <v>6208</v>
      </c>
      <c r="D9" s="10" t="s">
        <v>36</v>
      </c>
      <c r="E9" s="10" t="s">
        <v>37</v>
      </c>
      <c r="F9" s="13">
        <v>2.0</v>
      </c>
      <c r="G9" s="14">
        <v>57.96</v>
      </c>
      <c r="H9" s="10" t="s">
        <v>6209</v>
      </c>
      <c r="I9" s="10">
        <v>99.1</v>
      </c>
      <c r="O9" s="15">
        <f>IFERROR(__xludf.DUMMYFUNCTION("IF(ISBLANK($C9), """", GOOGLEFINANCE($C9, ""price""))"),59.78)</f>
        <v>59.78</v>
      </c>
      <c r="P9" s="16">
        <f t="shared" si="2"/>
        <v>0.03140096618</v>
      </c>
      <c r="Q9" s="16">
        <f>IFERROR(__xludf.DUMMYFUNCTION("IF(OR(ISBLANK($G9), IFERROR(INDEX(GOOGLEFINANCE($C9, ""price"", WORKDAY(INT($B9), 1)), 2, 2), """")=""""), """", IF($D9=""LONG"", (IFERROR(INDEX(GOOGLEFINANCE($C9, ""price"", WORKDAY(INT($B9), 1)), 2, 2), """")-$G9)/$G9, ($G9-IFERROR(INDEX(GOOGLEFINANCE($"&amp;"C9, ""price"", WORKDAY(INT($B9), 1)), 2, 2), """"))/$G9))"),0.03140096618357489)</f>
        <v>0.03140096618</v>
      </c>
      <c r="R9" s="16" t="str">
        <f>IFERROR(__xludf.DUMMYFUNCTION("IF(OR(ISBLANK($G9), IFERROR(INDEX(GOOGLEFINANCE($C9, ""price"", WORKDAY(INT($B9), 5)), 2, 2), """")=""""), """", IF($D9=""LONG"", (IFERROR(INDEX(GOOGLEFINANCE($C9, ""price"", WORKDAY(INT($B9), 5)), 2, 2), """")-$G9)/$G9, ($G9-IFERROR(INDEX(GOOGLEFINANCE($"&amp;"C9, ""price"", WORKDAY(INT($B9), 5)), 2, 2), """"))/$G9))"),"")</f>
        <v/>
      </c>
      <c r="S9" s="16" t="str">
        <f>IFERROR(__xludf.DUMMYFUNCTION("IF(OR(ISBLANK($G9), IFERROR(INDEX(GOOGLEFINANCE($C9, ""price"", WORKDAY(INT($B9), 20)), 2, 2), """")=""""), """", IF($D9=""LONG"", (IFERROR(INDEX(GOOGLEFINANCE($C9, ""price"", WORKDAY(INT($B9), 20)), 2, 2), """")-$G9)/$G9, ($G9-IFERROR(INDEX(GOOGLEFINANCE"&amp;"($C9, ""price"", WORKDAY(INT($B9), 20)), 2, 2), """"))/$G9))"),"")</f>
        <v/>
      </c>
      <c r="T9" s="10" t="s">
        <v>6210</v>
      </c>
      <c r="U9" s="10" t="s">
        <v>240</v>
      </c>
      <c r="V9" s="10" t="s">
        <v>6211</v>
      </c>
      <c r="W9" s="10" t="s">
        <v>51</v>
      </c>
      <c r="X9" s="10" t="s">
        <v>1905</v>
      </c>
    </row>
    <row r="10">
      <c r="A10" s="9">
        <f t="shared" si="1"/>
        <v>9</v>
      </c>
      <c r="B10" s="11">
        <v>46239.66743055556</v>
      </c>
      <c r="C10" s="10" t="s">
        <v>3688</v>
      </c>
      <c r="D10" s="10" t="s">
        <v>36</v>
      </c>
      <c r="E10" s="10" t="s">
        <v>1892</v>
      </c>
      <c r="F10" s="13">
        <v>2.0</v>
      </c>
      <c r="G10" s="14">
        <v>29.09</v>
      </c>
      <c r="H10" s="10" t="s">
        <v>6212</v>
      </c>
      <c r="I10" s="10">
        <v>90.7</v>
      </c>
      <c r="O10" s="15">
        <f>IFERROR(__xludf.DUMMYFUNCTION("IF(ISBLANK($C10), """", GOOGLEFINANCE($C10, ""price""))"),29.67)</f>
        <v>29.67</v>
      </c>
      <c r="P10" s="16">
        <f t="shared" si="2"/>
        <v>0.01993812307</v>
      </c>
      <c r="Q10" s="16">
        <f>IFERROR(__xludf.DUMMYFUNCTION("IF(OR(ISBLANK($G10), IFERROR(INDEX(GOOGLEFINANCE($C10, ""price"", WORKDAY(INT($B10), 1)), 2, 2), """")=""""), """", IF($D10=""LONG"", (IFERROR(INDEX(GOOGLEFINANCE($C10, ""price"", WORKDAY(INT($B10), 1)), 2, 2), """")-$G10)/$G10, ($G10-IFERROR(INDEX(GOOGLE"&amp;"FINANCE($C10, ""price"", WORKDAY(INT($B10), 1)), 2, 2), """"))/$G10))"),0.019250601581299372)</f>
        <v>0.01925060158</v>
      </c>
      <c r="R10" s="16" t="str">
        <f>IFERROR(__xludf.DUMMYFUNCTION("IF(OR(ISBLANK($G10), IFERROR(INDEX(GOOGLEFINANCE($C10, ""price"", WORKDAY(INT($B10), 5)), 2, 2), """")=""""), """", IF($D10=""LONG"", (IFERROR(INDEX(GOOGLEFINANCE($C10, ""price"", WORKDAY(INT($B10), 5)), 2, 2), """")-$G10)/$G10, ($G10-IFERROR(INDEX(GOOGLE"&amp;"FINANCE($C10, ""price"", WORKDAY(INT($B10), 5)), 2, 2), """"))/$G10))"),"")</f>
        <v/>
      </c>
      <c r="S10" s="16" t="str">
        <f>IFERROR(__xludf.DUMMYFUNCTION("IF(OR(ISBLANK($G10), IFERROR(INDEX(GOOGLEFINANCE($C10, ""price"", WORKDAY(INT($B10), 20)), 2, 2), """")=""""), """", IF($D10=""LONG"", (IFERROR(INDEX(GOOGLEFINANCE($C10, ""price"", WORKDAY(INT($B10), 20)), 2, 2), """")-$G10)/$G10, ($G10-IFERROR(INDEX(GOOG"&amp;"LEFINANCE($C10, ""price"", WORKDAY(INT($B10), 20)), 2, 2), """"))/$G10))"),"")</f>
        <v/>
      </c>
      <c r="T10" s="10" t="s">
        <v>6213</v>
      </c>
      <c r="U10" s="10" t="s">
        <v>984</v>
      </c>
      <c r="V10" s="10" t="s">
        <v>5881</v>
      </c>
      <c r="W10" s="10" t="s">
        <v>51</v>
      </c>
      <c r="X10" s="10" t="s">
        <v>984</v>
      </c>
    </row>
    <row r="11">
      <c r="A11" s="9">
        <f t="shared" si="1"/>
        <v>10</v>
      </c>
      <c r="B11" s="11">
        <v>46239.66738425926</v>
      </c>
      <c r="C11" s="10" t="s">
        <v>471</v>
      </c>
      <c r="D11" s="10" t="s">
        <v>36</v>
      </c>
      <c r="E11" s="10" t="s">
        <v>37</v>
      </c>
      <c r="F11" s="13">
        <v>2.0</v>
      </c>
      <c r="G11" s="14">
        <v>384.1</v>
      </c>
      <c r="H11" s="10" t="s">
        <v>6214</v>
      </c>
      <c r="I11" s="10">
        <v>95.7</v>
      </c>
      <c r="O11" s="15">
        <f>IFERROR(__xludf.DUMMYFUNCTION("IF(ISBLANK($C11), """", GOOGLEFINANCE($C11, ""price""))"),386.92)</f>
        <v>386.92</v>
      </c>
      <c r="P11" s="16">
        <f t="shared" si="2"/>
        <v>0.007341838063</v>
      </c>
      <c r="Q11" s="16">
        <f>IFERROR(__xludf.DUMMYFUNCTION("IF(OR(ISBLANK($G11), IFERROR(INDEX(GOOGLEFINANCE($C11, ""price"", WORKDAY(INT($B11), 1)), 2, 2), """")=""""), """", IF($D11=""LONG"", (IFERROR(INDEX(GOOGLEFINANCE($C11, ""price"", WORKDAY(INT($B11), 1)), 2, 2), """")-$G11)/$G11, ($G11-IFERROR(INDEX(GOOGLE"&amp;"FINANCE($C11, ""price"", WORKDAY(INT($B11), 1)), 2, 2), """"))/$G11))"),0.007341838063004408)</f>
        <v>0.007341838063</v>
      </c>
      <c r="R11" s="16" t="str">
        <f>IFERROR(__xludf.DUMMYFUNCTION("IF(OR(ISBLANK($G11), IFERROR(INDEX(GOOGLEFINANCE($C11, ""price"", WORKDAY(INT($B11), 5)), 2, 2), """")=""""), """", IF($D11=""LONG"", (IFERROR(INDEX(GOOGLEFINANCE($C11, ""price"", WORKDAY(INT($B11), 5)), 2, 2), """")-$G11)/$G11, ($G11-IFERROR(INDEX(GOOGLE"&amp;"FINANCE($C11, ""price"", WORKDAY(INT($B11), 5)), 2, 2), """"))/$G11))"),"")</f>
        <v/>
      </c>
      <c r="S11" s="16" t="str">
        <f>IFERROR(__xludf.DUMMYFUNCTION("IF(OR(ISBLANK($G11), IFERROR(INDEX(GOOGLEFINANCE($C11, ""price"", WORKDAY(INT($B11), 20)), 2, 2), """")=""""), """", IF($D11=""LONG"", (IFERROR(INDEX(GOOGLEFINANCE($C11, ""price"", WORKDAY(INT($B11), 20)), 2, 2), """")-$G11)/$G11, ($G11-IFERROR(INDEX(GOOG"&amp;"LEFINANCE($C11, ""price"", WORKDAY(INT($B11), 20)), 2, 2), """"))/$G11))"),"")</f>
        <v/>
      </c>
      <c r="T11" s="10" t="s">
        <v>6215</v>
      </c>
      <c r="U11" s="10" t="s">
        <v>507</v>
      </c>
      <c r="V11" s="10" t="s">
        <v>6216</v>
      </c>
      <c r="W11" s="10" t="s">
        <v>51</v>
      </c>
      <c r="X11" s="10" t="s">
        <v>2228</v>
      </c>
    </row>
    <row r="12">
      <c r="A12" s="9">
        <f t="shared" si="1"/>
        <v>11</v>
      </c>
      <c r="B12" s="11">
        <v>46239.66743055556</v>
      </c>
      <c r="C12" s="10" t="s">
        <v>408</v>
      </c>
      <c r="D12" s="10" t="s">
        <v>36</v>
      </c>
      <c r="E12" s="10" t="s">
        <v>37</v>
      </c>
      <c r="F12" s="13">
        <v>2.0</v>
      </c>
      <c r="G12" s="14">
        <v>251.97</v>
      </c>
      <c r="H12" s="10" t="s">
        <v>6217</v>
      </c>
      <c r="I12" s="10">
        <v>89.3</v>
      </c>
      <c r="O12" s="15">
        <f>IFERROR(__xludf.DUMMYFUNCTION("IF(ISBLANK($C12), """", GOOGLEFINANCE($C12, ""price""))"),250.14)</f>
        <v>250.14</v>
      </c>
      <c r="P12" s="16">
        <f t="shared" si="2"/>
        <v>-0.007262769377</v>
      </c>
      <c r="Q12" s="16">
        <f>IFERROR(__xludf.DUMMYFUNCTION("IF(OR(ISBLANK($G12), IFERROR(INDEX(GOOGLEFINANCE($C12, ""price"", WORKDAY(INT($B12), 1)), 2, 2), """")=""""), """", IF($D12=""LONG"", (IFERROR(INDEX(GOOGLEFINANCE($C12, ""price"", WORKDAY(INT($B12), 1)), 2, 2), """")-$G12)/$G12, ($G12-IFERROR(INDEX(GOOGLE"&amp;"FINANCE($C12, ""price"", WORKDAY(INT($B12), 1)), 2, 2), """"))/$G12))"),-0.007262769377306872)</f>
        <v>-0.007262769377</v>
      </c>
      <c r="R12" s="16" t="str">
        <f>IFERROR(__xludf.DUMMYFUNCTION("IF(OR(ISBLANK($G12), IFERROR(INDEX(GOOGLEFINANCE($C12, ""price"", WORKDAY(INT($B12), 5)), 2, 2), """")=""""), """", IF($D12=""LONG"", (IFERROR(INDEX(GOOGLEFINANCE($C12, ""price"", WORKDAY(INT($B12), 5)), 2, 2), """")-$G12)/$G12, ($G12-IFERROR(INDEX(GOOGLE"&amp;"FINANCE($C12, ""price"", WORKDAY(INT($B12), 5)), 2, 2), """"))/$G12))"),"")</f>
        <v/>
      </c>
      <c r="S12" s="16" t="str">
        <f>IFERROR(__xludf.DUMMYFUNCTION("IF(OR(ISBLANK($G12), IFERROR(INDEX(GOOGLEFINANCE($C12, ""price"", WORKDAY(INT($B12), 20)), 2, 2), """")=""""), """", IF($D12=""LONG"", (IFERROR(INDEX(GOOGLEFINANCE($C12, ""price"", WORKDAY(INT($B12), 20)), 2, 2), """")-$G12)/$G12, ($G12-IFERROR(INDEX(GOOG"&amp;"LEFINANCE($C12, ""price"", WORKDAY(INT($B12), 20)), 2, 2), """"))/$G12))"),"")</f>
        <v/>
      </c>
      <c r="T12" s="10" t="s">
        <v>6218</v>
      </c>
      <c r="U12" s="10" t="s">
        <v>176</v>
      </c>
      <c r="V12" s="10" t="s">
        <v>6219</v>
      </c>
      <c r="W12" s="10" t="s">
        <v>51</v>
      </c>
      <c r="X12" s="10" t="s">
        <v>962</v>
      </c>
    </row>
    <row r="13">
      <c r="A13" s="9">
        <f t="shared" si="1"/>
        <v>12</v>
      </c>
      <c r="B13" s="11">
        <v>46239.66768518519</v>
      </c>
      <c r="C13" s="10" t="s">
        <v>2025</v>
      </c>
      <c r="D13" s="10" t="s">
        <v>36</v>
      </c>
      <c r="E13" s="10" t="s">
        <v>37</v>
      </c>
      <c r="F13" s="13">
        <v>2.0</v>
      </c>
      <c r="G13" s="14">
        <v>70.94</v>
      </c>
      <c r="H13" s="10" t="s">
        <v>6220</v>
      </c>
      <c r="I13" s="10">
        <v>99.3</v>
      </c>
      <c r="O13" s="15">
        <f>IFERROR(__xludf.DUMMYFUNCTION("IF(ISBLANK($C13), """", GOOGLEFINANCE($C13, ""price""))"),71.18)</f>
        <v>71.18</v>
      </c>
      <c r="P13" s="16">
        <f t="shared" si="2"/>
        <v>0.003383140682</v>
      </c>
      <c r="Q13" s="16">
        <f>IFERROR(__xludf.DUMMYFUNCTION("IF(OR(ISBLANK($G13), IFERROR(INDEX(GOOGLEFINANCE($C13, ""price"", WORKDAY(INT($B13), 1)), 2, 2), """")=""""), """", IF($D13=""LONG"", (IFERROR(INDEX(GOOGLEFINANCE($C13, ""price"", WORKDAY(INT($B13), 1)), 2, 2), """")-$G13)/$G13, ($G13-IFERROR(INDEX(GOOGLE"&amp;"FINANCE($C13, ""price"", WORKDAY(INT($B13), 1)), 2, 2), """"))/$G13))"),0.0033831406822668326)</f>
        <v>0.003383140682</v>
      </c>
      <c r="R13" s="16" t="str">
        <f>IFERROR(__xludf.DUMMYFUNCTION("IF(OR(ISBLANK($G13), IFERROR(INDEX(GOOGLEFINANCE($C13, ""price"", WORKDAY(INT($B13), 5)), 2, 2), """")=""""), """", IF($D13=""LONG"", (IFERROR(INDEX(GOOGLEFINANCE($C13, ""price"", WORKDAY(INT($B13), 5)), 2, 2), """")-$G13)/$G13, ($G13-IFERROR(INDEX(GOOGLE"&amp;"FINANCE($C13, ""price"", WORKDAY(INT($B13), 5)), 2, 2), """"))/$G13))"),"")</f>
        <v/>
      </c>
      <c r="S13" s="16" t="str">
        <f>IFERROR(__xludf.DUMMYFUNCTION("IF(OR(ISBLANK($G13), IFERROR(INDEX(GOOGLEFINANCE($C13, ""price"", WORKDAY(INT($B13), 20)), 2, 2), """")=""""), """", IF($D13=""LONG"", (IFERROR(INDEX(GOOGLEFINANCE($C13, ""price"", WORKDAY(INT($B13), 20)), 2, 2), """")-$G13)/$G13, ($G13-IFERROR(INDEX(GOOG"&amp;"LEFINANCE($C13, ""price"", WORKDAY(INT($B13), 20)), 2, 2), """"))/$G13))"),"")</f>
        <v/>
      </c>
      <c r="T13" s="10" t="s">
        <v>6221</v>
      </c>
      <c r="U13" s="10" t="s">
        <v>984</v>
      </c>
      <c r="V13" s="10" t="s">
        <v>5881</v>
      </c>
      <c r="W13" s="10" t="s">
        <v>51</v>
      </c>
      <c r="X13" s="10" t="s">
        <v>984</v>
      </c>
    </row>
    <row r="14">
      <c r="A14" s="9">
        <f t="shared" si="1"/>
        <v>13</v>
      </c>
      <c r="B14" s="11">
        <v>46239.66740740741</v>
      </c>
      <c r="C14" s="10" t="s">
        <v>41</v>
      </c>
      <c r="D14" s="10" t="s">
        <v>36</v>
      </c>
      <c r="E14" s="10" t="s">
        <v>37</v>
      </c>
      <c r="F14" s="13">
        <v>2.0</v>
      </c>
      <c r="G14" s="14">
        <v>183.85</v>
      </c>
      <c r="H14" s="10" t="s">
        <v>6222</v>
      </c>
      <c r="I14" s="10">
        <v>81.0</v>
      </c>
      <c r="O14" s="15">
        <f>IFERROR(__xludf.DUMMYFUNCTION("IF(ISBLANK($C14), """", GOOGLEFINANCE($C14, ""price""))"),186.02)</f>
        <v>186.02</v>
      </c>
      <c r="P14" s="16">
        <f t="shared" si="2"/>
        <v>0.01180310035</v>
      </c>
      <c r="Q14" s="16">
        <f>IFERROR(__xludf.DUMMYFUNCTION("IF(OR(ISBLANK($G14), IFERROR(INDEX(GOOGLEFINANCE($C14, ""price"", WORKDAY(INT($B14), 1)), 2, 2), """")=""""), """", IF($D14=""LONG"", (IFERROR(INDEX(GOOGLEFINANCE($C14, ""price"", WORKDAY(INT($B14), 1)), 2, 2), """")-$G14)/$G14, ($G14-IFERROR(INDEX(GOOGLE"&amp;"FINANCE($C14, ""price"", WORKDAY(INT($B14), 1)), 2, 2), """"))/$G14))"),0.011803100353549176)</f>
        <v>0.01180310035</v>
      </c>
      <c r="R14" s="16" t="str">
        <f>IFERROR(__xludf.DUMMYFUNCTION("IF(OR(ISBLANK($G14), IFERROR(INDEX(GOOGLEFINANCE($C14, ""price"", WORKDAY(INT($B14), 5)), 2, 2), """")=""""), """", IF($D14=""LONG"", (IFERROR(INDEX(GOOGLEFINANCE($C14, ""price"", WORKDAY(INT($B14), 5)), 2, 2), """")-$G14)/$G14, ($G14-IFERROR(INDEX(GOOGLE"&amp;"FINANCE($C14, ""price"", WORKDAY(INT($B14), 5)), 2, 2), """"))/$G14))"),"")</f>
        <v/>
      </c>
      <c r="S14" s="16" t="str">
        <f>IFERROR(__xludf.DUMMYFUNCTION("IF(OR(ISBLANK($G14), IFERROR(INDEX(GOOGLEFINANCE($C14, ""price"", WORKDAY(INT($B14), 20)), 2, 2), """")=""""), """", IF($D14=""LONG"", (IFERROR(INDEX(GOOGLEFINANCE($C14, ""price"", WORKDAY(INT($B14), 20)), 2, 2), """")-$G14)/$G14, ($G14-IFERROR(INDEX(GOOG"&amp;"LEFINANCE($C14, ""price"", WORKDAY(INT($B14), 20)), 2, 2), """"))/$G14))"),"")</f>
        <v/>
      </c>
      <c r="T14" s="10" t="s">
        <v>6223</v>
      </c>
      <c r="U14" s="10" t="s">
        <v>984</v>
      </c>
      <c r="V14" s="10" t="s">
        <v>5889</v>
      </c>
      <c r="W14" s="10" t="s">
        <v>51</v>
      </c>
      <c r="X14" s="10" t="s">
        <v>984</v>
      </c>
    </row>
    <row r="15">
      <c r="A15" s="9">
        <f t="shared" si="1"/>
        <v>14</v>
      </c>
      <c r="B15" s="11">
        <v>46239.66737268519</v>
      </c>
      <c r="C15" s="10" t="s">
        <v>826</v>
      </c>
      <c r="D15" s="10" t="s">
        <v>36</v>
      </c>
      <c r="E15" s="10" t="s">
        <v>37</v>
      </c>
      <c r="F15" s="13">
        <v>2.0</v>
      </c>
      <c r="G15" s="14">
        <v>368.43</v>
      </c>
      <c r="H15" s="10" t="s">
        <v>6224</v>
      </c>
      <c r="I15" s="10">
        <v>94.8</v>
      </c>
      <c r="O15" s="15">
        <f>IFERROR(__xludf.DUMMYFUNCTION("IF(ISBLANK($C15), """", GOOGLEFINANCE($C15, ""price""))"),370.47)</f>
        <v>370.47</v>
      </c>
      <c r="P15" s="16">
        <f t="shared" si="2"/>
        <v>0.005537008387</v>
      </c>
      <c r="Q15" s="16">
        <f>IFERROR(__xludf.DUMMYFUNCTION("IF(OR(ISBLANK($G15), IFERROR(INDEX(GOOGLEFINANCE($C15, ""price"", WORKDAY(INT($B15), 1)), 2, 2), """")=""""), """", IF($D15=""LONG"", (IFERROR(INDEX(GOOGLEFINANCE($C15, ""price"", WORKDAY(INT($B15), 1)), 2, 2), """")-$G15)/$G15, ($G15-IFERROR(INDEX(GOOGLE"&amp;"FINANCE($C15, ""price"", WORKDAY(INT($B15), 1)), 2, 2), """"))/$G15))"),0.00553700838693923)</f>
        <v>0.005537008387</v>
      </c>
      <c r="R15" s="16" t="str">
        <f>IFERROR(__xludf.DUMMYFUNCTION("IF(OR(ISBLANK($G15), IFERROR(INDEX(GOOGLEFINANCE($C15, ""price"", WORKDAY(INT($B15), 5)), 2, 2), """")=""""), """", IF($D15=""LONG"", (IFERROR(INDEX(GOOGLEFINANCE($C15, ""price"", WORKDAY(INT($B15), 5)), 2, 2), """")-$G15)/$G15, ($G15-IFERROR(INDEX(GOOGLE"&amp;"FINANCE($C15, ""price"", WORKDAY(INT($B15), 5)), 2, 2), """"))/$G15))"),"")</f>
        <v/>
      </c>
      <c r="S15" s="16" t="str">
        <f>IFERROR(__xludf.DUMMYFUNCTION("IF(OR(ISBLANK($G15), IFERROR(INDEX(GOOGLEFINANCE($C15, ""price"", WORKDAY(INT($B15), 20)), 2, 2), """")=""""), """", IF($D15=""LONG"", (IFERROR(INDEX(GOOGLEFINANCE($C15, ""price"", WORKDAY(INT($B15), 20)), 2, 2), """")-$G15)/$G15, ($G15-IFERROR(INDEX(GOOG"&amp;"LEFINANCE($C15, ""price"", WORKDAY(INT($B15), 20)), 2, 2), """"))/$G15))"),"")</f>
        <v/>
      </c>
      <c r="T15" s="10" t="s">
        <v>6225</v>
      </c>
      <c r="U15" s="10" t="s">
        <v>492</v>
      </c>
      <c r="V15" s="10" t="s">
        <v>493</v>
      </c>
      <c r="W15" s="10" t="s">
        <v>51</v>
      </c>
      <c r="X15" s="10" t="s">
        <v>492</v>
      </c>
    </row>
    <row r="16">
      <c r="A16" s="9">
        <f t="shared" si="1"/>
        <v>15</v>
      </c>
      <c r="B16" s="11">
        <v>46239.66737268519</v>
      </c>
      <c r="C16" s="10" t="s">
        <v>1555</v>
      </c>
      <c r="D16" s="10" t="s">
        <v>36</v>
      </c>
      <c r="E16" s="10" t="s">
        <v>37</v>
      </c>
      <c r="F16" s="13">
        <v>2.0</v>
      </c>
      <c r="G16" s="14">
        <v>373.27</v>
      </c>
      <c r="H16" s="10" t="s">
        <v>6226</v>
      </c>
      <c r="I16" s="10">
        <v>86.0</v>
      </c>
      <c r="O16" s="15">
        <f>IFERROR(__xludf.DUMMYFUNCTION("IF(ISBLANK($C16), """", GOOGLEFINANCE($C16, ""price""))"),370.35)</f>
        <v>370.35</v>
      </c>
      <c r="P16" s="16">
        <f t="shared" si="2"/>
        <v>-0.007822755646</v>
      </c>
      <c r="Q16" s="16">
        <f>IFERROR(__xludf.DUMMYFUNCTION("IF(OR(ISBLANK($G16), IFERROR(INDEX(GOOGLEFINANCE($C16, ""price"", WORKDAY(INT($B16), 1)), 2, 2), """")=""""), """", IF($D16=""LONG"", (IFERROR(INDEX(GOOGLEFINANCE($C16, ""price"", WORKDAY(INT($B16), 1)), 2, 2), """")-$G16)/$G16, ($G16-IFERROR(INDEX(GOOGLE"&amp;"FINANCE($C16, ""price"", WORKDAY(INT($B16), 1)), 2, 2), """"))/$G16))"),-0.007822755646046987)</f>
        <v>-0.007822755646</v>
      </c>
      <c r="R16" s="16" t="str">
        <f>IFERROR(__xludf.DUMMYFUNCTION("IF(OR(ISBLANK($G16), IFERROR(INDEX(GOOGLEFINANCE($C16, ""price"", WORKDAY(INT($B16), 5)), 2, 2), """")=""""), """", IF($D16=""LONG"", (IFERROR(INDEX(GOOGLEFINANCE($C16, ""price"", WORKDAY(INT($B16), 5)), 2, 2), """")-$G16)/$G16, ($G16-IFERROR(INDEX(GOOGLE"&amp;"FINANCE($C16, ""price"", WORKDAY(INT($B16), 5)), 2, 2), """"))/$G16))"),"")</f>
        <v/>
      </c>
      <c r="S16" s="16" t="str">
        <f>IFERROR(__xludf.DUMMYFUNCTION("IF(OR(ISBLANK($G16), IFERROR(INDEX(GOOGLEFINANCE($C16, ""price"", WORKDAY(INT($B16), 20)), 2, 2), """")=""""), """", IF($D16=""LONG"", (IFERROR(INDEX(GOOGLEFINANCE($C16, ""price"", WORKDAY(INT($B16), 20)), 2, 2), """")-$G16)/$G16, ($G16-IFERROR(INDEX(GOOG"&amp;"LEFINANCE($C16, ""price"", WORKDAY(INT($B16), 20)), 2, 2), """"))/$G16))"),"")</f>
        <v/>
      </c>
      <c r="T16" s="10" t="s">
        <v>6227</v>
      </c>
      <c r="U16" s="10" t="s">
        <v>615</v>
      </c>
      <c r="V16" s="10" t="s">
        <v>6228</v>
      </c>
      <c r="W16" s="10" t="s">
        <v>51</v>
      </c>
      <c r="X16" s="10" t="s">
        <v>2637</v>
      </c>
    </row>
    <row r="17">
      <c r="A17" s="9">
        <f t="shared" si="1"/>
        <v>16</v>
      </c>
      <c r="B17" s="11">
        <v>46239.66740740741</v>
      </c>
      <c r="C17" s="10" t="s">
        <v>383</v>
      </c>
      <c r="D17" s="10" t="s">
        <v>36</v>
      </c>
      <c r="E17" s="10" t="s">
        <v>1892</v>
      </c>
      <c r="F17" s="13">
        <v>2.0</v>
      </c>
      <c r="G17" s="14">
        <v>996.45</v>
      </c>
      <c r="H17" s="10" t="s">
        <v>6229</v>
      </c>
      <c r="I17" s="10">
        <v>82.2</v>
      </c>
      <c r="O17" s="15">
        <f>IFERROR(__xludf.DUMMYFUNCTION("IF(ISBLANK($C17), """", GOOGLEFINANCE($C17, ""price""))"),1069.8)</f>
        <v>1069.8</v>
      </c>
      <c r="P17" s="16">
        <f t="shared" si="2"/>
        <v>0.07361132019</v>
      </c>
      <c r="Q17" s="16">
        <f>IFERROR(__xludf.DUMMYFUNCTION("IF(OR(ISBLANK($G17), IFERROR(INDEX(GOOGLEFINANCE($C17, ""price"", WORKDAY(INT($B17), 1)), 2, 2), """")=""""), """", IF($D17=""LONG"", (IFERROR(INDEX(GOOGLEFINANCE($C17, ""price"", WORKDAY(INT($B17), 1)), 2, 2), """")-$G17)/$G17, ($G17-IFERROR(INDEX(GOOGLE"&amp;"FINANCE($C17, ""price"", WORKDAY(INT($B17), 1)), 2, 2), """"))/$G17))"),0.07361132018666255)</f>
        <v>0.07361132019</v>
      </c>
      <c r="R17" s="16" t="str">
        <f>IFERROR(__xludf.DUMMYFUNCTION("IF(OR(ISBLANK($G17), IFERROR(INDEX(GOOGLEFINANCE($C17, ""price"", WORKDAY(INT($B17), 5)), 2, 2), """")=""""), """", IF($D17=""LONG"", (IFERROR(INDEX(GOOGLEFINANCE($C17, ""price"", WORKDAY(INT($B17), 5)), 2, 2), """")-$G17)/$G17, ($G17-IFERROR(INDEX(GOOGLE"&amp;"FINANCE($C17, ""price"", WORKDAY(INT($B17), 5)), 2, 2), """"))/$G17))"),"")</f>
        <v/>
      </c>
      <c r="S17" s="16" t="str">
        <f>IFERROR(__xludf.DUMMYFUNCTION("IF(OR(ISBLANK($G17), IFERROR(INDEX(GOOGLEFINANCE($C17, ""price"", WORKDAY(INT($B17), 20)), 2, 2), """")=""""), """", IF($D17=""LONG"", (IFERROR(INDEX(GOOGLEFINANCE($C17, ""price"", WORKDAY(INT($B17), 20)), 2, 2), """")-$G17)/$G17, ($G17-IFERROR(INDEX(GOOG"&amp;"LEFINANCE($C17, ""price"", WORKDAY(INT($B17), 20)), 2, 2), """"))/$G17))"),"")</f>
        <v/>
      </c>
      <c r="T17" s="10" t="s">
        <v>6230</v>
      </c>
      <c r="U17" s="10" t="s">
        <v>492</v>
      </c>
      <c r="V17" s="10" t="s">
        <v>493</v>
      </c>
      <c r="W17" s="10" t="s">
        <v>51</v>
      </c>
      <c r="X17" s="10" t="s">
        <v>492</v>
      </c>
    </row>
    <row r="18">
      <c r="A18" s="9">
        <f t="shared" si="1"/>
        <v>17</v>
      </c>
      <c r="B18" s="11">
        <v>46239.66744212963</v>
      </c>
      <c r="C18" s="10" t="s">
        <v>4394</v>
      </c>
      <c r="D18" s="10" t="s">
        <v>36</v>
      </c>
      <c r="E18" s="10" t="s">
        <v>37</v>
      </c>
      <c r="F18" s="13">
        <v>2.0</v>
      </c>
      <c r="G18" s="14">
        <v>302.5</v>
      </c>
      <c r="H18" s="10" t="s">
        <v>1281</v>
      </c>
      <c r="I18" s="10">
        <v>93.3</v>
      </c>
      <c r="L18" s="10" t="s">
        <v>6231</v>
      </c>
      <c r="M18" s="34" t="s">
        <v>6232</v>
      </c>
      <c r="N18" s="10" t="s">
        <v>925</v>
      </c>
      <c r="O18" s="15">
        <f>IFERROR(__xludf.DUMMYFUNCTION("IF(ISBLANK($C18), """", GOOGLEFINANCE($C18, ""price""))"),302.99)</f>
        <v>302.99</v>
      </c>
      <c r="P18" s="16">
        <f t="shared" si="2"/>
        <v>0.001619834711</v>
      </c>
      <c r="Q18" s="16">
        <f>IFERROR(__xludf.DUMMYFUNCTION("IF(OR(ISBLANK($G18), IFERROR(INDEX(GOOGLEFINANCE($C18, ""price"", WORKDAY(INT($B18), 1)), 2, 2), """")=""""), """", IF($D18=""LONG"", (IFERROR(INDEX(GOOGLEFINANCE($C18, ""price"", WORKDAY(INT($B18), 1)), 2, 2), """")-$G18)/$G18, ($G18-IFERROR(INDEX(GOOGLE"&amp;"FINANCE($C18, ""price"", WORKDAY(INT($B18), 1)), 2, 2), """"))/$G18))"),0.0016198347107438317)</f>
        <v>0.001619834711</v>
      </c>
      <c r="R18" s="16" t="str">
        <f>IFERROR(__xludf.DUMMYFUNCTION("IF(OR(ISBLANK($G18), IFERROR(INDEX(GOOGLEFINANCE($C18, ""price"", WORKDAY(INT($B18), 5)), 2, 2), """")=""""), """", IF($D18=""LONG"", (IFERROR(INDEX(GOOGLEFINANCE($C18, ""price"", WORKDAY(INT($B18), 5)), 2, 2), """")-$G18)/$G18, ($G18-IFERROR(INDEX(GOOGLE"&amp;"FINANCE($C18, ""price"", WORKDAY(INT($B18), 5)), 2, 2), """"))/$G18))"),"")</f>
        <v/>
      </c>
      <c r="S18" s="16" t="str">
        <f>IFERROR(__xludf.DUMMYFUNCTION("IF(OR(ISBLANK($G18), IFERROR(INDEX(GOOGLEFINANCE($C18, ""price"", WORKDAY(INT($B18), 20)), 2, 2), """")=""""), """", IF($D18=""LONG"", (IFERROR(INDEX(GOOGLEFINANCE($C18, ""price"", WORKDAY(INT($B18), 20)), 2, 2), """")-$G18)/$G18, ($G18-IFERROR(INDEX(GOOG"&amp;"LEFINANCE($C18, ""price"", WORKDAY(INT($B18), 20)), 2, 2), """"))/$G18))"),"")</f>
        <v/>
      </c>
      <c r="T18" s="10" t="s">
        <v>6233</v>
      </c>
      <c r="U18" s="10" t="s">
        <v>492</v>
      </c>
      <c r="V18" s="10" t="s">
        <v>6234</v>
      </c>
      <c r="W18" s="10" t="s">
        <v>51</v>
      </c>
      <c r="X18" s="10" t="s">
        <v>492</v>
      </c>
    </row>
    <row r="19">
      <c r="A19" s="9">
        <f t="shared" si="1"/>
        <v>18</v>
      </c>
      <c r="B19" s="11">
        <v>46239.66741898148</v>
      </c>
      <c r="C19" s="10" t="s">
        <v>126</v>
      </c>
      <c r="D19" s="10" t="s">
        <v>36</v>
      </c>
      <c r="E19" s="10" t="s">
        <v>37</v>
      </c>
      <c r="F19" s="13">
        <v>2.0</v>
      </c>
      <c r="G19" s="14">
        <v>140.1</v>
      </c>
      <c r="H19" s="10" t="s">
        <v>6235</v>
      </c>
      <c r="I19" s="10">
        <v>91.3</v>
      </c>
      <c r="O19" s="15">
        <f>IFERROR(__xludf.DUMMYFUNCTION("IF(ISBLANK($C19), """", GOOGLEFINANCE($C19, ""price""))"),141.97)</f>
        <v>141.97</v>
      </c>
      <c r="P19" s="16">
        <f t="shared" si="2"/>
        <v>0.01334760885</v>
      </c>
      <c r="Q19" s="16">
        <f>IFERROR(__xludf.DUMMYFUNCTION("IF(OR(ISBLANK($G19), IFERROR(INDEX(GOOGLEFINANCE($C19, ""price"", WORKDAY(INT($B19), 1)), 2, 2), """")=""""), """", IF($D19=""LONG"", (IFERROR(INDEX(GOOGLEFINANCE($C19, ""price"", WORKDAY(INT($B19), 1)), 2, 2), """")-$G19)/$G19, ($G19-IFERROR(INDEX(GOOGLE"&amp;"FINANCE($C19, ""price"", WORKDAY(INT($B19), 1)), 2, 2), """"))/$G19))"),0.013418986438258356)</f>
        <v>0.01341898644</v>
      </c>
      <c r="R19" s="16" t="str">
        <f>IFERROR(__xludf.DUMMYFUNCTION("IF(OR(ISBLANK($G19), IFERROR(INDEX(GOOGLEFINANCE($C19, ""price"", WORKDAY(INT($B19), 5)), 2, 2), """")=""""), """", IF($D19=""LONG"", (IFERROR(INDEX(GOOGLEFINANCE($C19, ""price"", WORKDAY(INT($B19), 5)), 2, 2), """")-$G19)/$G19, ($G19-IFERROR(INDEX(GOOGLE"&amp;"FINANCE($C19, ""price"", WORKDAY(INT($B19), 5)), 2, 2), """"))/$G19))"),"")</f>
        <v/>
      </c>
      <c r="S19" s="16" t="str">
        <f>IFERROR(__xludf.DUMMYFUNCTION("IF(OR(ISBLANK($G19), IFERROR(INDEX(GOOGLEFINANCE($C19, ""price"", WORKDAY(INT($B19), 20)), 2, 2), """")=""""), """", IF($D19=""LONG"", (IFERROR(INDEX(GOOGLEFINANCE($C19, ""price"", WORKDAY(INT($B19), 20)), 2, 2), """")-$G19)/$G19, ($G19-IFERROR(INDEX(GOOG"&amp;"LEFINANCE($C19, ""price"", WORKDAY(INT($B19), 20)), 2, 2), """"))/$G19))"),"")</f>
        <v/>
      </c>
      <c r="T19" s="10" t="s">
        <v>6236</v>
      </c>
      <c r="U19" s="10" t="s">
        <v>984</v>
      </c>
      <c r="V19" s="10" t="s">
        <v>5889</v>
      </c>
      <c r="W19" s="10" t="s">
        <v>51</v>
      </c>
      <c r="X19" s="10" t="s">
        <v>984</v>
      </c>
    </row>
    <row r="20">
      <c r="A20" s="9">
        <f t="shared" si="1"/>
        <v>19</v>
      </c>
      <c r="B20" s="11">
        <v>46239.66775462963</v>
      </c>
      <c r="C20" s="10" t="s">
        <v>52</v>
      </c>
      <c r="D20" s="10" t="s">
        <v>36</v>
      </c>
      <c r="E20" s="10" t="s">
        <v>37</v>
      </c>
      <c r="F20" s="13">
        <v>2.0</v>
      </c>
      <c r="G20" s="14">
        <v>119.85</v>
      </c>
      <c r="H20" s="10" t="s">
        <v>6237</v>
      </c>
      <c r="I20" s="10">
        <v>93.0</v>
      </c>
      <c r="O20" s="15">
        <f>IFERROR(__xludf.DUMMYFUNCTION("IF(ISBLANK($C20), """", GOOGLEFINANCE($C20, ""price""))"),118.38)</f>
        <v>118.38</v>
      </c>
      <c r="P20" s="16">
        <f t="shared" si="2"/>
        <v>-0.01226533166</v>
      </c>
      <c r="Q20" s="16">
        <f>IFERROR(__xludf.DUMMYFUNCTION("IF(OR(ISBLANK($G20), IFERROR(INDEX(GOOGLEFINANCE($C20, ""price"", WORKDAY(INT($B20), 1)), 2, 2), """")=""""), """", IF($D20=""LONG"", (IFERROR(INDEX(GOOGLEFINANCE($C20, ""price"", WORKDAY(INT($B20), 1)), 2, 2), """")-$G20)/$G20, ($G20-IFERROR(INDEX(GOOGLE"&amp;"FINANCE($C20, ""price"", WORKDAY(INT($B20), 1)), 2, 2), """"))/$G20))"),-0.012181894034209377)</f>
        <v>-0.01218189403</v>
      </c>
      <c r="R20" s="16" t="str">
        <f>IFERROR(__xludf.DUMMYFUNCTION("IF(OR(ISBLANK($G20), IFERROR(INDEX(GOOGLEFINANCE($C20, ""price"", WORKDAY(INT($B20), 5)), 2, 2), """")=""""), """", IF($D20=""LONG"", (IFERROR(INDEX(GOOGLEFINANCE($C20, ""price"", WORKDAY(INT($B20), 5)), 2, 2), """")-$G20)/$G20, ($G20-IFERROR(INDEX(GOOGLE"&amp;"FINANCE($C20, ""price"", WORKDAY(INT($B20), 5)), 2, 2), """"))/$G20))"),"")</f>
        <v/>
      </c>
      <c r="S20" s="16" t="str">
        <f>IFERROR(__xludf.DUMMYFUNCTION("IF(OR(ISBLANK($G20), IFERROR(INDEX(GOOGLEFINANCE($C20, ""price"", WORKDAY(INT($B20), 20)), 2, 2), """")=""""), """", IF($D20=""LONG"", (IFERROR(INDEX(GOOGLEFINANCE($C20, ""price"", WORKDAY(INT($B20), 20)), 2, 2), """")-$G20)/$G20, ($G20-IFERROR(INDEX(GOOG"&amp;"LEFINANCE($C20, ""price"", WORKDAY(INT($B20), 20)), 2, 2), """"))/$G20))"),"")</f>
        <v/>
      </c>
      <c r="T20" s="10" t="s">
        <v>6238</v>
      </c>
      <c r="U20" s="10" t="s">
        <v>492</v>
      </c>
      <c r="V20" s="10" t="s">
        <v>493</v>
      </c>
      <c r="W20" s="10" t="s">
        <v>51</v>
      </c>
      <c r="X20" s="10" t="s">
        <v>492</v>
      </c>
    </row>
    <row r="21">
      <c r="A21" s="9">
        <f t="shared" si="1"/>
        <v>20</v>
      </c>
      <c r="B21" s="11">
        <v>46239.667395833334</v>
      </c>
      <c r="C21" s="10" t="s">
        <v>6239</v>
      </c>
      <c r="D21" s="10" t="s">
        <v>36</v>
      </c>
      <c r="E21" s="10" t="s">
        <v>37</v>
      </c>
      <c r="F21" s="13">
        <v>2.0</v>
      </c>
      <c r="G21" s="14">
        <v>42.82</v>
      </c>
      <c r="H21" s="10" t="s">
        <v>6240</v>
      </c>
      <c r="I21" s="10">
        <v>96.9</v>
      </c>
      <c r="O21" s="15">
        <f>IFERROR(__xludf.DUMMYFUNCTION("IF(ISBLANK($C21), """", GOOGLEFINANCE($C21, ""price""))"),42.81)</f>
        <v>42.81</v>
      </c>
      <c r="P21" s="16">
        <f t="shared" si="2"/>
        <v>-0.000233535731</v>
      </c>
      <c r="Q21" s="16">
        <f>IFERROR(__xludf.DUMMYFUNCTION("IF(OR(ISBLANK($G21), IFERROR(INDEX(GOOGLEFINANCE($C21, ""price"", WORKDAY(INT($B21), 1)), 2, 2), """")=""""), """", IF($D21=""LONG"", (IFERROR(INDEX(GOOGLEFINANCE($C21, ""price"", WORKDAY(INT($B21), 1)), 2, 2), """")-$G21)/$G21, ($G21-IFERROR(INDEX(GOOGLE"&amp;"FINANCE($C21, ""price"", WORKDAY(INT($B21), 1)), 2, 2), """"))/$G21))"),-2.3353573096679146E-4)</f>
        <v>-0.000233535731</v>
      </c>
      <c r="R21" s="16" t="str">
        <f>IFERROR(__xludf.DUMMYFUNCTION("IF(OR(ISBLANK($G21), IFERROR(INDEX(GOOGLEFINANCE($C21, ""price"", WORKDAY(INT($B21), 5)), 2, 2), """")=""""), """", IF($D21=""LONG"", (IFERROR(INDEX(GOOGLEFINANCE($C21, ""price"", WORKDAY(INT($B21), 5)), 2, 2), """")-$G21)/$G21, ($G21-IFERROR(INDEX(GOOGLE"&amp;"FINANCE($C21, ""price"", WORKDAY(INT($B21), 5)), 2, 2), """"))/$G21))"),"")</f>
        <v/>
      </c>
      <c r="S21" s="16" t="str">
        <f>IFERROR(__xludf.DUMMYFUNCTION("IF(OR(ISBLANK($G21), IFERROR(INDEX(GOOGLEFINANCE($C21, ""price"", WORKDAY(INT($B21), 20)), 2, 2), """")=""""), """", IF($D21=""LONG"", (IFERROR(INDEX(GOOGLEFINANCE($C21, ""price"", WORKDAY(INT($B21), 20)), 2, 2), """")-$G21)/$G21, ($G21-IFERROR(INDEX(GOOG"&amp;"LEFINANCE($C21, ""price"", WORKDAY(INT($B21), 20)), 2, 2), """"))/$G21))"),"")</f>
        <v/>
      </c>
      <c r="T21" s="10" t="s">
        <v>6241</v>
      </c>
      <c r="U21" s="10" t="s">
        <v>545</v>
      </c>
      <c r="V21" s="10" t="s">
        <v>6242</v>
      </c>
      <c r="W21" s="10" t="s">
        <v>51</v>
      </c>
      <c r="X21" s="10" t="s">
        <v>3421</v>
      </c>
    </row>
    <row r="22">
      <c r="A22" s="9">
        <f t="shared" si="1"/>
        <v>21</v>
      </c>
      <c r="B22" s="11">
        <v>46239.66751157407</v>
      </c>
      <c r="C22" s="10" t="s">
        <v>4646</v>
      </c>
      <c r="D22" s="10" t="s">
        <v>36</v>
      </c>
      <c r="E22" s="10" t="s">
        <v>1892</v>
      </c>
      <c r="F22" s="13">
        <v>2.0</v>
      </c>
      <c r="G22" s="14">
        <v>144.67</v>
      </c>
      <c r="H22" s="10" t="s">
        <v>6243</v>
      </c>
      <c r="I22" s="10">
        <v>73.2</v>
      </c>
      <c r="O22" s="15">
        <f>IFERROR(__xludf.DUMMYFUNCTION("IF(ISBLANK($C22), """", GOOGLEFINANCE($C22, ""price""))"),144.03)</f>
        <v>144.03</v>
      </c>
      <c r="P22" s="16">
        <f t="shared" si="2"/>
        <v>-0.004423861201</v>
      </c>
      <c r="Q22" s="16">
        <f>IFERROR(__xludf.DUMMYFUNCTION("IF(OR(ISBLANK($G22), IFERROR(INDEX(GOOGLEFINANCE($C22, ""price"", WORKDAY(INT($B22), 1)), 2, 2), """")=""""), """", IF($D22=""LONG"", (IFERROR(INDEX(GOOGLEFINANCE($C22, ""price"", WORKDAY(INT($B22), 1)), 2, 2), """")-$G22)/$G22, ($G22-IFERROR(INDEX(GOOGLE"&amp;"FINANCE($C22, ""price"", WORKDAY(INT($B22), 1)), 2, 2), """"))/$G22))"),-0.004423861201354714)</f>
        <v>-0.004423861201</v>
      </c>
      <c r="R22" s="16" t="str">
        <f>IFERROR(__xludf.DUMMYFUNCTION("IF(OR(ISBLANK($G22), IFERROR(INDEX(GOOGLEFINANCE($C22, ""price"", WORKDAY(INT($B22), 5)), 2, 2), """")=""""), """", IF($D22=""LONG"", (IFERROR(INDEX(GOOGLEFINANCE($C22, ""price"", WORKDAY(INT($B22), 5)), 2, 2), """")-$G22)/$G22, ($G22-IFERROR(INDEX(GOOGLE"&amp;"FINANCE($C22, ""price"", WORKDAY(INT($B22), 5)), 2, 2), """"))/$G22))"),"")</f>
        <v/>
      </c>
      <c r="S22" s="16" t="str">
        <f>IFERROR(__xludf.DUMMYFUNCTION("IF(OR(ISBLANK($G22), IFERROR(INDEX(GOOGLEFINANCE($C22, ""price"", WORKDAY(INT($B22), 20)), 2, 2), """")=""""), """", IF($D22=""LONG"", (IFERROR(INDEX(GOOGLEFINANCE($C22, ""price"", WORKDAY(INT($B22), 20)), 2, 2), """")-$G22)/$G22, ($G22-IFERROR(INDEX(GOOG"&amp;"LEFINANCE($C22, ""price"", WORKDAY(INT($B22), 20)), 2, 2), """"))/$G22))"),"")</f>
        <v/>
      </c>
      <c r="T22" s="10" t="s">
        <v>6244</v>
      </c>
      <c r="U22" s="10" t="s">
        <v>492</v>
      </c>
      <c r="V22" s="10" t="s">
        <v>493</v>
      </c>
      <c r="W22" s="10" t="s">
        <v>51</v>
      </c>
      <c r="X22" s="10" t="s">
        <v>492</v>
      </c>
    </row>
    <row r="23">
      <c r="A23" s="9">
        <f t="shared" si="1"/>
        <v>22</v>
      </c>
      <c r="B23" s="11">
        <v>46239.667395833334</v>
      </c>
      <c r="C23" s="10" t="s">
        <v>174</v>
      </c>
      <c r="D23" s="10" t="s">
        <v>36</v>
      </c>
      <c r="E23" s="10" t="s">
        <v>37</v>
      </c>
      <c r="F23" s="13">
        <v>2.0</v>
      </c>
      <c r="G23" s="14">
        <v>25.24</v>
      </c>
      <c r="H23" s="10" t="s">
        <v>6245</v>
      </c>
      <c r="I23" s="10">
        <v>85.7</v>
      </c>
      <c r="O23" s="15">
        <f>IFERROR(__xludf.DUMMYFUNCTION("IF(ISBLANK($C23), """", GOOGLEFINANCE($C23, ""price""))"),25.09)</f>
        <v>25.09</v>
      </c>
      <c r="P23" s="16">
        <f t="shared" si="2"/>
        <v>-0.005942947702</v>
      </c>
      <c r="Q23" s="16">
        <f>IFERROR(__xludf.DUMMYFUNCTION("IF(OR(ISBLANK($G23), IFERROR(INDEX(GOOGLEFINANCE($C23, ""price"", WORKDAY(INT($B23), 1)), 2, 2), """")=""""), """", IF($D23=""LONG"", (IFERROR(INDEX(GOOGLEFINANCE($C23, ""price"", WORKDAY(INT($B23), 1)), 2, 2), """")-$G23)/$G23, ($G23-IFERROR(INDEX(GOOGLE"&amp;"FINANCE($C23, ""price"", WORKDAY(INT($B23), 1)), 2, 2), """"))/$G23))"),-0.005942947702060166)</f>
        <v>-0.005942947702</v>
      </c>
      <c r="R23" s="16" t="str">
        <f>IFERROR(__xludf.DUMMYFUNCTION("IF(OR(ISBLANK($G23), IFERROR(INDEX(GOOGLEFINANCE($C23, ""price"", WORKDAY(INT($B23), 5)), 2, 2), """")=""""), """", IF($D23=""LONG"", (IFERROR(INDEX(GOOGLEFINANCE($C23, ""price"", WORKDAY(INT($B23), 5)), 2, 2), """")-$G23)/$G23, ($G23-IFERROR(INDEX(GOOGLE"&amp;"FINANCE($C23, ""price"", WORKDAY(INT($B23), 5)), 2, 2), """"))/$G23))"),"")</f>
        <v/>
      </c>
      <c r="S23" s="16" t="str">
        <f>IFERROR(__xludf.DUMMYFUNCTION("IF(OR(ISBLANK($G23), IFERROR(INDEX(GOOGLEFINANCE($C23, ""price"", WORKDAY(INT($B23), 20)), 2, 2), """")=""""), """", IF($D23=""LONG"", (IFERROR(INDEX(GOOGLEFINANCE($C23, ""price"", WORKDAY(INT($B23), 20)), 2, 2), """")-$G23)/$G23, ($G23-IFERROR(INDEX(GOOG"&amp;"LEFINANCE($C23, ""price"", WORKDAY(INT($B23), 20)), 2, 2), """"))/$G23))"),"")</f>
        <v/>
      </c>
      <c r="T23" s="10" t="s">
        <v>6246</v>
      </c>
      <c r="U23" s="10" t="s">
        <v>984</v>
      </c>
      <c r="V23" s="10" t="s">
        <v>5889</v>
      </c>
      <c r="W23" s="10" t="s">
        <v>51</v>
      </c>
      <c r="X23" s="10" t="s">
        <v>984</v>
      </c>
    </row>
    <row r="24">
      <c r="A24" s="9">
        <f t="shared" si="1"/>
        <v>23</v>
      </c>
      <c r="B24" s="11">
        <v>46239.66746527778</v>
      </c>
      <c r="C24" s="10" t="s">
        <v>445</v>
      </c>
      <c r="D24" s="10" t="s">
        <v>36</v>
      </c>
      <c r="E24" s="10" t="s">
        <v>37</v>
      </c>
      <c r="F24" s="13">
        <v>2.0</v>
      </c>
      <c r="G24" s="14">
        <v>152.47</v>
      </c>
      <c r="H24" s="10" t="s">
        <v>6247</v>
      </c>
      <c r="I24" s="10">
        <v>84.7</v>
      </c>
      <c r="O24" s="15">
        <f>IFERROR(__xludf.DUMMYFUNCTION("IF(ISBLANK($C24), """", GOOGLEFINANCE($C24, ""price""))"),151.64)</f>
        <v>151.64</v>
      </c>
      <c r="P24" s="16">
        <f t="shared" si="2"/>
        <v>-0.005443693841</v>
      </c>
      <c r="Q24" s="16">
        <f>IFERROR(__xludf.DUMMYFUNCTION("IF(OR(ISBLANK($G24), IFERROR(INDEX(GOOGLEFINANCE($C24, ""price"", WORKDAY(INT($B24), 1)), 2, 2), """")=""""), """", IF($D24=""LONG"", (IFERROR(INDEX(GOOGLEFINANCE($C24, ""price"", WORKDAY(INT($B24), 1)), 2, 2), """")-$G24)/$G24, ($G24-IFERROR(INDEX(GOOGLE"&amp;"FINANCE($C24, ""price"", WORKDAY(INT($B24), 1)), 2, 2), """"))/$G24))"),-0.005443693841411508)</f>
        <v>-0.005443693841</v>
      </c>
      <c r="R24" s="16" t="str">
        <f>IFERROR(__xludf.DUMMYFUNCTION("IF(OR(ISBLANK($G24), IFERROR(INDEX(GOOGLEFINANCE($C24, ""price"", WORKDAY(INT($B24), 5)), 2, 2), """")=""""), """", IF($D24=""LONG"", (IFERROR(INDEX(GOOGLEFINANCE($C24, ""price"", WORKDAY(INT($B24), 5)), 2, 2), """")-$G24)/$G24, ($G24-IFERROR(INDEX(GOOGLE"&amp;"FINANCE($C24, ""price"", WORKDAY(INT($B24), 5)), 2, 2), """"))/$G24))"),"")</f>
        <v/>
      </c>
      <c r="S24" s="16" t="str">
        <f>IFERROR(__xludf.DUMMYFUNCTION("IF(OR(ISBLANK($G24), IFERROR(INDEX(GOOGLEFINANCE($C24, ""price"", WORKDAY(INT($B24), 20)), 2, 2), """")=""""), """", IF($D24=""LONG"", (IFERROR(INDEX(GOOGLEFINANCE($C24, ""price"", WORKDAY(INT($B24), 20)), 2, 2), """")-$G24)/$G24, ($G24-IFERROR(INDEX(GOOG"&amp;"LEFINANCE($C24, ""price"", WORKDAY(INT($B24), 20)), 2, 2), """"))/$G24))"),"")</f>
        <v/>
      </c>
      <c r="T24" s="10" t="s">
        <v>6248</v>
      </c>
      <c r="U24" s="10" t="s">
        <v>984</v>
      </c>
      <c r="V24" s="10" t="s">
        <v>5881</v>
      </c>
      <c r="W24" s="10" t="s">
        <v>51</v>
      </c>
      <c r="X24" s="10" t="s">
        <v>984</v>
      </c>
    </row>
    <row r="25">
      <c r="A25" s="9">
        <f t="shared" si="1"/>
        <v>24</v>
      </c>
      <c r="B25" s="11">
        <v>46239.66747685185</v>
      </c>
      <c r="C25" s="10" t="s">
        <v>5099</v>
      </c>
      <c r="D25" s="10" t="s">
        <v>36</v>
      </c>
      <c r="E25" s="10" t="s">
        <v>37</v>
      </c>
      <c r="F25" s="13">
        <v>2.0</v>
      </c>
      <c r="G25" s="14">
        <v>202.5</v>
      </c>
      <c r="H25" s="10" t="s">
        <v>5030</v>
      </c>
      <c r="I25" s="10">
        <v>92.3</v>
      </c>
      <c r="O25" s="15">
        <f>IFERROR(__xludf.DUMMYFUNCTION("IF(ISBLANK($C25), """", GOOGLEFINANCE($C25, ""price""))"),205.52)</f>
        <v>205.52</v>
      </c>
      <c r="P25" s="16">
        <f t="shared" si="2"/>
        <v>0.01491358025</v>
      </c>
      <c r="Q25" s="16">
        <f>IFERROR(__xludf.DUMMYFUNCTION("IF(OR(ISBLANK($G25), IFERROR(INDEX(GOOGLEFINANCE($C25, ""price"", WORKDAY(INT($B25), 1)), 2, 2), """")=""""), """", IF($D25=""LONG"", (IFERROR(INDEX(GOOGLEFINANCE($C25, ""price"", WORKDAY(INT($B25), 1)), 2, 2), """")-$G25)/$G25, ($G25-IFERROR(INDEX(GOOGLE"&amp;"FINANCE($C25, ""price"", WORKDAY(INT($B25), 1)), 2, 2), """"))/$G25))"),0.014913580246913631)</f>
        <v>0.01491358025</v>
      </c>
      <c r="R25" s="16" t="str">
        <f>IFERROR(__xludf.DUMMYFUNCTION("IF(OR(ISBLANK($G25), IFERROR(INDEX(GOOGLEFINANCE($C25, ""price"", WORKDAY(INT($B25), 5)), 2, 2), """")=""""), """", IF($D25=""LONG"", (IFERROR(INDEX(GOOGLEFINANCE($C25, ""price"", WORKDAY(INT($B25), 5)), 2, 2), """")-$G25)/$G25, ($G25-IFERROR(INDEX(GOOGLE"&amp;"FINANCE($C25, ""price"", WORKDAY(INT($B25), 5)), 2, 2), """"))/$G25))"),"")</f>
        <v/>
      </c>
      <c r="S25" s="16" t="str">
        <f>IFERROR(__xludf.DUMMYFUNCTION("IF(OR(ISBLANK($G25), IFERROR(INDEX(GOOGLEFINANCE($C25, ""price"", WORKDAY(INT($B25), 20)), 2, 2), """")=""""), """", IF($D25=""LONG"", (IFERROR(INDEX(GOOGLEFINANCE($C25, ""price"", WORKDAY(INT($B25), 20)), 2, 2), """")-$G25)/$G25, ($G25-IFERROR(INDEX(GOOG"&amp;"LEFINANCE($C25, ""price"", WORKDAY(INT($B25), 20)), 2, 2), """"))/$G25))"),"")</f>
        <v/>
      </c>
      <c r="T25" s="10" t="s">
        <v>6249</v>
      </c>
      <c r="U25" s="10" t="s">
        <v>492</v>
      </c>
      <c r="V25" s="10" t="s">
        <v>493</v>
      </c>
      <c r="W25" s="10" t="s">
        <v>51</v>
      </c>
      <c r="X25" s="10" t="s">
        <v>492</v>
      </c>
    </row>
    <row r="26">
      <c r="A26" s="9">
        <f t="shared" si="1"/>
        <v>25</v>
      </c>
      <c r="B26" s="11">
        <v>46239.66743055556</v>
      </c>
      <c r="C26" s="10" t="s">
        <v>398</v>
      </c>
      <c r="D26" s="10" t="s">
        <v>36</v>
      </c>
      <c r="E26" s="10" t="s">
        <v>37</v>
      </c>
      <c r="F26" s="13">
        <v>2.0</v>
      </c>
      <c r="G26" s="14">
        <v>72.01</v>
      </c>
      <c r="H26" s="10" t="s">
        <v>6250</v>
      </c>
      <c r="I26" s="10">
        <v>92.1</v>
      </c>
      <c r="O26" s="15">
        <f>IFERROR(__xludf.DUMMYFUNCTION("IF(ISBLANK($C26), """", GOOGLEFINANCE($C26, ""price""))"),71.9)</f>
        <v>71.9</v>
      </c>
      <c r="P26" s="16">
        <f t="shared" si="2"/>
        <v>-0.001527565616</v>
      </c>
      <c r="Q26" s="16">
        <f>IFERROR(__xludf.DUMMYFUNCTION("IF(OR(ISBLANK($G26), IFERROR(INDEX(GOOGLEFINANCE($C26, ""price"", WORKDAY(INT($B26), 1)), 2, 2), """")=""""), """", IF($D26=""LONG"", (IFERROR(INDEX(GOOGLEFINANCE($C26, ""price"", WORKDAY(INT($B26), 1)), 2, 2), """")-$G26)/$G26, ($G26-IFERROR(INDEX(GOOGLE"&amp;"FINANCE($C26, ""price"", WORKDAY(INT($B26), 1)), 2, 2), """"))/$G26))"),-0.001110956811553927)</f>
        <v>-0.001110956812</v>
      </c>
      <c r="R26" s="16" t="str">
        <f>IFERROR(__xludf.DUMMYFUNCTION("IF(OR(ISBLANK($G26), IFERROR(INDEX(GOOGLEFINANCE($C26, ""price"", WORKDAY(INT($B26), 5)), 2, 2), """")=""""), """", IF($D26=""LONG"", (IFERROR(INDEX(GOOGLEFINANCE($C26, ""price"", WORKDAY(INT($B26), 5)), 2, 2), """")-$G26)/$G26, ($G26-IFERROR(INDEX(GOOGLE"&amp;"FINANCE($C26, ""price"", WORKDAY(INT($B26), 5)), 2, 2), """"))/$G26))"),"")</f>
        <v/>
      </c>
      <c r="S26" s="16" t="str">
        <f>IFERROR(__xludf.DUMMYFUNCTION("IF(OR(ISBLANK($G26), IFERROR(INDEX(GOOGLEFINANCE($C26, ""price"", WORKDAY(INT($B26), 20)), 2, 2), """")=""""), """", IF($D26=""LONG"", (IFERROR(INDEX(GOOGLEFINANCE($C26, ""price"", WORKDAY(INT($B26), 20)), 2, 2), """")-$G26)/$G26, ($G26-IFERROR(INDEX(GOOG"&amp;"LEFINANCE($C26, ""price"", WORKDAY(INT($B26), 20)), 2, 2), """"))/$G26))"),"")</f>
        <v/>
      </c>
      <c r="T26" s="10" t="s">
        <v>6251</v>
      </c>
      <c r="U26" s="10" t="s">
        <v>545</v>
      </c>
      <c r="V26" s="10" t="s">
        <v>6252</v>
      </c>
      <c r="W26" s="10" t="s">
        <v>51</v>
      </c>
      <c r="X26" s="10" t="s">
        <v>3421</v>
      </c>
    </row>
    <row r="27">
      <c r="A27" s="9">
        <f t="shared" si="1"/>
        <v>26</v>
      </c>
      <c r="B27" s="11">
        <v>46239.66746527778</v>
      </c>
      <c r="C27" s="10" t="s">
        <v>342</v>
      </c>
      <c r="D27" s="10" t="s">
        <v>36</v>
      </c>
      <c r="E27" s="10" t="s">
        <v>37</v>
      </c>
      <c r="F27" s="13">
        <v>2.0</v>
      </c>
      <c r="G27" s="14">
        <v>63.26</v>
      </c>
      <c r="H27" s="10" t="s">
        <v>6253</v>
      </c>
      <c r="I27" s="10">
        <v>87.6</v>
      </c>
      <c r="O27" s="15">
        <f>IFERROR(__xludf.DUMMYFUNCTION("IF(ISBLANK($C27), """", GOOGLEFINANCE($C27, ""price""))"),63.0)</f>
        <v>63</v>
      </c>
      <c r="P27" s="16">
        <f t="shared" si="2"/>
        <v>-0.004110022131</v>
      </c>
      <c r="Q27" s="16">
        <f>IFERROR(__xludf.DUMMYFUNCTION("IF(OR(ISBLANK($G27), IFERROR(INDEX(GOOGLEFINANCE($C27, ""price"", WORKDAY(INT($B27), 1)), 2, 2), """")=""""), """", IF($D27=""LONG"", (IFERROR(INDEX(GOOGLEFINANCE($C27, ""price"", WORKDAY(INT($B27), 1)), 2, 2), """")-$G27)/$G27, ($G27-IFERROR(INDEX(GOOGLE"&amp;"FINANCE($C27, ""price"", WORKDAY(INT($B27), 1)), 2, 2), """"))/$G27))"),-0.004110022130888366)</f>
        <v>-0.004110022131</v>
      </c>
      <c r="R27" s="16" t="str">
        <f>IFERROR(__xludf.DUMMYFUNCTION("IF(OR(ISBLANK($G27), IFERROR(INDEX(GOOGLEFINANCE($C27, ""price"", WORKDAY(INT($B27), 5)), 2, 2), """")=""""), """", IF($D27=""LONG"", (IFERROR(INDEX(GOOGLEFINANCE($C27, ""price"", WORKDAY(INT($B27), 5)), 2, 2), """")-$G27)/$G27, ($G27-IFERROR(INDEX(GOOGLE"&amp;"FINANCE($C27, ""price"", WORKDAY(INT($B27), 5)), 2, 2), """"))/$G27))"),"")</f>
        <v/>
      </c>
      <c r="S27" s="16" t="str">
        <f>IFERROR(__xludf.DUMMYFUNCTION("IF(OR(ISBLANK($G27), IFERROR(INDEX(GOOGLEFINANCE($C27, ""price"", WORKDAY(INT($B27), 20)), 2, 2), """")=""""), """", IF($D27=""LONG"", (IFERROR(INDEX(GOOGLEFINANCE($C27, ""price"", WORKDAY(INT($B27), 20)), 2, 2), """")-$G27)/$G27, ($G27-IFERROR(INDEX(GOOG"&amp;"LEFINANCE($C27, ""price"", WORKDAY(INT($B27), 20)), 2, 2), """"))/$G27))"),"")</f>
        <v/>
      </c>
      <c r="T27" s="10" t="s">
        <v>6254</v>
      </c>
      <c r="U27" s="10" t="s">
        <v>492</v>
      </c>
      <c r="V27" s="10" t="s">
        <v>493</v>
      </c>
      <c r="W27" s="10" t="s">
        <v>51</v>
      </c>
      <c r="X27" s="10" t="s">
        <v>492</v>
      </c>
    </row>
    <row r="28">
      <c r="A28" s="9">
        <f t="shared" si="1"/>
        <v>27</v>
      </c>
      <c r="B28" s="11">
        <v>46239.66747685185</v>
      </c>
      <c r="C28" s="10" t="s">
        <v>499</v>
      </c>
      <c r="D28" s="10" t="s">
        <v>36</v>
      </c>
      <c r="E28" s="10" t="s">
        <v>37</v>
      </c>
      <c r="F28" s="13">
        <v>2.0</v>
      </c>
      <c r="G28" s="14">
        <v>115.72</v>
      </c>
      <c r="H28" s="10" t="s">
        <v>6255</v>
      </c>
      <c r="I28" s="10">
        <v>90.2</v>
      </c>
      <c r="O28" s="15">
        <f>IFERROR(__xludf.DUMMYFUNCTION("IF(ISBLANK($C28), """", GOOGLEFINANCE($C28, ""price""))"),115.98)</f>
        <v>115.98</v>
      </c>
      <c r="P28" s="16">
        <f t="shared" si="2"/>
        <v>0.002246802627</v>
      </c>
      <c r="Q28" s="16">
        <f>IFERROR(__xludf.DUMMYFUNCTION("IF(OR(ISBLANK($G28), IFERROR(INDEX(GOOGLEFINANCE($C28, ""price"", WORKDAY(INT($B28), 1)), 2, 2), """")=""""), """", IF($D28=""LONG"", (IFERROR(INDEX(GOOGLEFINANCE($C28, ""price"", WORKDAY(INT($B28), 1)), 2, 2), """")-$G28)/$G28, ($G28-IFERROR(INDEX(GOOGLE"&amp;"FINANCE($C28, ""price"", WORKDAY(INT($B28), 1)), 2, 2), """"))/$G28))"),0.0022468026270308084)</f>
        <v>0.002246802627</v>
      </c>
      <c r="R28" s="16" t="str">
        <f>IFERROR(__xludf.DUMMYFUNCTION("IF(OR(ISBLANK($G28), IFERROR(INDEX(GOOGLEFINANCE($C28, ""price"", WORKDAY(INT($B28), 5)), 2, 2), """")=""""), """", IF($D28=""LONG"", (IFERROR(INDEX(GOOGLEFINANCE($C28, ""price"", WORKDAY(INT($B28), 5)), 2, 2), """")-$G28)/$G28, ($G28-IFERROR(INDEX(GOOGLE"&amp;"FINANCE($C28, ""price"", WORKDAY(INT($B28), 5)), 2, 2), """"))/$G28))"),"")</f>
        <v/>
      </c>
      <c r="S28" s="16" t="str">
        <f>IFERROR(__xludf.DUMMYFUNCTION("IF(OR(ISBLANK($G28), IFERROR(INDEX(GOOGLEFINANCE($C28, ""price"", WORKDAY(INT($B28), 20)), 2, 2), """")=""""), """", IF($D28=""LONG"", (IFERROR(INDEX(GOOGLEFINANCE($C28, ""price"", WORKDAY(INT($B28), 20)), 2, 2), """")-$G28)/$G28, ($G28-IFERROR(INDEX(GOOG"&amp;"LEFINANCE($C28, ""price"", WORKDAY(INT($B28), 20)), 2, 2), """"))/$G28))"),"")</f>
        <v/>
      </c>
      <c r="T28" s="10" t="s">
        <v>6256</v>
      </c>
      <c r="U28" s="10" t="s">
        <v>507</v>
      </c>
      <c r="V28" s="10" t="s">
        <v>6257</v>
      </c>
      <c r="W28" s="10" t="s">
        <v>51</v>
      </c>
      <c r="X28" s="10" t="s">
        <v>2228</v>
      </c>
    </row>
    <row r="29">
      <c r="A29" s="9">
        <f t="shared" si="1"/>
        <v>28</v>
      </c>
      <c r="B29" s="11">
        <v>46239.66748842593</v>
      </c>
      <c r="C29" s="10" t="s">
        <v>189</v>
      </c>
      <c r="D29" s="10" t="s">
        <v>36</v>
      </c>
      <c r="E29" s="10" t="s">
        <v>37</v>
      </c>
      <c r="F29" s="13">
        <v>2.0</v>
      </c>
      <c r="G29" s="14">
        <v>186.43</v>
      </c>
      <c r="H29" s="10" t="s">
        <v>1310</v>
      </c>
      <c r="I29" s="10">
        <v>95.6</v>
      </c>
      <c r="O29" s="15">
        <f>IFERROR(__xludf.DUMMYFUNCTION("IF(ISBLANK($C29), """", GOOGLEFINANCE($C29, ""price""))"),189.23)</f>
        <v>189.23</v>
      </c>
      <c r="P29" s="16">
        <f t="shared" si="2"/>
        <v>0.015019042</v>
      </c>
      <c r="Q29" s="16">
        <f>IFERROR(__xludf.DUMMYFUNCTION("IF(OR(ISBLANK($G29), IFERROR(INDEX(GOOGLEFINANCE($C29, ""price"", WORKDAY(INT($B29), 1)), 2, 2), """")=""""), """", IF($D29=""LONG"", (IFERROR(INDEX(GOOGLEFINANCE($C29, ""price"", WORKDAY(INT($B29), 1)), 2, 2), """")-$G29)/$G29, ($G29-IFERROR(INDEX(GOOGLE"&amp;"FINANCE($C29, ""price"", WORKDAY(INT($B29), 1)), 2, 2), """"))/$G29))"),0.015019041999678072)</f>
        <v>0.015019042</v>
      </c>
      <c r="R29" s="16" t="str">
        <f>IFERROR(__xludf.DUMMYFUNCTION("IF(OR(ISBLANK($G29), IFERROR(INDEX(GOOGLEFINANCE($C29, ""price"", WORKDAY(INT($B29), 5)), 2, 2), """")=""""), """", IF($D29=""LONG"", (IFERROR(INDEX(GOOGLEFINANCE($C29, ""price"", WORKDAY(INT($B29), 5)), 2, 2), """")-$G29)/$G29, ($G29-IFERROR(INDEX(GOOGLE"&amp;"FINANCE($C29, ""price"", WORKDAY(INT($B29), 5)), 2, 2), """"))/$G29))"),"")</f>
        <v/>
      </c>
      <c r="S29" s="16" t="str">
        <f>IFERROR(__xludf.DUMMYFUNCTION("IF(OR(ISBLANK($G29), IFERROR(INDEX(GOOGLEFINANCE($C29, ""price"", WORKDAY(INT($B29), 20)), 2, 2), """")=""""), """", IF($D29=""LONG"", (IFERROR(INDEX(GOOGLEFINANCE($C29, ""price"", WORKDAY(INT($B29), 20)), 2, 2), """")-$G29)/$G29, ($G29-IFERROR(INDEX(GOOG"&amp;"LEFINANCE($C29, ""price"", WORKDAY(INT($B29), 20)), 2, 2), """"))/$G29))"),"")</f>
        <v/>
      </c>
      <c r="T29" s="10" t="s">
        <v>6258</v>
      </c>
      <c r="U29" s="10" t="s">
        <v>492</v>
      </c>
      <c r="V29" s="10" t="s">
        <v>493</v>
      </c>
      <c r="W29" s="10" t="s">
        <v>51</v>
      </c>
      <c r="X29" s="10" t="s">
        <v>492</v>
      </c>
    </row>
    <row r="30">
      <c r="A30" s="9">
        <f t="shared" si="1"/>
        <v>29</v>
      </c>
      <c r="B30" s="11">
        <v>46239.66746527778</v>
      </c>
      <c r="C30" s="10" t="s">
        <v>34</v>
      </c>
      <c r="D30" s="10" t="s">
        <v>36</v>
      </c>
      <c r="E30" s="10" t="s">
        <v>37</v>
      </c>
      <c r="F30" s="13">
        <v>2.0</v>
      </c>
      <c r="G30" s="14">
        <v>188.69</v>
      </c>
      <c r="H30" s="10" t="s">
        <v>6259</v>
      </c>
      <c r="I30" s="10">
        <v>96.7</v>
      </c>
      <c r="O30" s="15">
        <f>IFERROR(__xludf.DUMMYFUNCTION("IF(ISBLANK($C30), """", GOOGLEFINANCE($C30, ""price""))"),189.75)</f>
        <v>189.75</v>
      </c>
      <c r="P30" s="16">
        <f t="shared" si="2"/>
        <v>0.005617679792</v>
      </c>
      <c r="Q30" s="16">
        <f>IFERROR(__xludf.DUMMYFUNCTION("IF(OR(ISBLANK($G30), IFERROR(INDEX(GOOGLEFINANCE($C30, ""price"", WORKDAY(INT($B30), 1)), 2, 2), """")=""""), """", IF($D30=""LONG"", (IFERROR(INDEX(GOOGLEFINANCE($C30, ""price"", WORKDAY(INT($B30), 1)), 2, 2), """")-$G30)/$G30, ($G30-IFERROR(INDEX(GOOGLE"&amp;"FINANCE($C30, ""price"", WORKDAY(INT($B30), 1)), 2, 2), """"))/$G30))"),0.00582966770894056)</f>
        <v>0.005829667709</v>
      </c>
      <c r="R30" s="16" t="str">
        <f>IFERROR(__xludf.DUMMYFUNCTION("IF(OR(ISBLANK($G30), IFERROR(INDEX(GOOGLEFINANCE($C30, ""price"", WORKDAY(INT($B30), 5)), 2, 2), """")=""""), """", IF($D30=""LONG"", (IFERROR(INDEX(GOOGLEFINANCE($C30, ""price"", WORKDAY(INT($B30), 5)), 2, 2), """")-$G30)/$G30, ($G30-IFERROR(INDEX(GOOGLE"&amp;"FINANCE($C30, ""price"", WORKDAY(INT($B30), 5)), 2, 2), """"))/$G30))"),"")</f>
        <v/>
      </c>
      <c r="S30" s="16" t="str">
        <f>IFERROR(__xludf.DUMMYFUNCTION("IF(OR(ISBLANK($G30), IFERROR(INDEX(GOOGLEFINANCE($C30, ""price"", WORKDAY(INT($B30), 20)), 2, 2), """")=""""), """", IF($D30=""LONG"", (IFERROR(INDEX(GOOGLEFINANCE($C30, ""price"", WORKDAY(INT($B30), 20)), 2, 2), """")-$G30)/$G30, ($G30-IFERROR(INDEX(GOOG"&amp;"LEFINANCE($C30, ""price"", WORKDAY(INT($B30), 20)), 2, 2), """"))/$G30))"),"")</f>
        <v/>
      </c>
      <c r="T30" s="10" t="s">
        <v>6260</v>
      </c>
      <c r="U30" s="10" t="s">
        <v>49</v>
      </c>
      <c r="V30" s="10" t="s">
        <v>6261</v>
      </c>
      <c r="W30" s="10" t="s">
        <v>51</v>
      </c>
      <c r="X30" s="10" t="s">
        <v>3975</v>
      </c>
    </row>
    <row r="31">
      <c r="A31" s="9">
        <f t="shared" si="1"/>
        <v>30</v>
      </c>
      <c r="B31" s="11">
        <v>46239.6675</v>
      </c>
      <c r="C31" s="10" t="s">
        <v>437</v>
      </c>
      <c r="D31" s="10" t="s">
        <v>36</v>
      </c>
      <c r="E31" s="10" t="s">
        <v>1892</v>
      </c>
      <c r="F31" s="13">
        <v>2.0</v>
      </c>
      <c r="G31" s="14">
        <v>197.33</v>
      </c>
      <c r="H31" s="10" t="s">
        <v>6262</v>
      </c>
      <c r="I31" s="10">
        <v>56.1</v>
      </c>
      <c r="O31" s="15">
        <f>IFERROR(__xludf.DUMMYFUNCTION("IF(ISBLANK($C31), """", GOOGLEFINANCE($C31, ""price""))"),192.32)</f>
        <v>192.32</v>
      </c>
      <c r="P31" s="16">
        <f t="shared" si="2"/>
        <v>-0.02538894238</v>
      </c>
      <c r="Q31" s="16">
        <f>IFERROR(__xludf.DUMMYFUNCTION("IF(OR(ISBLANK($G31), IFERROR(INDEX(GOOGLEFINANCE($C31, ""price"", WORKDAY(INT($B31), 1)), 2, 2), """")=""""), """", IF($D31=""LONG"", (IFERROR(INDEX(GOOGLEFINANCE($C31, ""price"", WORKDAY(INT($B31), 1)), 2, 2), """")-$G31)/$G31, ($G31-IFERROR(INDEX(GOOGLE"&amp;"FINANCE($C31, ""price"", WORKDAY(INT($B31), 1)), 2, 2), """"))/$G31))"),-0.025388942380783555)</f>
        <v>-0.02538894238</v>
      </c>
      <c r="R31" s="16" t="str">
        <f>IFERROR(__xludf.DUMMYFUNCTION("IF(OR(ISBLANK($G31), IFERROR(INDEX(GOOGLEFINANCE($C31, ""price"", WORKDAY(INT($B31), 5)), 2, 2), """")=""""), """", IF($D31=""LONG"", (IFERROR(INDEX(GOOGLEFINANCE($C31, ""price"", WORKDAY(INT($B31), 5)), 2, 2), """")-$G31)/$G31, ($G31-IFERROR(INDEX(GOOGLE"&amp;"FINANCE($C31, ""price"", WORKDAY(INT($B31), 5)), 2, 2), """"))/$G31))"),"")</f>
        <v/>
      </c>
      <c r="S31" s="16" t="str">
        <f>IFERROR(__xludf.DUMMYFUNCTION("IF(OR(ISBLANK($G31), IFERROR(INDEX(GOOGLEFINANCE($C31, ""price"", WORKDAY(INT($B31), 20)), 2, 2), """")=""""), """", IF($D31=""LONG"", (IFERROR(INDEX(GOOGLEFINANCE($C31, ""price"", WORKDAY(INT($B31), 20)), 2, 2), """")-$G31)/$G31, ($G31-IFERROR(INDEX(GOOG"&amp;"LEFINANCE($C31, ""price"", WORKDAY(INT($B31), 20)), 2, 2), """"))/$G31))"),"")</f>
        <v/>
      </c>
      <c r="T31" s="10" t="s">
        <v>6263</v>
      </c>
      <c r="U31" s="10" t="s">
        <v>492</v>
      </c>
      <c r="V31" s="10" t="s">
        <v>493</v>
      </c>
      <c r="W31" s="10" t="s">
        <v>51</v>
      </c>
      <c r="X31" s="10" t="s">
        <v>492</v>
      </c>
    </row>
    <row r="32">
      <c r="A32" s="9">
        <f t="shared" si="1"/>
        <v>31</v>
      </c>
      <c r="B32" s="11">
        <v>46239.66736111111</v>
      </c>
      <c r="C32" s="10" t="s">
        <v>455</v>
      </c>
      <c r="D32" s="10" t="s">
        <v>36</v>
      </c>
      <c r="E32" s="10" t="s">
        <v>37</v>
      </c>
      <c r="F32" s="13">
        <v>2.0</v>
      </c>
      <c r="G32" s="14">
        <v>112.38</v>
      </c>
      <c r="H32" s="10" t="s">
        <v>6264</v>
      </c>
      <c r="I32" s="10">
        <v>90.7</v>
      </c>
      <c r="O32" s="15">
        <f>IFERROR(__xludf.DUMMYFUNCTION("IF(ISBLANK($C32), """", GOOGLEFINANCE($C32, ""price""))"),108.66)</f>
        <v>108.66</v>
      </c>
      <c r="P32" s="16">
        <f t="shared" si="2"/>
        <v>-0.03310197544</v>
      </c>
      <c r="Q32" s="16">
        <f>IFERROR(__xludf.DUMMYFUNCTION("IF(OR(ISBLANK($G32), IFERROR(INDEX(GOOGLEFINANCE($C32, ""price"", WORKDAY(INT($B32), 1)), 2, 2), """")=""""), """", IF($D32=""LONG"", (IFERROR(INDEX(GOOGLEFINANCE($C32, ""price"", WORKDAY(INT($B32), 1)), 2, 2), """")-$G32)/$G32, ($G32-IFERROR(INDEX(GOOGLE"&amp;"FINANCE($C32, ""price"", WORKDAY(INT($B32), 1)), 2, 2), """"))/$G32))"),-0.033101975440469826)</f>
        <v>-0.03310197544</v>
      </c>
      <c r="R32" s="16" t="str">
        <f>IFERROR(__xludf.DUMMYFUNCTION("IF(OR(ISBLANK($G32), IFERROR(INDEX(GOOGLEFINANCE($C32, ""price"", WORKDAY(INT($B32), 5)), 2, 2), """")=""""), """", IF($D32=""LONG"", (IFERROR(INDEX(GOOGLEFINANCE($C32, ""price"", WORKDAY(INT($B32), 5)), 2, 2), """")-$G32)/$G32, ($G32-IFERROR(INDEX(GOOGLE"&amp;"FINANCE($C32, ""price"", WORKDAY(INT($B32), 5)), 2, 2), """"))/$G32))"),"")</f>
        <v/>
      </c>
      <c r="S32" s="16" t="str">
        <f>IFERROR(__xludf.DUMMYFUNCTION("IF(OR(ISBLANK($G32), IFERROR(INDEX(GOOGLEFINANCE($C32, ""price"", WORKDAY(INT($B32), 20)), 2, 2), """")=""""), """", IF($D32=""LONG"", (IFERROR(INDEX(GOOGLEFINANCE($C32, ""price"", WORKDAY(INT($B32), 20)), 2, 2), """")-$G32)/$G32, ($G32-IFERROR(INDEX(GOOG"&amp;"LEFINANCE($C32, ""price"", WORKDAY(INT($B32), 20)), 2, 2), """"))/$G32))"),"")</f>
        <v/>
      </c>
      <c r="T32" s="10" t="s">
        <v>6265</v>
      </c>
      <c r="U32" s="10" t="s">
        <v>492</v>
      </c>
      <c r="V32" s="10" t="s">
        <v>5992</v>
      </c>
      <c r="W32" s="10" t="s">
        <v>51</v>
      </c>
      <c r="X32" s="10" t="s">
        <v>492</v>
      </c>
    </row>
    <row r="33">
      <c r="A33" s="9">
        <f t="shared" si="1"/>
        <v>32</v>
      </c>
      <c r="B33" s="11">
        <v>46239.6674537037</v>
      </c>
      <c r="C33" s="10" t="s">
        <v>92</v>
      </c>
      <c r="D33" s="10" t="s">
        <v>36</v>
      </c>
      <c r="E33" s="10" t="s">
        <v>37</v>
      </c>
      <c r="F33" s="13">
        <v>2.0</v>
      </c>
      <c r="G33" s="14">
        <v>86.82</v>
      </c>
      <c r="H33" s="10" t="s">
        <v>6266</v>
      </c>
      <c r="I33" s="10">
        <v>92.3</v>
      </c>
      <c r="O33" s="15">
        <f>IFERROR(__xludf.DUMMYFUNCTION("IF(ISBLANK($C33), """", GOOGLEFINANCE($C33, ""price""))"),86.85)</f>
        <v>86.85</v>
      </c>
      <c r="P33" s="16">
        <f t="shared" si="2"/>
        <v>0.0003455425017</v>
      </c>
      <c r="Q33" s="16">
        <f>IFERROR(__xludf.DUMMYFUNCTION("IF(OR(ISBLANK($G33), IFERROR(INDEX(GOOGLEFINANCE($C33, ""price"", WORKDAY(INT($B33), 1)), 2, 2), """")=""""), """", IF($D33=""LONG"", (IFERROR(INDEX(GOOGLEFINANCE($C33, ""price"", WORKDAY(INT($B33), 1)), 2, 2), """")-$G33)/$G33, ($G33-IFERROR(INDEX(GOOGLE"&amp;"FINANCE($C33, ""price"", WORKDAY(INT($B33), 1)), 2, 2), """"))/$G33))"),3.455425017277256E-4)</f>
        <v>0.0003455425017</v>
      </c>
      <c r="R33" s="16" t="str">
        <f>IFERROR(__xludf.DUMMYFUNCTION("IF(OR(ISBLANK($G33), IFERROR(INDEX(GOOGLEFINANCE($C33, ""price"", WORKDAY(INT($B33), 5)), 2, 2), """")=""""), """", IF($D33=""LONG"", (IFERROR(INDEX(GOOGLEFINANCE($C33, ""price"", WORKDAY(INT($B33), 5)), 2, 2), """")-$G33)/$G33, ($G33-IFERROR(INDEX(GOOGLE"&amp;"FINANCE($C33, ""price"", WORKDAY(INT($B33), 5)), 2, 2), """"))/$G33))"),"")</f>
        <v/>
      </c>
      <c r="S33" s="16" t="str">
        <f>IFERROR(__xludf.DUMMYFUNCTION("IF(OR(ISBLANK($G33), IFERROR(INDEX(GOOGLEFINANCE($C33, ""price"", WORKDAY(INT($B33), 20)), 2, 2), """")=""""), """", IF($D33=""LONG"", (IFERROR(INDEX(GOOGLEFINANCE($C33, ""price"", WORKDAY(INT($B33), 20)), 2, 2), """")-$G33)/$G33, ($G33-IFERROR(INDEX(GOOG"&amp;"LEFINANCE($C33, ""price"", WORKDAY(INT($B33), 20)), 2, 2), """"))/$G33))"),"")</f>
        <v/>
      </c>
      <c r="T33" s="10" t="s">
        <v>6267</v>
      </c>
      <c r="U33" s="10" t="s">
        <v>492</v>
      </c>
      <c r="V33" s="10" t="s">
        <v>493</v>
      </c>
      <c r="W33" s="10" t="s">
        <v>51</v>
      </c>
      <c r="X33" s="10" t="s">
        <v>492</v>
      </c>
    </row>
    <row r="34">
      <c r="A34" s="9">
        <f t="shared" si="1"/>
        <v>33</v>
      </c>
      <c r="B34" s="11">
        <v>46239.66746527778</v>
      </c>
      <c r="C34" s="10" t="s">
        <v>5228</v>
      </c>
      <c r="D34" s="10" t="s">
        <v>36</v>
      </c>
      <c r="E34" s="10" t="s">
        <v>37</v>
      </c>
      <c r="F34" s="13">
        <v>2.0</v>
      </c>
      <c r="G34" s="14">
        <v>17.64</v>
      </c>
      <c r="H34" s="10" t="s">
        <v>6268</v>
      </c>
      <c r="I34" s="10">
        <v>87.1</v>
      </c>
      <c r="O34" s="15">
        <f>IFERROR(__xludf.DUMMYFUNCTION("IF(ISBLANK($C34), """", GOOGLEFINANCE($C34, ""price""))"),16.29)</f>
        <v>16.29</v>
      </c>
      <c r="P34" s="16">
        <f t="shared" si="2"/>
        <v>-0.07653061224</v>
      </c>
      <c r="Q34" s="16">
        <f>IFERROR(__xludf.DUMMYFUNCTION("IF(OR(ISBLANK($G34), IFERROR(INDEX(GOOGLEFINANCE($C34, ""price"", WORKDAY(INT($B34), 1)), 2, 2), """")=""""), """", IF($D34=""LONG"", (IFERROR(INDEX(GOOGLEFINANCE($C34, ""price"", WORKDAY(INT($B34), 1)), 2, 2), """")-$G34)/$G34, ($G34-IFERROR(INDEX(GOOGLE"&amp;"FINANCE($C34, ""price"", WORKDAY(INT($B34), 1)), 2, 2), """"))/$G34))"),-0.07653061224489804)</f>
        <v>-0.07653061224</v>
      </c>
      <c r="R34" s="16" t="str">
        <f>IFERROR(__xludf.DUMMYFUNCTION("IF(OR(ISBLANK($G34), IFERROR(INDEX(GOOGLEFINANCE($C34, ""price"", WORKDAY(INT($B34), 5)), 2, 2), """")=""""), """", IF($D34=""LONG"", (IFERROR(INDEX(GOOGLEFINANCE($C34, ""price"", WORKDAY(INT($B34), 5)), 2, 2), """")-$G34)/$G34, ($G34-IFERROR(INDEX(GOOGLE"&amp;"FINANCE($C34, ""price"", WORKDAY(INT($B34), 5)), 2, 2), """"))/$G34))"),"")</f>
        <v/>
      </c>
      <c r="S34" s="16" t="str">
        <f>IFERROR(__xludf.DUMMYFUNCTION("IF(OR(ISBLANK($G34), IFERROR(INDEX(GOOGLEFINANCE($C34, ""price"", WORKDAY(INT($B34), 20)), 2, 2), """")=""""), """", IF($D34=""LONG"", (IFERROR(INDEX(GOOGLEFINANCE($C34, ""price"", WORKDAY(INT($B34), 20)), 2, 2), """")-$G34)/$G34, ($G34-IFERROR(INDEX(GOOG"&amp;"LEFINANCE($C34, ""price"", WORKDAY(INT($B34), 20)), 2, 2), """"))/$G34))"),"")</f>
        <v/>
      </c>
      <c r="T34" s="10" t="s">
        <v>6269</v>
      </c>
      <c r="U34" s="10" t="s">
        <v>984</v>
      </c>
      <c r="V34" s="10" t="s">
        <v>5881</v>
      </c>
      <c r="W34" s="10" t="s">
        <v>51</v>
      </c>
      <c r="X34" s="10" t="s">
        <v>984</v>
      </c>
    </row>
    <row r="35">
      <c r="A35" s="9">
        <f t="shared" si="1"/>
        <v>34</v>
      </c>
      <c r="B35" s="11">
        <v>46239.66751157407</v>
      </c>
      <c r="C35" s="10" t="s">
        <v>5682</v>
      </c>
      <c r="D35" s="10" t="s">
        <v>36</v>
      </c>
      <c r="E35" s="10" t="s">
        <v>37</v>
      </c>
      <c r="F35" s="13">
        <v>2.0</v>
      </c>
      <c r="G35" s="14">
        <v>119.23</v>
      </c>
      <c r="H35" s="10" t="s">
        <v>6270</v>
      </c>
      <c r="I35" s="10">
        <v>92.6</v>
      </c>
      <c r="O35" s="15">
        <f>IFERROR(__xludf.DUMMYFUNCTION("IF(ISBLANK($C35), """", GOOGLEFINANCE($C35, ""price""))"),118.8)</f>
        <v>118.8</v>
      </c>
      <c r="P35" s="16">
        <f t="shared" si="2"/>
        <v>-0.00360647488</v>
      </c>
      <c r="Q35" s="16">
        <f>IFERROR(__xludf.DUMMYFUNCTION("IF(OR(ISBLANK($G35), IFERROR(INDEX(GOOGLEFINANCE($C35, ""price"", WORKDAY(INT($B35), 1)), 2, 2), """")=""""), """", IF($D35=""LONG"", (IFERROR(INDEX(GOOGLEFINANCE($C35, ""price"", WORKDAY(INT($B35), 1)), 2, 2), """")-$G35)/$G35, ($G35-IFERROR(INDEX(GOOGLE"&amp;"FINANCE($C35, ""price"", WORKDAY(INT($B35), 1)), 2, 2), """"))/$G35))"),-0.003606474880483157)</f>
        <v>-0.00360647488</v>
      </c>
      <c r="R35" s="16" t="str">
        <f>IFERROR(__xludf.DUMMYFUNCTION("IF(OR(ISBLANK($G35), IFERROR(INDEX(GOOGLEFINANCE($C35, ""price"", WORKDAY(INT($B35), 5)), 2, 2), """")=""""), """", IF($D35=""LONG"", (IFERROR(INDEX(GOOGLEFINANCE($C35, ""price"", WORKDAY(INT($B35), 5)), 2, 2), """")-$G35)/$G35, ($G35-IFERROR(INDEX(GOOGLE"&amp;"FINANCE($C35, ""price"", WORKDAY(INT($B35), 5)), 2, 2), """"))/$G35))"),"")</f>
        <v/>
      </c>
      <c r="S35" s="16" t="str">
        <f>IFERROR(__xludf.DUMMYFUNCTION("IF(OR(ISBLANK($G35), IFERROR(INDEX(GOOGLEFINANCE($C35, ""price"", WORKDAY(INT($B35), 20)), 2, 2), """")=""""), """", IF($D35=""LONG"", (IFERROR(INDEX(GOOGLEFINANCE($C35, ""price"", WORKDAY(INT($B35), 20)), 2, 2), """")-$G35)/$G35, ($G35-IFERROR(INDEX(GOOG"&amp;"LEFINANCE($C35, ""price"", WORKDAY(INT($B35), 20)), 2, 2), """"))/$G35))"),"")</f>
        <v/>
      </c>
      <c r="T35" s="10" t="s">
        <v>6271</v>
      </c>
      <c r="U35" s="10" t="s">
        <v>240</v>
      </c>
      <c r="V35" s="10" t="s">
        <v>6272</v>
      </c>
      <c r="W35" s="10" t="s">
        <v>51</v>
      </c>
      <c r="X35" s="10" t="s">
        <v>1905</v>
      </c>
    </row>
    <row r="36">
      <c r="A36" s="9">
        <f t="shared" si="1"/>
        <v>35</v>
      </c>
      <c r="B36" s="11">
        <v>46239.66753472222</v>
      </c>
      <c r="C36" s="10" t="s">
        <v>5219</v>
      </c>
      <c r="D36" s="10" t="s">
        <v>36</v>
      </c>
      <c r="E36" s="10" t="s">
        <v>37</v>
      </c>
      <c r="F36" s="13">
        <v>2.0</v>
      </c>
      <c r="G36" s="14">
        <v>394.17</v>
      </c>
      <c r="H36" s="10" t="s">
        <v>6273</v>
      </c>
      <c r="I36" s="10">
        <v>91.8</v>
      </c>
      <c r="O36" s="15">
        <f>IFERROR(__xludf.DUMMYFUNCTION("IF(ISBLANK($C36), """", GOOGLEFINANCE($C36, ""price""))"),398.28)</f>
        <v>398.28</v>
      </c>
      <c r="P36" s="16">
        <f t="shared" si="2"/>
        <v>0.01042697313</v>
      </c>
      <c r="Q36" s="16">
        <f>IFERROR(__xludf.DUMMYFUNCTION("IF(OR(ISBLANK($G36), IFERROR(INDEX(GOOGLEFINANCE($C36, ""price"", WORKDAY(INT($B36), 1)), 2, 2), """")=""""), """", IF($D36=""LONG"", (IFERROR(INDEX(GOOGLEFINANCE($C36, ""price"", WORKDAY(INT($B36), 1)), 2, 2), """")-$G36)/$G36, ($G36-IFERROR(INDEX(GOOGLE"&amp;"FINANCE($C36, ""price"", WORKDAY(INT($B36), 1)), 2, 2), """"))/$G36))"),0.010426973133419481)</f>
        <v>0.01042697313</v>
      </c>
      <c r="R36" s="16" t="str">
        <f>IFERROR(__xludf.DUMMYFUNCTION("IF(OR(ISBLANK($G36), IFERROR(INDEX(GOOGLEFINANCE($C36, ""price"", WORKDAY(INT($B36), 5)), 2, 2), """")=""""), """", IF($D36=""LONG"", (IFERROR(INDEX(GOOGLEFINANCE($C36, ""price"", WORKDAY(INT($B36), 5)), 2, 2), """")-$G36)/$G36, ($G36-IFERROR(INDEX(GOOGLE"&amp;"FINANCE($C36, ""price"", WORKDAY(INT($B36), 5)), 2, 2), """"))/$G36))"),"")</f>
        <v/>
      </c>
      <c r="S36" s="16" t="str">
        <f>IFERROR(__xludf.DUMMYFUNCTION("IF(OR(ISBLANK($G36), IFERROR(INDEX(GOOGLEFINANCE($C36, ""price"", WORKDAY(INT($B36), 20)), 2, 2), """")=""""), """", IF($D36=""LONG"", (IFERROR(INDEX(GOOGLEFINANCE($C36, ""price"", WORKDAY(INT($B36), 20)), 2, 2), """")-$G36)/$G36, ($G36-IFERROR(INDEX(GOOG"&amp;"LEFINANCE($C36, ""price"", WORKDAY(INT($B36), 20)), 2, 2), """"))/$G36))"),"")</f>
        <v/>
      </c>
      <c r="T36" s="10" t="s">
        <v>6274</v>
      </c>
      <c r="U36" s="10" t="s">
        <v>984</v>
      </c>
      <c r="V36" s="10" t="s">
        <v>5889</v>
      </c>
      <c r="W36" s="10" t="s">
        <v>51</v>
      </c>
      <c r="X36" s="10" t="s">
        <v>984</v>
      </c>
    </row>
    <row r="37">
      <c r="A37" s="9">
        <f t="shared" si="1"/>
        <v>36</v>
      </c>
      <c r="B37" s="11">
        <v>46239.66752314815</v>
      </c>
      <c r="C37" s="10" t="s">
        <v>6275</v>
      </c>
      <c r="D37" s="10" t="s">
        <v>36</v>
      </c>
      <c r="E37" s="10" t="s">
        <v>37</v>
      </c>
      <c r="F37" s="13">
        <v>2.0</v>
      </c>
      <c r="G37" s="14">
        <v>41.88</v>
      </c>
      <c r="H37" s="10" t="s">
        <v>6276</v>
      </c>
      <c r="I37" s="10">
        <v>96.8</v>
      </c>
      <c r="O37" s="15">
        <f>IFERROR(__xludf.DUMMYFUNCTION("IF(ISBLANK($C37), """", GOOGLEFINANCE($C37, ""price""))"),42.41)</f>
        <v>42.41</v>
      </c>
      <c r="P37" s="16">
        <f t="shared" si="2"/>
        <v>0.01265520535</v>
      </c>
      <c r="Q37" s="16">
        <f>IFERROR(__xludf.DUMMYFUNCTION("IF(OR(ISBLANK($G37), IFERROR(INDEX(GOOGLEFINANCE($C37, ""price"", WORKDAY(INT($B37), 1)), 2, 2), """")=""""), """", IF($D37=""LONG"", (IFERROR(INDEX(GOOGLEFINANCE($C37, ""price"", WORKDAY(INT($B37), 1)), 2, 2), """")-$G37)/$G37, ($G37-IFERROR(INDEX(GOOGLE"&amp;"FINANCE($C37, ""price"", WORKDAY(INT($B37), 1)), 2, 2), """"))/$G37))"),0.012655205348614947)</f>
        <v>0.01265520535</v>
      </c>
      <c r="R37" s="16" t="str">
        <f>IFERROR(__xludf.DUMMYFUNCTION("IF(OR(ISBLANK($G37), IFERROR(INDEX(GOOGLEFINANCE($C37, ""price"", WORKDAY(INT($B37), 5)), 2, 2), """")=""""), """", IF($D37=""LONG"", (IFERROR(INDEX(GOOGLEFINANCE($C37, ""price"", WORKDAY(INT($B37), 5)), 2, 2), """")-$G37)/$G37, ($G37-IFERROR(INDEX(GOOGLE"&amp;"FINANCE($C37, ""price"", WORKDAY(INT($B37), 5)), 2, 2), """"))/$G37))"),"")</f>
        <v/>
      </c>
      <c r="S37" s="16" t="str">
        <f>IFERROR(__xludf.DUMMYFUNCTION("IF(OR(ISBLANK($G37), IFERROR(INDEX(GOOGLEFINANCE($C37, ""price"", WORKDAY(INT($B37), 20)), 2, 2), """")=""""), """", IF($D37=""LONG"", (IFERROR(INDEX(GOOGLEFINANCE($C37, ""price"", WORKDAY(INT($B37), 20)), 2, 2), """")-$G37)/$G37, ($G37-IFERROR(INDEX(GOOG"&amp;"LEFINANCE($C37, ""price"", WORKDAY(INT($B37), 20)), 2, 2), """"))/$G37))"),"")</f>
        <v/>
      </c>
      <c r="T37" s="10" t="s">
        <v>6277</v>
      </c>
      <c r="U37" s="10" t="s">
        <v>240</v>
      </c>
      <c r="V37" s="10" t="s">
        <v>6278</v>
      </c>
      <c r="W37" s="10" t="s">
        <v>51</v>
      </c>
      <c r="X37" s="10" t="s">
        <v>1905</v>
      </c>
    </row>
    <row r="38">
      <c r="A38" s="9">
        <f t="shared" si="1"/>
        <v>37</v>
      </c>
      <c r="B38" s="11">
        <v>46239.66753472222</v>
      </c>
      <c r="C38" s="10" t="s">
        <v>303</v>
      </c>
      <c r="D38" s="10" t="s">
        <v>36</v>
      </c>
      <c r="E38" s="10" t="s">
        <v>4224</v>
      </c>
      <c r="F38" s="13">
        <v>4.0</v>
      </c>
      <c r="G38" s="14">
        <v>99.11</v>
      </c>
      <c r="H38" s="10" t="s">
        <v>6279</v>
      </c>
      <c r="I38" s="10">
        <v>48.3</v>
      </c>
      <c r="O38" s="15">
        <f>IFERROR(__xludf.DUMMYFUNCTION("IF(ISBLANK($C38), """", GOOGLEFINANCE($C38, ""price""))"),96.22)</f>
        <v>96.22</v>
      </c>
      <c r="P38" s="16">
        <f t="shared" si="2"/>
        <v>-0.02915951973</v>
      </c>
      <c r="Q38" s="16">
        <f>IFERROR(__xludf.DUMMYFUNCTION("IF(OR(ISBLANK($G38), IFERROR(INDEX(GOOGLEFINANCE($C38, ""price"", WORKDAY(INT($B38), 1)), 2, 2), """")=""""), """", IF($D38=""LONG"", (IFERROR(INDEX(GOOGLEFINANCE($C38, ""price"", WORKDAY(INT($B38), 1)), 2, 2), """")-$G38)/$G38, ($G38-IFERROR(INDEX(GOOGLE"&amp;"FINANCE($C38, ""price"", WORKDAY(INT($B38), 1)), 2, 2), """"))/$G38))"),-0.029159519725557467)</f>
        <v>-0.02915951973</v>
      </c>
      <c r="R38" s="16" t="str">
        <f>IFERROR(__xludf.DUMMYFUNCTION("IF(OR(ISBLANK($G38), IFERROR(INDEX(GOOGLEFINANCE($C38, ""price"", WORKDAY(INT($B38), 5)), 2, 2), """")=""""), """", IF($D38=""LONG"", (IFERROR(INDEX(GOOGLEFINANCE($C38, ""price"", WORKDAY(INT($B38), 5)), 2, 2), """")-$G38)/$G38, ($G38-IFERROR(INDEX(GOOGLE"&amp;"FINANCE($C38, ""price"", WORKDAY(INT($B38), 5)), 2, 2), """"))/$G38))"),"")</f>
        <v/>
      </c>
      <c r="S38" s="16" t="str">
        <f>IFERROR(__xludf.DUMMYFUNCTION("IF(OR(ISBLANK($G38), IFERROR(INDEX(GOOGLEFINANCE($C38, ""price"", WORKDAY(INT($B38), 20)), 2, 2), """")=""""), """", IF($D38=""LONG"", (IFERROR(INDEX(GOOGLEFINANCE($C38, ""price"", WORKDAY(INT($B38), 20)), 2, 2), """")-$G38)/$G38, ($G38-IFERROR(INDEX(GOOG"&amp;"LEFINANCE($C38, ""price"", WORKDAY(INT($B38), 20)), 2, 2), """"))/$G38))"),"")</f>
        <v/>
      </c>
      <c r="T38" s="10" t="s">
        <v>6280</v>
      </c>
      <c r="U38" s="10" t="s">
        <v>984</v>
      </c>
      <c r="V38" s="10" t="s">
        <v>5889</v>
      </c>
      <c r="W38" s="10" t="s">
        <v>51</v>
      </c>
      <c r="X38" s="10" t="s">
        <v>984</v>
      </c>
    </row>
    <row r="39">
      <c r="A39" s="9">
        <f t="shared" si="1"/>
        <v>38</v>
      </c>
      <c r="B39" s="11">
        <v>46239.667546296296</v>
      </c>
      <c r="C39" s="10" t="s">
        <v>269</v>
      </c>
      <c r="D39" s="10" t="s">
        <v>36</v>
      </c>
      <c r="E39" s="10" t="s">
        <v>37</v>
      </c>
      <c r="F39" s="13">
        <v>2.0</v>
      </c>
      <c r="G39" s="14">
        <v>187.05</v>
      </c>
      <c r="H39" s="10" t="s">
        <v>6281</v>
      </c>
      <c r="I39" s="10">
        <v>82.7</v>
      </c>
      <c r="L39" s="10" t="s">
        <v>6231</v>
      </c>
      <c r="M39" s="10" t="s">
        <v>2174</v>
      </c>
      <c r="N39" s="10" t="s">
        <v>925</v>
      </c>
      <c r="O39" s="15">
        <f>IFERROR(__xludf.DUMMYFUNCTION("IF(ISBLANK($C39), """", GOOGLEFINANCE($C39, ""price""))"),184.92)</f>
        <v>184.92</v>
      </c>
      <c r="P39" s="16">
        <f t="shared" si="2"/>
        <v>-0.01138732959</v>
      </c>
      <c r="Q39" s="16">
        <f>IFERROR(__xludf.DUMMYFUNCTION("IF(OR(ISBLANK($G39), IFERROR(INDEX(GOOGLEFINANCE($C39, ""price"", WORKDAY(INT($B39), 1)), 2, 2), """")=""""), """", IF($D39=""LONG"", (IFERROR(INDEX(GOOGLEFINANCE($C39, ""price"", WORKDAY(INT($B39), 1)), 2, 2), """")-$G39)/$G39, ($G39-IFERROR(INDEX(GOOGLE"&amp;"FINANCE($C39, ""price"", WORKDAY(INT($B39), 1)), 2, 2), """"))/$G39))"),-0.01138732959101857)</f>
        <v>-0.01138732959</v>
      </c>
      <c r="R39" s="16" t="str">
        <f>IFERROR(__xludf.DUMMYFUNCTION("IF(OR(ISBLANK($G39), IFERROR(INDEX(GOOGLEFINANCE($C39, ""price"", WORKDAY(INT($B39), 5)), 2, 2), """")=""""), """", IF($D39=""LONG"", (IFERROR(INDEX(GOOGLEFINANCE($C39, ""price"", WORKDAY(INT($B39), 5)), 2, 2), """")-$G39)/$G39, ($G39-IFERROR(INDEX(GOOGLE"&amp;"FINANCE($C39, ""price"", WORKDAY(INT($B39), 5)), 2, 2), """"))/$G39))"),"")</f>
        <v/>
      </c>
      <c r="S39" s="16" t="str">
        <f>IFERROR(__xludf.DUMMYFUNCTION("IF(OR(ISBLANK($G39), IFERROR(INDEX(GOOGLEFINANCE($C39, ""price"", WORKDAY(INT($B39), 20)), 2, 2), """")=""""), """", IF($D39=""LONG"", (IFERROR(INDEX(GOOGLEFINANCE($C39, ""price"", WORKDAY(INT($B39), 20)), 2, 2), """")-$G39)/$G39, ($G39-IFERROR(INDEX(GOOG"&amp;"LEFINANCE($C39, ""price"", WORKDAY(INT($B39), 20)), 2, 2), """"))/$G39))"),"")</f>
        <v/>
      </c>
      <c r="T39" s="10" t="s">
        <v>6282</v>
      </c>
      <c r="U39" s="10" t="s">
        <v>984</v>
      </c>
      <c r="V39" s="10" t="s">
        <v>5889</v>
      </c>
      <c r="W39" s="10" t="s">
        <v>51</v>
      </c>
      <c r="X39" s="10" t="s">
        <v>984</v>
      </c>
    </row>
    <row r="40">
      <c r="A40" s="9">
        <f t="shared" si="1"/>
        <v>39</v>
      </c>
      <c r="B40" s="11">
        <v>46239.66755787037</v>
      </c>
      <c r="C40" s="10" t="s">
        <v>3699</v>
      </c>
      <c r="D40" s="10" t="s">
        <v>36</v>
      </c>
      <c r="E40" s="10" t="s">
        <v>37</v>
      </c>
      <c r="F40" s="13">
        <v>2.0</v>
      </c>
      <c r="G40" s="14">
        <v>876.28</v>
      </c>
      <c r="H40" s="10" t="s">
        <v>6283</v>
      </c>
      <c r="I40" s="10">
        <v>94.5</v>
      </c>
      <c r="O40" s="15">
        <f>IFERROR(__xludf.DUMMYFUNCTION("IF(ISBLANK($C40), """", GOOGLEFINANCE($C40, ""price""))"),871.38)</f>
        <v>871.38</v>
      </c>
      <c r="P40" s="16">
        <f t="shared" si="2"/>
        <v>-0.005591819966</v>
      </c>
      <c r="Q40" s="16">
        <f>IFERROR(__xludf.DUMMYFUNCTION("IF(OR(ISBLANK($G40), IFERROR(INDEX(GOOGLEFINANCE($C40, ""price"", WORKDAY(INT($B40), 1)), 2, 2), """")=""""), """", IF($D40=""LONG"", (IFERROR(INDEX(GOOGLEFINANCE($C40, ""price"", WORKDAY(INT($B40), 1)), 2, 2), """")-$G40)/$G40, ($G40-IFERROR(INDEX(GOOGLE"&amp;"FINANCE($C40, ""price"", WORKDAY(INT($B40), 1)), 2, 2), """"))/$G40))"),-0.0055918199662208165)</f>
        <v>-0.005591819966</v>
      </c>
      <c r="R40" s="16" t="str">
        <f>IFERROR(__xludf.DUMMYFUNCTION("IF(OR(ISBLANK($G40), IFERROR(INDEX(GOOGLEFINANCE($C40, ""price"", WORKDAY(INT($B40), 5)), 2, 2), """")=""""), """", IF($D40=""LONG"", (IFERROR(INDEX(GOOGLEFINANCE($C40, ""price"", WORKDAY(INT($B40), 5)), 2, 2), """")-$G40)/$G40, ($G40-IFERROR(INDEX(GOOGLE"&amp;"FINANCE($C40, ""price"", WORKDAY(INT($B40), 5)), 2, 2), """"))/$G40))"),"")</f>
        <v/>
      </c>
      <c r="S40" s="16" t="str">
        <f>IFERROR(__xludf.DUMMYFUNCTION("IF(OR(ISBLANK($G40), IFERROR(INDEX(GOOGLEFINANCE($C40, ""price"", WORKDAY(INT($B40), 20)), 2, 2), """")=""""), """", IF($D40=""LONG"", (IFERROR(INDEX(GOOGLEFINANCE($C40, ""price"", WORKDAY(INT($B40), 20)), 2, 2), """")-$G40)/$G40, ($G40-IFERROR(INDEX(GOOG"&amp;"LEFINANCE($C40, ""price"", WORKDAY(INT($B40), 20)), 2, 2), """"))/$G40))"),"")</f>
        <v/>
      </c>
      <c r="T40" s="10" t="s">
        <v>6284</v>
      </c>
      <c r="U40" s="10" t="s">
        <v>84</v>
      </c>
      <c r="V40" s="10" t="s">
        <v>6285</v>
      </c>
      <c r="W40" s="10" t="s">
        <v>51</v>
      </c>
      <c r="X40" s="10" t="s">
        <v>2309</v>
      </c>
    </row>
    <row r="41">
      <c r="A41" s="9">
        <f t="shared" si="1"/>
        <v>40</v>
      </c>
      <c r="B41" s="11">
        <v>46239.66753472222</v>
      </c>
      <c r="C41" s="10" t="s">
        <v>257</v>
      </c>
      <c r="D41" s="10" t="s">
        <v>36</v>
      </c>
      <c r="E41" s="10" t="s">
        <v>37</v>
      </c>
      <c r="F41" s="13">
        <v>2.0</v>
      </c>
      <c r="G41" s="14">
        <v>70.0</v>
      </c>
      <c r="H41" s="10" t="s">
        <v>6286</v>
      </c>
      <c r="I41" s="10">
        <v>91.4</v>
      </c>
      <c r="O41" s="15">
        <f>IFERROR(__xludf.DUMMYFUNCTION("IF(ISBLANK($C41), """", GOOGLEFINANCE($C41, ""price""))"),68.81)</f>
        <v>68.81</v>
      </c>
      <c r="P41" s="16">
        <f t="shared" si="2"/>
        <v>-0.017</v>
      </c>
      <c r="Q41" s="16">
        <f>IFERROR(__xludf.DUMMYFUNCTION("IF(OR(ISBLANK($G41), IFERROR(INDEX(GOOGLEFINANCE($C41, ""price"", WORKDAY(INT($B41), 1)), 2, 2), """")=""""), """", IF($D41=""LONG"", (IFERROR(INDEX(GOOGLEFINANCE($C41, ""price"", WORKDAY(INT($B41), 1)), 2, 2), """")-$G41)/$G41, ($G41-IFERROR(INDEX(GOOGLE"&amp;"FINANCE($C41, ""price"", WORKDAY(INT($B41), 1)), 2, 2), """"))/$G41))"),-0.016999999999999967)</f>
        <v>-0.017</v>
      </c>
      <c r="R41" s="16" t="str">
        <f>IFERROR(__xludf.DUMMYFUNCTION("IF(OR(ISBLANK($G41), IFERROR(INDEX(GOOGLEFINANCE($C41, ""price"", WORKDAY(INT($B41), 5)), 2, 2), """")=""""), """", IF($D41=""LONG"", (IFERROR(INDEX(GOOGLEFINANCE($C41, ""price"", WORKDAY(INT($B41), 5)), 2, 2), """")-$G41)/$G41, ($G41-IFERROR(INDEX(GOOGLE"&amp;"FINANCE($C41, ""price"", WORKDAY(INT($B41), 5)), 2, 2), """"))/$G41))"),"")</f>
        <v/>
      </c>
      <c r="S41" s="16" t="str">
        <f>IFERROR(__xludf.DUMMYFUNCTION("IF(OR(ISBLANK($G41), IFERROR(INDEX(GOOGLEFINANCE($C41, ""price"", WORKDAY(INT($B41), 20)), 2, 2), """")=""""), """", IF($D41=""LONG"", (IFERROR(INDEX(GOOGLEFINANCE($C41, ""price"", WORKDAY(INT($B41), 20)), 2, 2), """")-$G41)/$G41, ($G41-IFERROR(INDEX(GOOG"&amp;"LEFINANCE($C41, ""price"", WORKDAY(INT($B41), 20)), 2, 2), """"))/$G41))"),"")</f>
        <v/>
      </c>
      <c r="T41" s="10" t="s">
        <v>6287</v>
      </c>
      <c r="U41" s="10" t="s">
        <v>984</v>
      </c>
      <c r="V41" s="10" t="s">
        <v>5889</v>
      </c>
      <c r="W41" s="10" t="s">
        <v>51</v>
      </c>
      <c r="X41" s="10" t="s">
        <v>984</v>
      </c>
    </row>
    <row r="42">
      <c r="A42" s="9">
        <f t="shared" si="1"/>
        <v>41</v>
      </c>
      <c r="B42" s="11">
        <v>46239.66752314815</v>
      </c>
      <c r="C42" s="10" t="s">
        <v>67</v>
      </c>
      <c r="D42" s="10" t="s">
        <v>36</v>
      </c>
      <c r="E42" s="10" t="s">
        <v>37</v>
      </c>
      <c r="F42" s="13">
        <v>2.0</v>
      </c>
      <c r="G42" s="14">
        <v>84.51</v>
      </c>
      <c r="H42" s="10" t="s">
        <v>6288</v>
      </c>
      <c r="I42" s="10">
        <v>92.9</v>
      </c>
      <c r="O42" s="15">
        <f>IFERROR(__xludf.DUMMYFUNCTION("IF(ISBLANK($C42), """", GOOGLEFINANCE($C42, ""price""))"),80.02)</f>
        <v>80.02</v>
      </c>
      <c r="P42" s="16">
        <f t="shared" si="2"/>
        <v>-0.05312980712</v>
      </c>
      <c r="Q42" s="16">
        <f>IFERROR(__xludf.DUMMYFUNCTION("IF(OR(ISBLANK($G42), IFERROR(INDEX(GOOGLEFINANCE($C42, ""price"", WORKDAY(INT($B42), 1)), 2, 2), """")=""""), """", IF($D42=""LONG"", (IFERROR(INDEX(GOOGLEFINANCE($C42, ""price"", WORKDAY(INT($B42), 1)), 2, 2), """")-$G42)/$G42, ($G42-IFERROR(INDEX(GOOGLE"&amp;"FINANCE($C42, ""price"", WORKDAY(INT($B42), 1)), 2, 2), """"))/$G42))"),-0.05312980712341745)</f>
        <v>-0.05312980712</v>
      </c>
      <c r="R42" s="16" t="str">
        <f>IFERROR(__xludf.DUMMYFUNCTION("IF(OR(ISBLANK($G42), IFERROR(INDEX(GOOGLEFINANCE($C42, ""price"", WORKDAY(INT($B42), 5)), 2, 2), """")=""""), """", IF($D42=""LONG"", (IFERROR(INDEX(GOOGLEFINANCE($C42, ""price"", WORKDAY(INT($B42), 5)), 2, 2), """")-$G42)/$G42, ($G42-IFERROR(INDEX(GOOGLE"&amp;"FINANCE($C42, ""price"", WORKDAY(INT($B42), 5)), 2, 2), """"))/$G42))"),"")</f>
        <v/>
      </c>
      <c r="S42" s="16" t="str">
        <f>IFERROR(__xludf.DUMMYFUNCTION("IF(OR(ISBLANK($G42), IFERROR(INDEX(GOOGLEFINANCE($C42, ""price"", WORKDAY(INT($B42), 20)), 2, 2), """")=""""), """", IF($D42=""LONG"", (IFERROR(INDEX(GOOGLEFINANCE($C42, ""price"", WORKDAY(INT($B42), 20)), 2, 2), """")-$G42)/$G42, ($G42-IFERROR(INDEX(GOOG"&amp;"LEFINANCE($C42, ""price"", WORKDAY(INT($B42), 20)), 2, 2), """"))/$G42))"),"")</f>
        <v/>
      </c>
      <c r="T42" s="10" t="s">
        <v>6289</v>
      </c>
      <c r="U42" s="10" t="s">
        <v>984</v>
      </c>
      <c r="V42" s="10" t="s">
        <v>5881</v>
      </c>
      <c r="W42" s="10" t="s">
        <v>51</v>
      </c>
      <c r="X42" s="10" t="s">
        <v>984</v>
      </c>
    </row>
    <row r="43">
      <c r="A43" s="9">
        <f t="shared" si="1"/>
        <v>42</v>
      </c>
      <c r="B43" s="11">
        <v>46239.66758101852</v>
      </c>
      <c r="C43" s="10" t="s">
        <v>1216</v>
      </c>
      <c r="D43" s="10" t="s">
        <v>36</v>
      </c>
      <c r="E43" s="10" t="s">
        <v>37</v>
      </c>
      <c r="F43" s="13">
        <v>2.0</v>
      </c>
      <c r="G43" s="14">
        <v>84.2</v>
      </c>
      <c r="H43" s="10" t="s">
        <v>6290</v>
      </c>
      <c r="I43" s="10">
        <v>84.9</v>
      </c>
      <c r="O43" s="15">
        <f>IFERROR(__xludf.DUMMYFUNCTION("IF(ISBLANK($C43), """", GOOGLEFINANCE($C43, ""price""))"),79.02)</f>
        <v>79.02</v>
      </c>
      <c r="P43" s="16">
        <f t="shared" si="2"/>
        <v>-0.06152019002</v>
      </c>
      <c r="Q43" s="16">
        <f>IFERROR(__xludf.DUMMYFUNCTION("IF(OR(ISBLANK($G43), IFERROR(INDEX(GOOGLEFINANCE($C43, ""price"", WORKDAY(INT($B43), 1)), 2, 2), """")=""""), """", IF($D43=""LONG"", (IFERROR(INDEX(GOOGLEFINANCE($C43, ""price"", WORKDAY(INT($B43), 1)), 2, 2), """")-$G43)/$G43, ($G43-IFERROR(INDEX(GOOGLE"&amp;"FINANCE($C43, ""price"", WORKDAY(INT($B43), 1)), 2, 2), """"))/$G43))"),-0.06152019002375305)</f>
        <v>-0.06152019002</v>
      </c>
      <c r="R43" s="16" t="str">
        <f>IFERROR(__xludf.DUMMYFUNCTION("IF(OR(ISBLANK($G43), IFERROR(INDEX(GOOGLEFINANCE($C43, ""price"", WORKDAY(INT($B43), 5)), 2, 2), """")=""""), """", IF($D43=""LONG"", (IFERROR(INDEX(GOOGLEFINANCE($C43, ""price"", WORKDAY(INT($B43), 5)), 2, 2), """")-$G43)/$G43, ($G43-IFERROR(INDEX(GOOGLE"&amp;"FINANCE($C43, ""price"", WORKDAY(INT($B43), 5)), 2, 2), """"))/$G43))"),"")</f>
        <v/>
      </c>
      <c r="S43" s="16" t="str">
        <f>IFERROR(__xludf.DUMMYFUNCTION("IF(OR(ISBLANK($G43), IFERROR(INDEX(GOOGLEFINANCE($C43, ""price"", WORKDAY(INT($B43), 20)), 2, 2), """")=""""), """", IF($D43=""LONG"", (IFERROR(INDEX(GOOGLEFINANCE($C43, ""price"", WORKDAY(INT($B43), 20)), 2, 2), """")-$G43)/$G43, ($G43-IFERROR(INDEX(GOOG"&amp;"LEFINANCE($C43, ""price"", WORKDAY(INT($B43), 20)), 2, 2), """"))/$G43))"),"")</f>
        <v/>
      </c>
      <c r="T43" s="10" t="s">
        <v>6291</v>
      </c>
      <c r="U43" s="10" t="s">
        <v>984</v>
      </c>
      <c r="V43" s="10" t="s">
        <v>5881</v>
      </c>
      <c r="W43" s="10" t="s">
        <v>51</v>
      </c>
      <c r="X43" s="10" t="s">
        <v>984</v>
      </c>
    </row>
    <row r="44">
      <c r="A44" s="9">
        <f t="shared" si="1"/>
        <v>43</v>
      </c>
      <c r="B44" s="11">
        <v>46239.66755787037</v>
      </c>
      <c r="C44" s="10" t="s">
        <v>431</v>
      </c>
      <c r="D44" s="10" t="s">
        <v>36</v>
      </c>
      <c r="E44" s="10" t="s">
        <v>37</v>
      </c>
      <c r="F44" s="13">
        <v>2.0</v>
      </c>
      <c r="G44" s="14">
        <v>151.6</v>
      </c>
      <c r="H44" s="10" t="s">
        <v>605</v>
      </c>
      <c r="I44" s="10">
        <v>92.9</v>
      </c>
      <c r="O44" s="15">
        <f>IFERROR(__xludf.DUMMYFUNCTION("IF(ISBLANK($C44), """", GOOGLEFINANCE($C44, ""price""))"),154.84)</f>
        <v>154.84</v>
      </c>
      <c r="P44" s="16">
        <f t="shared" si="2"/>
        <v>0.02137203166</v>
      </c>
      <c r="Q44" s="16">
        <f>IFERROR(__xludf.DUMMYFUNCTION("IF(OR(ISBLANK($G44), IFERROR(INDEX(GOOGLEFINANCE($C44, ""price"", WORKDAY(INT($B44), 1)), 2, 2), """")=""""), """", IF($D44=""LONG"", (IFERROR(INDEX(GOOGLEFINANCE($C44, ""price"", WORKDAY(INT($B44), 1)), 2, 2), """")-$G44)/$G44, ($G44-IFERROR(INDEX(GOOGLE"&amp;"FINANCE($C44, ""price"", WORKDAY(INT($B44), 1)), 2, 2), """"))/$G44))"),0.02137203166226919)</f>
        <v>0.02137203166</v>
      </c>
      <c r="R44" s="16" t="str">
        <f>IFERROR(__xludf.DUMMYFUNCTION("IF(OR(ISBLANK($G44), IFERROR(INDEX(GOOGLEFINANCE($C44, ""price"", WORKDAY(INT($B44), 5)), 2, 2), """")=""""), """", IF($D44=""LONG"", (IFERROR(INDEX(GOOGLEFINANCE($C44, ""price"", WORKDAY(INT($B44), 5)), 2, 2), """")-$G44)/$G44, ($G44-IFERROR(INDEX(GOOGLE"&amp;"FINANCE($C44, ""price"", WORKDAY(INT($B44), 5)), 2, 2), """"))/$G44))"),"")</f>
        <v/>
      </c>
      <c r="S44" s="16" t="str">
        <f>IFERROR(__xludf.DUMMYFUNCTION("IF(OR(ISBLANK($G44), IFERROR(INDEX(GOOGLEFINANCE($C44, ""price"", WORKDAY(INT($B44), 20)), 2, 2), """")=""""), """", IF($D44=""LONG"", (IFERROR(INDEX(GOOGLEFINANCE($C44, ""price"", WORKDAY(INT($B44), 20)), 2, 2), """")-$G44)/$G44, ($G44-IFERROR(INDEX(GOOG"&amp;"LEFINANCE($C44, ""price"", WORKDAY(INT($B44), 20)), 2, 2), """"))/$G44))"),"")</f>
        <v/>
      </c>
      <c r="T44" s="10" t="s">
        <v>6292</v>
      </c>
      <c r="U44" s="10" t="s">
        <v>219</v>
      </c>
      <c r="V44" s="10" t="s">
        <v>6293</v>
      </c>
      <c r="W44" s="10" t="s">
        <v>51</v>
      </c>
      <c r="X44" s="10" t="s">
        <v>974</v>
      </c>
    </row>
    <row r="45">
      <c r="A45" s="9">
        <f t="shared" si="1"/>
        <v>44</v>
      </c>
      <c r="B45" s="11">
        <v>46239.66755787037</v>
      </c>
      <c r="C45" s="10" t="s">
        <v>4586</v>
      </c>
      <c r="D45" s="10" t="s">
        <v>36</v>
      </c>
      <c r="E45" s="10" t="s">
        <v>37</v>
      </c>
      <c r="F45" s="13">
        <v>2.0</v>
      </c>
      <c r="G45" s="14">
        <v>297.76</v>
      </c>
      <c r="H45" s="10" t="s">
        <v>6294</v>
      </c>
      <c r="I45" s="10">
        <v>93.8</v>
      </c>
      <c r="L45" s="10" t="s">
        <v>6295</v>
      </c>
      <c r="M45" s="34" t="s">
        <v>921</v>
      </c>
      <c r="N45" s="10" t="s">
        <v>6296</v>
      </c>
      <c r="O45" s="15">
        <f>IFERROR(__xludf.DUMMYFUNCTION("IF(ISBLANK($C45), """", GOOGLEFINANCE($C45, ""price""))"),299.25)</f>
        <v>299.25</v>
      </c>
      <c r="P45" s="16">
        <f t="shared" si="2"/>
        <v>0.005004030091</v>
      </c>
      <c r="Q45" s="16">
        <f>IFERROR(__xludf.DUMMYFUNCTION("IF(OR(ISBLANK($G45), IFERROR(INDEX(GOOGLEFINANCE($C45, ""price"", WORKDAY(INT($B45), 1)), 2, 2), """")=""""), """", IF($D45=""LONG"", (IFERROR(INDEX(GOOGLEFINANCE($C45, ""price"", WORKDAY(INT($B45), 1)), 2, 2), """")-$G45)/$G45, ($G45-IFERROR(INDEX(GOOGLE"&amp;"FINANCE($C45, ""price"", WORKDAY(INT($B45), 1)), 2, 2), """"))/$G45))"),0.0050040300913487675)</f>
        <v>0.005004030091</v>
      </c>
      <c r="R45" s="16" t="str">
        <f>IFERROR(__xludf.DUMMYFUNCTION("IF(OR(ISBLANK($G45), IFERROR(INDEX(GOOGLEFINANCE($C45, ""price"", WORKDAY(INT($B45), 5)), 2, 2), """")=""""), """", IF($D45=""LONG"", (IFERROR(INDEX(GOOGLEFINANCE($C45, ""price"", WORKDAY(INT($B45), 5)), 2, 2), """")-$G45)/$G45, ($G45-IFERROR(INDEX(GOOGLE"&amp;"FINANCE($C45, ""price"", WORKDAY(INT($B45), 5)), 2, 2), """"))/$G45))"),"")</f>
        <v/>
      </c>
      <c r="S45" s="16" t="str">
        <f>IFERROR(__xludf.DUMMYFUNCTION("IF(OR(ISBLANK($G45), IFERROR(INDEX(GOOGLEFINANCE($C45, ""price"", WORKDAY(INT($B45), 20)), 2, 2), """")=""""), """", IF($D45=""LONG"", (IFERROR(INDEX(GOOGLEFINANCE($C45, ""price"", WORKDAY(INT($B45), 20)), 2, 2), """")-$G45)/$G45, ($G45-IFERROR(INDEX(GOOG"&amp;"LEFINANCE($C45, ""price"", WORKDAY(INT($B45), 20)), 2, 2), """"))/$G45))"),"")</f>
        <v/>
      </c>
      <c r="T45" s="10" t="s">
        <v>6297</v>
      </c>
      <c r="U45" s="10" t="s">
        <v>984</v>
      </c>
      <c r="V45" s="10" t="s">
        <v>5889</v>
      </c>
      <c r="W45" s="10" t="s">
        <v>51</v>
      </c>
      <c r="X45" s="10" t="s">
        <v>984</v>
      </c>
    </row>
    <row r="46">
      <c r="A46" s="9">
        <f t="shared" si="1"/>
        <v>45</v>
      </c>
      <c r="B46" s="11">
        <v>46239.66751157407</v>
      </c>
      <c r="C46" s="10" t="s">
        <v>1739</v>
      </c>
      <c r="D46" s="10" t="s">
        <v>36</v>
      </c>
      <c r="E46" s="10" t="s">
        <v>37</v>
      </c>
      <c r="F46" s="13">
        <v>2.0</v>
      </c>
      <c r="G46" s="14">
        <v>264.35</v>
      </c>
      <c r="H46" s="10" t="s">
        <v>4563</v>
      </c>
      <c r="I46" s="10">
        <v>89.4</v>
      </c>
      <c r="O46" s="15">
        <f>IFERROR(__xludf.DUMMYFUNCTION("IF(ISBLANK($C46), """", GOOGLEFINANCE($C46, ""price""))"),275.11)</f>
        <v>275.11</v>
      </c>
      <c r="P46" s="16">
        <f t="shared" si="2"/>
        <v>0.04070361263</v>
      </c>
      <c r="Q46" s="16">
        <f>IFERROR(__xludf.DUMMYFUNCTION("IF(OR(ISBLANK($G46), IFERROR(INDEX(GOOGLEFINANCE($C46, ""price"", WORKDAY(INT($B46), 1)), 2, 2), """")=""""), """", IF($D46=""LONG"", (IFERROR(INDEX(GOOGLEFINANCE($C46, ""price"", WORKDAY(INT($B46), 1)), 2, 2), """")-$G46)/$G46, ($G46-IFERROR(INDEX(GOOGLE"&amp;"FINANCE($C46, ""price"", WORKDAY(INT($B46), 1)), 2, 2), """"))/$G46))"),0.04070361263476448)</f>
        <v>0.04070361263</v>
      </c>
      <c r="R46" s="16" t="str">
        <f>IFERROR(__xludf.DUMMYFUNCTION("IF(OR(ISBLANK($G46), IFERROR(INDEX(GOOGLEFINANCE($C46, ""price"", WORKDAY(INT($B46), 5)), 2, 2), """")=""""), """", IF($D46=""LONG"", (IFERROR(INDEX(GOOGLEFINANCE($C46, ""price"", WORKDAY(INT($B46), 5)), 2, 2), """")-$G46)/$G46, ($G46-IFERROR(INDEX(GOOGLE"&amp;"FINANCE($C46, ""price"", WORKDAY(INT($B46), 5)), 2, 2), """"))/$G46))"),"")</f>
        <v/>
      </c>
      <c r="S46" s="16" t="str">
        <f>IFERROR(__xludf.DUMMYFUNCTION("IF(OR(ISBLANK($G46), IFERROR(INDEX(GOOGLEFINANCE($C46, ""price"", WORKDAY(INT($B46), 20)), 2, 2), """")=""""), """", IF($D46=""LONG"", (IFERROR(INDEX(GOOGLEFINANCE($C46, ""price"", WORKDAY(INT($B46), 20)), 2, 2), """")-$G46)/$G46, ($G46-IFERROR(INDEX(GOOG"&amp;"LEFINANCE($C46, ""price"", WORKDAY(INT($B46), 20)), 2, 2), """"))/$G46))"),"")</f>
        <v/>
      </c>
      <c r="T46" s="10" t="s">
        <v>6298</v>
      </c>
      <c r="U46" s="10" t="s">
        <v>240</v>
      </c>
      <c r="V46" s="10" t="s">
        <v>6299</v>
      </c>
      <c r="W46" s="10" t="s">
        <v>51</v>
      </c>
      <c r="X46" s="10" t="s">
        <v>1905</v>
      </c>
    </row>
    <row r="47">
      <c r="A47" s="9">
        <f t="shared" si="1"/>
        <v>46</v>
      </c>
      <c r="B47" s="11">
        <v>46239.66751157407</v>
      </c>
      <c r="C47" s="10" t="s">
        <v>2229</v>
      </c>
      <c r="D47" s="10" t="s">
        <v>36</v>
      </c>
      <c r="E47" s="10" t="s">
        <v>37</v>
      </c>
      <c r="F47" s="13">
        <v>2.0</v>
      </c>
      <c r="G47" s="14">
        <v>122.23</v>
      </c>
      <c r="H47" s="10" t="s">
        <v>6300</v>
      </c>
      <c r="I47" s="10">
        <v>96.3</v>
      </c>
      <c r="O47" s="15">
        <f>IFERROR(__xludf.DUMMYFUNCTION("IF(ISBLANK($C47), """", GOOGLEFINANCE($C47, ""price""))"),120.76)</f>
        <v>120.76</v>
      </c>
      <c r="P47" s="16">
        <f t="shared" si="2"/>
        <v>-0.0120265074</v>
      </c>
      <c r="Q47" s="16">
        <f>IFERROR(__xludf.DUMMYFUNCTION("IF(OR(ISBLANK($G47), IFERROR(INDEX(GOOGLEFINANCE($C47, ""price"", WORKDAY(INT($B47), 1)), 2, 2), """")=""""), """", IF($D47=""LONG"", (IFERROR(INDEX(GOOGLEFINANCE($C47, ""price"", WORKDAY(INT($B47), 1)), 2, 2), """")-$G47)/$G47, ($G47-IFERROR(INDEX(GOOGLE"&amp;"FINANCE($C47, ""price"", WORKDAY(INT($B47), 1)), 2, 2), """"))/$G47))"),-0.012026507404074276)</f>
        <v>-0.0120265074</v>
      </c>
      <c r="R47" s="16" t="str">
        <f>IFERROR(__xludf.DUMMYFUNCTION("IF(OR(ISBLANK($G47), IFERROR(INDEX(GOOGLEFINANCE($C47, ""price"", WORKDAY(INT($B47), 5)), 2, 2), """")=""""), """", IF($D47=""LONG"", (IFERROR(INDEX(GOOGLEFINANCE($C47, ""price"", WORKDAY(INT($B47), 5)), 2, 2), """")-$G47)/$G47, ($G47-IFERROR(INDEX(GOOGLE"&amp;"FINANCE($C47, ""price"", WORKDAY(INT($B47), 5)), 2, 2), """"))/$G47))"),"")</f>
        <v/>
      </c>
      <c r="S47" s="16" t="str">
        <f>IFERROR(__xludf.DUMMYFUNCTION("IF(OR(ISBLANK($G47), IFERROR(INDEX(GOOGLEFINANCE($C47, ""price"", WORKDAY(INT($B47), 20)), 2, 2), """")=""""), """", IF($D47=""LONG"", (IFERROR(INDEX(GOOGLEFINANCE($C47, ""price"", WORKDAY(INT($B47), 20)), 2, 2), """")-$G47)/$G47, ($G47-IFERROR(INDEX(GOOG"&amp;"LEFINANCE($C47, ""price"", WORKDAY(INT($B47), 20)), 2, 2), """"))/$G47))"),"")</f>
        <v/>
      </c>
      <c r="T47" s="10" t="s">
        <v>6301</v>
      </c>
      <c r="U47" s="10" t="s">
        <v>984</v>
      </c>
      <c r="V47" s="10" t="s">
        <v>5881</v>
      </c>
      <c r="W47" s="10" t="s">
        <v>51</v>
      </c>
      <c r="X47" s="10" t="s">
        <v>984</v>
      </c>
    </row>
    <row r="48">
      <c r="A48" s="9">
        <f t="shared" si="1"/>
        <v>47</v>
      </c>
      <c r="B48" s="11">
        <v>46239.66753472222</v>
      </c>
      <c r="C48" s="10" t="s">
        <v>424</v>
      </c>
      <c r="D48" s="10" t="s">
        <v>36</v>
      </c>
      <c r="E48" s="10" t="s">
        <v>37</v>
      </c>
      <c r="F48" s="13">
        <v>2.0</v>
      </c>
      <c r="G48" s="14">
        <v>84.24</v>
      </c>
      <c r="H48" s="10" t="s">
        <v>6302</v>
      </c>
      <c r="I48" s="10">
        <v>84.1</v>
      </c>
      <c r="O48" s="15">
        <f>IFERROR(__xludf.DUMMYFUNCTION("IF(ISBLANK($C48), """", GOOGLEFINANCE($C48, ""price""))"),84.35)</f>
        <v>84.35</v>
      </c>
      <c r="P48" s="16">
        <f t="shared" si="2"/>
        <v>0.001305792972</v>
      </c>
      <c r="Q48" s="16">
        <f>IFERROR(__xludf.DUMMYFUNCTION("IF(OR(ISBLANK($G48), IFERROR(INDEX(GOOGLEFINANCE($C48, ""price"", WORKDAY(INT($B48), 1)), 2, 2), """")=""""), """", IF($D48=""LONG"", (IFERROR(INDEX(GOOGLEFINANCE($C48, ""price"", WORKDAY(INT($B48), 1)), 2, 2), """")-$G48)/$G48, ($G48-IFERROR(INDEX(GOOGLE"&amp;"FINANCE($C48, ""price"", WORKDAY(INT($B48), 1)), 2, 2), """"))/$G48))"),0.0013057929724596324)</f>
        <v>0.001305792972</v>
      </c>
      <c r="R48" s="16" t="str">
        <f>IFERROR(__xludf.DUMMYFUNCTION("IF(OR(ISBLANK($G48), IFERROR(INDEX(GOOGLEFINANCE($C48, ""price"", WORKDAY(INT($B48), 5)), 2, 2), """")=""""), """", IF($D48=""LONG"", (IFERROR(INDEX(GOOGLEFINANCE($C48, ""price"", WORKDAY(INT($B48), 5)), 2, 2), """")-$G48)/$G48, ($G48-IFERROR(INDEX(GOOGLE"&amp;"FINANCE($C48, ""price"", WORKDAY(INT($B48), 5)), 2, 2), """"))/$G48))"),"")</f>
        <v/>
      </c>
      <c r="S48" s="16" t="str">
        <f>IFERROR(__xludf.DUMMYFUNCTION("IF(OR(ISBLANK($G48), IFERROR(INDEX(GOOGLEFINANCE($C48, ""price"", WORKDAY(INT($B48), 20)), 2, 2), """")=""""), """", IF($D48=""LONG"", (IFERROR(INDEX(GOOGLEFINANCE($C48, ""price"", WORKDAY(INT($B48), 20)), 2, 2), """")-$G48)/$G48, ($G48-IFERROR(INDEX(GOOG"&amp;"LEFINANCE($C48, ""price"", WORKDAY(INT($B48), 20)), 2, 2), """"))/$G48))"),"")</f>
        <v/>
      </c>
      <c r="T48" s="10" t="s">
        <v>6303</v>
      </c>
      <c r="U48" s="10" t="s">
        <v>240</v>
      </c>
      <c r="V48" s="10" t="s">
        <v>6304</v>
      </c>
      <c r="W48" s="10" t="s">
        <v>51</v>
      </c>
      <c r="X48" s="10" t="s">
        <v>1905</v>
      </c>
    </row>
    <row r="49">
      <c r="A49" s="9">
        <f t="shared" si="1"/>
        <v>48</v>
      </c>
      <c r="B49" s="11">
        <v>46239.667604166665</v>
      </c>
      <c r="C49" s="10" t="s">
        <v>3566</v>
      </c>
      <c r="D49" s="10" t="s">
        <v>36</v>
      </c>
      <c r="E49" s="10" t="s">
        <v>37</v>
      </c>
      <c r="F49" s="13">
        <v>2.0</v>
      </c>
      <c r="G49" s="14">
        <v>359.99</v>
      </c>
      <c r="H49" s="10" t="s">
        <v>6305</v>
      </c>
      <c r="I49" s="10">
        <v>93.1</v>
      </c>
      <c r="O49" s="15">
        <f>IFERROR(__xludf.DUMMYFUNCTION("IF(ISBLANK($C49), """", GOOGLEFINANCE($C49, ""price""))"),360.75)</f>
        <v>360.75</v>
      </c>
      <c r="P49" s="16">
        <f t="shared" si="2"/>
        <v>0.002111169755</v>
      </c>
      <c r="Q49" s="16">
        <f>IFERROR(__xludf.DUMMYFUNCTION("IF(OR(ISBLANK($G49), IFERROR(INDEX(GOOGLEFINANCE($C49, ""price"", WORKDAY(INT($B49), 1)), 2, 2), """")=""""), """", IF($D49=""LONG"", (IFERROR(INDEX(GOOGLEFINANCE($C49, ""price"", WORKDAY(INT($B49), 1)), 2, 2), """")-$G49)/$G49, ($G49-IFERROR(INDEX(GOOGLE"&amp;"FINANCE($C49, ""price"", WORKDAY(INT($B49), 1)), 2, 2), """"))/$G49))"),0.0021111697547153835)</f>
        <v>0.002111169755</v>
      </c>
      <c r="R49" s="16" t="str">
        <f>IFERROR(__xludf.DUMMYFUNCTION("IF(OR(ISBLANK($G49), IFERROR(INDEX(GOOGLEFINANCE($C49, ""price"", WORKDAY(INT($B49), 5)), 2, 2), """")=""""), """", IF($D49=""LONG"", (IFERROR(INDEX(GOOGLEFINANCE($C49, ""price"", WORKDAY(INT($B49), 5)), 2, 2), """")-$G49)/$G49, ($G49-IFERROR(INDEX(GOOGLE"&amp;"FINANCE($C49, ""price"", WORKDAY(INT($B49), 5)), 2, 2), """"))/$G49))"),"")</f>
        <v/>
      </c>
      <c r="S49" s="16" t="str">
        <f>IFERROR(__xludf.DUMMYFUNCTION("IF(OR(ISBLANK($G49), IFERROR(INDEX(GOOGLEFINANCE($C49, ""price"", WORKDAY(INT($B49), 20)), 2, 2), """")=""""), """", IF($D49=""LONG"", (IFERROR(INDEX(GOOGLEFINANCE($C49, ""price"", WORKDAY(INT($B49), 20)), 2, 2), """")-$G49)/$G49, ($G49-IFERROR(INDEX(GOOG"&amp;"LEFINANCE($C49, ""price"", WORKDAY(INT($B49), 20)), 2, 2), """"))/$G49))"),"")</f>
        <v/>
      </c>
      <c r="T49" s="10" t="s">
        <v>6306</v>
      </c>
      <c r="U49" s="10" t="s">
        <v>984</v>
      </c>
      <c r="V49" s="10" t="s">
        <v>5881</v>
      </c>
      <c r="W49" s="10" t="s">
        <v>51</v>
      </c>
      <c r="X49" s="10" t="s">
        <v>984</v>
      </c>
    </row>
    <row r="50">
      <c r="A50" s="9">
        <f t="shared" si="1"/>
        <v>49</v>
      </c>
      <c r="B50" s="11">
        <v>46239.66761574074</v>
      </c>
      <c r="C50" s="10" t="s">
        <v>6307</v>
      </c>
      <c r="D50" s="10" t="s">
        <v>36</v>
      </c>
      <c r="E50" s="10" t="s">
        <v>4224</v>
      </c>
      <c r="F50" s="13">
        <v>4.0</v>
      </c>
      <c r="G50" s="14">
        <v>270.46</v>
      </c>
      <c r="H50" s="10" t="s">
        <v>6308</v>
      </c>
      <c r="I50" s="10">
        <v>50.8</v>
      </c>
      <c r="O50" s="15">
        <f>IFERROR(__xludf.DUMMYFUNCTION("IF(ISBLANK($C50), """", GOOGLEFINANCE($C50, ""price""))"),275.25)</f>
        <v>275.25</v>
      </c>
      <c r="P50" s="16">
        <f t="shared" si="2"/>
        <v>0.01771056718</v>
      </c>
      <c r="Q50" s="16">
        <f>IFERROR(__xludf.DUMMYFUNCTION("IF(OR(ISBLANK($G50), IFERROR(INDEX(GOOGLEFINANCE($C50, ""price"", WORKDAY(INT($B50), 1)), 2, 2), """")=""""), """", IF($D50=""LONG"", (IFERROR(INDEX(GOOGLEFINANCE($C50, ""price"", WORKDAY(INT($B50), 1)), 2, 2), """")-$G50)/$G50, ($G50-IFERROR(INDEX(GOOGLE"&amp;"FINANCE($C50, ""price"", WORKDAY(INT($B50), 1)), 2, 2), """"))/$G50))"),0.017710567181838426)</f>
        <v>0.01771056718</v>
      </c>
      <c r="R50" s="16" t="str">
        <f>IFERROR(__xludf.DUMMYFUNCTION("IF(OR(ISBLANK($G50), IFERROR(INDEX(GOOGLEFINANCE($C50, ""price"", WORKDAY(INT($B50), 5)), 2, 2), """")=""""), """", IF($D50=""LONG"", (IFERROR(INDEX(GOOGLEFINANCE($C50, ""price"", WORKDAY(INT($B50), 5)), 2, 2), """")-$G50)/$G50, ($G50-IFERROR(INDEX(GOOGLE"&amp;"FINANCE($C50, ""price"", WORKDAY(INT($B50), 5)), 2, 2), """"))/$G50))"),"")</f>
        <v/>
      </c>
      <c r="S50" s="16" t="str">
        <f>IFERROR(__xludf.DUMMYFUNCTION("IF(OR(ISBLANK($G50), IFERROR(INDEX(GOOGLEFINANCE($C50, ""price"", WORKDAY(INT($B50), 20)), 2, 2), """")=""""), """", IF($D50=""LONG"", (IFERROR(INDEX(GOOGLEFINANCE($C50, ""price"", WORKDAY(INT($B50), 20)), 2, 2), """")-$G50)/$G50, ($G50-IFERROR(INDEX(GOOG"&amp;"LEFINANCE($C50, ""price"", WORKDAY(INT($B50), 20)), 2, 2), """"))/$G50))"),"")</f>
        <v/>
      </c>
      <c r="T50" s="10" t="s">
        <v>6309</v>
      </c>
      <c r="U50" s="10" t="s">
        <v>49</v>
      </c>
      <c r="V50" s="10" t="s">
        <v>6310</v>
      </c>
      <c r="W50" s="10" t="s">
        <v>51</v>
      </c>
      <c r="X50" s="10" t="s">
        <v>3975</v>
      </c>
    </row>
    <row r="51">
      <c r="A51" s="9">
        <f t="shared" si="1"/>
        <v>50</v>
      </c>
      <c r="B51" s="11">
        <v>46239.667546296296</v>
      </c>
      <c r="C51" s="10" t="s">
        <v>379</v>
      </c>
      <c r="D51" s="10" t="s">
        <v>36</v>
      </c>
      <c r="E51" s="10" t="s">
        <v>37</v>
      </c>
      <c r="F51" s="13">
        <v>2.0</v>
      </c>
      <c r="G51" s="14">
        <v>51.13</v>
      </c>
      <c r="H51" s="10" t="s">
        <v>6311</v>
      </c>
      <c r="I51" s="10">
        <v>66.6</v>
      </c>
      <c r="O51" s="15">
        <f>IFERROR(__xludf.DUMMYFUNCTION("IF(ISBLANK($C51), """", GOOGLEFINANCE($C51, ""price""))"),50.7)</f>
        <v>50.7</v>
      </c>
      <c r="P51" s="16">
        <f t="shared" si="2"/>
        <v>-0.008409935459</v>
      </c>
      <c r="Q51" s="16">
        <f>IFERROR(__xludf.DUMMYFUNCTION("IF(OR(ISBLANK($G51), IFERROR(INDEX(GOOGLEFINANCE($C51, ""price"", WORKDAY(INT($B51), 1)), 2, 2), """")=""""), """", IF($D51=""LONG"", (IFERROR(INDEX(GOOGLEFINANCE($C51, ""price"", WORKDAY(INT($B51), 1)), 2, 2), """")-$G51)/$G51, ($G51-IFERROR(INDEX(GOOGLE"&amp;"FINANCE($C51, ""price"", WORKDAY(INT($B51), 1)), 2, 2), """"))/$G51))"),-0.008214355564248028)</f>
        <v>-0.008214355564</v>
      </c>
      <c r="R51" s="16" t="str">
        <f>IFERROR(__xludf.DUMMYFUNCTION("IF(OR(ISBLANK($G51), IFERROR(INDEX(GOOGLEFINANCE($C51, ""price"", WORKDAY(INT($B51), 5)), 2, 2), """")=""""), """", IF($D51=""LONG"", (IFERROR(INDEX(GOOGLEFINANCE($C51, ""price"", WORKDAY(INT($B51), 5)), 2, 2), """")-$G51)/$G51, ($G51-IFERROR(INDEX(GOOGLE"&amp;"FINANCE($C51, ""price"", WORKDAY(INT($B51), 5)), 2, 2), """"))/$G51))"),"")</f>
        <v/>
      </c>
      <c r="S51" s="16" t="str">
        <f>IFERROR(__xludf.DUMMYFUNCTION("IF(OR(ISBLANK($G51), IFERROR(INDEX(GOOGLEFINANCE($C51, ""price"", WORKDAY(INT($B51), 20)), 2, 2), """")=""""), """", IF($D51=""LONG"", (IFERROR(INDEX(GOOGLEFINANCE($C51, ""price"", WORKDAY(INT($B51), 20)), 2, 2), """")-$G51)/$G51, ($G51-IFERROR(INDEX(GOOG"&amp;"LEFINANCE($C51, ""price"", WORKDAY(INT($B51), 20)), 2, 2), """"))/$G51))"),"")</f>
        <v/>
      </c>
      <c r="T51" s="10" t="s">
        <v>6312</v>
      </c>
      <c r="U51" s="10" t="s">
        <v>984</v>
      </c>
      <c r="V51" s="10" t="s">
        <v>5889</v>
      </c>
      <c r="W51" s="10" t="s">
        <v>51</v>
      </c>
      <c r="X51" s="10" t="s">
        <v>984</v>
      </c>
    </row>
    <row r="52">
      <c r="A52" s="9">
        <f t="shared" si="1"/>
        <v>51</v>
      </c>
      <c r="B52" s="11">
        <v>46239.667592592596</v>
      </c>
      <c r="C52" s="10" t="s">
        <v>641</v>
      </c>
      <c r="D52" s="10" t="s">
        <v>36</v>
      </c>
      <c r="E52" s="10" t="s">
        <v>37</v>
      </c>
      <c r="F52" s="13">
        <v>2.0</v>
      </c>
      <c r="G52" s="14">
        <v>63.52</v>
      </c>
      <c r="H52" s="10" t="s">
        <v>6313</v>
      </c>
      <c r="I52" s="10">
        <v>93.9</v>
      </c>
      <c r="O52" s="15">
        <f>IFERROR(__xludf.DUMMYFUNCTION("IF(ISBLANK($C52), """", GOOGLEFINANCE($C52, ""price""))"),63.13)</f>
        <v>63.13</v>
      </c>
      <c r="P52" s="16">
        <f t="shared" si="2"/>
        <v>-0.006139798489</v>
      </c>
      <c r="Q52" s="16">
        <f>IFERROR(__xludf.DUMMYFUNCTION("IF(OR(ISBLANK($G52), IFERROR(INDEX(GOOGLEFINANCE($C52, ""price"", WORKDAY(INT($B52), 1)), 2, 2), """")=""""), """", IF($D52=""LONG"", (IFERROR(INDEX(GOOGLEFINANCE($C52, ""price"", WORKDAY(INT($B52), 1)), 2, 2), """")-$G52)/$G52, ($G52-IFERROR(INDEX(GOOGLE"&amp;"FINANCE($C52, ""price"", WORKDAY(INT($B52), 1)), 2, 2), """"))/$G52))"),-0.006139798488664996)</f>
        <v>-0.006139798489</v>
      </c>
      <c r="R52" s="16" t="str">
        <f>IFERROR(__xludf.DUMMYFUNCTION("IF(OR(ISBLANK($G52), IFERROR(INDEX(GOOGLEFINANCE($C52, ""price"", WORKDAY(INT($B52), 5)), 2, 2), """")=""""), """", IF($D52=""LONG"", (IFERROR(INDEX(GOOGLEFINANCE($C52, ""price"", WORKDAY(INT($B52), 5)), 2, 2), """")-$G52)/$G52, ($G52-IFERROR(INDEX(GOOGLE"&amp;"FINANCE($C52, ""price"", WORKDAY(INT($B52), 5)), 2, 2), """"))/$G52))"),"")</f>
        <v/>
      </c>
      <c r="S52" s="16" t="str">
        <f>IFERROR(__xludf.DUMMYFUNCTION("IF(OR(ISBLANK($G52), IFERROR(INDEX(GOOGLEFINANCE($C52, ""price"", WORKDAY(INT($B52), 20)), 2, 2), """")=""""), """", IF($D52=""LONG"", (IFERROR(INDEX(GOOGLEFINANCE($C52, ""price"", WORKDAY(INT($B52), 20)), 2, 2), """")-$G52)/$G52, ($G52-IFERROR(INDEX(GOOG"&amp;"LEFINANCE($C52, ""price"", WORKDAY(INT($B52), 20)), 2, 2), """"))/$G52))"),"")</f>
        <v/>
      </c>
      <c r="T52" s="10" t="s">
        <v>6314</v>
      </c>
      <c r="U52" s="10" t="s">
        <v>722</v>
      </c>
      <c r="V52" s="10" t="s">
        <v>6315</v>
      </c>
      <c r="W52" s="10" t="s">
        <v>51</v>
      </c>
      <c r="X52" s="10" t="s">
        <v>3433</v>
      </c>
    </row>
    <row r="53">
      <c r="A53" s="9">
        <f t="shared" si="1"/>
        <v>52</v>
      </c>
      <c r="B53" s="11">
        <v>46239.667592592596</v>
      </c>
      <c r="C53" s="10" t="s">
        <v>765</v>
      </c>
      <c r="D53" s="10" t="s">
        <v>36</v>
      </c>
      <c r="E53" s="10" t="s">
        <v>37</v>
      </c>
      <c r="F53" s="13">
        <v>2.0</v>
      </c>
      <c r="G53" s="14">
        <v>125.54</v>
      </c>
      <c r="H53" s="10" t="s">
        <v>2080</v>
      </c>
      <c r="I53" s="10">
        <v>89.9</v>
      </c>
      <c r="O53" s="15">
        <f>IFERROR(__xludf.DUMMYFUNCTION("IF(ISBLANK($C53), """", GOOGLEFINANCE($C53, ""price""))"),126.66)</f>
        <v>126.66</v>
      </c>
      <c r="P53" s="16">
        <f t="shared" si="2"/>
        <v>0.008921459296</v>
      </c>
      <c r="Q53" s="16">
        <f>IFERROR(__xludf.DUMMYFUNCTION("IF(OR(ISBLANK($G53), IFERROR(INDEX(GOOGLEFINANCE($C53, ""price"", WORKDAY(INT($B53), 1)), 2, 2), """")=""""), """", IF($D53=""LONG"", (IFERROR(INDEX(GOOGLEFINANCE($C53, ""price"", WORKDAY(INT($B53), 1)), 2, 2), """")-$G53)/$G53, ($G53-IFERROR(INDEX(GOOGLE"&amp;"FINANCE($C53, ""price"", WORKDAY(INT($B53), 1)), 2, 2), """"))/$G53))"),0.008921459295841885)</f>
        <v>0.008921459296</v>
      </c>
      <c r="R53" s="16" t="str">
        <f>IFERROR(__xludf.DUMMYFUNCTION("IF(OR(ISBLANK($G53), IFERROR(INDEX(GOOGLEFINANCE($C53, ""price"", WORKDAY(INT($B53), 5)), 2, 2), """")=""""), """", IF($D53=""LONG"", (IFERROR(INDEX(GOOGLEFINANCE($C53, ""price"", WORKDAY(INT($B53), 5)), 2, 2), """")-$G53)/$G53, ($G53-IFERROR(INDEX(GOOGLE"&amp;"FINANCE($C53, ""price"", WORKDAY(INT($B53), 5)), 2, 2), """"))/$G53))"),"")</f>
        <v/>
      </c>
      <c r="S53" s="16" t="str">
        <f>IFERROR(__xludf.DUMMYFUNCTION("IF(OR(ISBLANK($G53), IFERROR(INDEX(GOOGLEFINANCE($C53, ""price"", WORKDAY(INT($B53), 20)), 2, 2), """")=""""), """", IF($D53=""LONG"", (IFERROR(INDEX(GOOGLEFINANCE($C53, ""price"", WORKDAY(INT($B53), 20)), 2, 2), """")-$G53)/$G53, ($G53-IFERROR(INDEX(GOOG"&amp;"LEFINANCE($C53, ""price"", WORKDAY(INT($B53), 20)), 2, 2), """"))/$G53))"),"")</f>
        <v/>
      </c>
      <c r="T53" s="10" t="s">
        <v>6316</v>
      </c>
      <c r="U53" s="10" t="s">
        <v>240</v>
      </c>
      <c r="V53" s="10" t="s">
        <v>6317</v>
      </c>
      <c r="W53" s="10" t="s">
        <v>51</v>
      </c>
      <c r="X53" s="10" t="s">
        <v>1905</v>
      </c>
    </row>
    <row r="54">
      <c r="A54" s="9">
        <f t="shared" si="1"/>
        <v>53</v>
      </c>
      <c r="B54" s="11">
        <v>46239.66763888889</v>
      </c>
      <c r="C54" s="10" t="s">
        <v>3828</v>
      </c>
      <c r="D54" s="10" t="s">
        <v>36</v>
      </c>
      <c r="E54" s="10" t="s">
        <v>37</v>
      </c>
      <c r="F54" s="13">
        <v>2.0</v>
      </c>
      <c r="G54" s="14">
        <v>154.3</v>
      </c>
      <c r="H54" s="10" t="s">
        <v>2444</v>
      </c>
      <c r="I54" s="10">
        <v>97.6</v>
      </c>
      <c r="O54" s="15">
        <f>IFERROR(__xludf.DUMMYFUNCTION("IF(ISBLANK($C54), """", GOOGLEFINANCE($C54, ""price""))"),156.94)</f>
        <v>156.94</v>
      </c>
      <c r="P54" s="16">
        <f t="shared" si="2"/>
        <v>0.0171095269</v>
      </c>
      <c r="Q54" s="16">
        <f>IFERROR(__xludf.DUMMYFUNCTION("IF(OR(ISBLANK($G54), IFERROR(INDEX(GOOGLEFINANCE($C54, ""price"", WORKDAY(INT($B54), 1)), 2, 2), """")=""""), """", IF($D54=""LONG"", (IFERROR(INDEX(GOOGLEFINANCE($C54, ""price"", WORKDAY(INT($B54), 1)), 2, 2), """")-$G54)/$G54, ($G54-IFERROR(INDEX(GOOGLE"&amp;"FINANCE($C54, ""price"", WORKDAY(INT($B54), 1)), 2, 2), """"))/$G54))"),0.017498379779649957)</f>
        <v>0.01749837978</v>
      </c>
      <c r="R54" s="16" t="str">
        <f>IFERROR(__xludf.DUMMYFUNCTION("IF(OR(ISBLANK($G54), IFERROR(INDEX(GOOGLEFINANCE($C54, ""price"", WORKDAY(INT($B54), 5)), 2, 2), """")=""""), """", IF($D54=""LONG"", (IFERROR(INDEX(GOOGLEFINANCE($C54, ""price"", WORKDAY(INT($B54), 5)), 2, 2), """")-$G54)/$G54, ($G54-IFERROR(INDEX(GOOGLE"&amp;"FINANCE($C54, ""price"", WORKDAY(INT($B54), 5)), 2, 2), """"))/$G54))"),"")</f>
        <v/>
      </c>
      <c r="S54" s="16" t="str">
        <f>IFERROR(__xludf.DUMMYFUNCTION("IF(OR(ISBLANK($G54), IFERROR(INDEX(GOOGLEFINANCE($C54, ""price"", WORKDAY(INT($B54), 20)), 2, 2), """")=""""), """", IF($D54=""LONG"", (IFERROR(INDEX(GOOGLEFINANCE($C54, ""price"", WORKDAY(INT($B54), 20)), 2, 2), """")-$G54)/$G54, ($G54-IFERROR(INDEX(GOOG"&amp;"LEFINANCE($C54, ""price"", WORKDAY(INT($B54), 20)), 2, 2), """"))/$G54))"),"")</f>
        <v/>
      </c>
      <c r="T54" s="10" t="s">
        <v>6318</v>
      </c>
      <c r="U54" s="10" t="s">
        <v>722</v>
      </c>
      <c r="V54" s="10" t="s">
        <v>6319</v>
      </c>
      <c r="W54" s="10" t="s">
        <v>51</v>
      </c>
      <c r="X54" s="10" t="s">
        <v>3433</v>
      </c>
    </row>
    <row r="55">
      <c r="A55" s="9">
        <f t="shared" si="1"/>
        <v>54</v>
      </c>
      <c r="B55" s="11">
        <v>46239.667650462965</v>
      </c>
      <c r="C55" s="10" t="s">
        <v>145</v>
      </c>
      <c r="D55" s="10" t="s">
        <v>36</v>
      </c>
      <c r="E55" s="10" t="s">
        <v>37</v>
      </c>
      <c r="F55" s="13">
        <v>2.0</v>
      </c>
      <c r="G55" s="14">
        <v>612.12</v>
      </c>
      <c r="H55" s="10" t="s">
        <v>6320</v>
      </c>
      <c r="I55" s="10">
        <v>92.8</v>
      </c>
      <c r="O55" s="15">
        <f>IFERROR(__xludf.DUMMYFUNCTION("IF(ISBLANK($C55), """", GOOGLEFINANCE($C55, ""price""))"),614.84)</f>
        <v>614.84</v>
      </c>
      <c r="P55" s="16">
        <f t="shared" si="2"/>
        <v>0.004443573156</v>
      </c>
      <c r="Q55" s="16">
        <f>IFERROR(__xludf.DUMMYFUNCTION("IF(OR(ISBLANK($G55), IFERROR(INDEX(GOOGLEFINANCE($C55, ""price"", WORKDAY(INT($B55), 1)), 2, 2), """")=""""), """", IF($D55=""LONG"", (IFERROR(INDEX(GOOGLEFINANCE($C55, ""price"", WORKDAY(INT($B55), 1)), 2, 2), """")-$G55)/$G55, ($G55-IFERROR(INDEX(GOOGLE"&amp;"FINANCE($C55, ""price"", WORKDAY(INT($B55), 1)), 2, 2), """"))/$G55))"),0.004443573155590451)</f>
        <v>0.004443573156</v>
      </c>
      <c r="R55" s="16" t="str">
        <f>IFERROR(__xludf.DUMMYFUNCTION("IF(OR(ISBLANK($G55), IFERROR(INDEX(GOOGLEFINANCE($C55, ""price"", WORKDAY(INT($B55), 5)), 2, 2), """")=""""), """", IF($D55=""LONG"", (IFERROR(INDEX(GOOGLEFINANCE($C55, ""price"", WORKDAY(INT($B55), 5)), 2, 2), """")-$G55)/$G55, ($G55-IFERROR(INDEX(GOOGLE"&amp;"FINANCE($C55, ""price"", WORKDAY(INT($B55), 5)), 2, 2), """"))/$G55))"),"")</f>
        <v/>
      </c>
      <c r="S55" s="16" t="str">
        <f>IFERROR(__xludf.DUMMYFUNCTION("IF(OR(ISBLANK($G55), IFERROR(INDEX(GOOGLEFINANCE($C55, ""price"", WORKDAY(INT($B55), 20)), 2, 2), """")=""""), """", IF($D55=""LONG"", (IFERROR(INDEX(GOOGLEFINANCE($C55, ""price"", WORKDAY(INT($B55), 20)), 2, 2), """")-$G55)/$G55, ($G55-IFERROR(INDEX(GOOG"&amp;"LEFINANCE($C55, ""price"", WORKDAY(INT($B55), 20)), 2, 2), """"))/$G55))"),"")</f>
        <v/>
      </c>
      <c r="T55" s="10" t="s">
        <v>6321</v>
      </c>
      <c r="U55" s="10" t="s">
        <v>615</v>
      </c>
      <c r="V55" s="10" t="s">
        <v>6322</v>
      </c>
      <c r="W55" s="10" t="s">
        <v>51</v>
      </c>
      <c r="X55" s="10" t="s">
        <v>2637</v>
      </c>
    </row>
    <row r="56">
      <c r="A56" s="9">
        <f t="shared" si="1"/>
        <v>55</v>
      </c>
      <c r="B56" s="11">
        <v>46239.66758101852</v>
      </c>
      <c r="C56" s="10" t="s">
        <v>600</v>
      </c>
      <c r="D56" s="10" t="s">
        <v>36</v>
      </c>
      <c r="E56" s="10" t="s">
        <v>87</v>
      </c>
      <c r="F56" s="13">
        <v>2.0</v>
      </c>
      <c r="G56" s="14">
        <v>260.69</v>
      </c>
      <c r="H56" s="10" t="s">
        <v>6323</v>
      </c>
      <c r="I56" s="10">
        <v>47.2</v>
      </c>
      <c r="O56" s="15">
        <f>IFERROR(__xludf.DUMMYFUNCTION("IF(ISBLANK($C56), """", GOOGLEFINANCE($C56, ""price""))"),265.51)</f>
        <v>265.51</v>
      </c>
      <c r="P56" s="16">
        <f t="shared" si="2"/>
        <v>0.01848939353</v>
      </c>
      <c r="Q56" s="16">
        <f>IFERROR(__xludf.DUMMYFUNCTION("IF(OR(ISBLANK($G56), IFERROR(INDEX(GOOGLEFINANCE($C56, ""price"", WORKDAY(INT($B56), 1)), 2, 2), """")=""""), """", IF($D56=""LONG"", (IFERROR(INDEX(GOOGLEFINANCE($C56, ""price"", WORKDAY(INT($B56), 1)), 2, 2), """")-$G56)/$G56, ($G56-IFERROR(INDEX(GOOGLE"&amp;"FINANCE($C56, ""price"", WORKDAY(INT($B56), 1)), 2, 2), """"))/$G56))"),0.01848939353254821)</f>
        <v>0.01848939353</v>
      </c>
      <c r="R56" s="16" t="str">
        <f>IFERROR(__xludf.DUMMYFUNCTION("IF(OR(ISBLANK($G56), IFERROR(INDEX(GOOGLEFINANCE($C56, ""price"", WORKDAY(INT($B56), 5)), 2, 2), """")=""""), """", IF($D56=""LONG"", (IFERROR(INDEX(GOOGLEFINANCE($C56, ""price"", WORKDAY(INT($B56), 5)), 2, 2), """")-$G56)/$G56, ($G56-IFERROR(INDEX(GOOGLE"&amp;"FINANCE($C56, ""price"", WORKDAY(INT($B56), 5)), 2, 2), """"))/$G56))"),"")</f>
        <v/>
      </c>
      <c r="S56" s="16" t="str">
        <f>IFERROR(__xludf.DUMMYFUNCTION("IF(OR(ISBLANK($G56), IFERROR(INDEX(GOOGLEFINANCE($C56, ""price"", WORKDAY(INT($B56), 20)), 2, 2), """")=""""), """", IF($D56=""LONG"", (IFERROR(INDEX(GOOGLEFINANCE($C56, ""price"", WORKDAY(INT($B56), 20)), 2, 2), """")-$G56)/$G56, ($G56-IFERROR(INDEX(GOOG"&amp;"LEFINANCE($C56, ""price"", WORKDAY(INT($B56), 20)), 2, 2), """"))/$G56))"),"")</f>
        <v/>
      </c>
      <c r="T56" s="10" t="s">
        <v>6324</v>
      </c>
      <c r="U56" s="10" t="s">
        <v>240</v>
      </c>
      <c r="V56" s="10" t="s">
        <v>6325</v>
      </c>
      <c r="W56" s="10" t="s">
        <v>51</v>
      </c>
      <c r="X56" s="10" t="s">
        <v>1905</v>
      </c>
    </row>
    <row r="57">
      <c r="A57" s="9">
        <f t="shared" si="1"/>
        <v>56</v>
      </c>
      <c r="B57" s="11">
        <v>46239.667662037034</v>
      </c>
      <c r="C57" s="10" t="s">
        <v>248</v>
      </c>
      <c r="D57" s="10" t="s">
        <v>36</v>
      </c>
      <c r="E57" s="10" t="s">
        <v>37</v>
      </c>
      <c r="F57" s="13">
        <v>2.0</v>
      </c>
      <c r="G57" s="14">
        <v>73.6</v>
      </c>
      <c r="H57" s="10" t="s">
        <v>6326</v>
      </c>
      <c r="I57" s="10">
        <v>82.0</v>
      </c>
      <c r="O57" s="15">
        <f>IFERROR(__xludf.DUMMYFUNCTION("IF(ISBLANK($C57), """", GOOGLEFINANCE($C57, ""price""))"),72.43)</f>
        <v>72.43</v>
      </c>
      <c r="P57" s="16">
        <f t="shared" si="2"/>
        <v>-0.01589673913</v>
      </c>
      <c r="Q57" s="16">
        <f>IFERROR(__xludf.DUMMYFUNCTION("IF(OR(ISBLANK($G57), IFERROR(INDEX(GOOGLEFINANCE($C57, ""price"", WORKDAY(INT($B57), 1)), 2, 2), """")=""""), """", IF($D57=""LONG"", (IFERROR(INDEX(GOOGLEFINANCE($C57, ""price"", WORKDAY(INT($B57), 1)), 2, 2), """")-$G57)/$G57, ($G57-IFERROR(INDEX(GOOGLE"&amp;"FINANCE($C57, ""price"", WORKDAY(INT($B57), 1)), 2, 2), """"))/$G57))"),-0.015896739130434615)</f>
        <v>-0.01589673913</v>
      </c>
      <c r="R57" s="16" t="str">
        <f>IFERROR(__xludf.DUMMYFUNCTION("IF(OR(ISBLANK($G57), IFERROR(INDEX(GOOGLEFINANCE($C57, ""price"", WORKDAY(INT($B57), 5)), 2, 2), """")=""""), """", IF($D57=""LONG"", (IFERROR(INDEX(GOOGLEFINANCE($C57, ""price"", WORKDAY(INT($B57), 5)), 2, 2), """")-$G57)/$G57, ($G57-IFERROR(INDEX(GOOGLE"&amp;"FINANCE($C57, ""price"", WORKDAY(INT($B57), 5)), 2, 2), """"))/$G57))"),"")</f>
        <v/>
      </c>
      <c r="S57" s="16" t="str">
        <f>IFERROR(__xludf.DUMMYFUNCTION("IF(OR(ISBLANK($G57), IFERROR(INDEX(GOOGLEFINANCE($C57, ""price"", WORKDAY(INT($B57), 20)), 2, 2), """")=""""), """", IF($D57=""LONG"", (IFERROR(INDEX(GOOGLEFINANCE($C57, ""price"", WORKDAY(INT($B57), 20)), 2, 2), """")-$G57)/$G57, ($G57-IFERROR(INDEX(GOOG"&amp;"LEFINANCE($C57, ""price"", WORKDAY(INT($B57), 20)), 2, 2), """"))/$G57))"),"")</f>
        <v/>
      </c>
      <c r="T57" s="10" t="s">
        <v>6327</v>
      </c>
      <c r="U57" s="10" t="s">
        <v>984</v>
      </c>
      <c r="V57" s="10" t="s">
        <v>5881</v>
      </c>
      <c r="W57" s="10" t="s">
        <v>51</v>
      </c>
      <c r="X57" s="10" t="s">
        <v>984</v>
      </c>
    </row>
    <row r="58">
      <c r="A58" s="9">
        <f t="shared" si="1"/>
        <v>57</v>
      </c>
      <c r="B58" s="11">
        <v>46239.66762731481</v>
      </c>
      <c r="C58" s="10" t="s">
        <v>66</v>
      </c>
      <c r="D58" s="10" t="s">
        <v>36</v>
      </c>
      <c r="E58" s="10" t="s">
        <v>87</v>
      </c>
      <c r="F58" s="13">
        <v>2.0</v>
      </c>
      <c r="G58" s="14">
        <v>301.3</v>
      </c>
      <c r="H58" s="10" t="s">
        <v>6328</v>
      </c>
      <c r="I58" s="10">
        <v>28.1</v>
      </c>
      <c r="O58" s="15">
        <f>IFERROR(__xludf.DUMMYFUNCTION("IF(ISBLANK($C58), """", GOOGLEFINANCE($C58, ""price""))"),296.4)</f>
        <v>296.4</v>
      </c>
      <c r="P58" s="16">
        <f t="shared" si="2"/>
        <v>-0.01626286094</v>
      </c>
      <c r="Q58" s="16">
        <f>IFERROR(__xludf.DUMMYFUNCTION("IF(OR(ISBLANK($G58), IFERROR(INDEX(GOOGLEFINANCE($C58, ""price"", WORKDAY(INT($B58), 1)), 2, 2), """")=""""), """", IF($D58=""LONG"", (IFERROR(INDEX(GOOGLEFINANCE($C58, ""price"", WORKDAY(INT($B58), 1)), 2, 2), """")-$G58)/$G58, ($G58-IFERROR(INDEX(GOOGLE"&amp;"FINANCE($C58, ""price"", WORKDAY(INT($B58), 1)), 2, 2), """"))/$G58))"),-0.016262860935944354)</f>
        <v>-0.01626286094</v>
      </c>
      <c r="R58" s="16" t="str">
        <f>IFERROR(__xludf.DUMMYFUNCTION("IF(OR(ISBLANK($G58), IFERROR(INDEX(GOOGLEFINANCE($C58, ""price"", WORKDAY(INT($B58), 5)), 2, 2), """")=""""), """", IF($D58=""LONG"", (IFERROR(INDEX(GOOGLEFINANCE($C58, ""price"", WORKDAY(INT($B58), 5)), 2, 2), """")-$G58)/$G58, ($G58-IFERROR(INDEX(GOOGLE"&amp;"FINANCE($C58, ""price"", WORKDAY(INT($B58), 5)), 2, 2), """"))/$G58))"),"")</f>
        <v/>
      </c>
      <c r="S58" s="16" t="str">
        <f>IFERROR(__xludf.DUMMYFUNCTION("IF(OR(ISBLANK($G58), IFERROR(INDEX(GOOGLEFINANCE($C58, ""price"", WORKDAY(INT($B58), 20)), 2, 2), """")=""""), """", IF($D58=""LONG"", (IFERROR(INDEX(GOOGLEFINANCE($C58, ""price"", WORKDAY(INT($B58), 20)), 2, 2), """")-$G58)/$G58, ($G58-IFERROR(INDEX(GOOG"&amp;"LEFINANCE($C58, ""price"", WORKDAY(INT($B58), 20)), 2, 2), """"))/$G58))"),"")</f>
        <v/>
      </c>
      <c r="T58" s="10" t="s">
        <v>6329</v>
      </c>
      <c r="U58" s="10" t="s">
        <v>615</v>
      </c>
      <c r="V58" s="10" t="s">
        <v>6330</v>
      </c>
      <c r="W58" s="10" t="s">
        <v>51</v>
      </c>
      <c r="X58" s="10" t="s">
        <v>2637</v>
      </c>
    </row>
    <row r="59">
      <c r="A59" s="9">
        <f t="shared" si="1"/>
        <v>58</v>
      </c>
      <c r="B59" s="11">
        <v>46239.66767361111</v>
      </c>
      <c r="C59" s="10" t="s">
        <v>6331</v>
      </c>
      <c r="D59" s="10" t="s">
        <v>36</v>
      </c>
      <c r="E59" s="10" t="s">
        <v>37</v>
      </c>
      <c r="F59" s="13">
        <v>2.0</v>
      </c>
      <c r="G59" s="14">
        <v>28.41</v>
      </c>
      <c r="H59" s="10" t="s">
        <v>6332</v>
      </c>
      <c r="I59" s="10">
        <v>95.1</v>
      </c>
      <c r="O59" s="15">
        <f>IFERROR(__xludf.DUMMYFUNCTION("IF(ISBLANK($C59), """", GOOGLEFINANCE($C59, ""price""))"),28.27)</f>
        <v>28.27</v>
      </c>
      <c r="P59" s="16">
        <f t="shared" si="2"/>
        <v>-0.004927842309</v>
      </c>
      <c r="Q59" s="16">
        <f>IFERROR(__xludf.DUMMYFUNCTION("IF(OR(ISBLANK($G59), IFERROR(INDEX(GOOGLEFINANCE($C59, ""price"", WORKDAY(INT($B59), 1)), 2, 2), """")=""""), """", IF($D59=""LONG"", (IFERROR(INDEX(GOOGLEFINANCE($C59, ""price"", WORKDAY(INT($B59), 1)), 2, 2), """")-$G59)/$G59, ($G59-IFERROR(INDEX(GOOGLE"&amp;"FINANCE($C59, ""price"", WORKDAY(INT($B59), 1)), 2, 2), """"))/$G59))"),-0.004927842309046131)</f>
        <v>-0.004927842309</v>
      </c>
      <c r="R59" s="16" t="str">
        <f>IFERROR(__xludf.DUMMYFUNCTION("IF(OR(ISBLANK($G59), IFERROR(INDEX(GOOGLEFINANCE($C59, ""price"", WORKDAY(INT($B59), 5)), 2, 2), """")=""""), """", IF($D59=""LONG"", (IFERROR(INDEX(GOOGLEFINANCE($C59, ""price"", WORKDAY(INT($B59), 5)), 2, 2), """")-$G59)/$G59, ($G59-IFERROR(INDEX(GOOGLE"&amp;"FINANCE($C59, ""price"", WORKDAY(INT($B59), 5)), 2, 2), """"))/$G59))"),"")</f>
        <v/>
      </c>
      <c r="S59" s="16" t="str">
        <f>IFERROR(__xludf.DUMMYFUNCTION("IF(OR(ISBLANK($G59), IFERROR(INDEX(GOOGLEFINANCE($C59, ""price"", WORKDAY(INT($B59), 20)), 2, 2), """")=""""), """", IF($D59=""LONG"", (IFERROR(INDEX(GOOGLEFINANCE($C59, ""price"", WORKDAY(INT($B59), 20)), 2, 2), """")-$G59)/$G59, ($G59-IFERROR(INDEX(GOOG"&amp;"LEFINANCE($C59, ""price"", WORKDAY(INT($B59), 20)), 2, 2), """"))/$G59))"),"")</f>
        <v/>
      </c>
      <c r="T59" s="10" t="s">
        <v>6333</v>
      </c>
      <c r="U59" s="10" t="s">
        <v>507</v>
      </c>
      <c r="V59" s="10" t="s">
        <v>6334</v>
      </c>
      <c r="W59" s="10" t="s">
        <v>51</v>
      </c>
      <c r="X59" s="10" t="s">
        <v>2228</v>
      </c>
    </row>
    <row r="60">
      <c r="A60" s="9">
        <f t="shared" si="1"/>
        <v>59</v>
      </c>
      <c r="B60" s="11">
        <v>46239.66762731481</v>
      </c>
      <c r="C60" s="10" t="s">
        <v>2156</v>
      </c>
      <c r="D60" s="10" t="s">
        <v>36</v>
      </c>
      <c r="E60" s="10" t="s">
        <v>37</v>
      </c>
      <c r="F60" s="13">
        <v>2.0</v>
      </c>
      <c r="G60" s="14">
        <v>94.58</v>
      </c>
      <c r="H60" s="10" t="s">
        <v>6335</v>
      </c>
      <c r="I60" s="10">
        <v>93.0</v>
      </c>
      <c r="O60" s="15">
        <f>IFERROR(__xludf.DUMMYFUNCTION("IF(ISBLANK($C60), """", GOOGLEFINANCE($C60, ""price""))"),94.7)</f>
        <v>94.7</v>
      </c>
      <c r="P60" s="16">
        <f t="shared" si="2"/>
        <v>0.001268767181</v>
      </c>
      <c r="Q60" s="16">
        <f>IFERROR(__xludf.DUMMYFUNCTION("IF(OR(ISBLANK($G60), IFERROR(INDEX(GOOGLEFINANCE($C60, ""price"", WORKDAY(INT($B60), 1)), 2, 2), """")=""""), """", IF($D60=""LONG"", (IFERROR(INDEX(GOOGLEFINANCE($C60, ""price"", WORKDAY(INT($B60), 1)), 2, 2), """")-$G60)/$G60, ($G60-IFERROR(INDEX(GOOGLE"&amp;"FINANCE($C60, ""price"", WORKDAY(INT($B60), 1)), 2, 2), """"))/$G60))"),0.0012687671812222938)</f>
        <v>0.001268767181</v>
      </c>
      <c r="R60" s="16" t="str">
        <f>IFERROR(__xludf.DUMMYFUNCTION("IF(OR(ISBLANK($G60), IFERROR(INDEX(GOOGLEFINANCE($C60, ""price"", WORKDAY(INT($B60), 5)), 2, 2), """")=""""), """", IF($D60=""LONG"", (IFERROR(INDEX(GOOGLEFINANCE($C60, ""price"", WORKDAY(INT($B60), 5)), 2, 2), """")-$G60)/$G60, ($G60-IFERROR(INDEX(GOOGLE"&amp;"FINANCE($C60, ""price"", WORKDAY(INT($B60), 5)), 2, 2), """"))/$G60))"),"")</f>
        <v/>
      </c>
      <c r="S60" s="16" t="str">
        <f>IFERROR(__xludf.DUMMYFUNCTION("IF(OR(ISBLANK($G60), IFERROR(INDEX(GOOGLEFINANCE($C60, ""price"", WORKDAY(INT($B60), 20)), 2, 2), """")=""""), """", IF($D60=""LONG"", (IFERROR(INDEX(GOOGLEFINANCE($C60, ""price"", WORKDAY(INT($B60), 20)), 2, 2), """")-$G60)/$G60, ($G60-IFERROR(INDEX(GOOG"&amp;"LEFINANCE($C60, ""price"", WORKDAY(INT($B60), 20)), 2, 2), """"))/$G60))"),"")</f>
        <v/>
      </c>
      <c r="T60" s="10" t="s">
        <v>6336</v>
      </c>
      <c r="U60" s="10" t="s">
        <v>240</v>
      </c>
      <c r="V60" s="10" t="s">
        <v>6337</v>
      </c>
      <c r="W60" s="10" t="s">
        <v>51</v>
      </c>
      <c r="X60" s="10" t="s">
        <v>1905</v>
      </c>
    </row>
    <row r="61">
      <c r="A61" s="9">
        <f t="shared" si="1"/>
        <v>60</v>
      </c>
      <c r="B61" s="11">
        <v>46239.66768518519</v>
      </c>
      <c r="C61" s="10" t="s">
        <v>166</v>
      </c>
      <c r="D61" s="10" t="s">
        <v>36</v>
      </c>
      <c r="E61" s="10" t="s">
        <v>37</v>
      </c>
      <c r="F61" s="13">
        <v>2.0</v>
      </c>
      <c r="G61" s="14">
        <v>133.34</v>
      </c>
      <c r="H61" s="10" t="s">
        <v>6338</v>
      </c>
      <c r="I61" s="10">
        <v>93.5</v>
      </c>
      <c r="O61" s="15">
        <f>IFERROR(__xludf.DUMMYFUNCTION("IF(ISBLANK($C61), """", GOOGLEFINANCE($C61, ""price""))"),132.06)</f>
        <v>132.06</v>
      </c>
      <c r="P61" s="16">
        <f t="shared" si="2"/>
        <v>-0.009599520024</v>
      </c>
      <c r="Q61" s="16">
        <f>IFERROR(__xludf.DUMMYFUNCTION("IF(OR(ISBLANK($G61), IFERROR(INDEX(GOOGLEFINANCE($C61, ""price"", WORKDAY(INT($B61), 1)), 2, 2), """")=""""), """", IF($D61=""LONG"", (IFERROR(INDEX(GOOGLEFINANCE($C61, ""price"", WORKDAY(INT($B61), 1)), 2, 2), """")-$G61)/$G61, ($G61-IFERROR(INDEX(GOOGLE"&amp;"FINANCE($C61, ""price"", WORKDAY(INT($B61), 1)), 2, 2), """"))/$G61))"),-0.009599520023998808)</f>
        <v>-0.009599520024</v>
      </c>
      <c r="R61" s="16" t="str">
        <f>IFERROR(__xludf.DUMMYFUNCTION("IF(OR(ISBLANK($G61), IFERROR(INDEX(GOOGLEFINANCE($C61, ""price"", WORKDAY(INT($B61), 5)), 2, 2), """")=""""), """", IF($D61=""LONG"", (IFERROR(INDEX(GOOGLEFINANCE($C61, ""price"", WORKDAY(INT($B61), 5)), 2, 2), """")-$G61)/$G61, ($G61-IFERROR(INDEX(GOOGLE"&amp;"FINANCE($C61, ""price"", WORKDAY(INT($B61), 5)), 2, 2), """"))/$G61))"),"")</f>
        <v/>
      </c>
      <c r="S61" s="16" t="str">
        <f>IFERROR(__xludf.DUMMYFUNCTION("IF(OR(ISBLANK($G61), IFERROR(INDEX(GOOGLEFINANCE($C61, ""price"", WORKDAY(INT($B61), 20)), 2, 2), """")=""""), """", IF($D61=""LONG"", (IFERROR(INDEX(GOOGLEFINANCE($C61, ""price"", WORKDAY(INT($B61), 20)), 2, 2), """")-$G61)/$G61, ($G61-IFERROR(INDEX(GOOG"&amp;"LEFINANCE($C61, ""price"", WORKDAY(INT($B61), 20)), 2, 2), """"))/$G61))"),"")</f>
        <v/>
      </c>
      <c r="T61" s="10" t="s">
        <v>6339</v>
      </c>
      <c r="U61" s="10" t="s">
        <v>984</v>
      </c>
      <c r="V61" s="10" t="s">
        <v>5881</v>
      </c>
      <c r="W61" s="10" t="s">
        <v>51</v>
      </c>
      <c r="X61" s="10" t="s">
        <v>984</v>
      </c>
    </row>
    <row r="62">
      <c r="A62" s="9">
        <f t="shared" si="1"/>
        <v>61</v>
      </c>
      <c r="B62" s="11">
        <v>46239.667650462965</v>
      </c>
      <c r="C62" s="10" t="s">
        <v>69</v>
      </c>
      <c r="D62" s="10" t="s">
        <v>36</v>
      </c>
      <c r="E62" s="10" t="s">
        <v>37</v>
      </c>
      <c r="F62" s="13">
        <v>2.0</v>
      </c>
      <c r="G62" s="14">
        <v>257.57</v>
      </c>
      <c r="H62" s="10" t="s">
        <v>6340</v>
      </c>
      <c r="I62" s="10">
        <v>91.4</v>
      </c>
      <c r="O62" s="15">
        <f>IFERROR(__xludf.DUMMYFUNCTION("IF(ISBLANK($C62), """", GOOGLEFINANCE($C62, ""price""))"),256.98)</f>
        <v>256.98</v>
      </c>
      <c r="P62" s="16">
        <f t="shared" si="2"/>
        <v>-0.002290639438</v>
      </c>
      <c r="Q62" s="16">
        <f>IFERROR(__xludf.DUMMYFUNCTION("IF(OR(ISBLANK($G62), IFERROR(INDEX(GOOGLEFINANCE($C62, ""price"", WORKDAY(INT($B62), 1)), 2, 2), """")=""""), """", IF($D62=""LONG"", (IFERROR(INDEX(GOOGLEFINANCE($C62, ""price"", WORKDAY(INT($B62), 1)), 2, 2), """")-$G62)/$G62, ($G62-IFERROR(INDEX(GOOGLE"&amp;"FINANCE($C62, ""price"", WORKDAY(INT($B62), 1)), 2, 2), """"))/$G62))"),-0.0022906394378226307)</f>
        <v>-0.002290639438</v>
      </c>
      <c r="R62" s="16" t="str">
        <f>IFERROR(__xludf.DUMMYFUNCTION("IF(OR(ISBLANK($G62), IFERROR(INDEX(GOOGLEFINANCE($C62, ""price"", WORKDAY(INT($B62), 5)), 2, 2), """")=""""), """", IF($D62=""LONG"", (IFERROR(INDEX(GOOGLEFINANCE($C62, ""price"", WORKDAY(INT($B62), 5)), 2, 2), """")-$G62)/$G62, ($G62-IFERROR(INDEX(GOOGLE"&amp;"FINANCE($C62, ""price"", WORKDAY(INT($B62), 5)), 2, 2), """"))/$G62))"),"")</f>
        <v/>
      </c>
      <c r="S62" s="16" t="str">
        <f>IFERROR(__xludf.DUMMYFUNCTION("IF(OR(ISBLANK($G62), IFERROR(INDEX(GOOGLEFINANCE($C62, ""price"", WORKDAY(INT($B62), 20)), 2, 2), """")=""""), """", IF($D62=""LONG"", (IFERROR(INDEX(GOOGLEFINANCE($C62, ""price"", WORKDAY(INT($B62), 20)), 2, 2), """")-$G62)/$G62, ($G62-IFERROR(INDEX(GOOG"&amp;"LEFINANCE($C62, ""price"", WORKDAY(INT($B62), 20)), 2, 2), """"))/$G62))"),"")</f>
        <v/>
      </c>
      <c r="T62" s="10" t="s">
        <v>6341</v>
      </c>
      <c r="U62" s="10" t="s">
        <v>984</v>
      </c>
      <c r="V62" s="10" t="s">
        <v>5881</v>
      </c>
      <c r="W62" s="10" t="s">
        <v>51</v>
      </c>
      <c r="X62" s="10" t="s">
        <v>984</v>
      </c>
    </row>
    <row r="63">
      <c r="A63" s="9">
        <f t="shared" si="1"/>
        <v>62</v>
      </c>
      <c r="B63" s="11">
        <v>46239.667662037034</v>
      </c>
      <c r="C63" s="10" t="s">
        <v>1672</v>
      </c>
      <c r="D63" s="10" t="s">
        <v>36</v>
      </c>
      <c r="E63" s="10" t="s">
        <v>37</v>
      </c>
      <c r="F63" s="13">
        <v>2.0</v>
      </c>
      <c r="G63" s="14">
        <v>99.08</v>
      </c>
      <c r="H63" s="10" t="s">
        <v>6342</v>
      </c>
      <c r="I63" s="10">
        <v>91.6</v>
      </c>
      <c r="O63" s="15">
        <f>IFERROR(__xludf.DUMMYFUNCTION("IF(ISBLANK($C63), """", GOOGLEFINANCE($C63, ""price""))"),99.29)</f>
        <v>99.29</v>
      </c>
      <c r="P63" s="16">
        <f t="shared" si="2"/>
        <v>0.002119499394</v>
      </c>
      <c r="Q63" s="16">
        <f>IFERROR(__xludf.DUMMYFUNCTION("IF(OR(ISBLANK($G63), IFERROR(INDEX(GOOGLEFINANCE($C63, ""price"", WORKDAY(INT($B63), 1)), 2, 2), """")=""""), """", IF($D63=""LONG"", (IFERROR(INDEX(GOOGLEFINANCE($C63, ""price"", WORKDAY(INT($B63), 1)), 2, 2), """")-$G63)/$G63, ($G63-IFERROR(INDEX(GOOGLE"&amp;"FINANCE($C63, ""price"", WORKDAY(INT($B63), 1)), 2, 2), """"))/$G63))"),0.0021194993944288246)</f>
        <v>0.002119499394</v>
      </c>
      <c r="R63" s="16" t="str">
        <f>IFERROR(__xludf.DUMMYFUNCTION("IF(OR(ISBLANK($G63), IFERROR(INDEX(GOOGLEFINANCE($C63, ""price"", WORKDAY(INT($B63), 5)), 2, 2), """")=""""), """", IF($D63=""LONG"", (IFERROR(INDEX(GOOGLEFINANCE($C63, ""price"", WORKDAY(INT($B63), 5)), 2, 2), """")-$G63)/$G63, ($G63-IFERROR(INDEX(GOOGLE"&amp;"FINANCE($C63, ""price"", WORKDAY(INT($B63), 5)), 2, 2), """"))/$G63))"),"")</f>
        <v/>
      </c>
      <c r="S63" s="16" t="str">
        <f>IFERROR(__xludf.DUMMYFUNCTION("IF(OR(ISBLANK($G63), IFERROR(INDEX(GOOGLEFINANCE($C63, ""price"", WORKDAY(INT($B63), 20)), 2, 2), """")=""""), """", IF($D63=""LONG"", (IFERROR(INDEX(GOOGLEFINANCE($C63, ""price"", WORKDAY(INT($B63), 20)), 2, 2), """")-$G63)/$G63, ($G63-IFERROR(INDEX(GOOG"&amp;"LEFINANCE($C63, ""price"", WORKDAY(INT($B63), 20)), 2, 2), """"))/$G63))"),"")</f>
        <v/>
      </c>
      <c r="T63" s="10" t="s">
        <v>6343</v>
      </c>
      <c r="U63" s="10" t="s">
        <v>240</v>
      </c>
      <c r="V63" s="10" t="s">
        <v>6344</v>
      </c>
      <c r="W63" s="10" t="s">
        <v>51</v>
      </c>
      <c r="X63" s="10" t="s">
        <v>1905</v>
      </c>
    </row>
    <row r="64">
      <c r="A64" s="9">
        <f t="shared" si="1"/>
        <v>63</v>
      </c>
      <c r="B64" s="11">
        <v>46239.66768518519</v>
      </c>
      <c r="C64" s="10" t="s">
        <v>5720</v>
      </c>
      <c r="D64" s="10" t="s">
        <v>36</v>
      </c>
      <c r="E64" s="10" t="s">
        <v>37</v>
      </c>
      <c r="F64" s="13">
        <v>2.0</v>
      </c>
      <c r="G64" s="14">
        <v>147.72</v>
      </c>
      <c r="H64" s="10" t="s">
        <v>6345</v>
      </c>
      <c r="I64" s="10">
        <v>92.0</v>
      </c>
      <c r="O64" s="15">
        <f>IFERROR(__xludf.DUMMYFUNCTION("IF(ISBLANK($C64), """", GOOGLEFINANCE($C64, ""price""))"),147.08)</f>
        <v>147.08</v>
      </c>
      <c r="P64" s="16">
        <f t="shared" si="2"/>
        <v>-0.004332520986</v>
      </c>
      <c r="Q64" s="16">
        <f>IFERROR(__xludf.DUMMYFUNCTION("IF(OR(ISBLANK($G64), IFERROR(INDEX(GOOGLEFINANCE($C64, ""price"", WORKDAY(INT($B64), 1)), 2, 2), """")=""""), """", IF($D64=""LONG"", (IFERROR(INDEX(GOOGLEFINANCE($C64, ""price"", WORKDAY(INT($B64), 1)), 2, 2), """")-$G64)/$G64, ($G64-IFERROR(INDEX(GOOGLE"&amp;"FINANCE($C64, ""price"", WORKDAY(INT($B64), 1)), 2, 2), """"))/$G64))"),-0.004332520985648432)</f>
        <v>-0.004332520986</v>
      </c>
      <c r="R64" s="16" t="str">
        <f>IFERROR(__xludf.DUMMYFUNCTION("IF(OR(ISBLANK($G64), IFERROR(INDEX(GOOGLEFINANCE($C64, ""price"", WORKDAY(INT($B64), 5)), 2, 2), """")=""""), """", IF($D64=""LONG"", (IFERROR(INDEX(GOOGLEFINANCE($C64, ""price"", WORKDAY(INT($B64), 5)), 2, 2), """")-$G64)/$G64, ($G64-IFERROR(INDEX(GOOGLE"&amp;"FINANCE($C64, ""price"", WORKDAY(INT($B64), 5)), 2, 2), """"))/$G64))"),"")</f>
        <v/>
      </c>
      <c r="S64" s="16" t="str">
        <f>IFERROR(__xludf.DUMMYFUNCTION("IF(OR(ISBLANK($G64), IFERROR(INDEX(GOOGLEFINANCE($C64, ""price"", WORKDAY(INT($B64), 20)), 2, 2), """")=""""), """", IF($D64=""LONG"", (IFERROR(INDEX(GOOGLEFINANCE($C64, ""price"", WORKDAY(INT($B64), 20)), 2, 2), """")-$G64)/$G64, ($G64-IFERROR(INDEX(GOOG"&amp;"LEFINANCE($C64, ""price"", WORKDAY(INT($B64), 20)), 2, 2), """"))/$G64))"),"")</f>
        <v/>
      </c>
      <c r="T64" s="10" t="s">
        <v>6346</v>
      </c>
      <c r="U64" s="10" t="s">
        <v>507</v>
      </c>
      <c r="V64" s="10" t="s">
        <v>6347</v>
      </c>
      <c r="W64" s="10" t="s">
        <v>51</v>
      </c>
      <c r="X64" s="10" t="s">
        <v>2228</v>
      </c>
    </row>
    <row r="65">
      <c r="A65" s="9">
        <f t="shared" si="1"/>
        <v>64</v>
      </c>
      <c r="B65" s="11">
        <v>46239.66769675926</v>
      </c>
      <c r="C65" s="10" t="s">
        <v>288</v>
      </c>
      <c r="D65" s="10" t="s">
        <v>36</v>
      </c>
      <c r="E65" s="10" t="s">
        <v>37</v>
      </c>
      <c r="F65" s="13">
        <v>2.0</v>
      </c>
      <c r="G65" s="14">
        <v>19.66</v>
      </c>
      <c r="H65" s="10" t="s">
        <v>6348</v>
      </c>
      <c r="I65" s="10">
        <v>88.5</v>
      </c>
      <c r="O65" s="15">
        <f>IFERROR(__xludf.DUMMYFUNCTION("IF(ISBLANK($C65), """", GOOGLEFINANCE($C65, ""price""))"),19.18)</f>
        <v>19.18</v>
      </c>
      <c r="P65" s="16">
        <f t="shared" si="2"/>
        <v>-0.02441505595</v>
      </c>
      <c r="Q65" s="16">
        <f>IFERROR(__xludf.DUMMYFUNCTION("IF(OR(ISBLANK($G65), IFERROR(INDEX(GOOGLEFINANCE($C65, ""price"", WORKDAY(INT($B65), 1)), 2, 2), """")=""""), """", IF($D65=""LONG"", (IFERROR(INDEX(GOOGLEFINANCE($C65, ""price"", WORKDAY(INT($B65), 1)), 2, 2), """")-$G65)/$G65, ($G65-IFERROR(INDEX(GOOGLE"&amp;"FINANCE($C65, ""price"", WORKDAY(INT($B65), 1)), 2, 2), """"))/$G65))"),-0.024415055951169908)</f>
        <v>-0.02441505595</v>
      </c>
      <c r="R65" s="16" t="str">
        <f>IFERROR(__xludf.DUMMYFUNCTION("IF(OR(ISBLANK($G65), IFERROR(INDEX(GOOGLEFINANCE($C65, ""price"", WORKDAY(INT($B65), 5)), 2, 2), """")=""""), """", IF($D65=""LONG"", (IFERROR(INDEX(GOOGLEFINANCE($C65, ""price"", WORKDAY(INT($B65), 5)), 2, 2), """")-$G65)/$G65, ($G65-IFERROR(INDEX(GOOGLE"&amp;"FINANCE($C65, ""price"", WORKDAY(INT($B65), 5)), 2, 2), """"))/$G65))"),"")</f>
        <v/>
      </c>
      <c r="S65" s="16" t="str">
        <f>IFERROR(__xludf.DUMMYFUNCTION("IF(OR(ISBLANK($G65), IFERROR(INDEX(GOOGLEFINANCE($C65, ""price"", WORKDAY(INT($B65), 20)), 2, 2), """")=""""), """", IF($D65=""LONG"", (IFERROR(INDEX(GOOGLEFINANCE($C65, ""price"", WORKDAY(INT($B65), 20)), 2, 2), """")-$G65)/$G65, ($G65-IFERROR(INDEX(GOOG"&amp;"LEFINANCE($C65, ""price"", WORKDAY(INT($B65), 20)), 2, 2), """"))/$G65))"),"")</f>
        <v/>
      </c>
      <c r="T65" s="10" t="s">
        <v>6349</v>
      </c>
      <c r="U65" s="10" t="s">
        <v>984</v>
      </c>
      <c r="V65" s="10" t="s">
        <v>5889</v>
      </c>
      <c r="W65" s="10" t="s">
        <v>51</v>
      </c>
      <c r="X65" s="10" t="s">
        <v>984</v>
      </c>
    </row>
    <row r="66">
      <c r="A66" s="9">
        <f t="shared" si="1"/>
        <v>65</v>
      </c>
      <c r="B66" s="11">
        <v>46239.667650462965</v>
      </c>
      <c r="C66" s="10" t="s">
        <v>4463</v>
      </c>
      <c r="D66" s="10" t="s">
        <v>36</v>
      </c>
      <c r="E66" s="10" t="s">
        <v>37</v>
      </c>
      <c r="F66" s="13">
        <v>2.0</v>
      </c>
      <c r="G66" s="14">
        <v>25.73</v>
      </c>
      <c r="H66" s="10" t="s">
        <v>6350</v>
      </c>
      <c r="I66" s="10">
        <v>95.2</v>
      </c>
      <c r="O66" s="15">
        <f>IFERROR(__xludf.DUMMYFUNCTION("IF(ISBLANK($C66), """", GOOGLEFINANCE($C66, ""price""))"),24.96)</f>
        <v>24.96</v>
      </c>
      <c r="P66" s="16">
        <f t="shared" si="2"/>
        <v>-0.02992615624</v>
      </c>
      <c r="Q66" s="16">
        <f>IFERROR(__xludf.DUMMYFUNCTION("IF(OR(ISBLANK($G66), IFERROR(INDEX(GOOGLEFINANCE($C66, ""price"", WORKDAY(INT($B66), 1)), 2, 2), """")=""""), """", IF($D66=""LONG"", (IFERROR(INDEX(GOOGLEFINANCE($C66, ""price"", WORKDAY(INT($B66), 1)), 2, 2), """")-$G66)/$G66, ($G66-IFERROR(INDEX(GOOGLE"&amp;"FINANCE($C66, ""price"", WORKDAY(INT($B66), 1)), 2, 2), """"))/$G66))"),-0.029926156237854627)</f>
        <v>-0.02992615624</v>
      </c>
      <c r="R66" s="16" t="str">
        <f>IFERROR(__xludf.DUMMYFUNCTION("IF(OR(ISBLANK($G66), IFERROR(INDEX(GOOGLEFINANCE($C66, ""price"", WORKDAY(INT($B66), 5)), 2, 2), """")=""""), """", IF($D66=""LONG"", (IFERROR(INDEX(GOOGLEFINANCE($C66, ""price"", WORKDAY(INT($B66), 5)), 2, 2), """")-$G66)/$G66, ($G66-IFERROR(INDEX(GOOGLE"&amp;"FINANCE($C66, ""price"", WORKDAY(INT($B66), 5)), 2, 2), """"))/$G66))"),"")</f>
        <v/>
      </c>
      <c r="S66" s="16" t="str">
        <f>IFERROR(__xludf.DUMMYFUNCTION("IF(OR(ISBLANK($G66), IFERROR(INDEX(GOOGLEFINANCE($C66, ""price"", WORKDAY(INT($B66), 20)), 2, 2), """")=""""), """", IF($D66=""LONG"", (IFERROR(INDEX(GOOGLEFINANCE($C66, ""price"", WORKDAY(INT($B66), 20)), 2, 2), """")-$G66)/$G66, ($G66-IFERROR(INDEX(GOOG"&amp;"LEFINANCE($C66, ""price"", WORKDAY(INT($B66), 20)), 2, 2), """"))/$G66))"),"")</f>
        <v/>
      </c>
      <c r="T66" s="10" t="s">
        <v>6351</v>
      </c>
      <c r="U66" s="10" t="s">
        <v>507</v>
      </c>
      <c r="V66" s="10" t="s">
        <v>6352</v>
      </c>
      <c r="W66" s="10" t="s">
        <v>51</v>
      </c>
      <c r="X66" s="10" t="s">
        <v>2228</v>
      </c>
    </row>
    <row r="67">
      <c r="A67" s="9">
        <f t="shared" si="1"/>
        <v>66</v>
      </c>
      <c r="B67" s="11">
        <v>46239.667650462965</v>
      </c>
      <c r="C67" s="10" t="s">
        <v>201</v>
      </c>
      <c r="D67" s="10" t="s">
        <v>36</v>
      </c>
      <c r="E67" s="10" t="s">
        <v>37</v>
      </c>
      <c r="F67" s="13">
        <v>2.0</v>
      </c>
      <c r="G67" s="14">
        <v>134.16</v>
      </c>
      <c r="H67" s="10" t="s">
        <v>6353</v>
      </c>
      <c r="I67" s="10">
        <v>96.4</v>
      </c>
      <c r="O67" s="15">
        <f>IFERROR(__xludf.DUMMYFUNCTION("IF(ISBLANK($C67), """", GOOGLEFINANCE($C67, ""price""))"),134.82)</f>
        <v>134.82</v>
      </c>
      <c r="P67" s="16">
        <f t="shared" si="2"/>
        <v>0.004919499106</v>
      </c>
      <c r="Q67" s="16">
        <f>IFERROR(__xludf.DUMMYFUNCTION("IF(OR(ISBLANK($G67), IFERROR(INDEX(GOOGLEFINANCE($C67, ""price"", WORKDAY(INT($B67), 1)), 2, 2), """")=""""), """", IF($D67=""LONG"", (IFERROR(INDEX(GOOGLEFINANCE($C67, ""price"", WORKDAY(INT($B67), 1)), 2, 2), """")-$G67)/$G67, ($G67-IFERROR(INDEX(GOOGLE"&amp;"FINANCE($C67, ""price"", WORKDAY(INT($B67), 1)), 2, 2), """"))/$G67))"),0.004919499105545592)</f>
        <v>0.004919499106</v>
      </c>
      <c r="R67" s="16" t="str">
        <f>IFERROR(__xludf.DUMMYFUNCTION("IF(OR(ISBLANK($G67), IFERROR(INDEX(GOOGLEFINANCE($C67, ""price"", WORKDAY(INT($B67), 5)), 2, 2), """")=""""), """", IF($D67=""LONG"", (IFERROR(INDEX(GOOGLEFINANCE($C67, ""price"", WORKDAY(INT($B67), 5)), 2, 2), """")-$G67)/$G67, ($G67-IFERROR(INDEX(GOOGLE"&amp;"FINANCE($C67, ""price"", WORKDAY(INT($B67), 5)), 2, 2), """"))/$G67))"),"")</f>
        <v/>
      </c>
      <c r="S67" s="16" t="str">
        <f>IFERROR(__xludf.DUMMYFUNCTION("IF(OR(ISBLANK($G67), IFERROR(INDEX(GOOGLEFINANCE($C67, ""price"", WORKDAY(INT($B67), 20)), 2, 2), """")=""""), """", IF($D67=""LONG"", (IFERROR(INDEX(GOOGLEFINANCE($C67, ""price"", WORKDAY(INT($B67), 20)), 2, 2), """")-$G67)/$G67, ($G67-IFERROR(INDEX(GOOG"&amp;"LEFINANCE($C67, ""price"", WORKDAY(INT($B67), 20)), 2, 2), """"))/$G67))"),"")</f>
        <v/>
      </c>
      <c r="T67" s="10" t="s">
        <v>6354</v>
      </c>
      <c r="U67" s="10" t="s">
        <v>240</v>
      </c>
      <c r="V67" s="10" t="s">
        <v>6355</v>
      </c>
      <c r="W67" s="10" t="s">
        <v>51</v>
      </c>
      <c r="X67" s="10" t="s">
        <v>1905</v>
      </c>
    </row>
    <row r="68">
      <c r="A68" s="9">
        <f t="shared" si="1"/>
        <v>67</v>
      </c>
      <c r="B68" s="11">
        <v>46239.66763888889</v>
      </c>
      <c r="C68" s="10" t="s">
        <v>3049</v>
      </c>
      <c r="D68" s="10" t="s">
        <v>36</v>
      </c>
      <c r="E68" s="10" t="s">
        <v>37</v>
      </c>
      <c r="F68" s="13">
        <v>2.0</v>
      </c>
      <c r="G68" s="14">
        <v>188.96</v>
      </c>
      <c r="H68" s="10" t="s">
        <v>6356</v>
      </c>
      <c r="I68" s="10">
        <v>81.9</v>
      </c>
      <c r="O68" s="15">
        <f>IFERROR(__xludf.DUMMYFUNCTION("IF(ISBLANK($C68), """", GOOGLEFINANCE($C68, ""price""))"),188.05)</f>
        <v>188.05</v>
      </c>
      <c r="P68" s="16">
        <f t="shared" si="2"/>
        <v>-0.004815834039</v>
      </c>
      <c r="Q68" s="16">
        <f>IFERROR(__xludf.DUMMYFUNCTION("IF(OR(ISBLANK($G68), IFERROR(INDEX(GOOGLEFINANCE($C68, ""price"", WORKDAY(INT($B68), 1)), 2, 2), """")=""""), """", IF($D68=""LONG"", (IFERROR(INDEX(GOOGLEFINANCE($C68, ""price"", WORKDAY(INT($B68), 1)), 2, 2), """")-$G68)/$G68, ($G68-IFERROR(INDEX(GOOGLE"&amp;"FINANCE($C68, ""price"", WORKDAY(INT($B68), 1)), 2, 2), """"))/$G68))"),-0.004815834038950024)</f>
        <v>-0.004815834039</v>
      </c>
      <c r="R68" s="16" t="str">
        <f>IFERROR(__xludf.DUMMYFUNCTION("IF(OR(ISBLANK($G68), IFERROR(INDEX(GOOGLEFINANCE($C68, ""price"", WORKDAY(INT($B68), 5)), 2, 2), """")=""""), """", IF($D68=""LONG"", (IFERROR(INDEX(GOOGLEFINANCE($C68, ""price"", WORKDAY(INT($B68), 5)), 2, 2), """")-$G68)/$G68, ($G68-IFERROR(INDEX(GOOGLE"&amp;"FINANCE($C68, ""price"", WORKDAY(INT($B68), 5)), 2, 2), """"))/$G68))"),"")</f>
        <v/>
      </c>
      <c r="S68" s="16" t="str">
        <f>IFERROR(__xludf.DUMMYFUNCTION("IF(OR(ISBLANK($G68), IFERROR(INDEX(GOOGLEFINANCE($C68, ""price"", WORKDAY(INT($B68), 20)), 2, 2), """")=""""), """", IF($D68=""LONG"", (IFERROR(INDEX(GOOGLEFINANCE($C68, ""price"", WORKDAY(INT($B68), 20)), 2, 2), """")-$G68)/$G68, ($G68-IFERROR(INDEX(GOOG"&amp;"LEFINANCE($C68, ""price"", WORKDAY(INT($B68), 20)), 2, 2), """"))/$G68))"),"")</f>
        <v/>
      </c>
      <c r="T68" s="10" t="s">
        <v>6357</v>
      </c>
      <c r="U68" s="10" t="s">
        <v>240</v>
      </c>
      <c r="V68" s="10" t="s">
        <v>6358</v>
      </c>
      <c r="W68" s="10" t="s">
        <v>51</v>
      </c>
      <c r="X68" s="10" t="s">
        <v>1905</v>
      </c>
    </row>
    <row r="69">
      <c r="A69" s="9">
        <f t="shared" si="1"/>
        <v>68</v>
      </c>
      <c r="B69" s="11">
        <v>46239.667719907404</v>
      </c>
      <c r="C69" s="10" t="s">
        <v>6359</v>
      </c>
      <c r="D69" s="10" t="s">
        <v>36</v>
      </c>
      <c r="E69" s="10" t="s">
        <v>87</v>
      </c>
      <c r="F69" s="13">
        <v>2.0</v>
      </c>
      <c r="G69" s="14">
        <v>103.63</v>
      </c>
      <c r="H69" s="10" t="s">
        <v>6360</v>
      </c>
      <c r="I69" s="10">
        <v>85.6</v>
      </c>
      <c r="O69" s="15">
        <f>IFERROR(__xludf.DUMMYFUNCTION("IF(ISBLANK($C69), """", GOOGLEFINANCE($C69, ""price""))"),103.36)</f>
        <v>103.36</v>
      </c>
      <c r="P69" s="16">
        <f t="shared" si="2"/>
        <v>-0.00260542314</v>
      </c>
      <c r="Q69" s="16">
        <f>IFERROR(__xludf.DUMMYFUNCTION("IF(OR(ISBLANK($G69), IFERROR(INDEX(GOOGLEFINANCE($C69, ""price"", WORKDAY(INT($B69), 1)), 2, 2), """")=""""), """", IF($D69=""LONG"", (IFERROR(INDEX(GOOGLEFINANCE($C69, ""price"", WORKDAY(INT($B69), 1)), 2, 2), """")-$G69)/$G69, ($G69-IFERROR(INDEX(GOOGLE"&amp;"FINANCE($C69, ""price"", WORKDAY(INT($B69), 1)), 2, 2), """"))/$G69))"),-0.002605423140017331)</f>
        <v>-0.00260542314</v>
      </c>
      <c r="R69" s="16" t="str">
        <f>IFERROR(__xludf.DUMMYFUNCTION("IF(OR(ISBLANK($G69), IFERROR(INDEX(GOOGLEFINANCE($C69, ""price"", WORKDAY(INT($B69), 5)), 2, 2), """")=""""), """", IF($D69=""LONG"", (IFERROR(INDEX(GOOGLEFINANCE($C69, ""price"", WORKDAY(INT($B69), 5)), 2, 2), """")-$G69)/$G69, ($G69-IFERROR(INDEX(GOOGLE"&amp;"FINANCE($C69, ""price"", WORKDAY(INT($B69), 5)), 2, 2), """"))/$G69))"),"")</f>
        <v/>
      </c>
      <c r="S69" s="16" t="str">
        <f>IFERROR(__xludf.DUMMYFUNCTION("IF(OR(ISBLANK($G69), IFERROR(INDEX(GOOGLEFINANCE($C69, ""price"", WORKDAY(INT($B69), 20)), 2, 2), """")=""""), """", IF($D69=""LONG"", (IFERROR(INDEX(GOOGLEFINANCE($C69, ""price"", WORKDAY(INT($B69), 20)), 2, 2), """")-$G69)/$G69, ($G69-IFERROR(INDEX(GOOG"&amp;"LEFINANCE($C69, ""price"", WORKDAY(INT($B69), 20)), 2, 2), """"))/$G69))"),"")</f>
        <v/>
      </c>
      <c r="T69" s="10" t="s">
        <v>6361</v>
      </c>
      <c r="U69" s="10" t="s">
        <v>984</v>
      </c>
      <c r="V69" s="10" t="s">
        <v>5881</v>
      </c>
      <c r="W69" s="10" t="s">
        <v>51</v>
      </c>
      <c r="X69" s="10" t="s">
        <v>984</v>
      </c>
    </row>
    <row r="70">
      <c r="A70" s="9">
        <f t="shared" si="1"/>
        <v>69</v>
      </c>
      <c r="B70" s="11">
        <v>46239.66775462963</v>
      </c>
      <c r="C70" s="10" t="s">
        <v>6362</v>
      </c>
      <c r="D70" s="10" t="s">
        <v>36</v>
      </c>
      <c r="E70" s="10" t="s">
        <v>1892</v>
      </c>
      <c r="F70" s="13">
        <v>2.0</v>
      </c>
      <c r="G70" s="14">
        <v>23.42</v>
      </c>
      <c r="H70" s="10" t="s">
        <v>6363</v>
      </c>
      <c r="I70" s="10">
        <v>92.4</v>
      </c>
      <c r="O70" s="15">
        <f>IFERROR(__xludf.DUMMYFUNCTION("IF(ISBLANK($C70), """", GOOGLEFINANCE($C70, ""price""))"),23.46)</f>
        <v>23.46</v>
      </c>
      <c r="P70" s="16">
        <f t="shared" si="2"/>
        <v>0.00170794193</v>
      </c>
      <c r="Q70" s="16">
        <f>IFERROR(__xludf.DUMMYFUNCTION("IF(OR(ISBLANK($G70), IFERROR(INDEX(GOOGLEFINANCE($C70, ""price"", WORKDAY(INT($B70), 1)), 2, 2), """")=""""), """", IF($D70=""LONG"", (IFERROR(INDEX(GOOGLEFINANCE($C70, ""price"", WORKDAY(INT($B70), 1)), 2, 2), """")-$G70)/$G70, ($G70-IFERROR(INDEX(GOOGLE"&amp;"FINANCE($C70, ""price"", WORKDAY(INT($B70), 1)), 2, 2), """"))/$G70))"),0.0017079419299743444)</f>
        <v>0.00170794193</v>
      </c>
      <c r="R70" s="16" t="str">
        <f>IFERROR(__xludf.DUMMYFUNCTION("IF(OR(ISBLANK($G70), IFERROR(INDEX(GOOGLEFINANCE($C70, ""price"", WORKDAY(INT($B70), 5)), 2, 2), """")=""""), """", IF($D70=""LONG"", (IFERROR(INDEX(GOOGLEFINANCE($C70, ""price"", WORKDAY(INT($B70), 5)), 2, 2), """")-$G70)/$G70, ($G70-IFERROR(INDEX(GOOGLE"&amp;"FINANCE($C70, ""price"", WORKDAY(INT($B70), 5)), 2, 2), """"))/$G70))"),"")</f>
        <v/>
      </c>
      <c r="S70" s="16" t="str">
        <f>IFERROR(__xludf.DUMMYFUNCTION("IF(OR(ISBLANK($G70), IFERROR(INDEX(GOOGLEFINANCE($C70, ""price"", WORKDAY(INT($B70), 20)), 2, 2), """")=""""), """", IF($D70=""LONG"", (IFERROR(INDEX(GOOGLEFINANCE($C70, ""price"", WORKDAY(INT($B70), 20)), 2, 2), """")-$G70)/$G70, ($G70-IFERROR(INDEX(GOOG"&amp;"LEFINANCE($C70, ""price"", WORKDAY(INT($B70), 20)), 2, 2), """"))/$G70))"),"")</f>
        <v/>
      </c>
      <c r="T70" s="10" t="s">
        <v>6364</v>
      </c>
      <c r="U70" s="10" t="s">
        <v>240</v>
      </c>
      <c r="V70" s="10" t="s">
        <v>6365</v>
      </c>
      <c r="W70" s="10" t="s">
        <v>51</v>
      </c>
      <c r="X70" s="10" t="s">
        <v>1905</v>
      </c>
    </row>
    <row r="71">
      <c r="A71" s="9">
        <f t="shared" si="1"/>
        <v>70</v>
      </c>
      <c r="B71" s="11">
        <v>46239.667662037034</v>
      </c>
      <c r="C71" s="10" t="s">
        <v>108</v>
      </c>
      <c r="D71" s="10" t="s">
        <v>36</v>
      </c>
      <c r="E71" s="10" t="s">
        <v>37</v>
      </c>
      <c r="F71" s="13">
        <v>2.0</v>
      </c>
      <c r="G71" s="14">
        <v>128.78</v>
      </c>
      <c r="H71" s="10" t="s">
        <v>3443</v>
      </c>
      <c r="I71" s="10">
        <v>92.1</v>
      </c>
      <c r="O71" s="15">
        <f>IFERROR(__xludf.DUMMYFUNCTION("IF(ISBLANK($C71), """", GOOGLEFINANCE($C71, ""price""))"),129.68)</f>
        <v>129.68</v>
      </c>
      <c r="P71" s="16">
        <f t="shared" si="2"/>
        <v>0.006988662836</v>
      </c>
      <c r="Q71" s="16">
        <f>IFERROR(__xludf.DUMMYFUNCTION("IF(OR(ISBLANK($G71), IFERROR(INDEX(GOOGLEFINANCE($C71, ""price"", WORKDAY(INT($B71), 1)), 2, 2), """")=""""), """", IF($D71=""LONG"", (IFERROR(INDEX(GOOGLEFINANCE($C71, ""price"", WORKDAY(INT($B71), 1)), 2, 2), """")-$G71)/$G71, ($G71-IFERROR(INDEX(GOOGLE"&amp;"FINANCE($C71, ""price"", WORKDAY(INT($B71), 1)), 2, 2), """"))/$G71))"),0.006988662835844119)</f>
        <v>0.006988662836</v>
      </c>
      <c r="R71" s="16" t="str">
        <f>IFERROR(__xludf.DUMMYFUNCTION("IF(OR(ISBLANK($G71), IFERROR(INDEX(GOOGLEFINANCE($C71, ""price"", WORKDAY(INT($B71), 5)), 2, 2), """")=""""), """", IF($D71=""LONG"", (IFERROR(INDEX(GOOGLEFINANCE($C71, ""price"", WORKDAY(INT($B71), 5)), 2, 2), """")-$G71)/$G71, ($G71-IFERROR(INDEX(GOOGLE"&amp;"FINANCE($C71, ""price"", WORKDAY(INT($B71), 5)), 2, 2), """"))/$G71))"),"")</f>
        <v/>
      </c>
      <c r="S71" s="16" t="str">
        <f>IFERROR(__xludf.DUMMYFUNCTION("IF(OR(ISBLANK($G71), IFERROR(INDEX(GOOGLEFINANCE($C71, ""price"", WORKDAY(INT($B71), 20)), 2, 2), """")=""""), """", IF($D71=""LONG"", (IFERROR(INDEX(GOOGLEFINANCE($C71, ""price"", WORKDAY(INT($B71), 20)), 2, 2), """")-$G71)/$G71, ($G71-IFERROR(INDEX(GOOG"&amp;"LEFINANCE($C71, ""price"", WORKDAY(INT($B71), 20)), 2, 2), """"))/$G71))"),"")</f>
        <v/>
      </c>
      <c r="T71" s="10" t="s">
        <v>6366</v>
      </c>
      <c r="U71" s="10" t="s">
        <v>492</v>
      </c>
      <c r="V71" s="10" t="s">
        <v>5992</v>
      </c>
      <c r="W71" s="10" t="s">
        <v>51</v>
      </c>
      <c r="X71" s="10" t="s">
        <v>492</v>
      </c>
    </row>
    <row r="72">
      <c r="A72" s="9">
        <f t="shared" si="1"/>
        <v>71</v>
      </c>
      <c r="B72" s="11">
        <v>46239.66752314815</v>
      </c>
      <c r="C72" s="10" t="s">
        <v>5140</v>
      </c>
      <c r="D72" s="10" t="s">
        <v>36</v>
      </c>
      <c r="E72" s="10" t="s">
        <v>87</v>
      </c>
      <c r="F72" s="13">
        <v>2.0</v>
      </c>
      <c r="G72" s="14">
        <v>291.57</v>
      </c>
      <c r="H72" s="10" t="s">
        <v>6367</v>
      </c>
      <c r="I72" s="10">
        <v>90.4</v>
      </c>
      <c r="O72" s="15">
        <f>IFERROR(__xludf.DUMMYFUNCTION("IF(ISBLANK($C72), """", GOOGLEFINANCE($C72, ""price""))"),289.72)</f>
        <v>289.72</v>
      </c>
      <c r="P72" s="16">
        <f t="shared" si="2"/>
        <v>-0.006344960044</v>
      </c>
      <c r="Q72" s="16">
        <f>IFERROR(__xludf.DUMMYFUNCTION("IF(OR(ISBLANK($G72), IFERROR(INDEX(GOOGLEFINANCE($C72, ""price"", WORKDAY(INT($B72), 1)), 2, 2), """")=""""), """", IF($D72=""LONG"", (IFERROR(INDEX(GOOGLEFINANCE($C72, ""price"", WORKDAY(INT($B72), 1)), 2, 2), """")-$G72)/$G72, ($G72-IFERROR(INDEX(GOOGLE"&amp;"FINANCE($C72, ""price"", WORKDAY(INT($B72), 1)), 2, 2), """"))/$G72))"),-0.006344960043900148)</f>
        <v>-0.006344960044</v>
      </c>
      <c r="R72" s="16" t="str">
        <f>IFERROR(__xludf.DUMMYFUNCTION("IF(OR(ISBLANK($G72), IFERROR(INDEX(GOOGLEFINANCE($C72, ""price"", WORKDAY(INT($B72), 5)), 2, 2), """")=""""), """", IF($D72=""LONG"", (IFERROR(INDEX(GOOGLEFINANCE($C72, ""price"", WORKDAY(INT($B72), 5)), 2, 2), """")-$G72)/$G72, ($G72-IFERROR(INDEX(GOOGLE"&amp;"FINANCE($C72, ""price"", WORKDAY(INT($B72), 5)), 2, 2), """"))/$G72))"),"")</f>
        <v/>
      </c>
      <c r="S72" s="16" t="str">
        <f>IFERROR(__xludf.DUMMYFUNCTION("IF(OR(ISBLANK($G72), IFERROR(INDEX(GOOGLEFINANCE($C72, ""price"", WORKDAY(INT($B72), 20)), 2, 2), """")=""""), """", IF($D72=""LONG"", (IFERROR(INDEX(GOOGLEFINANCE($C72, ""price"", WORKDAY(INT($B72), 20)), 2, 2), """")-$G72)/$G72, ($G72-IFERROR(INDEX(GOOG"&amp;"LEFINANCE($C72, ""price"", WORKDAY(INT($B72), 20)), 2, 2), """"))/$G72))"),"")</f>
        <v/>
      </c>
      <c r="T72" s="10" t="s">
        <v>6368</v>
      </c>
      <c r="U72" s="10" t="s">
        <v>492</v>
      </c>
      <c r="V72" s="10" t="s">
        <v>6234</v>
      </c>
      <c r="W72" s="10" t="s">
        <v>51</v>
      </c>
      <c r="X72" s="10" t="s">
        <v>492</v>
      </c>
    </row>
    <row r="73">
      <c r="A73" s="9">
        <f t="shared" si="1"/>
        <v>72</v>
      </c>
      <c r="B73" s="11">
        <v>46239.66761574074</v>
      </c>
      <c r="C73" s="10" t="s">
        <v>6369</v>
      </c>
      <c r="D73" s="10" t="s">
        <v>36</v>
      </c>
      <c r="E73" s="10" t="s">
        <v>37</v>
      </c>
      <c r="F73" s="13">
        <v>2.0</v>
      </c>
      <c r="G73" s="14">
        <v>577.31</v>
      </c>
      <c r="H73" s="10" t="s">
        <v>6370</v>
      </c>
      <c r="I73" s="10">
        <v>96.6</v>
      </c>
      <c r="O73" s="15">
        <f>IFERROR(__xludf.DUMMYFUNCTION("IF(ISBLANK($C73), """", GOOGLEFINANCE($C73, ""price""))"),582.85)</f>
        <v>582.85</v>
      </c>
      <c r="P73" s="16">
        <f t="shared" si="2"/>
        <v>0.009596230795</v>
      </c>
      <c r="Q73" s="16">
        <f>IFERROR(__xludf.DUMMYFUNCTION("IF(OR(ISBLANK($G73), IFERROR(INDEX(GOOGLEFINANCE($C73, ""price"", WORKDAY(INT($B73), 1)), 2, 2), """")=""""), """", IF($D73=""LONG"", (IFERROR(INDEX(GOOGLEFINANCE($C73, ""price"", WORKDAY(INT($B73), 1)), 2, 2), """")-$G73)/$G73, ($G73-IFERROR(INDEX(GOOGLE"&amp;"FINANCE($C73, ""price"", WORKDAY(INT($B73), 1)), 2, 2), """"))/$G73))"),0.009596230794547259)</f>
        <v>0.009596230795</v>
      </c>
      <c r="R73" s="16" t="str">
        <f>IFERROR(__xludf.DUMMYFUNCTION("IF(OR(ISBLANK($G73), IFERROR(INDEX(GOOGLEFINANCE($C73, ""price"", WORKDAY(INT($B73), 5)), 2, 2), """")=""""), """", IF($D73=""LONG"", (IFERROR(INDEX(GOOGLEFINANCE($C73, ""price"", WORKDAY(INT($B73), 5)), 2, 2), """")-$G73)/$G73, ($G73-IFERROR(INDEX(GOOGLE"&amp;"FINANCE($C73, ""price"", WORKDAY(INT($B73), 5)), 2, 2), """"))/$G73))"),"")</f>
        <v/>
      </c>
      <c r="S73" s="16" t="str">
        <f>IFERROR(__xludf.DUMMYFUNCTION("IF(OR(ISBLANK($G73), IFERROR(INDEX(GOOGLEFINANCE($C73, ""price"", WORKDAY(INT($B73), 20)), 2, 2), """")=""""), """", IF($D73=""LONG"", (IFERROR(INDEX(GOOGLEFINANCE($C73, ""price"", WORKDAY(INT($B73), 20)), 2, 2), """")-$G73)/$G73, ($G73-IFERROR(INDEX(GOOG"&amp;"LEFINANCE($C73, ""price"", WORKDAY(INT($B73), 20)), 2, 2), """"))/$G73))"),"")</f>
        <v/>
      </c>
      <c r="T73" s="10" t="s">
        <v>6371</v>
      </c>
      <c r="U73" s="10" t="s">
        <v>615</v>
      </c>
      <c r="V73" s="10" t="s">
        <v>6372</v>
      </c>
      <c r="W73" s="10" t="s">
        <v>51</v>
      </c>
      <c r="X73" s="10" t="s">
        <v>2637</v>
      </c>
    </row>
    <row r="74">
      <c r="A74" s="9">
        <f t="shared" si="1"/>
        <v>73</v>
      </c>
      <c r="B74" s="11">
        <v>46239.667650462965</v>
      </c>
      <c r="C74" s="10" t="s">
        <v>800</v>
      </c>
      <c r="D74" s="10" t="s">
        <v>36</v>
      </c>
      <c r="E74" s="10" t="s">
        <v>37</v>
      </c>
      <c r="F74" s="13">
        <v>2.0</v>
      </c>
      <c r="G74" s="14">
        <v>317.08</v>
      </c>
      <c r="H74" s="10" t="s">
        <v>6373</v>
      </c>
      <c r="I74" s="10">
        <v>90.6</v>
      </c>
      <c r="O74" s="15">
        <f>IFERROR(__xludf.DUMMYFUNCTION("IF(ISBLANK($C74), """", GOOGLEFINANCE($C74, ""price""))"),325.01)</f>
        <v>325.01</v>
      </c>
      <c r="P74" s="16">
        <f t="shared" si="2"/>
        <v>0.02500946133</v>
      </c>
      <c r="Q74" s="16">
        <f>IFERROR(__xludf.DUMMYFUNCTION("IF(OR(ISBLANK($G74), IFERROR(INDEX(GOOGLEFINANCE($C74, ""price"", WORKDAY(INT($B74), 1)), 2, 2), """")=""""), """", IF($D74=""LONG"", (IFERROR(INDEX(GOOGLEFINANCE($C74, ""price"", WORKDAY(INT($B74), 1)), 2, 2), """")-$G74)/$G74, ($G74-IFERROR(INDEX(GOOGLE"&amp;"FINANCE($C74, ""price"", WORKDAY(INT($B74), 1)), 2, 2), """"))/$G74))"),0.02500946133467897)</f>
        <v>0.02500946133</v>
      </c>
      <c r="R74" s="16" t="str">
        <f>IFERROR(__xludf.DUMMYFUNCTION("IF(OR(ISBLANK($G74), IFERROR(INDEX(GOOGLEFINANCE($C74, ""price"", WORKDAY(INT($B74), 5)), 2, 2), """")=""""), """", IF($D74=""LONG"", (IFERROR(INDEX(GOOGLEFINANCE($C74, ""price"", WORKDAY(INT($B74), 5)), 2, 2), """")-$G74)/$G74, ($G74-IFERROR(INDEX(GOOGLE"&amp;"FINANCE($C74, ""price"", WORKDAY(INT($B74), 5)), 2, 2), """"))/$G74))"),"")</f>
        <v/>
      </c>
      <c r="S74" s="16" t="str">
        <f>IFERROR(__xludf.DUMMYFUNCTION("IF(OR(ISBLANK($G74), IFERROR(INDEX(GOOGLEFINANCE($C74, ""price"", WORKDAY(INT($B74), 20)), 2, 2), """")=""""), """", IF($D74=""LONG"", (IFERROR(INDEX(GOOGLEFINANCE($C74, ""price"", WORKDAY(INT($B74), 20)), 2, 2), """")-$G74)/$G74, ($G74-IFERROR(INDEX(GOOG"&amp;"LEFINANCE($C74, ""price"", WORKDAY(INT($B74), 20)), 2, 2), """"))/$G74))"),"")</f>
        <v/>
      </c>
      <c r="T74" s="10" t="s">
        <v>6374</v>
      </c>
      <c r="U74" s="10" t="s">
        <v>219</v>
      </c>
      <c r="V74" s="10" t="s">
        <v>6375</v>
      </c>
      <c r="W74" s="10" t="s">
        <v>51</v>
      </c>
      <c r="X74" s="10" t="s">
        <v>974</v>
      </c>
    </row>
    <row r="75">
      <c r="A75" s="9">
        <f t="shared" si="1"/>
        <v>74</v>
      </c>
      <c r="B75" s="11">
        <v>46239.66758101852</v>
      </c>
      <c r="C75" s="10" t="s">
        <v>98</v>
      </c>
      <c r="D75" s="10" t="s">
        <v>36</v>
      </c>
      <c r="E75" s="10" t="s">
        <v>37</v>
      </c>
      <c r="F75" s="13">
        <v>2.0</v>
      </c>
      <c r="G75" s="14">
        <v>31.86</v>
      </c>
      <c r="H75" s="10" t="s">
        <v>6376</v>
      </c>
      <c r="I75" s="10">
        <v>69.7</v>
      </c>
      <c r="O75" s="15">
        <f>IFERROR(__xludf.DUMMYFUNCTION("IF(ISBLANK($C75), """", GOOGLEFINANCE($C75, ""price""))"),31.39)</f>
        <v>31.39</v>
      </c>
      <c r="P75" s="16">
        <f t="shared" si="2"/>
        <v>-0.01475204018</v>
      </c>
      <c r="Q75" s="16">
        <f>IFERROR(__xludf.DUMMYFUNCTION("IF(OR(ISBLANK($G75), IFERROR(INDEX(GOOGLEFINANCE($C75, ""price"", WORKDAY(INT($B75), 1)), 2, 2), """")=""""), """", IF($D75=""LONG"", (IFERROR(INDEX(GOOGLEFINANCE($C75, ""price"", WORKDAY(INT($B75), 1)), 2, 2), """")-$G75)/$G75, ($G75-IFERROR(INDEX(GOOGLE"&amp;"FINANCE($C75, ""price"", WORKDAY(INT($B75), 1)), 2, 2), """"))/$G75))"),-0.014752040175768954)</f>
        <v>-0.01475204018</v>
      </c>
      <c r="R75" s="16" t="str">
        <f>IFERROR(__xludf.DUMMYFUNCTION("IF(OR(ISBLANK($G75), IFERROR(INDEX(GOOGLEFINANCE($C75, ""price"", WORKDAY(INT($B75), 5)), 2, 2), """")=""""), """", IF($D75=""LONG"", (IFERROR(INDEX(GOOGLEFINANCE($C75, ""price"", WORKDAY(INT($B75), 5)), 2, 2), """")-$G75)/$G75, ($G75-IFERROR(INDEX(GOOGLE"&amp;"FINANCE($C75, ""price"", WORKDAY(INT($B75), 5)), 2, 2), """"))/$G75))"),"")</f>
        <v/>
      </c>
      <c r="S75" s="16" t="str">
        <f>IFERROR(__xludf.DUMMYFUNCTION("IF(OR(ISBLANK($G75), IFERROR(INDEX(GOOGLEFINANCE($C75, ""price"", WORKDAY(INT($B75), 20)), 2, 2), """")=""""), """", IF($D75=""LONG"", (IFERROR(INDEX(GOOGLEFINANCE($C75, ""price"", WORKDAY(INT($B75), 20)), 2, 2), """")-$G75)/$G75, ($G75-IFERROR(INDEX(GOOG"&amp;"LEFINANCE($C75, ""price"", WORKDAY(INT($B75), 20)), 2, 2), """"))/$G75))"),"")</f>
        <v/>
      </c>
      <c r="T75" s="10" t="s">
        <v>6377</v>
      </c>
      <c r="U75" s="10" t="s">
        <v>615</v>
      </c>
      <c r="V75" s="10" t="s">
        <v>6378</v>
      </c>
      <c r="W75" s="10" t="s">
        <v>51</v>
      </c>
      <c r="X75" s="10" t="s">
        <v>2637</v>
      </c>
    </row>
    <row r="76">
      <c r="A76" s="9">
        <f t="shared" si="1"/>
        <v>75</v>
      </c>
      <c r="B76" s="11">
        <v>46239.6675</v>
      </c>
      <c r="C76" s="10" t="s">
        <v>141</v>
      </c>
      <c r="D76" s="10" t="s">
        <v>36</v>
      </c>
      <c r="E76" s="10" t="s">
        <v>37</v>
      </c>
      <c r="F76" s="13">
        <v>2.0</v>
      </c>
      <c r="G76" s="14">
        <v>128.34</v>
      </c>
      <c r="H76" s="10" t="s">
        <v>6379</v>
      </c>
      <c r="I76" s="10">
        <v>90.5</v>
      </c>
      <c r="O76" s="15">
        <f>IFERROR(__xludf.DUMMYFUNCTION("IF(ISBLANK($C76), """", GOOGLEFINANCE($C76, ""price""))"),128.37)</f>
        <v>128.37</v>
      </c>
      <c r="P76" s="16">
        <f t="shared" si="2"/>
        <v>0.0002337540907</v>
      </c>
      <c r="Q76" s="16">
        <f>IFERROR(__xludf.DUMMYFUNCTION("IF(OR(ISBLANK($G76), IFERROR(INDEX(GOOGLEFINANCE($C76, ""price"", WORKDAY(INT($B76), 1)), 2, 2), """")=""""), """", IF($D76=""LONG"", (IFERROR(INDEX(GOOGLEFINANCE($C76, ""price"", WORKDAY(INT($B76), 1)), 2, 2), """")-$G76)/$G76, ($G76-IFERROR(INDEX(GOOGLE"&amp;"FINANCE($C76, ""price"", WORKDAY(INT($B76), 1)), 2, 2), """"))/$G76))"),2.3375409069659604E-4)</f>
        <v>0.0002337540907</v>
      </c>
      <c r="R76" s="16" t="str">
        <f>IFERROR(__xludf.DUMMYFUNCTION("IF(OR(ISBLANK($G76), IFERROR(INDEX(GOOGLEFINANCE($C76, ""price"", WORKDAY(INT($B76), 5)), 2, 2), """")=""""), """", IF($D76=""LONG"", (IFERROR(INDEX(GOOGLEFINANCE($C76, ""price"", WORKDAY(INT($B76), 5)), 2, 2), """")-$G76)/$G76, ($G76-IFERROR(INDEX(GOOGLE"&amp;"FINANCE($C76, ""price"", WORKDAY(INT($B76), 5)), 2, 2), """"))/$G76))"),"")</f>
        <v/>
      </c>
      <c r="S76" s="16" t="str">
        <f>IFERROR(__xludf.DUMMYFUNCTION("IF(OR(ISBLANK($G76), IFERROR(INDEX(GOOGLEFINANCE($C76, ""price"", WORKDAY(INT($B76), 20)), 2, 2), """")=""""), """", IF($D76=""LONG"", (IFERROR(INDEX(GOOGLEFINANCE($C76, ""price"", WORKDAY(INT($B76), 20)), 2, 2), """")-$G76)/$G76, ($G76-IFERROR(INDEX(GOOG"&amp;"LEFINANCE($C76, ""price"", WORKDAY(INT($B76), 20)), 2, 2), """"))/$G76))"),"")</f>
        <v/>
      </c>
      <c r="T76" s="10" t="s">
        <v>6380</v>
      </c>
      <c r="U76" s="10" t="s">
        <v>240</v>
      </c>
      <c r="V76" s="10" t="s">
        <v>6381</v>
      </c>
      <c r="W76" s="10" t="s">
        <v>51</v>
      </c>
      <c r="X76" s="10" t="s">
        <v>1905</v>
      </c>
    </row>
    <row r="77">
      <c r="A77" s="9">
        <f t="shared" si="1"/>
        <v>76</v>
      </c>
      <c r="B77" s="11">
        <v>46239.66769675926</v>
      </c>
      <c r="C77" s="10" t="s">
        <v>104</v>
      </c>
      <c r="D77" s="10" t="s">
        <v>36</v>
      </c>
      <c r="E77" s="10" t="s">
        <v>37</v>
      </c>
      <c r="F77" s="13">
        <v>2.0</v>
      </c>
      <c r="G77" s="14">
        <v>126.91</v>
      </c>
      <c r="H77" s="10" t="s">
        <v>6382</v>
      </c>
      <c r="I77" s="10">
        <v>92.9</v>
      </c>
      <c r="O77" s="15">
        <f>IFERROR(__xludf.DUMMYFUNCTION("IF(ISBLANK($C77), """", GOOGLEFINANCE($C77, ""price""))"),127.45)</f>
        <v>127.45</v>
      </c>
      <c r="P77" s="16">
        <f t="shared" si="2"/>
        <v>0.004254983847</v>
      </c>
      <c r="Q77" s="16">
        <f>IFERROR(__xludf.DUMMYFUNCTION("IF(OR(ISBLANK($G77), IFERROR(INDEX(GOOGLEFINANCE($C77, ""price"", WORKDAY(INT($B77), 1)), 2, 2), """")=""""), """", IF($D77=""LONG"", (IFERROR(INDEX(GOOGLEFINANCE($C77, ""price"", WORKDAY(INT($B77), 1)), 2, 2), """")-$G77)/$G77, ($G77-IFERROR(INDEX(GOOGLE"&amp;"FINANCE($C77, ""price"", WORKDAY(INT($B77), 1)), 2, 2), """"))/$G77))"),0.0042549838468206305)</f>
        <v>0.004254983847</v>
      </c>
      <c r="R77" s="16" t="str">
        <f>IFERROR(__xludf.DUMMYFUNCTION("IF(OR(ISBLANK($G77), IFERROR(INDEX(GOOGLEFINANCE($C77, ""price"", WORKDAY(INT($B77), 5)), 2, 2), """")=""""), """", IF($D77=""LONG"", (IFERROR(INDEX(GOOGLEFINANCE($C77, ""price"", WORKDAY(INT($B77), 5)), 2, 2), """")-$G77)/$G77, ($G77-IFERROR(INDEX(GOOGLE"&amp;"FINANCE($C77, ""price"", WORKDAY(INT($B77), 5)), 2, 2), """"))/$G77))"),"")</f>
        <v/>
      </c>
      <c r="S77" s="16" t="str">
        <f>IFERROR(__xludf.DUMMYFUNCTION("IF(OR(ISBLANK($G77), IFERROR(INDEX(GOOGLEFINANCE($C77, ""price"", WORKDAY(INT($B77), 20)), 2, 2), """")=""""), """", IF($D77=""LONG"", (IFERROR(INDEX(GOOGLEFINANCE($C77, ""price"", WORKDAY(INT($B77), 20)), 2, 2), """")-$G77)/$G77, ($G77-IFERROR(INDEX(GOOG"&amp;"LEFINANCE($C77, ""price"", WORKDAY(INT($B77), 20)), 2, 2), """"))/$G77))"),"")</f>
        <v/>
      </c>
      <c r="T77" s="10" t="s">
        <v>6383</v>
      </c>
      <c r="U77" s="10" t="s">
        <v>219</v>
      </c>
      <c r="V77" s="10" t="s">
        <v>6384</v>
      </c>
      <c r="W77" s="10" t="s">
        <v>51</v>
      </c>
      <c r="X77" s="10" t="s">
        <v>974</v>
      </c>
    </row>
    <row r="78">
      <c r="A78" s="9">
        <f t="shared" si="1"/>
        <v>77</v>
      </c>
      <c r="B78" s="11">
        <v>46239.66737268519</v>
      </c>
      <c r="C78" s="10" t="s">
        <v>2250</v>
      </c>
      <c r="D78" s="10" t="s">
        <v>36</v>
      </c>
      <c r="E78" s="10" t="s">
        <v>37</v>
      </c>
      <c r="F78" s="13">
        <v>2.0</v>
      </c>
      <c r="G78" s="14">
        <v>250.94</v>
      </c>
      <c r="H78" s="10" t="s">
        <v>6385</v>
      </c>
      <c r="I78" s="10">
        <v>96.0</v>
      </c>
      <c r="O78" s="15">
        <f>IFERROR(__xludf.DUMMYFUNCTION("IF(ISBLANK($C78), """", GOOGLEFINANCE($C78, ""price""))"),251.74)</f>
        <v>251.74</v>
      </c>
      <c r="P78" s="16">
        <f t="shared" si="2"/>
        <v>0.003188013071</v>
      </c>
      <c r="Q78" s="16">
        <f>IFERROR(__xludf.DUMMYFUNCTION("IF(OR(ISBLANK($G78), IFERROR(INDEX(GOOGLEFINANCE($C78, ""price"", WORKDAY(INT($B78), 1)), 2, 2), """")=""""), """", IF($D78=""LONG"", (IFERROR(INDEX(GOOGLEFINANCE($C78, ""price"", WORKDAY(INT($B78), 1)), 2, 2), """")-$G78)/$G78, ($G78-IFERROR(INDEX(GOOGLE"&amp;"FINANCE($C78, ""price"", WORKDAY(INT($B78), 1)), 2, 2), """"))/$G78))"),0.003188013070853636)</f>
        <v>0.003188013071</v>
      </c>
      <c r="R78" s="16" t="str">
        <f>IFERROR(__xludf.DUMMYFUNCTION("IF(OR(ISBLANK($G78), IFERROR(INDEX(GOOGLEFINANCE($C78, ""price"", WORKDAY(INT($B78), 5)), 2, 2), """")=""""), """", IF($D78=""LONG"", (IFERROR(INDEX(GOOGLEFINANCE($C78, ""price"", WORKDAY(INT($B78), 5)), 2, 2), """")-$G78)/$G78, ($G78-IFERROR(INDEX(GOOGLE"&amp;"FINANCE($C78, ""price"", WORKDAY(INT($B78), 5)), 2, 2), """"))/$G78))"),"")</f>
        <v/>
      </c>
      <c r="S78" s="16" t="str">
        <f>IFERROR(__xludf.DUMMYFUNCTION("IF(OR(ISBLANK($G78), IFERROR(INDEX(GOOGLEFINANCE($C78, ""price"", WORKDAY(INT($B78), 20)), 2, 2), """")=""""), """", IF($D78=""LONG"", (IFERROR(INDEX(GOOGLEFINANCE($C78, ""price"", WORKDAY(INT($B78), 20)), 2, 2), """")-$G78)/$G78, ($G78-IFERROR(INDEX(GOOG"&amp;"LEFINANCE($C78, ""price"", WORKDAY(INT($B78), 20)), 2, 2), """"))/$G78))"),"")</f>
        <v/>
      </c>
      <c r="T78" s="10" t="s">
        <v>6386</v>
      </c>
      <c r="U78" s="10" t="s">
        <v>176</v>
      </c>
      <c r="V78" s="10" t="s">
        <v>6387</v>
      </c>
      <c r="W78" s="10" t="s">
        <v>51</v>
      </c>
      <c r="X78" s="10" t="s">
        <v>962</v>
      </c>
    </row>
    <row r="79">
      <c r="A79" s="9">
        <f t="shared" si="1"/>
        <v>78</v>
      </c>
      <c r="B79" s="11">
        <v>46239.66747685185</v>
      </c>
      <c r="C79" s="10" t="s">
        <v>3574</v>
      </c>
      <c r="D79" s="10" t="s">
        <v>36</v>
      </c>
      <c r="E79" s="10" t="s">
        <v>37</v>
      </c>
      <c r="F79" s="13">
        <v>2.0</v>
      </c>
      <c r="G79" s="14">
        <v>341.53</v>
      </c>
      <c r="H79" s="10" t="s">
        <v>6388</v>
      </c>
      <c r="I79" s="10">
        <v>93.8</v>
      </c>
      <c r="O79" s="15">
        <f>IFERROR(__xludf.DUMMYFUNCTION("IF(ISBLANK($C79), """", GOOGLEFINANCE($C79, ""price""))"),342.46)</f>
        <v>342.46</v>
      </c>
      <c r="P79" s="16">
        <f t="shared" si="2"/>
        <v>0.002723040436</v>
      </c>
      <c r="Q79" s="16">
        <f>IFERROR(__xludf.DUMMYFUNCTION("IF(OR(ISBLANK($G79), IFERROR(INDEX(GOOGLEFINANCE($C79, ""price"", WORKDAY(INT($B79), 1)), 2, 2), """")=""""), """", IF($D79=""LONG"", (IFERROR(INDEX(GOOGLEFINANCE($C79, ""price"", WORKDAY(INT($B79), 1)), 2, 2), """")-$G79)/$G79, ($G79-IFERROR(INDEX(GOOGLE"&amp;"FINANCE($C79, ""price"", WORKDAY(INT($B79), 1)), 2, 2), """"))/$G79))"),0.00272304043568649)</f>
        <v>0.002723040436</v>
      </c>
      <c r="R79" s="16" t="str">
        <f>IFERROR(__xludf.DUMMYFUNCTION("IF(OR(ISBLANK($G79), IFERROR(INDEX(GOOGLEFINANCE($C79, ""price"", WORKDAY(INT($B79), 5)), 2, 2), """")=""""), """", IF($D79=""LONG"", (IFERROR(INDEX(GOOGLEFINANCE($C79, ""price"", WORKDAY(INT($B79), 5)), 2, 2), """")-$G79)/$G79, ($G79-IFERROR(INDEX(GOOGLE"&amp;"FINANCE($C79, ""price"", WORKDAY(INT($B79), 5)), 2, 2), """"))/$G79))"),"")</f>
        <v/>
      </c>
      <c r="S79" s="16" t="str">
        <f>IFERROR(__xludf.DUMMYFUNCTION("IF(OR(ISBLANK($G79), IFERROR(INDEX(GOOGLEFINANCE($C79, ""price"", WORKDAY(INT($B79), 20)), 2, 2), """")=""""), """", IF($D79=""LONG"", (IFERROR(INDEX(GOOGLEFINANCE($C79, ""price"", WORKDAY(INT($B79), 20)), 2, 2), """")-$G79)/$G79, ($G79-IFERROR(INDEX(GOOG"&amp;"LEFINANCE($C79, ""price"", WORKDAY(INT($B79), 20)), 2, 2), """"))/$G79))"),"")</f>
        <v/>
      </c>
      <c r="T79" s="10" t="s">
        <v>6389</v>
      </c>
      <c r="U79" s="10" t="s">
        <v>49</v>
      </c>
      <c r="V79" s="10" t="s">
        <v>6390</v>
      </c>
      <c r="W79" s="10" t="s">
        <v>51</v>
      </c>
      <c r="X79" s="10" t="s">
        <v>3975</v>
      </c>
    </row>
    <row r="80">
      <c r="A80" s="9">
        <f t="shared" si="1"/>
        <v>79</v>
      </c>
      <c r="B80" s="11">
        <v>46239.66744212963</v>
      </c>
      <c r="C80" s="10" t="s">
        <v>287</v>
      </c>
      <c r="D80" s="10" t="s">
        <v>36</v>
      </c>
      <c r="E80" s="10" t="s">
        <v>87</v>
      </c>
      <c r="F80" s="13">
        <v>2.0</v>
      </c>
      <c r="G80" s="14">
        <v>353.13</v>
      </c>
      <c r="H80" s="10" t="s">
        <v>6391</v>
      </c>
      <c r="I80" s="10">
        <v>60.0</v>
      </c>
      <c r="O80" s="15">
        <f>IFERROR(__xludf.DUMMYFUNCTION("IF(ISBLANK($C80), """", GOOGLEFINANCE($C80, ""price""))"),349.52)</f>
        <v>349.52</v>
      </c>
      <c r="P80" s="16">
        <f t="shared" si="2"/>
        <v>-0.0102228641</v>
      </c>
      <c r="Q80" s="16">
        <f>IFERROR(__xludf.DUMMYFUNCTION("IF(OR(ISBLANK($G80), IFERROR(INDEX(GOOGLEFINANCE($C80, ""price"", WORKDAY(INT($B80), 1)), 2, 2), """")=""""), """", IF($D80=""LONG"", (IFERROR(INDEX(GOOGLEFINANCE($C80, ""price"", WORKDAY(INT($B80), 1)), 2, 2), """")-$G80)/$G80, ($G80-IFERROR(INDEX(GOOGLE"&amp;"FINANCE($C80, ""price"", WORKDAY(INT($B80), 1)), 2, 2), """"))/$G80))"),-0.010222864101039316)</f>
        <v>-0.0102228641</v>
      </c>
      <c r="R80" s="16" t="str">
        <f>IFERROR(__xludf.DUMMYFUNCTION("IF(OR(ISBLANK($G80), IFERROR(INDEX(GOOGLEFINANCE($C80, ""price"", WORKDAY(INT($B80), 5)), 2, 2), """")=""""), """", IF($D80=""LONG"", (IFERROR(INDEX(GOOGLEFINANCE($C80, ""price"", WORKDAY(INT($B80), 5)), 2, 2), """")-$G80)/$G80, ($G80-IFERROR(INDEX(GOOGLE"&amp;"FINANCE($C80, ""price"", WORKDAY(INT($B80), 5)), 2, 2), """"))/$G80))"),"")</f>
        <v/>
      </c>
      <c r="S80" s="16" t="str">
        <f>IFERROR(__xludf.DUMMYFUNCTION("IF(OR(ISBLANK($G80), IFERROR(INDEX(GOOGLEFINANCE($C80, ""price"", WORKDAY(INT($B80), 20)), 2, 2), """")=""""), """", IF($D80=""LONG"", (IFERROR(INDEX(GOOGLEFINANCE($C80, ""price"", WORKDAY(INT($B80), 20)), 2, 2), """")-$G80)/$G80, ($G80-IFERROR(INDEX(GOOG"&amp;"LEFINANCE($C80, ""price"", WORKDAY(INT($B80), 20)), 2, 2), """"))/$G80))"),"")</f>
        <v/>
      </c>
      <c r="T80" s="10" t="s">
        <v>6392</v>
      </c>
      <c r="U80" s="10" t="s">
        <v>984</v>
      </c>
      <c r="V80" s="10" t="s">
        <v>5889</v>
      </c>
      <c r="W80" s="10" t="s">
        <v>51</v>
      </c>
      <c r="X80" s="10" t="s">
        <v>984</v>
      </c>
    </row>
    <row r="81">
      <c r="A81" s="9">
        <f t="shared" si="1"/>
        <v>80</v>
      </c>
      <c r="B81" s="11">
        <v>46239.667395833334</v>
      </c>
      <c r="C81" s="10" t="s">
        <v>2793</v>
      </c>
      <c r="D81" s="10" t="s">
        <v>36</v>
      </c>
      <c r="E81" s="10" t="s">
        <v>37</v>
      </c>
      <c r="F81" s="13">
        <v>2.0</v>
      </c>
      <c r="G81" s="14">
        <v>47.8</v>
      </c>
      <c r="H81" s="10" t="s">
        <v>6393</v>
      </c>
      <c r="I81" s="10">
        <v>88.4</v>
      </c>
      <c r="O81" s="15">
        <f>IFERROR(__xludf.DUMMYFUNCTION("IF(ISBLANK($C81), """", GOOGLEFINANCE($C81, ""price""))"),47.37)</f>
        <v>47.37</v>
      </c>
      <c r="P81" s="16">
        <f t="shared" si="2"/>
        <v>-0.0089958159</v>
      </c>
      <c r="Q81" s="16">
        <f>IFERROR(__xludf.DUMMYFUNCTION("IF(OR(ISBLANK($G81), IFERROR(INDEX(GOOGLEFINANCE($C81, ""price"", WORKDAY(INT($B81), 1)), 2, 2), """")=""""), """", IF($D81=""LONG"", (IFERROR(INDEX(GOOGLEFINANCE($C81, ""price"", WORKDAY(INT($B81), 1)), 2, 2), """")-$G81)/$G81, ($G81-IFERROR(INDEX(GOOGLE"&amp;"FINANCE($C81, ""price"", WORKDAY(INT($B81), 1)), 2, 2), """"))/$G81))"),-0.008995815899581585)</f>
        <v>-0.0089958159</v>
      </c>
      <c r="R81" s="16" t="str">
        <f>IFERROR(__xludf.DUMMYFUNCTION("IF(OR(ISBLANK($G81), IFERROR(INDEX(GOOGLEFINANCE($C81, ""price"", WORKDAY(INT($B81), 5)), 2, 2), """")=""""), """", IF($D81=""LONG"", (IFERROR(INDEX(GOOGLEFINANCE($C81, ""price"", WORKDAY(INT($B81), 5)), 2, 2), """")-$G81)/$G81, ($G81-IFERROR(INDEX(GOOGLE"&amp;"FINANCE($C81, ""price"", WORKDAY(INT($B81), 5)), 2, 2), """"))/$G81))"),"")</f>
        <v/>
      </c>
      <c r="S81" s="16" t="str">
        <f>IFERROR(__xludf.DUMMYFUNCTION("IF(OR(ISBLANK($G81), IFERROR(INDEX(GOOGLEFINANCE($C81, ""price"", WORKDAY(INT($B81), 20)), 2, 2), """")=""""), """", IF($D81=""LONG"", (IFERROR(INDEX(GOOGLEFINANCE($C81, ""price"", WORKDAY(INT($B81), 20)), 2, 2), """")-$G81)/$G81, ($G81-IFERROR(INDEX(GOOG"&amp;"LEFINANCE($C81, ""price"", WORKDAY(INT($B81), 20)), 2, 2), """"))/$G81))"),"")</f>
        <v/>
      </c>
      <c r="T81" s="10" t="s">
        <v>6394</v>
      </c>
      <c r="U81" s="10" t="s">
        <v>507</v>
      </c>
      <c r="V81" s="10" t="s">
        <v>6395</v>
      </c>
      <c r="W81" s="10" t="s">
        <v>51</v>
      </c>
      <c r="X81" s="10" t="s">
        <v>2228</v>
      </c>
    </row>
    <row r="82">
      <c r="A82" s="9">
        <f t="shared" si="1"/>
        <v>81</v>
      </c>
      <c r="B82" s="11">
        <v>46239.66744212963</v>
      </c>
      <c r="C82" s="10" t="s">
        <v>2048</v>
      </c>
      <c r="D82" s="10" t="s">
        <v>36</v>
      </c>
      <c r="E82" s="10" t="s">
        <v>37</v>
      </c>
      <c r="F82" s="13">
        <v>2.0</v>
      </c>
      <c r="G82" s="14">
        <v>295.52</v>
      </c>
      <c r="H82" s="10" t="s">
        <v>6396</v>
      </c>
      <c r="I82" s="10">
        <v>85.5</v>
      </c>
      <c r="O82" s="15">
        <f>IFERROR(__xludf.DUMMYFUNCTION("IF(ISBLANK($C82), """", GOOGLEFINANCE($C82, ""price""))"),295.38)</f>
        <v>295.38</v>
      </c>
      <c r="P82" s="16">
        <f t="shared" si="2"/>
        <v>-0.0004737412019</v>
      </c>
      <c r="Q82" s="16">
        <f>IFERROR(__xludf.DUMMYFUNCTION("IF(OR(ISBLANK($G82), IFERROR(INDEX(GOOGLEFINANCE($C82, ""price"", WORKDAY(INT($B82), 1)), 2, 2), """")=""""), """", IF($D82=""LONG"", (IFERROR(INDEX(GOOGLEFINANCE($C82, ""price"", WORKDAY(INT($B82), 1)), 2, 2), """")-$G82)/$G82, ($G82-IFERROR(INDEX(GOOGLE"&amp;"FINANCE($C82, ""price"", WORKDAY(INT($B82), 1)), 2, 2), """"))/$G82))"),-4.737412019490605E-4)</f>
        <v>-0.0004737412019</v>
      </c>
      <c r="R82" s="16" t="str">
        <f>IFERROR(__xludf.DUMMYFUNCTION("IF(OR(ISBLANK($G82), IFERROR(INDEX(GOOGLEFINANCE($C82, ""price"", WORKDAY(INT($B82), 5)), 2, 2), """")=""""), """", IF($D82=""LONG"", (IFERROR(INDEX(GOOGLEFINANCE($C82, ""price"", WORKDAY(INT($B82), 5)), 2, 2), """")-$G82)/$G82, ($G82-IFERROR(INDEX(GOOGLE"&amp;"FINANCE($C82, ""price"", WORKDAY(INT($B82), 5)), 2, 2), """"))/$G82))"),"")</f>
        <v/>
      </c>
      <c r="S82" s="16" t="str">
        <f>IFERROR(__xludf.DUMMYFUNCTION("IF(OR(ISBLANK($G82), IFERROR(INDEX(GOOGLEFINANCE($C82, ""price"", WORKDAY(INT($B82), 20)), 2, 2), """")=""""), """", IF($D82=""LONG"", (IFERROR(INDEX(GOOGLEFINANCE($C82, ""price"", WORKDAY(INT($B82), 20)), 2, 2), """")-$G82)/$G82, ($G82-IFERROR(INDEX(GOOG"&amp;"LEFINANCE($C82, ""price"", WORKDAY(INT($B82), 20)), 2, 2), """"))/$G82))"),"")</f>
        <v/>
      </c>
      <c r="T82" s="10" t="s">
        <v>6397</v>
      </c>
      <c r="U82" s="10" t="s">
        <v>984</v>
      </c>
      <c r="V82" s="10" t="s">
        <v>5889</v>
      </c>
      <c r="W82" s="10" t="s">
        <v>51</v>
      </c>
      <c r="X82" s="10" t="s">
        <v>984</v>
      </c>
    </row>
    <row r="83">
      <c r="A83" s="9">
        <f t="shared" si="1"/>
        <v>82</v>
      </c>
      <c r="B83" s="11">
        <v>46239.66743055556</v>
      </c>
      <c r="C83" s="10" t="s">
        <v>332</v>
      </c>
      <c r="D83" s="10" t="s">
        <v>36</v>
      </c>
      <c r="E83" s="10" t="s">
        <v>37</v>
      </c>
      <c r="F83" s="13">
        <v>2.0</v>
      </c>
      <c r="G83" s="14">
        <v>89.56</v>
      </c>
      <c r="H83" s="10" t="s">
        <v>6398</v>
      </c>
      <c r="I83" s="10">
        <v>82.0</v>
      </c>
      <c r="O83" s="15">
        <f>IFERROR(__xludf.DUMMYFUNCTION("IF(ISBLANK($C83), """", GOOGLEFINANCE($C83, ""price""))"),88.23)</f>
        <v>88.23</v>
      </c>
      <c r="P83" s="16">
        <f t="shared" si="2"/>
        <v>-0.01485037963</v>
      </c>
      <c r="Q83" s="16">
        <f>IFERROR(__xludf.DUMMYFUNCTION("IF(OR(ISBLANK($G83), IFERROR(INDEX(GOOGLEFINANCE($C83, ""price"", WORKDAY(INT($B83), 1)), 2, 2), """")=""""), """", IF($D83=""LONG"", (IFERROR(INDEX(GOOGLEFINANCE($C83, ""price"", WORKDAY(INT($B83), 1)), 2, 2), """")-$G83)/$G83, ($G83-IFERROR(INDEX(GOOGLE"&amp;"FINANCE($C83, ""price"", WORKDAY(INT($B83), 1)), 2, 2), """"))/$G83))"),-0.014850379633765055)</f>
        <v>-0.01485037963</v>
      </c>
      <c r="R83" s="16" t="str">
        <f>IFERROR(__xludf.DUMMYFUNCTION("IF(OR(ISBLANK($G83), IFERROR(INDEX(GOOGLEFINANCE($C83, ""price"", WORKDAY(INT($B83), 5)), 2, 2), """")=""""), """", IF($D83=""LONG"", (IFERROR(INDEX(GOOGLEFINANCE($C83, ""price"", WORKDAY(INT($B83), 5)), 2, 2), """")-$G83)/$G83, ($G83-IFERROR(INDEX(GOOGLE"&amp;"FINANCE($C83, ""price"", WORKDAY(INT($B83), 5)), 2, 2), """"))/$G83))"),"")</f>
        <v/>
      </c>
      <c r="S83" s="16" t="str">
        <f>IFERROR(__xludf.DUMMYFUNCTION("IF(OR(ISBLANK($G83), IFERROR(INDEX(GOOGLEFINANCE($C83, ""price"", WORKDAY(INT($B83), 20)), 2, 2), """")=""""), """", IF($D83=""LONG"", (IFERROR(INDEX(GOOGLEFINANCE($C83, ""price"", WORKDAY(INT($B83), 20)), 2, 2), """")-$G83)/$G83, ($G83-IFERROR(INDEX(GOOG"&amp;"LEFINANCE($C83, ""price"", WORKDAY(INT($B83), 20)), 2, 2), """"))/$G83))"),"")</f>
        <v/>
      </c>
      <c r="T83" s="10" t="s">
        <v>6399</v>
      </c>
      <c r="U83" s="10" t="s">
        <v>84</v>
      </c>
      <c r="V83" s="10" t="s">
        <v>6400</v>
      </c>
      <c r="W83" s="10" t="s">
        <v>51</v>
      </c>
      <c r="X83" s="10" t="s">
        <v>2309</v>
      </c>
    </row>
    <row r="84">
      <c r="A84" s="9">
        <f t="shared" si="1"/>
        <v>83</v>
      </c>
      <c r="B84" s="11">
        <v>46239.66756944444</v>
      </c>
      <c r="C84" s="10" t="s">
        <v>440</v>
      </c>
      <c r="D84" s="10" t="s">
        <v>36</v>
      </c>
      <c r="E84" s="10" t="s">
        <v>37</v>
      </c>
      <c r="F84" s="13">
        <v>2.0</v>
      </c>
      <c r="G84" s="14">
        <v>96.34</v>
      </c>
      <c r="H84" s="10" t="s">
        <v>6401</v>
      </c>
      <c r="I84" s="10">
        <v>89.4</v>
      </c>
      <c r="O84" s="15">
        <f>IFERROR(__xludf.DUMMYFUNCTION("IF(ISBLANK($C84), """", GOOGLEFINANCE($C84, ""price""))"),99.95)</f>
        <v>99.95</v>
      </c>
      <c r="P84" s="16">
        <f t="shared" si="2"/>
        <v>0.03747145526</v>
      </c>
      <c r="Q84" s="16">
        <f>IFERROR(__xludf.DUMMYFUNCTION("IF(OR(ISBLANK($G84), IFERROR(INDEX(GOOGLEFINANCE($C84, ""price"", WORKDAY(INT($B84), 1)), 2, 2), """")=""""), """", IF($D84=""LONG"", (IFERROR(INDEX(GOOGLEFINANCE($C84, ""price"", WORKDAY(INT($B84), 1)), 2, 2), """")-$G84)/$G84, ($G84-IFERROR(INDEX(GOOGLE"&amp;"FINANCE($C84, ""price"", WORKDAY(INT($B84), 1)), 2, 2), """"))/$G84))"),0.03747145526261158)</f>
        <v>0.03747145526</v>
      </c>
      <c r="R84" s="16" t="str">
        <f>IFERROR(__xludf.DUMMYFUNCTION("IF(OR(ISBLANK($G84), IFERROR(INDEX(GOOGLEFINANCE($C84, ""price"", WORKDAY(INT($B84), 5)), 2, 2), """")=""""), """", IF($D84=""LONG"", (IFERROR(INDEX(GOOGLEFINANCE($C84, ""price"", WORKDAY(INT($B84), 5)), 2, 2), """")-$G84)/$G84, ($G84-IFERROR(INDEX(GOOGLE"&amp;"FINANCE($C84, ""price"", WORKDAY(INT($B84), 5)), 2, 2), """"))/$G84))"),"")</f>
        <v/>
      </c>
      <c r="S84" s="16" t="str">
        <f>IFERROR(__xludf.DUMMYFUNCTION("IF(OR(ISBLANK($G84), IFERROR(INDEX(GOOGLEFINANCE($C84, ""price"", WORKDAY(INT($B84), 20)), 2, 2), """")=""""), """", IF($D84=""LONG"", (IFERROR(INDEX(GOOGLEFINANCE($C84, ""price"", WORKDAY(INT($B84), 20)), 2, 2), """")-$G84)/$G84, ($G84-IFERROR(INDEX(GOOG"&amp;"LEFINANCE($C84, ""price"", WORKDAY(INT($B84), 20)), 2, 2), """"))/$G84))"),"")</f>
        <v/>
      </c>
      <c r="T84" s="10" t="s">
        <v>6402</v>
      </c>
      <c r="U84" s="10" t="s">
        <v>615</v>
      </c>
      <c r="V84" s="10" t="s">
        <v>6403</v>
      </c>
      <c r="W84" s="10" t="s">
        <v>51</v>
      </c>
      <c r="X84" s="10" t="s">
        <v>2637</v>
      </c>
    </row>
    <row r="85">
      <c r="A85" s="9">
        <f t="shared" si="1"/>
        <v>84</v>
      </c>
      <c r="B85" s="11">
        <v>46239.66755787037</v>
      </c>
      <c r="C85" s="10" t="s">
        <v>341</v>
      </c>
      <c r="D85" s="10" t="s">
        <v>36</v>
      </c>
      <c r="E85" s="10" t="s">
        <v>87</v>
      </c>
      <c r="F85" s="13">
        <v>2.0</v>
      </c>
      <c r="G85" s="14">
        <v>63.17</v>
      </c>
      <c r="H85" s="10" t="s">
        <v>6404</v>
      </c>
      <c r="I85" s="10">
        <v>89.7</v>
      </c>
      <c r="O85" s="15">
        <f>IFERROR(__xludf.DUMMYFUNCTION("IF(ISBLANK($C85), """", GOOGLEFINANCE($C85, ""price""))"),62.99)</f>
        <v>62.99</v>
      </c>
      <c r="P85" s="16">
        <f t="shared" si="2"/>
        <v>-0.002849453855</v>
      </c>
      <c r="Q85" s="16">
        <f>IFERROR(__xludf.DUMMYFUNCTION("IF(OR(ISBLANK($G85), IFERROR(INDEX(GOOGLEFINANCE($C85, ""price"", WORKDAY(INT($B85), 1)), 2, 2), """")=""""), """", IF($D85=""LONG"", (IFERROR(INDEX(GOOGLEFINANCE($C85, ""price"", WORKDAY(INT($B85), 1)), 2, 2), """")-$G85)/$G85, ($G85-IFERROR(INDEX(GOOGLE"&amp;"FINANCE($C85, ""price"", WORKDAY(INT($B85), 1)), 2, 2), """"))/$G85))"),-0.002849453854677849)</f>
        <v>-0.002849453855</v>
      </c>
      <c r="R85" s="16" t="str">
        <f>IFERROR(__xludf.DUMMYFUNCTION("IF(OR(ISBLANK($G85), IFERROR(INDEX(GOOGLEFINANCE($C85, ""price"", WORKDAY(INT($B85), 5)), 2, 2), """")=""""), """", IF($D85=""LONG"", (IFERROR(INDEX(GOOGLEFINANCE($C85, ""price"", WORKDAY(INT($B85), 5)), 2, 2), """")-$G85)/$G85, ($G85-IFERROR(INDEX(GOOGLE"&amp;"FINANCE($C85, ""price"", WORKDAY(INT($B85), 5)), 2, 2), """"))/$G85))"),"")</f>
        <v/>
      </c>
      <c r="S85" s="16" t="str">
        <f>IFERROR(__xludf.DUMMYFUNCTION("IF(OR(ISBLANK($G85), IFERROR(INDEX(GOOGLEFINANCE($C85, ""price"", WORKDAY(INT($B85), 20)), 2, 2), """")=""""), """", IF($D85=""LONG"", (IFERROR(INDEX(GOOGLEFINANCE($C85, ""price"", WORKDAY(INT($B85), 20)), 2, 2), """")-$G85)/$G85, ($G85-IFERROR(INDEX(GOOG"&amp;"LEFINANCE($C85, ""price"", WORKDAY(INT($B85), 20)), 2, 2), """"))/$G85))"),"")</f>
        <v/>
      </c>
      <c r="T85" s="10" t="s">
        <v>6405</v>
      </c>
      <c r="U85" s="10" t="s">
        <v>984</v>
      </c>
      <c r="V85" s="10" t="s">
        <v>5881</v>
      </c>
      <c r="W85" s="10" t="s">
        <v>51</v>
      </c>
      <c r="X85" s="10" t="s">
        <v>984</v>
      </c>
    </row>
    <row r="86">
      <c r="A86" s="9">
        <f t="shared" si="1"/>
        <v>85</v>
      </c>
      <c r="B86" s="11">
        <v>46239.66753472222</v>
      </c>
      <c r="C86" s="10" t="s">
        <v>3081</v>
      </c>
      <c r="D86" s="10" t="s">
        <v>36</v>
      </c>
      <c r="E86" s="10" t="s">
        <v>37</v>
      </c>
      <c r="F86" s="13">
        <v>2.0</v>
      </c>
      <c r="G86" s="14">
        <v>17.2</v>
      </c>
      <c r="H86" s="10" t="s">
        <v>6406</v>
      </c>
      <c r="I86" s="10">
        <v>90.2</v>
      </c>
      <c r="O86" s="15">
        <f>IFERROR(__xludf.DUMMYFUNCTION("IF(ISBLANK($C86), """", GOOGLEFINANCE($C86, ""price""))"),17.0)</f>
        <v>17</v>
      </c>
      <c r="P86" s="16">
        <f t="shared" si="2"/>
        <v>-0.01162790698</v>
      </c>
      <c r="Q86" s="16">
        <f>IFERROR(__xludf.DUMMYFUNCTION("IF(OR(ISBLANK($G86), IFERROR(INDEX(GOOGLEFINANCE($C86, ""price"", WORKDAY(INT($B86), 1)), 2, 2), """")=""""), """", IF($D86=""LONG"", (IFERROR(INDEX(GOOGLEFINANCE($C86, ""price"", WORKDAY(INT($B86), 1)), 2, 2), """")-$G86)/$G86, ($G86-IFERROR(INDEX(GOOGLE"&amp;"FINANCE($C86, ""price"", WORKDAY(INT($B86), 1)), 2, 2), """"))/$G86))"),-0.011627906976744146)</f>
        <v>-0.01162790698</v>
      </c>
      <c r="R86" s="16" t="str">
        <f>IFERROR(__xludf.DUMMYFUNCTION("IF(OR(ISBLANK($G86), IFERROR(INDEX(GOOGLEFINANCE($C86, ""price"", WORKDAY(INT($B86), 5)), 2, 2), """")=""""), """", IF($D86=""LONG"", (IFERROR(INDEX(GOOGLEFINANCE($C86, ""price"", WORKDAY(INT($B86), 5)), 2, 2), """")-$G86)/$G86, ($G86-IFERROR(INDEX(GOOGLE"&amp;"FINANCE($C86, ""price"", WORKDAY(INT($B86), 5)), 2, 2), """"))/$G86))"),"")</f>
        <v/>
      </c>
      <c r="S86" s="16" t="str">
        <f>IFERROR(__xludf.DUMMYFUNCTION("IF(OR(ISBLANK($G86), IFERROR(INDEX(GOOGLEFINANCE($C86, ""price"", WORKDAY(INT($B86), 20)), 2, 2), """")=""""), """", IF($D86=""LONG"", (IFERROR(INDEX(GOOGLEFINANCE($C86, ""price"", WORKDAY(INT($B86), 20)), 2, 2), """")-$G86)/$G86, ($G86-IFERROR(INDEX(GOOG"&amp;"LEFINANCE($C86, ""price"", WORKDAY(INT($B86), 20)), 2, 2), """"))/$G86))"),"")</f>
        <v/>
      </c>
      <c r="T86" s="10" t="s">
        <v>6407</v>
      </c>
      <c r="U86" s="10" t="s">
        <v>507</v>
      </c>
      <c r="V86" s="10" t="s">
        <v>6408</v>
      </c>
      <c r="W86" s="10" t="s">
        <v>51</v>
      </c>
      <c r="X86" s="10" t="s">
        <v>2228</v>
      </c>
    </row>
    <row r="87">
      <c r="A87" s="9">
        <f t="shared" si="1"/>
        <v>86</v>
      </c>
      <c r="B87" s="11">
        <v>46239.66755787037</v>
      </c>
      <c r="C87" s="10" t="s">
        <v>1920</v>
      </c>
      <c r="D87" s="10" t="s">
        <v>36</v>
      </c>
      <c r="E87" s="10" t="s">
        <v>37</v>
      </c>
      <c r="F87" s="13">
        <v>2.0</v>
      </c>
      <c r="G87" s="14">
        <v>201.43</v>
      </c>
      <c r="H87" s="10" t="s">
        <v>2906</v>
      </c>
      <c r="I87" s="10">
        <v>97.2</v>
      </c>
      <c r="O87" s="15">
        <f>IFERROR(__xludf.DUMMYFUNCTION("IF(ISBLANK($C87), """", GOOGLEFINANCE($C87, ""price""))"),202.15)</f>
        <v>202.15</v>
      </c>
      <c r="P87" s="16">
        <f t="shared" si="2"/>
        <v>0.003574442734</v>
      </c>
      <c r="Q87" s="16">
        <f>IFERROR(__xludf.DUMMYFUNCTION("IF(OR(ISBLANK($G87), IFERROR(INDEX(GOOGLEFINANCE($C87, ""price"", WORKDAY(INT($B87), 1)), 2, 2), """")=""""), """", IF($D87=""LONG"", (IFERROR(INDEX(GOOGLEFINANCE($C87, ""price"", WORKDAY(INT($B87), 1)), 2, 2), """")-$G87)/$G87, ($G87-IFERROR(INDEX(GOOGLE"&amp;"FINANCE($C87, ""price"", WORKDAY(INT($B87), 1)), 2, 2), """"))/$G87))"),0.003574442734448686)</f>
        <v>0.003574442734</v>
      </c>
      <c r="R87" s="16" t="str">
        <f>IFERROR(__xludf.DUMMYFUNCTION("IF(OR(ISBLANK($G87), IFERROR(INDEX(GOOGLEFINANCE($C87, ""price"", WORKDAY(INT($B87), 5)), 2, 2), """")=""""), """", IF($D87=""LONG"", (IFERROR(INDEX(GOOGLEFINANCE($C87, ""price"", WORKDAY(INT($B87), 5)), 2, 2), """")-$G87)/$G87, ($G87-IFERROR(INDEX(GOOGLE"&amp;"FINANCE($C87, ""price"", WORKDAY(INT($B87), 5)), 2, 2), """"))/$G87))"),"")</f>
        <v/>
      </c>
      <c r="S87" s="16" t="str">
        <f>IFERROR(__xludf.DUMMYFUNCTION("IF(OR(ISBLANK($G87), IFERROR(INDEX(GOOGLEFINANCE($C87, ""price"", WORKDAY(INT($B87), 20)), 2, 2), """")=""""), """", IF($D87=""LONG"", (IFERROR(INDEX(GOOGLEFINANCE($C87, ""price"", WORKDAY(INT($B87), 20)), 2, 2), """")-$G87)/$G87, ($G87-IFERROR(INDEX(GOOG"&amp;"LEFINANCE($C87, ""price"", WORKDAY(INT($B87), 20)), 2, 2), """"))/$G87))"),"")</f>
        <v/>
      </c>
      <c r="T87" s="10" t="s">
        <v>6409</v>
      </c>
      <c r="U87" s="10" t="s">
        <v>176</v>
      </c>
      <c r="V87" s="10" t="s">
        <v>6410</v>
      </c>
      <c r="W87" s="10" t="s">
        <v>51</v>
      </c>
      <c r="X87" s="10" t="s">
        <v>962</v>
      </c>
    </row>
    <row r="88">
      <c r="A88" s="9">
        <f t="shared" si="1"/>
        <v>87</v>
      </c>
      <c r="B88" s="11">
        <v>46239.66751157407</v>
      </c>
      <c r="C88" s="10" t="s">
        <v>426</v>
      </c>
      <c r="D88" s="10" t="s">
        <v>36</v>
      </c>
      <c r="E88" s="10" t="s">
        <v>37</v>
      </c>
      <c r="F88" s="13">
        <v>2.0</v>
      </c>
      <c r="G88" s="14">
        <v>577.35</v>
      </c>
      <c r="H88" s="10" t="s">
        <v>6411</v>
      </c>
      <c r="I88" s="10">
        <v>90.9</v>
      </c>
      <c r="O88" s="15">
        <f>IFERROR(__xludf.DUMMYFUNCTION("IF(ISBLANK($C88), """", GOOGLEFINANCE($C88, ""price""))"),580.02)</f>
        <v>580.02</v>
      </c>
      <c r="P88" s="16">
        <f t="shared" si="2"/>
        <v>0.004624577812</v>
      </c>
      <c r="Q88" s="16">
        <f>IFERROR(__xludf.DUMMYFUNCTION("IF(OR(ISBLANK($G88), IFERROR(INDEX(GOOGLEFINANCE($C88, ""price"", WORKDAY(INT($B88), 1)), 2, 2), """")=""""), """", IF($D88=""LONG"", (IFERROR(INDEX(GOOGLEFINANCE($C88, ""price"", WORKDAY(INT($B88), 1)), 2, 2), """")-$G88)/$G88, ($G88-IFERROR(INDEX(GOOGLE"&amp;"FINANCE($C88, ""price"", WORKDAY(INT($B88), 1)), 2, 2), """"))/$G88))"),0.004624577812418739)</f>
        <v>0.004624577812</v>
      </c>
      <c r="R88" s="16" t="str">
        <f>IFERROR(__xludf.DUMMYFUNCTION("IF(OR(ISBLANK($G88), IFERROR(INDEX(GOOGLEFINANCE($C88, ""price"", WORKDAY(INT($B88), 5)), 2, 2), """")=""""), """", IF($D88=""LONG"", (IFERROR(INDEX(GOOGLEFINANCE($C88, ""price"", WORKDAY(INT($B88), 5)), 2, 2), """")-$G88)/$G88, ($G88-IFERROR(INDEX(GOOGLE"&amp;"FINANCE($C88, ""price"", WORKDAY(INT($B88), 5)), 2, 2), """"))/$G88))"),"")</f>
        <v/>
      </c>
      <c r="S88" s="16" t="str">
        <f>IFERROR(__xludf.DUMMYFUNCTION("IF(OR(ISBLANK($G88), IFERROR(INDEX(GOOGLEFINANCE($C88, ""price"", WORKDAY(INT($B88), 20)), 2, 2), """")=""""), """", IF($D88=""LONG"", (IFERROR(INDEX(GOOGLEFINANCE($C88, ""price"", WORKDAY(INT($B88), 20)), 2, 2), """")-$G88)/$G88, ($G88-IFERROR(INDEX(GOOG"&amp;"LEFINANCE($C88, ""price"", WORKDAY(INT($B88), 20)), 2, 2), """"))/$G88))"),"")</f>
        <v/>
      </c>
      <c r="T88" s="10" t="s">
        <v>6412</v>
      </c>
      <c r="U88" s="10" t="s">
        <v>84</v>
      </c>
      <c r="V88" s="10" t="s">
        <v>6413</v>
      </c>
      <c r="W88" s="10" t="s">
        <v>51</v>
      </c>
      <c r="X88" s="10" t="s">
        <v>2309</v>
      </c>
    </row>
    <row r="89">
      <c r="B89" s="43"/>
      <c r="G89" s="15"/>
      <c r="O89" s="15"/>
      <c r="P89" s="16"/>
      <c r="Q89" s="16"/>
      <c r="R89" s="16"/>
      <c r="S89" s="16"/>
      <c r="U89" s="10" t="s">
        <v>545</v>
      </c>
      <c r="V89" s="10" t="s">
        <v>6414</v>
      </c>
      <c r="W89" s="10" t="s">
        <v>51</v>
      </c>
      <c r="X89" s="10" t="s">
        <v>3421</v>
      </c>
    </row>
    <row r="90">
      <c r="B90" s="43"/>
      <c r="G90" s="15"/>
      <c r="O90" s="15"/>
      <c r="P90" s="16"/>
      <c r="Q90" s="16"/>
      <c r="R90" s="16"/>
      <c r="S90" s="16"/>
      <c r="U90" s="10" t="s">
        <v>49</v>
      </c>
      <c r="V90" s="10" t="s">
        <v>6415</v>
      </c>
      <c r="W90" s="10" t="s">
        <v>51</v>
      </c>
      <c r="X90" s="10" t="s">
        <v>3975</v>
      </c>
    </row>
    <row r="91">
      <c r="B91" s="43"/>
      <c r="G91" s="15"/>
      <c r="O91" s="15"/>
      <c r="P91" s="16"/>
      <c r="Q91" s="16"/>
      <c r="R91" s="16"/>
      <c r="S91" s="16"/>
      <c r="U91" s="10" t="s">
        <v>176</v>
      </c>
      <c r="V91" s="10" t="s">
        <v>6416</v>
      </c>
      <c r="W91" s="10" t="s">
        <v>51</v>
      </c>
      <c r="X91" s="10" t="s">
        <v>962</v>
      </c>
    </row>
    <row r="92">
      <c r="B92" s="43"/>
      <c r="G92" s="15"/>
      <c r="O92" s="15"/>
      <c r="P92" s="16"/>
      <c r="Q92" s="16"/>
      <c r="R92" s="16"/>
      <c r="S92" s="16"/>
      <c r="U92" s="10" t="s">
        <v>507</v>
      </c>
      <c r="V92" s="10" t="s">
        <v>6417</v>
      </c>
      <c r="W92" s="10" t="s">
        <v>51</v>
      </c>
      <c r="X92" s="10" t="s">
        <v>2228</v>
      </c>
    </row>
    <row r="93">
      <c r="B93" s="43"/>
      <c r="G93" s="15"/>
      <c r="O93" s="15"/>
      <c r="P93" s="16"/>
      <c r="Q93" s="16"/>
      <c r="R93" s="16"/>
      <c r="S93" s="16"/>
      <c r="U93" s="10" t="s">
        <v>722</v>
      </c>
      <c r="V93" s="10" t="s">
        <v>6418</v>
      </c>
      <c r="W93" s="10" t="s">
        <v>51</v>
      </c>
      <c r="X93" s="10" t="s">
        <v>3433</v>
      </c>
    </row>
    <row r="94">
      <c r="B94" s="43"/>
      <c r="G94" s="15"/>
      <c r="O94" s="15"/>
      <c r="P94" s="16"/>
      <c r="Q94" s="16"/>
      <c r="R94" s="16"/>
      <c r="S94" s="16"/>
      <c r="U94" s="10" t="s">
        <v>984</v>
      </c>
      <c r="V94" s="10" t="s">
        <v>5889</v>
      </c>
      <c r="W94" s="10" t="s">
        <v>51</v>
      </c>
      <c r="X94" s="10" t="s">
        <v>984</v>
      </c>
    </row>
    <row r="95">
      <c r="B95" s="43"/>
      <c r="G95" s="15"/>
      <c r="O95" s="15"/>
      <c r="P95" s="16"/>
      <c r="Q95" s="16"/>
      <c r="R95" s="16"/>
      <c r="S95" s="16"/>
      <c r="U95" s="10" t="s">
        <v>984</v>
      </c>
      <c r="V95" s="10" t="s">
        <v>5889</v>
      </c>
      <c r="W95" s="10" t="s">
        <v>51</v>
      </c>
      <c r="X95" s="10" t="s">
        <v>984</v>
      </c>
    </row>
    <row r="96">
      <c r="B96" s="43"/>
      <c r="G96" s="15"/>
      <c r="O96" s="15"/>
      <c r="P96" s="16"/>
      <c r="Q96" s="16"/>
      <c r="R96" s="16"/>
      <c r="S96" s="16"/>
      <c r="U96" s="10" t="s">
        <v>219</v>
      </c>
      <c r="V96" s="10" t="s">
        <v>6419</v>
      </c>
      <c r="W96" s="10" t="s">
        <v>51</v>
      </c>
      <c r="X96" s="10" t="s">
        <v>974</v>
      </c>
    </row>
    <row r="97">
      <c r="B97" s="43"/>
      <c r="G97" s="15"/>
      <c r="O97" s="15"/>
      <c r="P97" s="16"/>
      <c r="Q97" s="16"/>
      <c r="R97" s="16"/>
      <c r="S97" s="16"/>
      <c r="U97" s="10" t="s">
        <v>984</v>
      </c>
      <c r="V97" s="10" t="s">
        <v>5889</v>
      </c>
      <c r="W97" s="10" t="s">
        <v>51</v>
      </c>
      <c r="X97" s="10" t="s">
        <v>984</v>
      </c>
    </row>
    <row r="98">
      <c r="B98" s="43"/>
      <c r="G98" s="15"/>
      <c r="O98" s="15"/>
      <c r="P98" s="16"/>
      <c r="Q98" s="16"/>
      <c r="R98" s="16"/>
      <c r="S98" s="16"/>
      <c r="U98" s="10" t="s">
        <v>984</v>
      </c>
      <c r="V98" s="10" t="s">
        <v>5889</v>
      </c>
      <c r="W98" s="10" t="s">
        <v>51</v>
      </c>
      <c r="X98" s="10" t="s">
        <v>984</v>
      </c>
    </row>
    <row r="99">
      <c r="B99" s="43"/>
      <c r="G99" s="15"/>
      <c r="O99" s="15"/>
      <c r="P99" s="16"/>
      <c r="Q99" s="16"/>
      <c r="R99" s="16"/>
      <c r="S99" s="16"/>
      <c r="U99" s="10" t="s">
        <v>984</v>
      </c>
      <c r="V99" s="10" t="s">
        <v>5881</v>
      </c>
      <c r="W99" s="10" t="s">
        <v>51</v>
      </c>
      <c r="X99" s="10" t="s">
        <v>984</v>
      </c>
    </row>
    <row r="100">
      <c r="B100" s="43"/>
      <c r="G100" s="15"/>
      <c r="O100" s="15"/>
      <c r="P100" s="16"/>
      <c r="Q100" s="16"/>
      <c r="R100" s="16"/>
      <c r="S100" s="16"/>
      <c r="U100" s="10" t="s">
        <v>492</v>
      </c>
      <c r="V100" s="10" t="s">
        <v>5992</v>
      </c>
      <c r="W100" s="10" t="s">
        <v>51</v>
      </c>
      <c r="X100" s="10" t="s">
        <v>492</v>
      </c>
    </row>
    <row r="101">
      <c r="B101" s="43"/>
      <c r="G101" s="15"/>
      <c r="O101" s="15"/>
      <c r="P101" s="16"/>
      <c r="Q101" s="16"/>
      <c r="R101" s="16"/>
      <c r="S101" s="16"/>
      <c r="U101" s="10" t="s">
        <v>492</v>
      </c>
      <c r="V101" s="10" t="s">
        <v>5992</v>
      </c>
      <c r="W101" s="10" t="s">
        <v>51</v>
      </c>
      <c r="X101" s="10" t="s">
        <v>492</v>
      </c>
    </row>
    <row r="102">
      <c r="B102" s="43"/>
      <c r="G102" s="15"/>
      <c r="O102" s="15"/>
      <c r="P102" s="16"/>
      <c r="Q102" s="16"/>
      <c r="R102" s="16"/>
      <c r="S102" s="16"/>
      <c r="U102" s="10" t="s">
        <v>240</v>
      </c>
      <c r="V102" s="10" t="s">
        <v>6420</v>
      </c>
      <c r="W102" s="10" t="s">
        <v>51</v>
      </c>
      <c r="X102" s="10" t="s">
        <v>1905</v>
      </c>
    </row>
    <row r="103">
      <c r="B103" s="43"/>
      <c r="G103" s="15"/>
      <c r="O103" s="15"/>
      <c r="P103" s="16"/>
      <c r="Q103" s="16"/>
      <c r="R103" s="16"/>
      <c r="S103" s="16"/>
      <c r="U103" s="10" t="s">
        <v>507</v>
      </c>
      <c r="V103" s="10" t="s">
        <v>6421</v>
      </c>
      <c r="W103" s="10" t="s">
        <v>51</v>
      </c>
      <c r="X103" s="10" t="s">
        <v>2228</v>
      </c>
    </row>
    <row r="104">
      <c r="B104" s="43"/>
      <c r="G104" s="15"/>
      <c r="O104" s="15"/>
      <c r="P104" s="16"/>
      <c r="Q104" s="16"/>
      <c r="R104" s="16"/>
      <c r="S104" s="16"/>
      <c r="U104" s="10" t="s">
        <v>176</v>
      </c>
      <c r="V104" s="10" t="s">
        <v>6422</v>
      </c>
      <c r="W104" s="10" t="s">
        <v>51</v>
      </c>
      <c r="X104" s="10" t="s">
        <v>962</v>
      </c>
    </row>
    <row r="105">
      <c r="B105" s="43"/>
      <c r="G105" s="15"/>
      <c r="O105" s="15"/>
      <c r="P105" s="16"/>
      <c r="Q105" s="16"/>
      <c r="R105" s="16"/>
      <c r="S105" s="16"/>
      <c r="U105" s="10" t="s">
        <v>219</v>
      </c>
      <c r="V105" s="10" t="s">
        <v>6423</v>
      </c>
      <c r="W105" s="10" t="s">
        <v>51</v>
      </c>
      <c r="X105" s="10" t="s">
        <v>974</v>
      </c>
    </row>
    <row r="106">
      <c r="B106" s="43"/>
      <c r="G106" s="15"/>
      <c r="O106" s="15"/>
      <c r="P106" s="16"/>
      <c r="Q106" s="16"/>
      <c r="R106" s="16"/>
      <c r="S106" s="16"/>
      <c r="U106" s="10" t="s">
        <v>984</v>
      </c>
      <c r="V106" s="10" t="s">
        <v>5889</v>
      </c>
      <c r="W106" s="10" t="s">
        <v>51</v>
      </c>
      <c r="X106" s="10" t="s">
        <v>984</v>
      </c>
    </row>
    <row r="107">
      <c r="B107" s="43"/>
      <c r="G107" s="15"/>
      <c r="O107" s="15"/>
      <c r="P107" s="16"/>
      <c r="Q107" s="16"/>
      <c r="R107" s="16"/>
      <c r="S107" s="16"/>
      <c r="U107" s="10" t="s">
        <v>984</v>
      </c>
      <c r="V107" s="10" t="s">
        <v>5881</v>
      </c>
      <c r="W107" s="10" t="s">
        <v>51</v>
      </c>
      <c r="X107" s="10" t="s">
        <v>984</v>
      </c>
    </row>
    <row r="108">
      <c r="B108" s="43"/>
      <c r="G108" s="15"/>
      <c r="O108" s="15"/>
      <c r="P108" s="16"/>
      <c r="Q108" s="16"/>
      <c r="R108" s="16"/>
      <c r="S108" s="16"/>
      <c r="U108" s="10" t="s">
        <v>615</v>
      </c>
      <c r="V108" s="10" t="s">
        <v>6424</v>
      </c>
      <c r="W108" s="10" t="s">
        <v>51</v>
      </c>
      <c r="X108" s="10" t="s">
        <v>2637</v>
      </c>
    </row>
    <row r="109">
      <c r="B109" s="43"/>
      <c r="G109" s="15"/>
      <c r="O109" s="15"/>
      <c r="P109" s="16"/>
      <c r="Q109" s="16"/>
      <c r="R109" s="16"/>
      <c r="S109" s="16"/>
      <c r="U109" s="10" t="s">
        <v>984</v>
      </c>
      <c r="V109" s="10" t="s">
        <v>5881</v>
      </c>
      <c r="W109" s="10" t="s">
        <v>51</v>
      </c>
      <c r="X109" s="10" t="s">
        <v>984</v>
      </c>
    </row>
    <row r="110">
      <c r="B110" s="43"/>
      <c r="G110" s="15"/>
      <c r="O110" s="15"/>
      <c r="P110" s="16"/>
      <c r="Q110" s="16"/>
      <c r="R110" s="16"/>
      <c r="S110" s="16"/>
      <c r="U110" s="10" t="s">
        <v>507</v>
      </c>
      <c r="V110" s="10" t="s">
        <v>6425</v>
      </c>
      <c r="W110" s="10" t="s">
        <v>51</v>
      </c>
      <c r="X110" s="10" t="s">
        <v>2228</v>
      </c>
    </row>
    <row r="111">
      <c r="B111" s="43"/>
      <c r="G111" s="15"/>
      <c r="O111" s="15"/>
      <c r="P111" s="16"/>
      <c r="Q111" s="16"/>
      <c r="R111" s="16"/>
      <c r="S111" s="16"/>
      <c r="U111" s="10" t="s">
        <v>984</v>
      </c>
      <c r="V111" s="10" t="s">
        <v>5889</v>
      </c>
      <c r="W111" s="10" t="s">
        <v>51</v>
      </c>
      <c r="X111" s="10" t="s">
        <v>984</v>
      </c>
    </row>
    <row r="112">
      <c r="B112" s="43"/>
      <c r="G112" s="15"/>
      <c r="O112" s="15"/>
      <c r="P112" s="16"/>
      <c r="Q112" s="16"/>
      <c r="R112" s="16"/>
      <c r="S112" s="16"/>
      <c r="U112" s="10" t="s">
        <v>240</v>
      </c>
      <c r="V112" s="10" t="s">
        <v>6426</v>
      </c>
      <c r="W112" s="10" t="s">
        <v>51</v>
      </c>
      <c r="X112" s="10" t="s">
        <v>1905</v>
      </c>
    </row>
    <row r="113">
      <c r="B113" s="43"/>
      <c r="G113" s="15"/>
      <c r="O113" s="15"/>
      <c r="P113" s="16"/>
      <c r="Q113" s="16"/>
      <c r="R113" s="16"/>
      <c r="S113" s="16"/>
      <c r="U113" s="10" t="s">
        <v>240</v>
      </c>
      <c r="V113" s="10" t="s">
        <v>6427</v>
      </c>
      <c r="W113" s="10" t="s">
        <v>51</v>
      </c>
      <c r="X113" s="10" t="s">
        <v>1905</v>
      </c>
    </row>
    <row r="114">
      <c r="B114" s="43"/>
      <c r="G114" s="15"/>
      <c r="O114" s="15"/>
      <c r="P114" s="16"/>
      <c r="Q114" s="16"/>
      <c r="R114" s="16"/>
      <c r="S114" s="16"/>
      <c r="U114" s="10" t="s">
        <v>704</v>
      </c>
      <c r="V114" s="10" t="s">
        <v>6428</v>
      </c>
      <c r="W114" s="10" t="s">
        <v>51</v>
      </c>
      <c r="X114" s="10" t="s">
        <v>1885</v>
      </c>
    </row>
    <row r="115">
      <c r="B115" s="43"/>
      <c r="G115" s="15"/>
      <c r="O115" s="15"/>
      <c r="P115" s="16"/>
      <c r="Q115" s="16"/>
      <c r="R115" s="16"/>
      <c r="S115" s="16"/>
      <c r="U115" s="10" t="s">
        <v>984</v>
      </c>
      <c r="V115" s="10" t="s">
        <v>5889</v>
      </c>
      <c r="W115" s="10" t="s">
        <v>51</v>
      </c>
      <c r="X115" s="10" t="s">
        <v>984</v>
      </c>
    </row>
    <row r="116">
      <c r="B116" s="43"/>
      <c r="G116" s="15"/>
      <c r="O116" s="15"/>
      <c r="P116" s="16"/>
      <c r="Q116" s="16"/>
      <c r="R116" s="16"/>
      <c r="S116" s="16"/>
      <c r="U116" s="10" t="s">
        <v>176</v>
      </c>
      <c r="V116" s="10" t="s">
        <v>6429</v>
      </c>
      <c r="W116" s="10" t="s">
        <v>51</v>
      </c>
      <c r="X116" s="10" t="s">
        <v>962</v>
      </c>
    </row>
    <row r="117">
      <c r="B117" s="43"/>
      <c r="G117" s="15"/>
      <c r="O117" s="15"/>
      <c r="P117" s="16"/>
      <c r="Q117" s="16"/>
      <c r="R117" s="16"/>
      <c r="S117" s="16"/>
      <c r="U117" s="10" t="s">
        <v>176</v>
      </c>
      <c r="V117" s="10" t="s">
        <v>6430</v>
      </c>
      <c r="W117" s="10" t="s">
        <v>51</v>
      </c>
      <c r="X117" s="10" t="s">
        <v>962</v>
      </c>
    </row>
    <row r="118">
      <c r="B118" s="43"/>
      <c r="G118" s="15"/>
      <c r="O118" s="15"/>
      <c r="P118" s="16"/>
      <c r="Q118" s="16"/>
      <c r="R118" s="16"/>
      <c r="S118" s="16"/>
      <c r="U118" s="10" t="s">
        <v>984</v>
      </c>
      <c r="V118" s="10" t="s">
        <v>5889</v>
      </c>
      <c r="W118" s="10" t="s">
        <v>51</v>
      </c>
      <c r="X118" s="10" t="s">
        <v>984</v>
      </c>
    </row>
    <row r="119">
      <c r="B119" s="43"/>
      <c r="G119" s="15"/>
      <c r="O119" s="15"/>
      <c r="P119" s="16"/>
      <c r="Q119" s="16"/>
      <c r="R119" s="16"/>
      <c r="S119" s="16"/>
      <c r="U119" s="10" t="s">
        <v>49</v>
      </c>
      <c r="V119" s="10" t="s">
        <v>6431</v>
      </c>
      <c r="W119" s="10" t="s">
        <v>51</v>
      </c>
      <c r="X119" s="10" t="s">
        <v>3975</v>
      </c>
    </row>
    <row r="120">
      <c r="B120" s="43"/>
      <c r="G120" s="15"/>
      <c r="O120" s="15"/>
      <c r="P120" s="16"/>
      <c r="Q120" s="16"/>
      <c r="R120" s="16"/>
      <c r="S120" s="16"/>
      <c r="U120" s="10" t="s">
        <v>240</v>
      </c>
      <c r="V120" s="10" t="s">
        <v>6432</v>
      </c>
      <c r="W120" s="10" t="s">
        <v>51</v>
      </c>
      <c r="X120" s="10" t="s">
        <v>1905</v>
      </c>
    </row>
    <row r="121">
      <c r="B121" s="43"/>
      <c r="G121" s="15"/>
      <c r="O121" s="15"/>
      <c r="P121" s="16"/>
      <c r="Q121" s="16"/>
      <c r="R121" s="16"/>
      <c r="S121" s="16"/>
      <c r="U121" s="10" t="s">
        <v>84</v>
      </c>
      <c r="V121" s="10" t="s">
        <v>6433</v>
      </c>
      <c r="W121" s="10" t="s">
        <v>51</v>
      </c>
      <c r="X121" s="10" t="s">
        <v>2309</v>
      </c>
    </row>
    <row r="122">
      <c r="B122" s="43"/>
      <c r="G122" s="15"/>
      <c r="O122" s="15"/>
      <c r="P122" s="16"/>
      <c r="Q122" s="16"/>
      <c r="R122" s="16"/>
      <c r="S122" s="16"/>
      <c r="U122" s="10" t="s">
        <v>49</v>
      </c>
      <c r="V122" s="10" t="s">
        <v>6434</v>
      </c>
      <c r="W122" s="10" t="s">
        <v>51</v>
      </c>
      <c r="X122" s="10" t="s">
        <v>3975</v>
      </c>
    </row>
    <row r="123">
      <c r="B123" s="43"/>
      <c r="G123" s="15"/>
      <c r="O123" s="15"/>
      <c r="P123" s="16"/>
      <c r="Q123" s="16"/>
      <c r="R123" s="16"/>
      <c r="S123" s="16"/>
      <c r="U123" s="10" t="s">
        <v>984</v>
      </c>
      <c r="V123" s="10" t="s">
        <v>5889</v>
      </c>
      <c r="W123" s="10" t="s">
        <v>51</v>
      </c>
      <c r="X123" s="10" t="s">
        <v>984</v>
      </c>
    </row>
    <row r="124">
      <c r="B124" s="43"/>
      <c r="G124" s="15"/>
      <c r="O124" s="15"/>
      <c r="P124" s="16"/>
      <c r="Q124" s="16"/>
      <c r="R124" s="16"/>
      <c r="S124" s="16"/>
      <c r="U124" s="10" t="s">
        <v>984</v>
      </c>
      <c r="V124" s="10" t="s">
        <v>5889</v>
      </c>
      <c r="W124" s="10" t="s">
        <v>51</v>
      </c>
      <c r="X124" s="10" t="s">
        <v>984</v>
      </c>
    </row>
    <row r="125">
      <c r="B125" s="43"/>
      <c r="G125" s="15"/>
      <c r="O125" s="15"/>
      <c r="P125" s="16"/>
      <c r="Q125" s="16"/>
      <c r="R125" s="16"/>
      <c r="S125" s="16"/>
      <c r="U125" s="10" t="s">
        <v>49</v>
      </c>
      <c r="V125" s="10" t="s">
        <v>6435</v>
      </c>
      <c r="W125" s="10" t="s">
        <v>51</v>
      </c>
      <c r="X125" s="10" t="s">
        <v>3975</v>
      </c>
    </row>
    <row r="126">
      <c r="B126" s="43"/>
      <c r="G126" s="15"/>
      <c r="O126" s="15"/>
      <c r="P126" s="16"/>
      <c r="Q126" s="16"/>
      <c r="R126" s="16"/>
      <c r="S126" s="16"/>
      <c r="U126" s="10" t="s">
        <v>984</v>
      </c>
      <c r="V126" s="10" t="s">
        <v>5889</v>
      </c>
      <c r="W126" s="10" t="s">
        <v>51</v>
      </c>
      <c r="X126" s="10" t="s">
        <v>984</v>
      </c>
    </row>
    <row r="127">
      <c r="B127" s="43"/>
      <c r="G127" s="15"/>
      <c r="O127" s="15"/>
      <c r="P127" s="16"/>
      <c r="Q127" s="16"/>
      <c r="R127" s="16"/>
      <c r="S127" s="16"/>
      <c r="U127" s="10" t="s">
        <v>240</v>
      </c>
      <c r="V127" s="10" t="s">
        <v>6436</v>
      </c>
      <c r="W127" s="10" t="s">
        <v>51</v>
      </c>
      <c r="X127" s="10" t="s">
        <v>1905</v>
      </c>
    </row>
    <row r="128">
      <c r="B128" s="43"/>
      <c r="G128" s="15"/>
      <c r="O128" s="15"/>
      <c r="P128" s="16"/>
      <c r="Q128" s="16"/>
      <c r="R128" s="16"/>
      <c r="S128" s="16"/>
      <c r="U128" s="10" t="s">
        <v>49</v>
      </c>
      <c r="V128" s="10" t="s">
        <v>6437</v>
      </c>
      <c r="W128" s="10" t="s">
        <v>51</v>
      </c>
      <c r="X128" s="10" t="s">
        <v>3975</v>
      </c>
    </row>
    <row r="129">
      <c r="B129" s="43"/>
      <c r="G129" s="15"/>
      <c r="O129" s="15"/>
      <c r="P129" s="16"/>
      <c r="Q129" s="16"/>
      <c r="R129" s="16"/>
      <c r="S129" s="16"/>
      <c r="U129" s="10" t="s">
        <v>984</v>
      </c>
      <c r="V129" s="10" t="s">
        <v>5889</v>
      </c>
      <c r="W129" s="10" t="s">
        <v>51</v>
      </c>
      <c r="X129" s="10" t="s">
        <v>984</v>
      </c>
    </row>
    <row r="130">
      <c r="B130" s="43"/>
      <c r="G130" s="15"/>
      <c r="O130" s="15"/>
      <c r="P130" s="16"/>
      <c r="Q130" s="16"/>
      <c r="R130" s="16"/>
      <c r="S130" s="16"/>
      <c r="U130" s="10" t="s">
        <v>984</v>
      </c>
      <c r="V130" s="10" t="s">
        <v>5881</v>
      </c>
      <c r="W130" s="10" t="s">
        <v>51</v>
      </c>
      <c r="X130" s="10" t="s">
        <v>984</v>
      </c>
    </row>
    <row r="131">
      <c r="B131" s="43"/>
      <c r="G131" s="15"/>
      <c r="O131" s="15"/>
      <c r="P131" s="16"/>
      <c r="Q131" s="16"/>
      <c r="R131" s="16"/>
      <c r="S131" s="16"/>
      <c r="U131" s="10" t="s">
        <v>984</v>
      </c>
      <c r="V131" s="10" t="s">
        <v>5889</v>
      </c>
      <c r="W131" s="10" t="s">
        <v>51</v>
      </c>
      <c r="X131" s="10" t="s">
        <v>984</v>
      </c>
    </row>
    <row r="132">
      <c r="B132" s="43"/>
      <c r="G132" s="15"/>
      <c r="O132" s="15"/>
      <c r="P132" s="16"/>
      <c r="Q132" s="16"/>
      <c r="R132" s="16"/>
      <c r="S132" s="16"/>
      <c r="U132" s="10" t="s">
        <v>615</v>
      </c>
      <c r="V132" s="10" t="s">
        <v>6438</v>
      </c>
      <c r="W132" s="10" t="s">
        <v>51</v>
      </c>
      <c r="X132" s="10" t="s">
        <v>2637</v>
      </c>
    </row>
    <row r="133">
      <c r="B133" s="43"/>
      <c r="G133" s="15"/>
      <c r="O133" s="15"/>
      <c r="P133" s="16"/>
      <c r="Q133" s="16"/>
      <c r="R133" s="16"/>
      <c r="S133" s="16"/>
      <c r="U133" s="10" t="s">
        <v>984</v>
      </c>
      <c r="V133" s="10" t="s">
        <v>5881</v>
      </c>
      <c r="W133" s="10" t="s">
        <v>51</v>
      </c>
      <c r="X133" s="10" t="s">
        <v>984</v>
      </c>
    </row>
    <row r="134">
      <c r="B134" s="43"/>
      <c r="G134" s="15"/>
      <c r="O134" s="15"/>
      <c r="P134" s="16"/>
      <c r="Q134" s="16"/>
      <c r="R134" s="16"/>
      <c r="S134" s="16"/>
      <c r="U134" s="10" t="s">
        <v>615</v>
      </c>
      <c r="V134" s="10" t="s">
        <v>6439</v>
      </c>
      <c r="W134" s="10" t="s">
        <v>51</v>
      </c>
      <c r="X134" s="10" t="s">
        <v>2637</v>
      </c>
    </row>
    <row r="135">
      <c r="B135" s="43"/>
      <c r="G135" s="15"/>
      <c r="O135" s="15"/>
      <c r="P135" s="16"/>
      <c r="Q135" s="16"/>
      <c r="R135" s="16"/>
      <c r="S135" s="16"/>
      <c r="U135" s="10" t="s">
        <v>984</v>
      </c>
      <c r="V135" s="10" t="s">
        <v>5881</v>
      </c>
      <c r="W135" s="10" t="s">
        <v>51</v>
      </c>
      <c r="X135" s="10" t="s">
        <v>984</v>
      </c>
    </row>
    <row r="136">
      <c r="B136" s="43"/>
      <c r="G136" s="15"/>
      <c r="O136" s="15"/>
      <c r="P136" s="16"/>
      <c r="Q136" s="16"/>
      <c r="R136" s="16"/>
      <c r="S136" s="16"/>
      <c r="U136" s="10" t="s">
        <v>176</v>
      </c>
      <c r="V136" s="10" t="s">
        <v>6440</v>
      </c>
      <c r="W136" s="10" t="s">
        <v>51</v>
      </c>
      <c r="X136" s="10" t="s">
        <v>962</v>
      </c>
    </row>
    <row r="137">
      <c r="B137" s="43"/>
      <c r="G137" s="15"/>
      <c r="O137" s="15"/>
      <c r="P137" s="16"/>
      <c r="Q137" s="16"/>
      <c r="R137" s="16"/>
      <c r="S137" s="16"/>
      <c r="U137" s="10" t="s">
        <v>240</v>
      </c>
      <c r="V137" s="10" t="s">
        <v>6441</v>
      </c>
      <c r="W137" s="10" t="s">
        <v>51</v>
      </c>
      <c r="X137" s="10" t="s">
        <v>1905</v>
      </c>
    </row>
    <row r="138">
      <c r="B138" s="43"/>
      <c r="G138" s="15"/>
      <c r="O138" s="15"/>
      <c r="P138" s="16"/>
      <c r="Q138" s="16"/>
      <c r="R138" s="16"/>
      <c r="S138" s="16"/>
      <c r="U138" s="10" t="s">
        <v>615</v>
      </c>
      <c r="V138" s="10" t="s">
        <v>6442</v>
      </c>
      <c r="W138" s="10" t="s">
        <v>51</v>
      </c>
      <c r="X138" s="10" t="s">
        <v>2637</v>
      </c>
    </row>
    <row r="139">
      <c r="B139" s="43"/>
      <c r="G139" s="15"/>
      <c r="O139" s="15"/>
      <c r="P139" s="16"/>
      <c r="Q139" s="16"/>
      <c r="R139" s="16"/>
      <c r="S139" s="16"/>
      <c r="U139" s="10" t="s">
        <v>984</v>
      </c>
      <c r="V139" s="10" t="s">
        <v>5881</v>
      </c>
      <c r="W139" s="10" t="s">
        <v>51</v>
      </c>
      <c r="X139" s="10" t="s">
        <v>984</v>
      </c>
    </row>
    <row r="140">
      <c r="B140" s="43"/>
      <c r="G140" s="15"/>
      <c r="O140" s="15"/>
      <c r="P140" s="16"/>
      <c r="Q140" s="16"/>
      <c r="R140" s="16"/>
      <c r="S140" s="16"/>
      <c r="U140" s="10" t="s">
        <v>492</v>
      </c>
      <c r="V140" s="10" t="s">
        <v>5992</v>
      </c>
      <c r="W140" s="10" t="s">
        <v>51</v>
      </c>
      <c r="X140" s="10" t="s">
        <v>492</v>
      </c>
    </row>
    <row r="141">
      <c r="B141" s="43"/>
      <c r="G141" s="15"/>
      <c r="O141" s="15"/>
      <c r="P141" s="16"/>
      <c r="Q141" s="16"/>
      <c r="R141" s="16"/>
      <c r="S141" s="16"/>
      <c r="U141" s="10" t="s">
        <v>176</v>
      </c>
      <c r="V141" s="10" t="s">
        <v>6443</v>
      </c>
      <c r="W141" s="10" t="s">
        <v>51</v>
      </c>
      <c r="X141" s="10" t="s">
        <v>962</v>
      </c>
    </row>
    <row r="142">
      <c r="B142" s="43"/>
      <c r="G142" s="15"/>
      <c r="O142" s="15"/>
      <c r="P142" s="16"/>
      <c r="Q142" s="16"/>
      <c r="R142" s="16"/>
      <c r="S142" s="16"/>
      <c r="U142" s="10" t="s">
        <v>984</v>
      </c>
      <c r="V142" s="10" t="s">
        <v>5881</v>
      </c>
      <c r="W142" s="10" t="s">
        <v>51</v>
      </c>
      <c r="X142" s="10" t="s">
        <v>984</v>
      </c>
    </row>
    <row r="143">
      <c r="B143" s="43"/>
      <c r="G143" s="15"/>
      <c r="O143" s="15"/>
      <c r="P143" s="16"/>
      <c r="Q143" s="16"/>
      <c r="R143" s="16"/>
      <c r="S143" s="16"/>
      <c r="U143" s="10" t="s">
        <v>984</v>
      </c>
      <c r="V143" s="10" t="s">
        <v>5889</v>
      </c>
      <c r="W143" s="10" t="s">
        <v>51</v>
      </c>
      <c r="X143" s="10" t="s">
        <v>984</v>
      </c>
    </row>
    <row r="144">
      <c r="B144" s="43"/>
      <c r="G144" s="15"/>
      <c r="O144" s="15"/>
      <c r="P144" s="16"/>
      <c r="Q144" s="16"/>
      <c r="R144" s="16"/>
      <c r="S144" s="16"/>
      <c r="U144" s="10" t="s">
        <v>84</v>
      </c>
      <c r="V144" s="10" t="s">
        <v>6444</v>
      </c>
      <c r="W144" s="10" t="s">
        <v>51</v>
      </c>
      <c r="X144" s="10" t="s">
        <v>2309</v>
      </c>
    </row>
    <row r="145">
      <c r="B145" s="43"/>
      <c r="G145" s="15"/>
      <c r="O145" s="15"/>
      <c r="P145" s="16"/>
      <c r="Q145" s="16"/>
      <c r="R145" s="16"/>
      <c r="S145" s="16"/>
      <c r="U145" s="10" t="s">
        <v>507</v>
      </c>
      <c r="V145" s="10" t="s">
        <v>6445</v>
      </c>
      <c r="W145" s="10" t="s">
        <v>51</v>
      </c>
      <c r="X145" s="10" t="s">
        <v>2228</v>
      </c>
    </row>
    <row r="146">
      <c r="B146" s="43"/>
      <c r="G146" s="15"/>
      <c r="O146" s="15"/>
      <c r="P146" s="16"/>
      <c r="Q146" s="16"/>
      <c r="R146" s="16"/>
      <c r="S146" s="16"/>
      <c r="U146" s="10" t="s">
        <v>984</v>
      </c>
      <c r="V146" s="10" t="s">
        <v>5889</v>
      </c>
      <c r="W146" s="10" t="s">
        <v>51</v>
      </c>
      <c r="X146" s="10" t="s">
        <v>984</v>
      </c>
    </row>
    <row r="147">
      <c r="B147" s="43"/>
      <c r="G147" s="15"/>
      <c r="O147" s="15"/>
      <c r="P147" s="16"/>
      <c r="Q147" s="16"/>
      <c r="R147" s="16"/>
      <c r="S147" s="16"/>
      <c r="U147" s="10" t="s">
        <v>984</v>
      </c>
      <c r="V147" s="10" t="s">
        <v>5881</v>
      </c>
      <c r="W147" s="10" t="s">
        <v>51</v>
      </c>
      <c r="X147" s="10" t="s">
        <v>984</v>
      </c>
    </row>
    <row r="148">
      <c r="B148" s="43"/>
      <c r="G148" s="15"/>
      <c r="O148" s="15"/>
      <c r="P148" s="16"/>
      <c r="Q148" s="16"/>
      <c r="R148" s="16"/>
      <c r="S148" s="16"/>
      <c r="U148" s="10" t="s">
        <v>507</v>
      </c>
      <c r="V148" s="10" t="s">
        <v>6446</v>
      </c>
      <c r="W148" s="10" t="s">
        <v>51</v>
      </c>
      <c r="X148" s="10" t="s">
        <v>2228</v>
      </c>
    </row>
    <row r="149">
      <c r="B149" s="43"/>
      <c r="G149" s="15"/>
      <c r="O149" s="15"/>
      <c r="P149" s="16"/>
      <c r="Q149" s="16"/>
      <c r="R149" s="16"/>
      <c r="S149" s="16"/>
      <c r="U149" s="10" t="s">
        <v>704</v>
      </c>
      <c r="V149" s="10" t="s">
        <v>6447</v>
      </c>
      <c r="W149" s="10" t="s">
        <v>51</v>
      </c>
      <c r="X149" s="10" t="s">
        <v>1885</v>
      </c>
    </row>
    <row r="150">
      <c r="B150" s="43"/>
      <c r="G150" s="15"/>
      <c r="O150" s="15"/>
      <c r="P150" s="16"/>
      <c r="Q150" s="16"/>
      <c r="R150" s="16"/>
      <c r="S150" s="16"/>
      <c r="U150" s="10" t="s">
        <v>507</v>
      </c>
      <c r="V150" s="10" t="s">
        <v>6448</v>
      </c>
      <c r="W150" s="10" t="s">
        <v>51</v>
      </c>
      <c r="X150" s="10" t="s">
        <v>2228</v>
      </c>
    </row>
    <row r="151">
      <c r="B151" s="43"/>
      <c r="G151" s="15"/>
      <c r="O151" s="15"/>
      <c r="P151" s="16"/>
      <c r="Q151" s="16"/>
      <c r="R151" s="16"/>
      <c r="S151" s="16"/>
      <c r="U151" s="10" t="s">
        <v>704</v>
      </c>
      <c r="V151" s="10" t="s">
        <v>6449</v>
      </c>
      <c r="W151" s="10" t="s">
        <v>51</v>
      </c>
      <c r="X151" s="10" t="s">
        <v>1885</v>
      </c>
    </row>
    <row r="152">
      <c r="B152" s="43"/>
      <c r="G152" s="15"/>
      <c r="O152" s="15"/>
      <c r="P152" s="16"/>
      <c r="Q152" s="16"/>
      <c r="R152" s="16"/>
      <c r="S152" s="16"/>
      <c r="U152" s="10" t="s">
        <v>615</v>
      </c>
      <c r="V152" s="10" t="s">
        <v>6450</v>
      </c>
      <c r="W152" s="10" t="s">
        <v>51</v>
      </c>
      <c r="X152" s="10" t="s">
        <v>2637</v>
      </c>
    </row>
    <row r="153">
      <c r="B153" s="43"/>
      <c r="G153" s="15"/>
      <c r="O153" s="15"/>
      <c r="P153" s="16"/>
      <c r="Q153" s="16"/>
      <c r="R153" s="16"/>
      <c r="S153" s="16"/>
      <c r="U153" s="10" t="s">
        <v>492</v>
      </c>
      <c r="V153" s="10" t="s">
        <v>493</v>
      </c>
      <c r="W153" s="10" t="s">
        <v>51</v>
      </c>
      <c r="X153" s="10" t="s">
        <v>492</v>
      </c>
    </row>
    <row r="154">
      <c r="B154" s="43"/>
      <c r="G154" s="15"/>
      <c r="O154" s="15"/>
      <c r="P154" s="16"/>
      <c r="Q154" s="16"/>
      <c r="R154" s="16"/>
      <c r="S154" s="16"/>
      <c r="U154" s="10" t="s">
        <v>984</v>
      </c>
      <c r="V154" s="10" t="s">
        <v>5889</v>
      </c>
      <c r="W154" s="10" t="s">
        <v>51</v>
      </c>
      <c r="X154" s="10" t="s">
        <v>984</v>
      </c>
    </row>
    <row r="155">
      <c r="B155" s="43"/>
      <c r="G155" s="15"/>
      <c r="O155" s="15"/>
      <c r="P155" s="16"/>
      <c r="Q155" s="16"/>
      <c r="R155" s="16"/>
      <c r="S155" s="16"/>
      <c r="U155" s="10" t="s">
        <v>492</v>
      </c>
      <c r="V155" s="10" t="s">
        <v>6234</v>
      </c>
      <c r="W155" s="10" t="s">
        <v>51</v>
      </c>
      <c r="X155" s="10" t="s">
        <v>492</v>
      </c>
    </row>
    <row r="156">
      <c r="B156" s="43"/>
      <c r="G156" s="15"/>
      <c r="O156" s="15"/>
      <c r="P156" s="16"/>
      <c r="Q156" s="16"/>
      <c r="R156" s="16"/>
      <c r="S156" s="16"/>
      <c r="U156" s="10" t="s">
        <v>984</v>
      </c>
      <c r="V156" s="10" t="s">
        <v>5881</v>
      </c>
      <c r="W156" s="10" t="s">
        <v>51</v>
      </c>
      <c r="X156" s="10" t="s">
        <v>984</v>
      </c>
    </row>
    <row r="157">
      <c r="B157" s="43"/>
      <c r="G157" s="15"/>
      <c r="O157" s="15"/>
      <c r="P157" s="16"/>
      <c r="Q157" s="16"/>
      <c r="R157" s="16"/>
      <c r="S157" s="16"/>
      <c r="U157" s="10" t="s">
        <v>84</v>
      </c>
      <c r="V157" s="10" t="s">
        <v>6451</v>
      </c>
      <c r="W157" s="10" t="s">
        <v>51</v>
      </c>
      <c r="X157" s="10" t="s">
        <v>2309</v>
      </c>
    </row>
    <row r="158">
      <c r="B158" s="43"/>
      <c r="G158" s="15"/>
      <c r="O158" s="15"/>
      <c r="P158" s="16"/>
      <c r="Q158" s="16"/>
      <c r="R158" s="16"/>
      <c r="S158" s="16"/>
      <c r="U158" s="10" t="s">
        <v>507</v>
      </c>
      <c r="V158" s="10" t="s">
        <v>6452</v>
      </c>
      <c r="W158" s="10" t="s">
        <v>51</v>
      </c>
      <c r="X158" s="10" t="s">
        <v>2228</v>
      </c>
    </row>
    <row r="159">
      <c r="B159" s="43"/>
      <c r="G159" s="15"/>
      <c r="O159" s="15"/>
      <c r="P159" s="16"/>
      <c r="Q159" s="16"/>
      <c r="R159" s="16"/>
      <c r="S159" s="16"/>
      <c r="U159" s="10" t="s">
        <v>507</v>
      </c>
      <c r="V159" s="10" t="s">
        <v>6453</v>
      </c>
      <c r="W159" s="10" t="s">
        <v>51</v>
      </c>
      <c r="X159" s="10" t="s">
        <v>2228</v>
      </c>
    </row>
    <row r="160">
      <c r="B160" s="43"/>
      <c r="G160" s="15"/>
      <c r="O160" s="15"/>
      <c r="P160" s="16"/>
      <c r="Q160" s="16"/>
      <c r="R160" s="16"/>
      <c r="S160" s="16"/>
      <c r="U160" s="10" t="s">
        <v>615</v>
      </c>
      <c r="V160" s="10" t="s">
        <v>6454</v>
      </c>
      <c r="W160" s="10" t="s">
        <v>51</v>
      </c>
      <c r="X160" s="10" t="s">
        <v>2637</v>
      </c>
    </row>
    <row r="161">
      <c r="B161" s="43"/>
      <c r="G161" s="15"/>
      <c r="O161" s="15"/>
      <c r="P161" s="16"/>
      <c r="Q161" s="16"/>
      <c r="R161" s="16"/>
      <c r="S161" s="16"/>
      <c r="U161" s="10" t="s">
        <v>507</v>
      </c>
      <c r="V161" s="10" t="s">
        <v>6455</v>
      </c>
      <c r="W161" s="10" t="s">
        <v>51</v>
      </c>
      <c r="X161" s="10" t="s">
        <v>2228</v>
      </c>
    </row>
    <row r="162">
      <c r="B162" s="43"/>
      <c r="G162" s="15"/>
      <c r="O162" s="15"/>
      <c r="P162" s="16"/>
      <c r="Q162" s="16"/>
      <c r="R162" s="16"/>
      <c r="S162" s="16"/>
      <c r="U162" s="10" t="s">
        <v>240</v>
      </c>
      <c r="V162" s="10" t="s">
        <v>6456</v>
      </c>
      <c r="W162" s="10" t="s">
        <v>51</v>
      </c>
      <c r="X162" s="10" t="s">
        <v>1905</v>
      </c>
    </row>
    <row r="163">
      <c r="B163" s="43"/>
      <c r="G163" s="15"/>
      <c r="O163" s="15"/>
      <c r="P163" s="16"/>
      <c r="Q163" s="16"/>
      <c r="R163" s="16"/>
      <c r="S163" s="16"/>
      <c r="U163" s="10" t="s">
        <v>615</v>
      </c>
      <c r="V163" s="10" t="s">
        <v>6457</v>
      </c>
      <c r="W163" s="10" t="s">
        <v>51</v>
      </c>
      <c r="X163" s="10" t="s">
        <v>2637</v>
      </c>
    </row>
    <row r="164">
      <c r="B164" s="43"/>
      <c r="G164" s="15"/>
      <c r="O164" s="15"/>
      <c r="P164" s="16"/>
      <c r="Q164" s="16"/>
      <c r="R164" s="16"/>
      <c r="S164" s="16"/>
      <c r="U164" s="10" t="s">
        <v>984</v>
      </c>
      <c r="V164" s="10" t="s">
        <v>5889</v>
      </c>
      <c r="W164" s="10" t="s">
        <v>51</v>
      </c>
      <c r="X164" s="10" t="s">
        <v>984</v>
      </c>
    </row>
    <row r="165">
      <c r="B165" s="43"/>
      <c r="G165" s="15"/>
      <c r="O165" s="15"/>
      <c r="P165" s="16"/>
      <c r="Q165" s="16"/>
      <c r="R165" s="16"/>
      <c r="S165" s="16"/>
      <c r="U165" s="10" t="s">
        <v>507</v>
      </c>
      <c r="V165" s="10" t="s">
        <v>6458</v>
      </c>
      <c r="W165" s="10" t="s">
        <v>51</v>
      </c>
      <c r="X165" s="10" t="s">
        <v>2228</v>
      </c>
    </row>
    <row r="166">
      <c r="B166" s="43"/>
      <c r="G166" s="15"/>
      <c r="O166" s="15"/>
      <c r="P166" s="16"/>
      <c r="Q166" s="16"/>
      <c r="R166" s="16"/>
      <c r="S166" s="16"/>
      <c r="U166" s="10" t="s">
        <v>507</v>
      </c>
      <c r="V166" s="10" t="s">
        <v>6459</v>
      </c>
      <c r="W166" s="10" t="s">
        <v>51</v>
      </c>
      <c r="X166" s="10" t="s">
        <v>2228</v>
      </c>
    </row>
    <row r="167">
      <c r="B167" s="43"/>
      <c r="G167" s="15"/>
      <c r="O167" s="15"/>
      <c r="P167" s="16"/>
      <c r="Q167" s="16"/>
      <c r="R167" s="16"/>
      <c r="S167" s="16"/>
      <c r="U167" s="10" t="s">
        <v>984</v>
      </c>
      <c r="V167" s="10" t="s">
        <v>5889</v>
      </c>
      <c r="W167" s="10" t="s">
        <v>51</v>
      </c>
      <c r="X167" s="10" t="s">
        <v>984</v>
      </c>
    </row>
    <row r="168">
      <c r="B168" s="43"/>
      <c r="G168" s="15"/>
      <c r="O168" s="15"/>
      <c r="P168" s="16"/>
      <c r="Q168" s="16"/>
      <c r="R168" s="16"/>
      <c r="S168" s="16"/>
      <c r="U168" s="10" t="s">
        <v>219</v>
      </c>
      <c r="V168" s="10" t="s">
        <v>6460</v>
      </c>
      <c r="W168" s="10" t="s">
        <v>51</v>
      </c>
      <c r="X168" s="10" t="s">
        <v>974</v>
      </c>
    </row>
    <row r="169">
      <c r="B169" s="43"/>
      <c r="G169" s="15"/>
      <c r="O169" s="15"/>
      <c r="P169" s="16"/>
      <c r="Q169" s="16"/>
      <c r="R169" s="16"/>
      <c r="S169" s="16"/>
      <c r="U169" s="10" t="s">
        <v>49</v>
      </c>
      <c r="V169" s="10" t="s">
        <v>6461</v>
      </c>
      <c r="W169" s="10" t="s">
        <v>51</v>
      </c>
      <c r="X169" s="10" t="s">
        <v>3975</v>
      </c>
    </row>
    <row r="170">
      <c r="B170" s="43"/>
      <c r="G170" s="15"/>
      <c r="O170" s="15"/>
      <c r="P170" s="16"/>
      <c r="Q170" s="16"/>
      <c r="R170" s="16"/>
      <c r="S170" s="16"/>
      <c r="U170" s="10" t="s">
        <v>984</v>
      </c>
      <c r="V170" s="10" t="s">
        <v>5889</v>
      </c>
      <c r="W170" s="10" t="s">
        <v>51</v>
      </c>
      <c r="X170" s="10" t="s">
        <v>984</v>
      </c>
    </row>
    <row r="171">
      <c r="B171" s="43"/>
      <c r="G171" s="15"/>
      <c r="O171" s="15"/>
      <c r="P171" s="16"/>
      <c r="Q171" s="16"/>
      <c r="R171" s="16"/>
      <c r="S171" s="16"/>
      <c r="U171" s="10" t="s">
        <v>176</v>
      </c>
      <c r="V171" s="10" t="s">
        <v>6462</v>
      </c>
      <c r="W171" s="10" t="s">
        <v>51</v>
      </c>
      <c r="X171" s="10" t="s">
        <v>962</v>
      </c>
    </row>
    <row r="172">
      <c r="B172" s="43"/>
      <c r="G172" s="15"/>
      <c r="O172" s="15"/>
      <c r="P172" s="16"/>
      <c r="Q172" s="16"/>
      <c r="R172" s="16"/>
      <c r="S172" s="16"/>
      <c r="U172" s="10" t="s">
        <v>492</v>
      </c>
      <c r="V172" s="10" t="s">
        <v>6234</v>
      </c>
      <c r="W172" s="10" t="s">
        <v>51</v>
      </c>
      <c r="X172" s="10" t="s">
        <v>492</v>
      </c>
    </row>
    <row r="173">
      <c r="B173" s="43"/>
      <c r="G173" s="15"/>
      <c r="O173" s="15"/>
      <c r="P173" s="16"/>
      <c r="Q173" s="16"/>
      <c r="R173" s="16"/>
      <c r="S173" s="16"/>
      <c r="U173" s="10" t="s">
        <v>984</v>
      </c>
      <c r="V173" s="10" t="s">
        <v>5889</v>
      </c>
      <c r="W173" s="10" t="s">
        <v>51</v>
      </c>
      <c r="X173" s="10" t="s">
        <v>984</v>
      </c>
    </row>
    <row r="174">
      <c r="B174" s="43"/>
      <c r="G174" s="15"/>
      <c r="O174" s="15"/>
      <c r="P174" s="16"/>
      <c r="Q174" s="16"/>
      <c r="R174" s="16"/>
      <c r="S174" s="16"/>
      <c r="U174" s="10" t="s">
        <v>219</v>
      </c>
      <c r="V174" s="10" t="s">
        <v>6463</v>
      </c>
      <c r="W174" s="10" t="s">
        <v>51</v>
      </c>
      <c r="X174" s="10" t="s">
        <v>974</v>
      </c>
    </row>
    <row r="175">
      <c r="B175" s="43"/>
      <c r="G175" s="15"/>
      <c r="O175" s="15"/>
      <c r="P175" s="16"/>
      <c r="Q175" s="16"/>
      <c r="R175" s="16"/>
      <c r="S175" s="16"/>
      <c r="U175" s="10" t="s">
        <v>49</v>
      </c>
      <c r="V175" s="10" t="s">
        <v>6464</v>
      </c>
      <c r="W175" s="10" t="s">
        <v>51</v>
      </c>
      <c r="X175" s="10" t="s">
        <v>3975</v>
      </c>
    </row>
    <row r="176">
      <c r="B176" s="43"/>
      <c r="G176" s="15"/>
      <c r="O176" s="15"/>
      <c r="P176" s="16"/>
      <c r="Q176" s="16"/>
      <c r="R176" s="16"/>
      <c r="S176" s="16"/>
      <c r="U176" s="10" t="s">
        <v>240</v>
      </c>
      <c r="V176" s="10" t="s">
        <v>6465</v>
      </c>
      <c r="W176" s="10" t="s">
        <v>51</v>
      </c>
      <c r="X176" s="10" t="s">
        <v>1905</v>
      </c>
    </row>
    <row r="177">
      <c r="B177" s="43"/>
      <c r="G177" s="15"/>
      <c r="O177" s="15"/>
      <c r="P177" s="16"/>
      <c r="Q177" s="16"/>
      <c r="R177" s="16"/>
      <c r="S177" s="16"/>
      <c r="U177" s="10" t="s">
        <v>545</v>
      </c>
      <c r="V177" s="10" t="s">
        <v>6466</v>
      </c>
      <c r="W177" s="10" t="s">
        <v>51</v>
      </c>
      <c r="X177" s="10" t="s">
        <v>3421</v>
      </c>
    </row>
    <row r="178">
      <c r="B178" s="43"/>
      <c r="G178" s="15"/>
      <c r="O178" s="15"/>
      <c r="P178" s="16"/>
      <c r="Q178" s="16"/>
      <c r="R178" s="16"/>
      <c r="S178" s="16"/>
      <c r="U178" s="10" t="s">
        <v>984</v>
      </c>
      <c r="V178" s="10" t="s">
        <v>5881</v>
      </c>
      <c r="W178" s="10" t="s">
        <v>51</v>
      </c>
      <c r="X178" s="10" t="s">
        <v>984</v>
      </c>
    </row>
    <row r="179">
      <c r="B179" s="43"/>
      <c r="G179" s="15"/>
      <c r="O179" s="15"/>
      <c r="P179" s="16"/>
      <c r="Q179" s="16"/>
      <c r="R179" s="16"/>
      <c r="S179" s="16"/>
      <c r="U179" s="10" t="s">
        <v>507</v>
      </c>
      <c r="V179" s="10" t="s">
        <v>6467</v>
      </c>
      <c r="W179" s="10" t="s">
        <v>51</v>
      </c>
      <c r="X179" s="10" t="s">
        <v>2228</v>
      </c>
    </row>
    <row r="180">
      <c r="B180" s="43"/>
      <c r="G180" s="15"/>
      <c r="O180" s="15"/>
      <c r="P180" s="16"/>
      <c r="Q180" s="16"/>
      <c r="R180" s="16"/>
      <c r="S180" s="16"/>
      <c r="U180" s="10" t="s">
        <v>615</v>
      </c>
      <c r="V180" s="10" t="s">
        <v>6468</v>
      </c>
      <c r="W180" s="10" t="s">
        <v>51</v>
      </c>
      <c r="X180" s="10" t="s">
        <v>2637</v>
      </c>
    </row>
    <row r="181">
      <c r="B181" s="43"/>
      <c r="G181" s="15"/>
      <c r="O181" s="15"/>
      <c r="P181" s="16"/>
      <c r="Q181" s="16"/>
      <c r="R181" s="16"/>
      <c r="S181" s="16"/>
      <c r="U181" s="10" t="s">
        <v>507</v>
      </c>
      <c r="V181" s="10" t="s">
        <v>6469</v>
      </c>
      <c r="W181" s="10" t="s">
        <v>51</v>
      </c>
      <c r="X181" s="10" t="s">
        <v>2228</v>
      </c>
    </row>
    <row r="182">
      <c r="B182" s="43"/>
      <c r="G182" s="15"/>
      <c r="O182" s="15"/>
      <c r="P182" s="16"/>
      <c r="Q182" s="16"/>
      <c r="R182" s="16"/>
      <c r="S182" s="16"/>
      <c r="U182" s="10" t="s">
        <v>984</v>
      </c>
      <c r="V182" s="10" t="s">
        <v>5881</v>
      </c>
      <c r="W182" s="10" t="s">
        <v>51</v>
      </c>
      <c r="X182" s="10" t="s">
        <v>984</v>
      </c>
    </row>
    <row r="183">
      <c r="B183" s="43"/>
      <c r="G183" s="15"/>
      <c r="O183" s="15"/>
      <c r="P183" s="16"/>
      <c r="Q183" s="16"/>
      <c r="R183" s="16"/>
      <c r="S183" s="16"/>
      <c r="U183" s="10" t="s">
        <v>984</v>
      </c>
      <c r="V183" s="10" t="s">
        <v>5889</v>
      </c>
      <c r="W183" s="10" t="s">
        <v>51</v>
      </c>
      <c r="X183" s="10" t="s">
        <v>984</v>
      </c>
    </row>
    <row r="184">
      <c r="B184" s="43"/>
      <c r="G184" s="15"/>
      <c r="O184" s="15"/>
      <c r="P184" s="16"/>
      <c r="Q184" s="16"/>
      <c r="R184" s="16"/>
      <c r="S184" s="16"/>
      <c r="U184" s="10" t="s">
        <v>84</v>
      </c>
      <c r="V184" s="10" t="s">
        <v>6470</v>
      </c>
      <c r="W184" s="10" t="s">
        <v>51</v>
      </c>
      <c r="X184" s="10" t="s">
        <v>2309</v>
      </c>
    </row>
    <row r="185">
      <c r="B185" s="43"/>
      <c r="G185" s="15"/>
      <c r="O185" s="15"/>
      <c r="P185" s="16"/>
      <c r="Q185" s="16"/>
      <c r="R185" s="16"/>
      <c r="S185" s="16"/>
      <c r="U185" s="10" t="s">
        <v>615</v>
      </c>
      <c r="V185" s="10" t="s">
        <v>6471</v>
      </c>
      <c r="W185" s="10" t="s">
        <v>51</v>
      </c>
      <c r="X185" s="10" t="s">
        <v>2637</v>
      </c>
    </row>
    <row r="186">
      <c r="B186" s="43"/>
      <c r="G186" s="15"/>
      <c r="O186" s="15"/>
      <c r="P186" s="16"/>
      <c r="Q186" s="16"/>
      <c r="R186" s="16"/>
      <c r="S186" s="16"/>
      <c r="U186" s="10" t="s">
        <v>49</v>
      </c>
      <c r="V186" s="10" t="s">
        <v>6472</v>
      </c>
      <c r="W186" s="10" t="s">
        <v>51</v>
      </c>
      <c r="X186" s="10" t="s">
        <v>3975</v>
      </c>
    </row>
    <row r="187">
      <c r="B187" s="43"/>
      <c r="G187" s="15"/>
      <c r="O187" s="15"/>
      <c r="P187" s="16"/>
      <c r="Q187" s="16"/>
      <c r="R187" s="16"/>
      <c r="S187" s="16"/>
      <c r="U187" s="10" t="s">
        <v>984</v>
      </c>
      <c r="V187" s="10" t="s">
        <v>5881</v>
      </c>
      <c r="W187" s="10" t="s">
        <v>51</v>
      </c>
      <c r="X187" s="10" t="s">
        <v>984</v>
      </c>
    </row>
    <row r="188">
      <c r="B188" s="43"/>
      <c r="G188" s="15"/>
      <c r="O188" s="15"/>
      <c r="P188" s="16"/>
      <c r="Q188" s="16"/>
      <c r="R188" s="16"/>
      <c r="S188" s="16"/>
      <c r="U188" s="10" t="s">
        <v>240</v>
      </c>
      <c r="V188" s="10" t="s">
        <v>6473</v>
      </c>
      <c r="W188" s="10" t="s">
        <v>51</v>
      </c>
      <c r="X188" s="10" t="s">
        <v>1905</v>
      </c>
    </row>
    <row r="189">
      <c r="B189" s="43"/>
      <c r="G189" s="15"/>
      <c r="O189" s="15"/>
      <c r="P189" s="16"/>
      <c r="Q189" s="16"/>
      <c r="R189" s="16"/>
      <c r="S189" s="16"/>
      <c r="U189" s="10" t="s">
        <v>84</v>
      </c>
      <c r="V189" s="10" t="s">
        <v>6474</v>
      </c>
      <c r="W189" s="10" t="s">
        <v>51</v>
      </c>
      <c r="X189" s="10" t="s">
        <v>2309</v>
      </c>
    </row>
    <row r="190">
      <c r="B190" s="43"/>
      <c r="G190" s="15"/>
      <c r="O190" s="15"/>
      <c r="P190" s="16"/>
      <c r="Q190" s="16"/>
      <c r="R190" s="16"/>
      <c r="S190" s="16"/>
      <c r="U190" s="10" t="s">
        <v>176</v>
      </c>
      <c r="V190" s="10" t="s">
        <v>6475</v>
      </c>
      <c r="W190" s="10" t="s">
        <v>51</v>
      </c>
      <c r="X190" s="10" t="s">
        <v>962</v>
      </c>
    </row>
    <row r="191">
      <c r="B191" s="43"/>
      <c r="G191" s="15"/>
      <c r="O191" s="15"/>
      <c r="P191" s="16"/>
      <c r="Q191" s="16"/>
      <c r="R191" s="16"/>
      <c r="S191" s="16"/>
      <c r="U191" s="10" t="s">
        <v>176</v>
      </c>
      <c r="V191" s="10" t="s">
        <v>6476</v>
      </c>
      <c r="W191" s="10" t="s">
        <v>51</v>
      </c>
      <c r="X191" s="10" t="s">
        <v>962</v>
      </c>
    </row>
    <row r="192">
      <c r="B192" s="43"/>
      <c r="G192" s="15"/>
      <c r="O192" s="15"/>
      <c r="P192" s="16"/>
      <c r="Q192" s="16"/>
      <c r="R192" s="16"/>
      <c r="S192" s="16"/>
      <c r="U192" s="10" t="s">
        <v>240</v>
      </c>
      <c r="V192" s="10" t="s">
        <v>6477</v>
      </c>
      <c r="W192" s="10" t="s">
        <v>51</v>
      </c>
      <c r="X192" s="10" t="s">
        <v>1905</v>
      </c>
    </row>
    <row r="193">
      <c r="B193" s="43"/>
      <c r="G193" s="15"/>
      <c r="O193" s="15"/>
      <c r="P193" s="16"/>
      <c r="Q193" s="16"/>
      <c r="R193" s="16"/>
      <c r="S193" s="16"/>
      <c r="U193" s="10" t="s">
        <v>615</v>
      </c>
      <c r="V193" s="10" t="s">
        <v>6478</v>
      </c>
      <c r="W193" s="10" t="s">
        <v>51</v>
      </c>
      <c r="X193" s="10" t="s">
        <v>2637</v>
      </c>
    </row>
    <row r="194">
      <c r="B194" s="43"/>
      <c r="G194" s="15"/>
      <c r="O194" s="15"/>
      <c r="P194" s="16"/>
      <c r="Q194" s="16"/>
      <c r="R194" s="16"/>
      <c r="S194" s="16"/>
      <c r="U194" s="10" t="s">
        <v>84</v>
      </c>
      <c r="V194" s="10" t="s">
        <v>6479</v>
      </c>
      <c r="W194" s="10" t="s">
        <v>51</v>
      </c>
      <c r="X194" s="10" t="s">
        <v>2309</v>
      </c>
    </row>
    <row r="195">
      <c r="B195" s="43"/>
      <c r="G195" s="15"/>
      <c r="O195" s="15"/>
      <c r="P195" s="16"/>
      <c r="Q195" s="16"/>
      <c r="R195" s="16"/>
      <c r="S195" s="16"/>
      <c r="U195" s="10" t="s">
        <v>492</v>
      </c>
      <c r="V195" s="10" t="s">
        <v>6480</v>
      </c>
      <c r="W195" s="10" t="s">
        <v>51</v>
      </c>
      <c r="X195" s="10" t="s">
        <v>492</v>
      </c>
    </row>
    <row r="196">
      <c r="B196" s="43"/>
      <c r="G196" s="15"/>
      <c r="O196" s="15"/>
      <c r="P196" s="16"/>
      <c r="Q196" s="16"/>
      <c r="R196" s="16"/>
      <c r="S196" s="16"/>
      <c r="U196" s="10" t="s">
        <v>615</v>
      </c>
      <c r="V196" s="10" t="s">
        <v>6481</v>
      </c>
      <c r="W196" s="10" t="s">
        <v>51</v>
      </c>
      <c r="X196" s="10" t="s">
        <v>2637</v>
      </c>
    </row>
    <row r="197">
      <c r="B197" s="43"/>
      <c r="G197" s="15"/>
      <c r="O197" s="15"/>
      <c r="P197" s="16"/>
      <c r="Q197" s="16"/>
      <c r="R197" s="16"/>
      <c r="S197" s="16"/>
      <c r="U197" s="10" t="s">
        <v>492</v>
      </c>
      <c r="V197" s="10" t="s">
        <v>493</v>
      </c>
      <c r="W197" s="10" t="s">
        <v>51</v>
      </c>
      <c r="X197" s="10" t="s">
        <v>492</v>
      </c>
    </row>
    <row r="198">
      <c r="B198" s="43"/>
      <c r="G198" s="15"/>
      <c r="O198" s="15"/>
      <c r="P198" s="16"/>
      <c r="Q198" s="16"/>
      <c r="R198" s="16"/>
      <c r="S198" s="16"/>
      <c r="U198" s="10" t="s">
        <v>507</v>
      </c>
      <c r="V198" s="10" t="s">
        <v>6482</v>
      </c>
      <c r="W198" s="10" t="s">
        <v>51</v>
      </c>
      <c r="X198" s="10" t="s">
        <v>2228</v>
      </c>
    </row>
    <row r="199">
      <c r="B199" s="43"/>
      <c r="G199" s="15"/>
      <c r="O199" s="15"/>
      <c r="P199" s="16"/>
      <c r="Q199" s="16"/>
      <c r="R199" s="16"/>
      <c r="S199" s="16"/>
      <c r="U199" s="10" t="s">
        <v>176</v>
      </c>
      <c r="V199" s="10" t="s">
        <v>6483</v>
      </c>
      <c r="W199" s="10" t="s">
        <v>51</v>
      </c>
      <c r="X199" s="10" t="s">
        <v>962</v>
      </c>
    </row>
    <row r="200">
      <c r="B200" s="43"/>
      <c r="G200" s="15"/>
      <c r="O200" s="15"/>
      <c r="P200" s="16"/>
      <c r="Q200" s="16"/>
      <c r="R200" s="16"/>
      <c r="S200" s="16"/>
      <c r="U200" s="10" t="s">
        <v>219</v>
      </c>
      <c r="V200" s="10" t="s">
        <v>6484</v>
      </c>
      <c r="W200" s="10" t="s">
        <v>51</v>
      </c>
      <c r="X200" s="10" t="s">
        <v>974</v>
      </c>
    </row>
    <row r="201">
      <c r="B201" s="43"/>
      <c r="G201" s="15"/>
      <c r="O201" s="15"/>
      <c r="P201" s="16"/>
      <c r="Q201" s="16"/>
      <c r="R201" s="16"/>
      <c r="S201" s="16"/>
      <c r="U201" s="10" t="s">
        <v>49</v>
      </c>
      <c r="V201" s="10" t="s">
        <v>6485</v>
      </c>
      <c r="W201" s="10" t="s">
        <v>51</v>
      </c>
      <c r="X201" s="10" t="s">
        <v>3975</v>
      </c>
    </row>
    <row r="202">
      <c r="B202" s="43"/>
      <c r="G202" s="15"/>
      <c r="O202" s="15"/>
      <c r="P202" s="16"/>
      <c r="Q202" s="16"/>
      <c r="R202" s="16"/>
      <c r="S202" s="16"/>
      <c r="U202" s="10" t="s">
        <v>984</v>
      </c>
      <c r="V202" s="10" t="s">
        <v>5889</v>
      </c>
      <c r="W202" s="10" t="s">
        <v>51</v>
      </c>
      <c r="X202" s="10" t="s">
        <v>984</v>
      </c>
    </row>
    <row r="203">
      <c r="B203" s="43"/>
      <c r="G203" s="15"/>
      <c r="O203" s="15"/>
      <c r="P203" s="16"/>
      <c r="Q203" s="16"/>
      <c r="R203" s="16"/>
      <c r="S203" s="16"/>
      <c r="U203" s="10" t="s">
        <v>984</v>
      </c>
      <c r="V203" s="10" t="s">
        <v>5889</v>
      </c>
      <c r="W203" s="10" t="s">
        <v>51</v>
      </c>
      <c r="X203" s="10" t="s">
        <v>984</v>
      </c>
    </row>
    <row r="204">
      <c r="B204" s="43"/>
      <c r="G204" s="15"/>
      <c r="O204" s="15"/>
      <c r="P204" s="16"/>
      <c r="Q204" s="16"/>
      <c r="R204" s="16"/>
      <c r="S204" s="16"/>
      <c r="U204" s="10" t="s">
        <v>176</v>
      </c>
      <c r="V204" s="10" t="s">
        <v>6486</v>
      </c>
      <c r="W204" s="10" t="s">
        <v>51</v>
      </c>
      <c r="X204" s="10" t="s">
        <v>962</v>
      </c>
    </row>
    <row r="205">
      <c r="B205" s="43"/>
      <c r="G205" s="15"/>
      <c r="O205" s="15"/>
      <c r="P205" s="16"/>
      <c r="Q205" s="16"/>
      <c r="R205" s="16"/>
      <c r="S205" s="16"/>
      <c r="U205" s="10" t="s">
        <v>984</v>
      </c>
      <c r="V205" s="10" t="s">
        <v>5889</v>
      </c>
      <c r="W205" s="10" t="s">
        <v>51</v>
      </c>
      <c r="X205" s="10" t="s">
        <v>984</v>
      </c>
    </row>
    <row r="206">
      <c r="B206" s="43"/>
      <c r="G206" s="15"/>
      <c r="O206" s="15"/>
      <c r="P206" s="16"/>
      <c r="Q206" s="16"/>
      <c r="R206" s="16"/>
      <c r="S206" s="16"/>
      <c r="U206" s="10" t="s">
        <v>240</v>
      </c>
      <c r="V206" s="10" t="s">
        <v>6487</v>
      </c>
      <c r="W206" s="10" t="s">
        <v>51</v>
      </c>
      <c r="X206" s="10" t="s">
        <v>1905</v>
      </c>
    </row>
    <row r="207">
      <c r="B207" s="43"/>
      <c r="G207" s="15"/>
      <c r="O207" s="15"/>
      <c r="P207" s="16"/>
      <c r="Q207" s="16"/>
      <c r="R207" s="16"/>
      <c r="S207" s="16"/>
      <c r="U207" s="10" t="s">
        <v>984</v>
      </c>
      <c r="V207" s="10" t="s">
        <v>5889</v>
      </c>
      <c r="W207" s="10" t="s">
        <v>51</v>
      </c>
      <c r="X207" s="10" t="s">
        <v>984</v>
      </c>
    </row>
    <row r="208">
      <c r="B208" s="43"/>
      <c r="G208" s="15"/>
      <c r="O208" s="15"/>
      <c r="P208" s="16"/>
      <c r="Q208" s="16"/>
      <c r="R208" s="16"/>
      <c r="S208" s="16"/>
      <c r="U208" s="10" t="s">
        <v>984</v>
      </c>
      <c r="V208" s="10" t="s">
        <v>5889</v>
      </c>
      <c r="W208" s="10" t="s">
        <v>51</v>
      </c>
      <c r="X208" s="10" t="s">
        <v>984</v>
      </c>
    </row>
    <row r="209">
      <c r="B209" s="43"/>
      <c r="G209" s="15"/>
      <c r="O209" s="15"/>
      <c r="P209" s="16"/>
      <c r="Q209" s="16"/>
      <c r="R209" s="16"/>
      <c r="S209" s="16"/>
      <c r="U209" s="10" t="s">
        <v>507</v>
      </c>
      <c r="V209" s="10" t="s">
        <v>6488</v>
      </c>
      <c r="W209" s="10" t="s">
        <v>51</v>
      </c>
      <c r="X209" s="10" t="s">
        <v>2228</v>
      </c>
    </row>
    <row r="210">
      <c r="B210" s="43"/>
      <c r="G210" s="15"/>
      <c r="O210" s="15"/>
      <c r="P210" s="16"/>
      <c r="Q210" s="16"/>
      <c r="R210" s="16"/>
      <c r="S210" s="16"/>
      <c r="U210" s="10" t="s">
        <v>492</v>
      </c>
      <c r="V210" s="10" t="s">
        <v>5992</v>
      </c>
      <c r="W210" s="10" t="s">
        <v>51</v>
      </c>
      <c r="X210" s="10" t="s">
        <v>492</v>
      </c>
    </row>
    <row r="211">
      <c r="B211" s="43"/>
      <c r="G211" s="15"/>
      <c r="O211" s="15"/>
      <c r="P211" s="16"/>
      <c r="Q211" s="16"/>
      <c r="R211" s="16"/>
      <c r="S211" s="16"/>
      <c r="U211" s="10" t="s">
        <v>984</v>
      </c>
      <c r="V211" s="10" t="s">
        <v>5889</v>
      </c>
      <c r="W211" s="10" t="s">
        <v>51</v>
      </c>
      <c r="X211" s="10" t="s">
        <v>984</v>
      </c>
    </row>
    <row r="212">
      <c r="B212" s="43"/>
      <c r="G212" s="15"/>
      <c r="O212" s="15"/>
      <c r="P212" s="16"/>
      <c r="Q212" s="16"/>
      <c r="R212" s="16"/>
      <c r="S212" s="16"/>
      <c r="U212" s="10" t="s">
        <v>492</v>
      </c>
      <c r="V212" s="10" t="s">
        <v>6234</v>
      </c>
      <c r="W212" s="10" t="s">
        <v>51</v>
      </c>
      <c r="X212" s="10" t="s">
        <v>492</v>
      </c>
    </row>
    <row r="213">
      <c r="B213" s="43"/>
      <c r="G213" s="15"/>
      <c r="O213" s="15"/>
      <c r="P213" s="16"/>
      <c r="Q213" s="16"/>
      <c r="R213" s="16"/>
      <c r="S213" s="16"/>
      <c r="U213" s="10" t="s">
        <v>84</v>
      </c>
      <c r="V213" s="10" t="s">
        <v>6489</v>
      </c>
      <c r="W213" s="10" t="s">
        <v>51</v>
      </c>
      <c r="X213" s="10" t="s">
        <v>2309</v>
      </c>
    </row>
    <row r="214">
      <c r="B214" s="43"/>
      <c r="G214" s="15"/>
      <c r="O214" s="15"/>
      <c r="P214" s="16"/>
      <c r="Q214" s="16"/>
      <c r="R214" s="16"/>
      <c r="S214" s="16"/>
      <c r="U214" s="10" t="s">
        <v>176</v>
      </c>
      <c r="V214" s="10" t="s">
        <v>6490</v>
      </c>
      <c r="W214" s="10" t="s">
        <v>51</v>
      </c>
      <c r="X214" s="10" t="s">
        <v>962</v>
      </c>
    </row>
    <row r="215">
      <c r="B215" s="43"/>
      <c r="G215" s="15"/>
      <c r="O215" s="15"/>
      <c r="P215" s="16"/>
      <c r="Q215" s="16"/>
      <c r="R215" s="16"/>
      <c r="S215" s="16"/>
      <c r="U215" s="10" t="s">
        <v>84</v>
      </c>
      <c r="V215" s="10" t="s">
        <v>6491</v>
      </c>
      <c r="W215" s="10" t="s">
        <v>51</v>
      </c>
      <c r="X215" s="10" t="s">
        <v>2309</v>
      </c>
    </row>
    <row r="216">
      <c r="B216" s="43"/>
      <c r="G216" s="15"/>
      <c r="O216" s="15"/>
      <c r="P216" s="16"/>
      <c r="Q216" s="16"/>
      <c r="R216" s="16"/>
      <c r="S216" s="16"/>
      <c r="U216" s="10" t="s">
        <v>984</v>
      </c>
      <c r="V216" s="10" t="s">
        <v>5881</v>
      </c>
      <c r="W216" s="10" t="s">
        <v>51</v>
      </c>
      <c r="X216" s="10" t="s">
        <v>984</v>
      </c>
    </row>
    <row r="217">
      <c r="B217" s="43"/>
      <c r="G217" s="15"/>
      <c r="O217" s="15"/>
      <c r="P217" s="16"/>
      <c r="Q217" s="16"/>
      <c r="R217" s="16"/>
      <c r="S217" s="16"/>
      <c r="U217" s="10" t="s">
        <v>615</v>
      </c>
      <c r="V217" s="10" t="s">
        <v>6492</v>
      </c>
      <c r="W217" s="10" t="s">
        <v>51</v>
      </c>
      <c r="X217" s="10" t="s">
        <v>2637</v>
      </c>
    </row>
    <row r="218">
      <c r="B218" s="43"/>
      <c r="G218" s="15"/>
      <c r="O218" s="15"/>
      <c r="P218" s="16"/>
      <c r="Q218" s="16"/>
      <c r="R218" s="16"/>
      <c r="S218" s="16"/>
      <c r="U218" s="10" t="s">
        <v>240</v>
      </c>
      <c r="V218" s="10" t="s">
        <v>6493</v>
      </c>
      <c r="W218" s="10" t="s">
        <v>51</v>
      </c>
      <c r="X218" s="10" t="s">
        <v>1905</v>
      </c>
    </row>
    <row r="219">
      <c r="B219" s="43"/>
      <c r="G219" s="15"/>
      <c r="O219" s="15"/>
      <c r="P219" s="16"/>
      <c r="Q219" s="16"/>
      <c r="R219" s="16"/>
      <c r="S219" s="16"/>
      <c r="U219" s="10" t="s">
        <v>615</v>
      </c>
      <c r="V219" s="10" t="s">
        <v>6494</v>
      </c>
      <c r="W219" s="10" t="s">
        <v>51</v>
      </c>
      <c r="X219" s="10" t="s">
        <v>2637</v>
      </c>
    </row>
    <row r="220">
      <c r="B220" s="43"/>
      <c r="G220" s="15"/>
      <c r="O220" s="15"/>
      <c r="P220" s="16"/>
      <c r="Q220" s="16"/>
      <c r="R220" s="16"/>
      <c r="S220" s="16"/>
      <c r="U220" s="10" t="s">
        <v>545</v>
      </c>
      <c r="V220" s="10" t="s">
        <v>6495</v>
      </c>
      <c r="W220" s="10" t="s">
        <v>51</v>
      </c>
      <c r="X220" s="10" t="s">
        <v>3421</v>
      </c>
    </row>
    <row r="221">
      <c r="B221" s="43"/>
      <c r="G221" s="15"/>
      <c r="O221" s="15"/>
      <c r="P221" s="16"/>
      <c r="Q221" s="16"/>
      <c r="R221" s="16"/>
      <c r="S221" s="16"/>
      <c r="U221" s="10" t="s">
        <v>240</v>
      </c>
      <c r="V221" s="10" t="s">
        <v>6496</v>
      </c>
      <c r="W221" s="10" t="s">
        <v>51</v>
      </c>
      <c r="X221" s="10" t="s">
        <v>1905</v>
      </c>
    </row>
    <row r="222">
      <c r="B222" s="43"/>
      <c r="G222" s="15"/>
      <c r="O222" s="15"/>
      <c r="P222" s="16"/>
      <c r="Q222" s="16"/>
      <c r="R222" s="16"/>
      <c r="S222" s="16"/>
      <c r="U222" s="10" t="s">
        <v>507</v>
      </c>
      <c r="V222" s="10" t="s">
        <v>6497</v>
      </c>
      <c r="W222" s="10" t="s">
        <v>51</v>
      </c>
      <c r="X222" s="10" t="s">
        <v>2228</v>
      </c>
    </row>
    <row r="223">
      <c r="B223" s="43"/>
      <c r="G223" s="15"/>
      <c r="O223" s="15"/>
      <c r="P223" s="16"/>
      <c r="Q223" s="16"/>
      <c r="R223" s="16"/>
      <c r="S223" s="16"/>
      <c r="U223" s="10" t="s">
        <v>984</v>
      </c>
      <c r="V223" s="10" t="s">
        <v>5881</v>
      </c>
      <c r="W223" s="10" t="s">
        <v>51</v>
      </c>
      <c r="X223" s="10" t="s">
        <v>984</v>
      </c>
    </row>
    <row r="224">
      <c r="B224" s="43"/>
      <c r="G224" s="15"/>
      <c r="O224" s="15"/>
      <c r="P224" s="16"/>
      <c r="Q224" s="16"/>
      <c r="R224" s="16"/>
      <c r="S224" s="16"/>
      <c r="U224" s="10" t="s">
        <v>507</v>
      </c>
      <c r="V224" s="10" t="s">
        <v>6498</v>
      </c>
      <c r="W224" s="10" t="s">
        <v>51</v>
      </c>
      <c r="X224" s="10" t="s">
        <v>2228</v>
      </c>
    </row>
    <row r="225">
      <c r="B225" s="43"/>
      <c r="G225" s="15"/>
      <c r="O225" s="15"/>
      <c r="P225" s="16"/>
      <c r="Q225" s="16"/>
      <c r="R225" s="16"/>
      <c r="S225" s="16"/>
      <c r="U225" s="10" t="s">
        <v>507</v>
      </c>
      <c r="V225" s="10" t="s">
        <v>6499</v>
      </c>
      <c r="W225" s="10" t="s">
        <v>51</v>
      </c>
      <c r="X225" s="10" t="s">
        <v>2228</v>
      </c>
    </row>
    <row r="226">
      <c r="B226" s="43"/>
      <c r="G226" s="15"/>
      <c r="O226" s="15"/>
      <c r="P226" s="16"/>
      <c r="Q226" s="16"/>
      <c r="R226" s="16"/>
      <c r="S226" s="16"/>
      <c r="U226" s="10" t="s">
        <v>545</v>
      </c>
      <c r="V226" s="10" t="s">
        <v>6500</v>
      </c>
      <c r="W226" s="10" t="s">
        <v>51</v>
      </c>
      <c r="X226" s="10" t="s">
        <v>3421</v>
      </c>
    </row>
    <row r="227">
      <c r="B227" s="43"/>
      <c r="G227" s="15"/>
      <c r="O227" s="15"/>
      <c r="P227" s="16"/>
      <c r="Q227" s="16"/>
      <c r="R227" s="16"/>
      <c r="S227" s="16"/>
      <c r="U227" s="10" t="s">
        <v>240</v>
      </c>
      <c r="V227" s="10" t="s">
        <v>6501</v>
      </c>
      <c r="W227" s="10" t="s">
        <v>51</v>
      </c>
      <c r="X227" s="10" t="s">
        <v>1905</v>
      </c>
    </row>
    <row r="228">
      <c r="B228" s="43"/>
      <c r="G228" s="15"/>
      <c r="O228" s="15"/>
      <c r="P228" s="16"/>
      <c r="Q228" s="16"/>
      <c r="R228" s="16"/>
      <c r="S228" s="16"/>
      <c r="U228" s="10" t="s">
        <v>492</v>
      </c>
      <c r="V228" s="10" t="s">
        <v>493</v>
      </c>
      <c r="W228" s="10" t="s">
        <v>51</v>
      </c>
      <c r="X228" s="10" t="s">
        <v>492</v>
      </c>
    </row>
    <row r="229">
      <c r="B229" s="43"/>
      <c r="G229" s="15"/>
      <c r="O229" s="15"/>
      <c r="P229" s="16"/>
      <c r="Q229" s="16"/>
      <c r="R229" s="16"/>
      <c r="S229" s="16"/>
      <c r="U229" s="10" t="s">
        <v>176</v>
      </c>
      <c r="V229" s="10" t="s">
        <v>6502</v>
      </c>
      <c r="W229" s="10" t="s">
        <v>51</v>
      </c>
      <c r="X229" s="10" t="s">
        <v>962</v>
      </c>
    </row>
    <row r="230">
      <c r="B230" s="43"/>
      <c r="G230" s="15"/>
      <c r="O230" s="15"/>
      <c r="P230" s="16"/>
      <c r="Q230" s="16"/>
      <c r="R230" s="16"/>
      <c r="S230" s="16"/>
      <c r="U230" s="10" t="s">
        <v>492</v>
      </c>
      <c r="V230" s="10" t="s">
        <v>493</v>
      </c>
      <c r="W230" s="10" t="s">
        <v>51</v>
      </c>
      <c r="X230" s="10" t="s">
        <v>492</v>
      </c>
    </row>
    <row r="231">
      <c r="B231" s="43"/>
      <c r="G231" s="15"/>
      <c r="O231" s="15"/>
      <c r="P231" s="16"/>
      <c r="Q231" s="16"/>
      <c r="R231" s="16"/>
      <c r="S231" s="16"/>
      <c r="U231" s="10" t="s">
        <v>615</v>
      </c>
      <c r="V231" s="10" t="s">
        <v>6503</v>
      </c>
      <c r="W231" s="10" t="s">
        <v>51</v>
      </c>
      <c r="X231" s="10" t="s">
        <v>2637</v>
      </c>
    </row>
    <row r="232">
      <c r="B232" s="43"/>
      <c r="G232" s="15"/>
      <c r="O232" s="15"/>
      <c r="P232" s="16"/>
      <c r="Q232" s="16"/>
      <c r="R232" s="16"/>
      <c r="S232" s="16"/>
      <c r="U232" s="10" t="s">
        <v>240</v>
      </c>
      <c r="V232" s="10" t="s">
        <v>6504</v>
      </c>
      <c r="W232" s="10" t="s">
        <v>51</v>
      </c>
      <c r="X232" s="10" t="s">
        <v>1905</v>
      </c>
    </row>
    <row r="233">
      <c r="B233" s="43"/>
      <c r="G233" s="15"/>
      <c r="O233" s="15"/>
      <c r="P233" s="16"/>
      <c r="Q233" s="16"/>
      <c r="R233" s="16"/>
      <c r="S233" s="16"/>
      <c r="U233" s="10" t="s">
        <v>492</v>
      </c>
      <c r="V233" s="10" t="s">
        <v>493</v>
      </c>
      <c r="W233" s="10" t="s">
        <v>51</v>
      </c>
      <c r="X233" s="10" t="s">
        <v>492</v>
      </c>
    </row>
    <row r="234">
      <c r="B234" s="43"/>
      <c r="G234" s="15"/>
      <c r="O234" s="15"/>
      <c r="P234" s="16"/>
      <c r="Q234" s="16"/>
      <c r="R234" s="16"/>
      <c r="S234" s="16"/>
      <c r="U234" s="10" t="s">
        <v>492</v>
      </c>
      <c r="V234" s="10" t="s">
        <v>6480</v>
      </c>
      <c r="W234" s="10" t="s">
        <v>51</v>
      </c>
      <c r="X234" s="10" t="s">
        <v>492</v>
      </c>
    </row>
    <row r="235">
      <c r="B235" s="43"/>
      <c r="G235" s="15"/>
      <c r="O235" s="15"/>
      <c r="P235" s="16"/>
      <c r="Q235" s="16"/>
      <c r="R235" s="16"/>
      <c r="S235" s="16"/>
      <c r="U235" s="10" t="s">
        <v>492</v>
      </c>
      <c r="V235" s="10" t="s">
        <v>493</v>
      </c>
      <c r="W235" s="10" t="s">
        <v>51</v>
      </c>
      <c r="X235" s="10" t="s">
        <v>492</v>
      </c>
    </row>
    <row r="236">
      <c r="B236" s="43"/>
      <c r="G236" s="15"/>
      <c r="O236" s="15"/>
      <c r="P236" s="16"/>
      <c r="Q236" s="16"/>
      <c r="R236" s="16"/>
      <c r="S236" s="16"/>
      <c r="U236" s="10" t="s">
        <v>492</v>
      </c>
      <c r="V236" s="10" t="s">
        <v>5992</v>
      </c>
      <c r="W236" s="10" t="s">
        <v>51</v>
      </c>
      <c r="X236" s="10" t="s">
        <v>492</v>
      </c>
    </row>
    <row r="237">
      <c r="B237" s="43"/>
      <c r="G237" s="15"/>
      <c r="O237" s="15"/>
      <c r="P237" s="16"/>
      <c r="Q237" s="16"/>
      <c r="R237" s="16"/>
      <c r="S237" s="16"/>
      <c r="U237" s="10" t="s">
        <v>492</v>
      </c>
      <c r="V237" s="10" t="s">
        <v>493</v>
      </c>
      <c r="W237" s="10" t="s">
        <v>51</v>
      </c>
      <c r="X237" s="10" t="s">
        <v>492</v>
      </c>
    </row>
    <row r="238">
      <c r="B238" s="43"/>
      <c r="G238" s="15"/>
      <c r="O238" s="15"/>
      <c r="P238" s="16"/>
      <c r="Q238" s="16"/>
      <c r="R238" s="16"/>
      <c r="S238" s="16"/>
      <c r="U238" s="10" t="s">
        <v>492</v>
      </c>
      <c r="V238" s="10" t="s">
        <v>493</v>
      </c>
      <c r="W238" s="10" t="s">
        <v>51</v>
      </c>
      <c r="X238" s="10" t="s">
        <v>492</v>
      </c>
    </row>
    <row r="239">
      <c r="B239" s="43"/>
      <c r="G239" s="15"/>
      <c r="O239" s="15"/>
      <c r="P239" s="16"/>
      <c r="Q239" s="16"/>
      <c r="R239" s="16"/>
      <c r="S239" s="16"/>
      <c r="U239" s="10" t="s">
        <v>704</v>
      </c>
      <c r="V239" s="10" t="s">
        <v>6505</v>
      </c>
      <c r="W239" s="10" t="s">
        <v>51</v>
      </c>
      <c r="X239" s="10" t="s">
        <v>1885</v>
      </c>
    </row>
    <row r="240">
      <c r="B240" s="43"/>
      <c r="G240" s="15"/>
      <c r="O240" s="15"/>
      <c r="P240" s="16"/>
      <c r="Q240" s="16"/>
      <c r="R240" s="16"/>
      <c r="S240" s="16"/>
      <c r="U240" s="10" t="s">
        <v>492</v>
      </c>
      <c r="V240" s="10" t="s">
        <v>493</v>
      </c>
      <c r="W240" s="10" t="s">
        <v>51</v>
      </c>
      <c r="X240" s="10" t="s">
        <v>492</v>
      </c>
    </row>
    <row r="241">
      <c r="B241" s="43"/>
      <c r="G241" s="15"/>
      <c r="O241" s="15"/>
      <c r="P241" s="16"/>
      <c r="Q241" s="16"/>
      <c r="R241" s="16"/>
      <c r="S241" s="16"/>
      <c r="U241" s="10" t="s">
        <v>984</v>
      </c>
      <c r="V241" s="10" t="s">
        <v>5881</v>
      </c>
      <c r="W241" s="10" t="s">
        <v>51</v>
      </c>
      <c r="X241" s="10" t="s">
        <v>984</v>
      </c>
    </row>
    <row r="242">
      <c r="B242" s="43"/>
      <c r="G242" s="15"/>
      <c r="O242" s="15"/>
      <c r="P242" s="16"/>
      <c r="Q242" s="16"/>
      <c r="R242" s="16"/>
      <c r="S242" s="16"/>
      <c r="U242" s="10" t="s">
        <v>492</v>
      </c>
      <c r="V242" s="10" t="s">
        <v>493</v>
      </c>
      <c r="W242" s="10" t="s">
        <v>51</v>
      </c>
      <c r="X242" s="10" t="s">
        <v>492</v>
      </c>
    </row>
    <row r="243">
      <c r="B243" s="43"/>
      <c r="G243" s="15"/>
      <c r="O243" s="15"/>
      <c r="P243" s="16"/>
      <c r="Q243" s="16"/>
      <c r="R243" s="16"/>
      <c r="S243" s="16"/>
      <c r="U243" s="10" t="s">
        <v>492</v>
      </c>
      <c r="V243" s="10" t="s">
        <v>5992</v>
      </c>
      <c r="W243" s="10" t="s">
        <v>51</v>
      </c>
      <c r="X243" s="10" t="s">
        <v>492</v>
      </c>
    </row>
    <row r="244">
      <c r="B244" s="43"/>
      <c r="G244" s="15"/>
      <c r="O244" s="15"/>
      <c r="P244" s="16"/>
      <c r="Q244" s="16"/>
      <c r="R244" s="16"/>
      <c r="S244" s="16"/>
      <c r="U244" s="10" t="s">
        <v>615</v>
      </c>
      <c r="V244" s="10" t="s">
        <v>6506</v>
      </c>
      <c r="W244" s="10" t="s">
        <v>51</v>
      </c>
      <c r="X244" s="10" t="s">
        <v>2637</v>
      </c>
    </row>
    <row r="245">
      <c r="B245" s="43"/>
      <c r="G245" s="15"/>
      <c r="O245" s="15"/>
      <c r="P245" s="16"/>
      <c r="Q245" s="16"/>
      <c r="R245" s="16"/>
      <c r="S245" s="16"/>
      <c r="U245" s="10" t="s">
        <v>176</v>
      </c>
      <c r="V245" s="10" t="s">
        <v>6507</v>
      </c>
      <c r="W245" s="10" t="s">
        <v>51</v>
      </c>
      <c r="X245" s="10" t="s">
        <v>962</v>
      </c>
    </row>
    <row r="246">
      <c r="B246" s="43"/>
      <c r="G246" s="15"/>
      <c r="O246" s="15"/>
      <c r="P246" s="16"/>
      <c r="Q246" s="16"/>
      <c r="R246" s="16"/>
      <c r="S246" s="16"/>
      <c r="U246" s="10" t="s">
        <v>722</v>
      </c>
      <c r="V246" s="10" t="s">
        <v>6508</v>
      </c>
      <c r="W246" s="10" t="s">
        <v>51</v>
      </c>
      <c r="X246" s="10" t="s">
        <v>3433</v>
      </c>
    </row>
    <row r="247">
      <c r="B247" s="43"/>
      <c r="G247" s="15"/>
      <c r="O247" s="15"/>
      <c r="P247" s="16"/>
      <c r="Q247" s="16"/>
      <c r="R247" s="16"/>
      <c r="S247" s="16"/>
      <c r="U247" s="10" t="s">
        <v>84</v>
      </c>
      <c r="V247" s="10" t="s">
        <v>6509</v>
      </c>
      <c r="W247" s="10" t="s">
        <v>51</v>
      </c>
      <c r="X247" s="10" t="s">
        <v>2309</v>
      </c>
    </row>
    <row r="248">
      <c r="B248" s="43"/>
      <c r="G248" s="15"/>
      <c r="O248" s="15"/>
      <c r="P248" s="16"/>
      <c r="Q248" s="16"/>
      <c r="R248" s="16"/>
      <c r="S248" s="16"/>
      <c r="U248" s="10" t="s">
        <v>507</v>
      </c>
      <c r="V248" s="10" t="s">
        <v>6510</v>
      </c>
      <c r="W248" s="10" t="s">
        <v>51</v>
      </c>
      <c r="X248" s="10" t="s">
        <v>2228</v>
      </c>
    </row>
    <row r="249">
      <c r="B249" s="43"/>
      <c r="G249" s="15"/>
      <c r="O249" s="15"/>
      <c r="P249" s="16"/>
      <c r="Q249" s="16"/>
      <c r="R249" s="16"/>
      <c r="S249" s="16"/>
      <c r="U249" s="10" t="s">
        <v>240</v>
      </c>
      <c r="V249" s="10" t="s">
        <v>6511</v>
      </c>
      <c r="W249" s="10" t="s">
        <v>51</v>
      </c>
      <c r="X249" s="10" t="s">
        <v>1905</v>
      </c>
    </row>
    <row r="250">
      <c r="B250" s="43"/>
      <c r="G250" s="15"/>
      <c r="O250" s="15"/>
      <c r="P250" s="16"/>
      <c r="Q250" s="16"/>
      <c r="R250" s="16"/>
      <c r="S250" s="16"/>
      <c r="U250" s="10" t="s">
        <v>240</v>
      </c>
      <c r="V250" s="10" t="s">
        <v>6512</v>
      </c>
      <c r="W250" s="10" t="s">
        <v>51</v>
      </c>
      <c r="X250" s="10" t="s">
        <v>1905</v>
      </c>
    </row>
    <row r="251">
      <c r="B251" s="43"/>
      <c r="G251" s="15"/>
      <c r="O251" s="15"/>
      <c r="P251" s="16"/>
      <c r="Q251" s="16"/>
      <c r="R251" s="16"/>
      <c r="S251" s="16"/>
      <c r="U251" s="10" t="s">
        <v>176</v>
      </c>
      <c r="V251" s="10" t="s">
        <v>6513</v>
      </c>
      <c r="W251" s="10" t="s">
        <v>51</v>
      </c>
      <c r="X251" s="10" t="s">
        <v>962</v>
      </c>
    </row>
    <row r="252">
      <c r="B252" s="43"/>
      <c r="G252" s="15"/>
      <c r="O252" s="15"/>
      <c r="P252" s="16"/>
      <c r="Q252" s="16"/>
      <c r="R252" s="16"/>
      <c r="S252" s="16"/>
      <c r="U252" s="10" t="s">
        <v>240</v>
      </c>
      <c r="V252" s="10" t="s">
        <v>6514</v>
      </c>
      <c r="W252" s="10" t="s">
        <v>51</v>
      </c>
      <c r="X252" s="10" t="s">
        <v>1905</v>
      </c>
    </row>
    <row r="253">
      <c r="B253" s="43"/>
      <c r="G253" s="15"/>
      <c r="O253" s="15"/>
      <c r="P253" s="16"/>
      <c r="Q253" s="16"/>
      <c r="R253" s="16"/>
      <c r="S253" s="16"/>
      <c r="U253" s="10" t="s">
        <v>984</v>
      </c>
      <c r="V253" s="10" t="s">
        <v>5881</v>
      </c>
      <c r="W253" s="10" t="s">
        <v>51</v>
      </c>
      <c r="X253" s="10" t="s">
        <v>984</v>
      </c>
    </row>
    <row r="254">
      <c r="B254" s="43"/>
      <c r="G254" s="15"/>
      <c r="O254" s="15"/>
      <c r="P254" s="16"/>
      <c r="Q254" s="16"/>
      <c r="R254" s="16"/>
      <c r="S254" s="16"/>
      <c r="U254" s="10" t="s">
        <v>984</v>
      </c>
      <c r="V254" s="10" t="s">
        <v>5889</v>
      </c>
      <c r="W254" s="10" t="s">
        <v>51</v>
      </c>
      <c r="X254" s="10" t="s">
        <v>984</v>
      </c>
    </row>
    <row r="255">
      <c r="B255" s="43"/>
      <c r="G255" s="15"/>
      <c r="O255" s="15"/>
      <c r="P255" s="16"/>
      <c r="Q255" s="16"/>
      <c r="R255" s="16"/>
      <c r="S255" s="16"/>
      <c r="U255" s="10" t="s">
        <v>84</v>
      </c>
      <c r="V255" s="10" t="s">
        <v>6515</v>
      </c>
      <c r="W255" s="10" t="s">
        <v>51</v>
      </c>
      <c r="X255" s="10" t="s">
        <v>2309</v>
      </c>
    </row>
    <row r="256">
      <c r="B256" s="43"/>
      <c r="G256" s="15"/>
      <c r="O256" s="15"/>
      <c r="P256" s="16"/>
      <c r="Q256" s="16"/>
      <c r="R256" s="16"/>
      <c r="S256" s="16"/>
      <c r="U256" s="10" t="s">
        <v>176</v>
      </c>
      <c r="V256" s="10" t="s">
        <v>6516</v>
      </c>
      <c r="W256" s="10" t="s">
        <v>51</v>
      </c>
      <c r="X256" s="10" t="s">
        <v>962</v>
      </c>
    </row>
    <row r="257">
      <c r="B257" s="43"/>
      <c r="G257" s="15"/>
      <c r="O257" s="15"/>
      <c r="P257" s="16"/>
      <c r="Q257" s="16"/>
      <c r="R257" s="16"/>
      <c r="S257" s="16"/>
      <c r="U257" s="10" t="s">
        <v>492</v>
      </c>
      <c r="V257" s="10" t="s">
        <v>6234</v>
      </c>
      <c r="W257" s="10" t="s">
        <v>51</v>
      </c>
      <c r="X257" s="10" t="s">
        <v>492</v>
      </c>
    </row>
    <row r="258">
      <c r="B258" s="43"/>
      <c r="G258" s="15"/>
      <c r="O258" s="15"/>
      <c r="P258" s="16"/>
      <c r="Q258" s="16"/>
      <c r="R258" s="16"/>
      <c r="S258" s="16"/>
      <c r="U258" s="10" t="s">
        <v>219</v>
      </c>
      <c r="V258" s="10" t="s">
        <v>6517</v>
      </c>
      <c r="W258" s="10" t="s">
        <v>51</v>
      </c>
      <c r="X258" s="10" t="s">
        <v>974</v>
      </c>
    </row>
    <row r="259">
      <c r="B259" s="43"/>
      <c r="G259" s="15"/>
      <c r="O259" s="15"/>
      <c r="P259" s="16"/>
      <c r="Q259" s="16"/>
      <c r="R259" s="16"/>
      <c r="S259" s="16"/>
      <c r="U259" s="10" t="s">
        <v>615</v>
      </c>
      <c r="V259" s="10" t="s">
        <v>6518</v>
      </c>
      <c r="W259" s="10" t="s">
        <v>51</v>
      </c>
      <c r="X259" s="10" t="s">
        <v>2637</v>
      </c>
    </row>
    <row r="260">
      <c r="B260" s="43"/>
      <c r="G260" s="15"/>
      <c r="O260" s="15"/>
      <c r="P260" s="16"/>
      <c r="Q260" s="16"/>
      <c r="R260" s="16"/>
      <c r="S260" s="16"/>
      <c r="U260" s="10" t="s">
        <v>984</v>
      </c>
      <c r="V260" s="10" t="s">
        <v>5889</v>
      </c>
      <c r="W260" s="10" t="s">
        <v>51</v>
      </c>
      <c r="X260" s="10" t="s">
        <v>984</v>
      </c>
    </row>
    <row r="261">
      <c r="B261" s="43"/>
      <c r="G261" s="15"/>
      <c r="O261" s="15"/>
      <c r="P261" s="16"/>
      <c r="Q261" s="16"/>
      <c r="R261" s="16"/>
      <c r="S261" s="16"/>
      <c r="U261" s="10" t="s">
        <v>492</v>
      </c>
      <c r="V261" s="10" t="s">
        <v>5992</v>
      </c>
      <c r="W261" s="10" t="s">
        <v>51</v>
      </c>
      <c r="X261" s="10" t="s">
        <v>492</v>
      </c>
    </row>
    <row r="262">
      <c r="B262" s="43"/>
      <c r="G262" s="15"/>
      <c r="O262" s="15"/>
      <c r="P262" s="16"/>
      <c r="Q262" s="16"/>
      <c r="R262" s="16"/>
      <c r="S262" s="16"/>
      <c r="U262" s="10" t="s">
        <v>240</v>
      </c>
      <c r="V262" s="10" t="s">
        <v>6519</v>
      </c>
      <c r="W262" s="10" t="s">
        <v>51</v>
      </c>
      <c r="X262" s="10" t="s">
        <v>1905</v>
      </c>
    </row>
    <row r="263">
      <c r="B263" s="43"/>
      <c r="G263" s="15"/>
      <c r="O263" s="15"/>
      <c r="P263" s="16"/>
      <c r="Q263" s="16"/>
      <c r="R263" s="16"/>
      <c r="S263" s="16"/>
      <c r="U263" s="10" t="s">
        <v>984</v>
      </c>
      <c r="V263" s="10" t="s">
        <v>5881</v>
      </c>
      <c r="W263" s="10" t="s">
        <v>51</v>
      </c>
      <c r="X263" s="10" t="s">
        <v>984</v>
      </c>
    </row>
    <row r="264">
      <c r="B264" s="43"/>
      <c r="G264" s="15"/>
      <c r="O264" s="15"/>
      <c r="P264" s="16"/>
      <c r="Q264" s="16"/>
      <c r="R264" s="16"/>
      <c r="S264" s="16"/>
      <c r="U264" s="10" t="s">
        <v>984</v>
      </c>
      <c r="V264" s="10" t="s">
        <v>5889</v>
      </c>
      <c r="W264" s="10" t="s">
        <v>51</v>
      </c>
      <c r="X264" s="10" t="s">
        <v>984</v>
      </c>
    </row>
    <row r="265">
      <c r="B265" s="43"/>
      <c r="G265" s="15"/>
      <c r="O265" s="15"/>
      <c r="P265" s="16"/>
      <c r="Q265" s="16"/>
      <c r="R265" s="16"/>
      <c r="S265" s="16"/>
      <c r="U265" s="10" t="s">
        <v>84</v>
      </c>
      <c r="V265" s="10" t="s">
        <v>6520</v>
      </c>
      <c r="W265" s="10" t="s">
        <v>51</v>
      </c>
      <c r="X265" s="10" t="s">
        <v>2309</v>
      </c>
    </row>
    <row r="266">
      <c r="B266" s="43"/>
      <c r="G266" s="15"/>
      <c r="O266" s="15"/>
      <c r="P266" s="16"/>
      <c r="Q266" s="16"/>
      <c r="R266" s="16"/>
      <c r="S266" s="16"/>
      <c r="U266" s="10" t="s">
        <v>49</v>
      </c>
      <c r="V266" s="10" t="s">
        <v>6521</v>
      </c>
      <c r="W266" s="10" t="s">
        <v>51</v>
      </c>
      <c r="X266" s="10" t="s">
        <v>3975</v>
      </c>
    </row>
    <row r="267">
      <c r="B267" s="43"/>
      <c r="G267" s="15"/>
      <c r="O267" s="15"/>
      <c r="P267" s="16"/>
      <c r="Q267" s="16"/>
      <c r="R267" s="16"/>
      <c r="S267" s="16"/>
      <c r="U267" s="10" t="s">
        <v>507</v>
      </c>
      <c r="V267" s="10" t="s">
        <v>6522</v>
      </c>
      <c r="W267" s="10" t="s">
        <v>51</v>
      </c>
      <c r="X267" s="10" t="s">
        <v>2228</v>
      </c>
    </row>
    <row r="268">
      <c r="B268" s="43"/>
      <c r="G268" s="15"/>
      <c r="O268" s="15"/>
      <c r="P268" s="16"/>
      <c r="Q268" s="16"/>
      <c r="R268" s="16"/>
      <c r="S268" s="16"/>
      <c r="U268" s="10" t="s">
        <v>219</v>
      </c>
      <c r="V268" s="10" t="s">
        <v>6523</v>
      </c>
      <c r="W268" s="10" t="s">
        <v>51</v>
      </c>
      <c r="X268" s="10" t="s">
        <v>974</v>
      </c>
    </row>
    <row r="269">
      <c r="B269" s="43"/>
      <c r="G269" s="15"/>
      <c r="O269" s="15"/>
      <c r="P269" s="16"/>
      <c r="Q269" s="16"/>
      <c r="R269" s="16"/>
      <c r="S269" s="16"/>
      <c r="U269" s="10" t="s">
        <v>240</v>
      </c>
      <c r="V269" s="10" t="s">
        <v>6524</v>
      </c>
      <c r="W269" s="10" t="s">
        <v>51</v>
      </c>
      <c r="X269" s="10" t="s">
        <v>1905</v>
      </c>
    </row>
    <row r="270">
      <c r="B270" s="43"/>
      <c r="G270" s="15"/>
      <c r="O270" s="15"/>
      <c r="P270" s="16"/>
      <c r="Q270" s="16"/>
      <c r="R270" s="16"/>
      <c r="S270" s="16"/>
      <c r="U270" s="10" t="s">
        <v>84</v>
      </c>
      <c r="V270" s="10" t="s">
        <v>6525</v>
      </c>
      <c r="W270" s="10" t="s">
        <v>51</v>
      </c>
      <c r="X270" s="10" t="s">
        <v>2309</v>
      </c>
    </row>
    <row r="271">
      <c r="B271" s="43"/>
      <c r="G271" s="15"/>
      <c r="O271" s="15"/>
      <c r="P271" s="16"/>
      <c r="Q271" s="16"/>
      <c r="R271" s="16"/>
      <c r="S271" s="16"/>
      <c r="U271" s="10" t="s">
        <v>49</v>
      </c>
      <c r="V271" s="10" t="s">
        <v>6526</v>
      </c>
      <c r="W271" s="10" t="s">
        <v>51</v>
      </c>
      <c r="X271" s="10" t="s">
        <v>3975</v>
      </c>
    </row>
    <row r="272">
      <c r="B272" s="43"/>
      <c r="G272" s="15"/>
      <c r="O272" s="15"/>
      <c r="P272" s="16"/>
      <c r="Q272" s="16"/>
      <c r="R272" s="16"/>
      <c r="S272" s="16"/>
      <c r="U272" s="10" t="s">
        <v>984</v>
      </c>
      <c r="V272" s="10" t="s">
        <v>5881</v>
      </c>
      <c r="W272" s="10" t="s">
        <v>51</v>
      </c>
      <c r="X272" s="10" t="s">
        <v>984</v>
      </c>
    </row>
    <row r="273">
      <c r="B273" s="43"/>
      <c r="G273" s="15"/>
      <c r="O273" s="15"/>
      <c r="P273" s="16"/>
      <c r="Q273" s="16"/>
      <c r="R273" s="16"/>
      <c r="S273" s="16"/>
      <c r="U273" s="10" t="s">
        <v>984</v>
      </c>
      <c r="V273" s="10" t="s">
        <v>5889</v>
      </c>
      <c r="W273" s="10" t="s">
        <v>51</v>
      </c>
      <c r="X273" s="10" t="s">
        <v>984</v>
      </c>
    </row>
    <row r="274">
      <c r="B274" s="43"/>
      <c r="G274" s="15"/>
      <c r="O274" s="15"/>
      <c r="P274" s="16"/>
      <c r="Q274" s="16"/>
      <c r="R274" s="16"/>
      <c r="S274" s="16"/>
      <c r="U274" s="10" t="s">
        <v>176</v>
      </c>
      <c r="V274" s="10" t="s">
        <v>6527</v>
      </c>
      <c r="W274" s="10" t="s">
        <v>51</v>
      </c>
      <c r="X274" s="10" t="s">
        <v>962</v>
      </c>
    </row>
    <row r="275">
      <c r="B275" s="43"/>
      <c r="G275" s="15"/>
      <c r="O275" s="15"/>
      <c r="P275" s="16"/>
      <c r="Q275" s="16"/>
      <c r="R275" s="16"/>
      <c r="S275" s="16"/>
      <c r="U275" s="10" t="s">
        <v>49</v>
      </c>
      <c r="V275" s="10" t="s">
        <v>6528</v>
      </c>
      <c r="W275" s="10" t="s">
        <v>51</v>
      </c>
      <c r="X275" s="10" t="s">
        <v>3975</v>
      </c>
    </row>
    <row r="276">
      <c r="B276" s="43"/>
      <c r="G276" s="15"/>
      <c r="O276" s="15"/>
      <c r="P276" s="16"/>
      <c r="Q276" s="16"/>
      <c r="R276" s="16"/>
      <c r="S276" s="16"/>
      <c r="U276" s="10" t="s">
        <v>507</v>
      </c>
      <c r="V276" s="10" t="s">
        <v>6529</v>
      </c>
      <c r="W276" s="10" t="s">
        <v>51</v>
      </c>
      <c r="X276" s="10" t="s">
        <v>2228</v>
      </c>
    </row>
    <row r="277">
      <c r="B277" s="43"/>
      <c r="G277" s="15"/>
      <c r="O277" s="15"/>
      <c r="P277" s="16"/>
      <c r="Q277" s="16"/>
      <c r="R277" s="16"/>
      <c r="S277" s="16"/>
      <c r="U277" s="10" t="s">
        <v>984</v>
      </c>
      <c r="V277" s="10" t="s">
        <v>5881</v>
      </c>
      <c r="W277" s="10" t="s">
        <v>51</v>
      </c>
      <c r="X277" s="10" t="s">
        <v>984</v>
      </c>
    </row>
    <row r="278">
      <c r="B278" s="43"/>
      <c r="G278" s="15"/>
      <c r="O278" s="15"/>
      <c r="P278" s="16"/>
      <c r="Q278" s="16"/>
      <c r="R278" s="16"/>
      <c r="S278" s="16"/>
      <c r="U278" s="10" t="s">
        <v>507</v>
      </c>
      <c r="V278" s="10" t="s">
        <v>6530</v>
      </c>
      <c r="W278" s="10" t="s">
        <v>51</v>
      </c>
      <c r="X278" s="10" t="s">
        <v>2228</v>
      </c>
    </row>
    <row r="279">
      <c r="B279" s="43"/>
      <c r="G279" s="15"/>
      <c r="O279" s="15"/>
      <c r="P279" s="16"/>
      <c r="Q279" s="16"/>
      <c r="R279" s="16"/>
      <c r="S279" s="16"/>
      <c r="U279" s="10" t="s">
        <v>240</v>
      </c>
      <c r="V279" s="10" t="s">
        <v>6531</v>
      </c>
      <c r="W279" s="10" t="s">
        <v>51</v>
      </c>
      <c r="X279" s="10" t="s">
        <v>1905</v>
      </c>
    </row>
    <row r="280">
      <c r="B280" s="43"/>
      <c r="G280" s="15"/>
      <c r="O280" s="15"/>
      <c r="P280" s="16"/>
      <c r="Q280" s="16"/>
      <c r="R280" s="16"/>
      <c r="S280" s="16"/>
      <c r="U280" s="10" t="s">
        <v>984</v>
      </c>
      <c r="V280" s="10" t="s">
        <v>5889</v>
      </c>
      <c r="W280" s="10" t="s">
        <v>51</v>
      </c>
      <c r="X280" s="10" t="s">
        <v>984</v>
      </c>
    </row>
    <row r="281">
      <c r="B281" s="43"/>
      <c r="G281" s="15"/>
      <c r="O281" s="15"/>
      <c r="P281" s="16"/>
      <c r="Q281" s="16"/>
      <c r="R281" s="16"/>
      <c r="S281" s="16"/>
      <c r="U281" s="10" t="s">
        <v>984</v>
      </c>
      <c r="V281" s="10" t="s">
        <v>5881</v>
      </c>
      <c r="W281" s="10" t="s">
        <v>51</v>
      </c>
      <c r="X281" s="10" t="s">
        <v>984</v>
      </c>
    </row>
    <row r="282">
      <c r="B282" s="43"/>
      <c r="G282" s="15"/>
      <c r="O282" s="15"/>
      <c r="P282" s="16"/>
      <c r="Q282" s="16"/>
      <c r="R282" s="16"/>
      <c r="S282" s="16"/>
      <c r="U282" s="10" t="s">
        <v>49</v>
      </c>
      <c r="V282" s="10" t="s">
        <v>6532</v>
      </c>
      <c r="W282" s="10" t="s">
        <v>51</v>
      </c>
      <c r="X282" s="10" t="s">
        <v>3975</v>
      </c>
    </row>
    <row r="283">
      <c r="B283" s="43"/>
      <c r="G283" s="15"/>
      <c r="O283" s="15"/>
      <c r="P283" s="16"/>
      <c r="Q283" s="16"/>
      <c r="R283" s="16"/>
      <c r="S283" s="16"/>
      <c r="U283" s="10" t="s">
        <v>615</v>
      </c>
      <c r="V283" s="10" t="s">
        <v>6533</v>
      </c>
      <c r="W283" s="10" t="s">
        <v>51</v>
      </c>
      <c r="X283" s="10" t="s">
        <v>2637</v>
      </c>
    </row>
    <row r="284">
      <c r="B284" s="43"/>
      <c r="G284" s="15"/>
      <c r="O284" s="15"/>
      <c r="P284" s="16"/>
      <c r="Q284" s="16"/>
      <c r="R284" s="16"/>
      <c r="S284" s="16"/>
      <c r="U284" s="10" t="s">
        <v>240</v>
      </c>
      <c r="V284" s="10" t="s">
        <v>6534</v>
      </c>
      <c r="W284" s="10" t="s">
        <v>51</v>
      </c>
      <c r="X284" s="10" t="s">
        <v>1905</v>
      </c>
    </row>
    <row r="285">
      <c r="B285" s="43"/>
      <c r="G285" s="15"/>
      <c r="O285" s="15"/>
      <c r="P285" s="16"/>
      <c r="Q285" s="16"/>
      <c r="R285" s="16"/>
      <c r="S285" s="16"/>
      <c r="U285" s="10" t="s">
        <v>984</v>
      </c>
      <c r="V285" s="10" t="s">
        <v>5889</v>
      </c>
      <c r="W285" s="10" t="s">
        <v>51</v>
      </c>
      <c r="X285" s="10" t="s">
        <v>984</v>
      </c>
    </row>
    <row r="286">
      <c r="B286" s="43"/>
      <c r="G286" s="15"/>
      <c r="O286" s="15"/>
      <c r="P286" s="16"/>
      <c r="Q286" s="16"/>
      <c r="R286" s="16"/>
      <c r="S286" s="16"/>
      <c r="U286" s="10" t="s">
        <v>615</v>
      </c>
      <c r="V286" s="10" t="s">
        <v>6535</v>
      </c>
      <c r="W286" s="10" t="s">
        <v>51</v>
      </c>
      <c r="X286" s="10" t="s">
        <v>2637</v>
      </c>
    </row>
    <row r="287">
      <c r="B287" s="43"/>
      <c r="G287" s="15"/>
      <c r="O287" s="15"/>
      <c r="P287" s="16"/>
      <c r="Q287" s="16"/>
      <c r="R287" s="16"/>
      <c r="S287" s="16"/>
      <c r="U287" s="10" t="s">
        <v>492</v>
      </c>
      <c r="V287" s="10" t="s">
        <v>6234</v>
      </c>
      <c r="W287" s="10" t="s">
        <v>51</v>
      </c>
      <c r="X287" s="10" t="s">
        <v>492</v>
      </c>
    </row>
    <row r="288">
      <c r="B288" s="43"/>
      <c r="G288" s="15"/>
      <c r="O288" s="15"/>
      <c r="P288" s="16"/>
      <c r="Q288" s="16"/>
      <c r="R288" s="16"/>
      <c r="S288" s="16"/>
      <c r="U288" s="10" t="s">
        <v>545</v>
      </c>
      <c r="V288" s="10" t="s">
        <v>6536</v>
      </c>
      <c r="W288" s="10" t="s">
        <v>51</v>
      </c>
      <c r="X288" s="10" t="s">
        <v>3421</v>
      </c>
    </row>
    <row r="289">
      <c r="B289" s="43"/>
      <c r="G289" s="15"/>
      <c r="O289" s="15"/>
      <c r="P289" s="16"/>
      <c r="Q289" s="16"/>
      <c r="R289" s="16"/>
      <c r="S289" s="16"/>
      <c r="U289" s="10" t="s">
        <v>984</v>
      </c>
      <c r="V289" s="10" t="s">
        <v>5889</v>
      </c>
      <c r="W289" s="10" t="s">
        <v>51</v>
      </c>
      <c r="X289" s="10" t="s">
        <v>984</v>
      </c>
    </row>
    <row r="290">
      <c r="B290" s="43"/>
      <c r="G290" s="15"/>
      <c r="O290" s="15"/>
      <c r="P290" s="16"/>
      <c r="Q290" s="16"/>
      <c r="R290" s="16"/>
      <c r="S290" s="16"/>
      <c r="U290" s="10" t="s">
        <v>984</v>
      </c>
      <c r="V290" s="10" t="s">
        <v>5889</v>
      </c>
      <c r="W290" s="10" t="s">
        <v>51</v>
      </c>
      <c r="X290" s="10" t="s">
        <v>984</v>
      </c>
    </row>
    <row r="291">
      <c r="B291" s="43"/>
      <c r="G291" s="15"/>
      <c r="O291" s="15"/>
      <c r="P291" s="16"/>
      <c r="Q291" s="16"/>
      <c r="R291" s="16"/>
      <c r="S291" s="16"/>
      <c r="U291" s="10" t="s">
        <v>984</v>
      </c>
      <c r="V291" s="10" t="s">
        <v>5889</v>
      </c>
      <c r="W291" s="10" t="s">
        <v>51</v>
      </c>
      <c r="X291" s="10" t="s">
        <v>984</v>
      </c>
    </row>
    <row r="292">
      <c r="B292" s="43"/>
      <c r="G292" s="15"/>
      <c r="O292" s="15"/>
      <c r="P292" s="16"/>
      <c r="Q292" s="16"/>
      <c r="R292" s="16"/>
      <c r="S292" s="16"/>
      <c r="U292" s="10" t="s">
        <v>219</v>
      </c>
      <c r="V292" s="10" t="s">
        <v>6537</v>
      </c>
      <c r="W292" s="10" t="s">
        <v>51</v>
      </c>
      <c r="X292" s="10" t="s">
        <v>974</v>
      </c>
    </row>
    <row r="293">
      <c r="B293" s="43"/>
      <c r="G293" s="15"/>
      <c r="O293" s="15"/>
      <c r="P293" s="16"/>
      <c r="Q293" s="16"/>
      <c r="R293" s="16"/>
      <c r="S293" s="16"/>
      <c r="U293" s="10" t="s">
        <v>240</v>
      </c>
      <c r="V293" s="10" t="s">
        <v>6538</v>
      </c>
      <c r="W293" s="10" t="s">
        <v>51</v>
      </c>
      <c r="X293" s="10" t="s">
        <v>1905</v>
      </c>
    </row>
    <row r="294">
      <c r="B294" s="43"/>
      <c r="G294" s="15"/>
      <c r="O294" s="15"/>
      <c r="P294" s="16"/>
      <c r="Q294" s="16"/>
      <c r="R294" s="16"/>
      <c r="S294" s="16"/>
      <c r="U294" s="10" t="s">
        <v>176</v>
      </c>
      <c r="V294" s="10" t="s">
        <v>6539</v>
      </c>
      <c r="W294" s="10" t="s">
        <v>51</v>
      </c>
      <c r="X294" s="10" t="s">
        <v>962</v>
      </c>
    </row>
    <row r="295">
      <c r="B295" s="43"/>
      <c r="G295" s="15"/>
      <c r="O295" s="15"/>
      <c r="P295" s="16"/>
      <c r="Q295" s="16"/>
      <c r="R295" s="16"/>
      <c r="S295" s="16"/>
      <c r="U295" s="10" t="s">
        <v>492</v>
      </c>
      <c r="V295" s="10" t="s">
        <v>5992</v>
      </c>
      <c r="W295" s="10" t="s">
        <v>51</v>
      </c>
      <c r="X295" s="10" t="s">
        <v>492</v>
      </c>
    </row>
    <row r="296">
      <c r="B296" s="43"/>
      <c r="G296" s="15"/>
      <c r="O296" s="15"/>
      <c r="P296" s="16"/>
      <c r="Q296" s="16"/>
      <c r="R296" s="16"/>
      <c r="S296" s="16"/>
      <c r="U296" s="10" t="s">
        <v>507</v>
      </c>
      <c r="V296" s="10" t="s">
        <v>6540</v>
      </c>
      <c r="W296" s="10" t="s">
        <v>51</v>
      </c>
      <c r="X296" s="10" t="s">
        <v>2228</v>
      </c>
    </row>
    <row r="297">
      <c r="B297" s="43"/>
      <c r="G297" s="15"/>
      <c r="O297" s="15"/>
      <c r="P297" s="16"/>
      <c r="Q297" s="16"/>
      <c r="R297" s="16"/>
      <c r="S297" s="16"/>
      <c r="U297" s="10" t="s">
        <v>615</v>
      </c>
      <c r="V297" s="10" t="s">
        <v>6541</v>
      </c>
      <c r="W297" s="10" t="s">
        <v>51</v>
      </c>
      <c r="X297" s="10" t="s">
        <v>2637</v>
      </c>
    </row>
    <row r="298">
      <c r="B298" s="43"/>
      <c r="G298" s="15"/>
      <c r="O298" s="15"/>
      <c r="P298" s="16"/>
      <c r="Q298" s="16"/>
      <c r="R298" s="16"/>
      <c r="S298" s="16"/>
      <c r="U298" s="10" t="s">
        <v>507</v>
      </c>
      <c r="V298" s="10" t="s">
        <v>6542</v>
      </c>
      <c r="W298" s="10" t="s">
        <v>51</v>
      </c>
      <c r="X298" s="10" t="s">
        <v>2228</v>
      </c>
    </row>
    <row r="299">
      <c r="B299" s="43"/>
      <c r="G299" s="15"/>
      <c r="O299" s="15"/>
      <c r="P299" s="16"/>
      <c r="Q299" s="16"/>
      <c r="R299" s="16"/>
      <c r="S299" s="16"/>
      <c r="U299" s="10" t="s">
        <v>240</v>
      </c>
      <c r="V299" s="10" t="s">
        <v>6543</v>
      </c>
      <c r="W299" s="10" t="s">
        <v>51</v>
      </c>
      <c r="X299" s="10" t="s">
        <v>1905</v>
      </c>
    </row>
    <row r="300">
      <c r="B300" s="43"/>
      <c r="G300" s="15"/>
      <c r="O300" s="15"/>
      <c r="P300" s="16"/>
      <c r="Q300" s="16"/>
      <c r="R300" s="16"/>
      <c r="S300" s="16"/>
      <c r="U300" s="10" t="s">
        <v>240</v>
      </c>
      <c r="V300" s="10" t="s">
        <v>6544</v>
      </c>
      <c r="W300" s="10" t="s">
        <v>51</v>
      </c>
      <c r="X300" s="10" t="s">
        <v>1905</v>
      </c>
    </row>
    <row r="301">
      <c r="B301" s="43"/>
      <c r="G301" s="15"/>
      <c r="O301" s="15"/>
      <c r="P301" s="16"/>
      <c r="Q301" s="16"/>
      <c r="R301" s="16"/>
      <c r="S301" s="16"/>
      <c r="U301" s="10" t="s">
        <v>984</v>
      </c>
      <c r="V301" s="10" t="s">
        <v>5889</v>
      </c>
      <c r="W301" s="10" t="s">
        <v>51</v>
      </c>
      <c r="X301" s="10" t="s">
        <v>984</v>
      </c>
    </row>
    <row r="302">
      <c r="B302" s="43"/>
      <c r="G302" s="15"/>
      <c r="O302" s="15"/>
      <c r="P302" s="16"/>
      <c r="Q302" s="16"/>
      <c r="R302" s="16"/>
      <c r="S302" s="16"/>
      <c r="U302" s="10" t="s">
        <v>176</v>
      </c>
      <c r="V302" s="10" t="s">
        <v>6545</v>
      </c>
      <c r="W302" s="10" t="s">
        <v>51</v>
      </c>
      <c r="X302" s="10" t="s">
        <v>962</v>
      </c>
    </row>
    <row r="303">
      <c r="B303" s="43"/>
      <c r="G303" s="15"/>
      <c r="O303" s="15"/>
      <c r="P303" s="16"/>
      <c r="Q303" s="16"/>
      <c r="R303" s="16"/>
      <c r="S303" s="16"/>
      <c r="U303" s="10" t="s">
        <v>615</v>
      </c>
      <c r="V303" s="10" t="s">
        <v>6546</v>
      </c>
      <c r="W303" s="10" t="s">
        <v>51</v>
      </c>
      <c r="X303" s="10" t="s">
        <v>2637</v>
      </c>
    </row>
    <row r="304">
      <c r="B304" s="43"/>
      <c r="G304" s="15"/>
      <c r="O304" s="15"/>
      <c r="P304" s="16"/>
      <c r="Q304" s="16"/>
      <c r="R304" s="16"/>
      <c r="S304" s="16"/>
      <c r="U304" s="10" t="s">
        <v>984</v>
      </c>
      <c r="V304" s="10" t="s">
        <v>5889</v>
      </c>
      <c r="W304" s="10" t="s">
        <v>51</v>
      </c>
      <c r="X304" s="10" t="s">
        <v>984</v>
      </c>
    </row>
    <row r="305">
      <c r="B305" s="43"/>
      <c r="G305" s="15"/>
      <c r="O305" s="15"/>
      <c r="P305" s="16"/>
      <c r="Q305" s="16"/>
      <c r="R305" s="16"/>
      <c r="S305" s="16"/>
      <c r="U305" s="10" t="s">
        <v>984</v>
      </c>
      <c r="V305" s="10" t="s">
        <v>5889</v>
      </c>
      <c r="W305" s="10" t="s">
        <v>51</v>
      </c>
      <c r="X305" s="10" t="s">
        <v>984</v>
      </c>
    </row>
    <row r="306">
      <c r="B306" s="43"/>
      <c r="G306" s="15"/>
      <c r="O306" s="15"/>
      <c r="P306" s="16"/>
      <c r="Q306" s="16"/>
      <c r="R306" s="16"/>
      <c r="S306" s="16"/>
      <c r="U306" s="10" t="s">
        <v>240</v>
      </c>
      <c r="V306" s="10" t="s">
        <v>6547</v>
      </c>
      <c r="W306" s="10" t="s">
        <v>51</v>
      </c>
      <c r="X306" s="10" t="s">
        <v>1905</v>
      </c>
    </row>
    <row r="307">
      <c r="B307" s="43"/>
      <c r="G307" s="15"/>
      <c r="O307" s="15"/>
      <c r="P307" s="16"/>
      <c r="Q307" s="16"/>
      <c r="R307" s="16"/>
      <c r="S307" s="16"/>
      <c r="U307" s="10" t="s">
        <v>240</v>
      </c>
      <c r="V307" s="10" t="s">
        <v>6548</v>
      </c>
      <c r="W307" s="10" t="s">
        <v>51</v>
      </c>
      <c r="X307" s="10" t="s">
        <v>1905</v>
      </c>
    </row>
    <row r="308">
      <c r="B308" s="43"/>
      <c r="G308" s="15"/>
      <c r="O308" s="15"/>
      <c r="P308" s="16"/>
      <c r="Q308" s="16"/>
      <c r="R308" s="16"/>
      <c r="S308" s="16"/>
      <c r="U308" s="10" t="s">
        <v>615</v>
      </c>
      <c r="V308" s="10" t="s">
        <v>6549</v>
      </c>
      <c r="W308" s="10" t="s">
        <v>51</v>
      </c>
      <c r="X308" s="10" t="s">
        <v>2637</v>
      </c>
    </row>
    <row r="309">
      <c r="B309" s="43"/>
      <c r="G309" s="15"/>
      <c r="O309" s="15"/>
      <c r="P309" s="16"/>
      <c r="Q309" s="16"/>
      <c r="R309" s="16"/>
      <c r="S309" s="16"/>
      <c r="U309" s="10" t="s">
        <v>984</v>
      </c>
      <c r="V309" s="10" t="s">
        <v>5881</v>
      </c>
      <c r="W309" s="10" t="s">
        <v>51</v>
      </c>
      <c r="X309" s="10" t="s">
        <v>984</v>
      </c>
    </row>
    <row r="310">
      <c r="B310" s="43"/>
      <c r="G310" s="15"/>
      <c r="O310" s="15"/>
      <c r="P310" s="16"/>
      <c r="Q310" s="16"/>
      <c r="R310" s="16"/>
      <c r="S310" s="16"/>
      <c r="U310" s="10" t="s">
        <v>615</v>
      </c>
      <c r="V310" s="10" t="s">
        <v>6550</v>
      </c>
      <c r="W310" s="10" t="s">
        <v>51</v>
      </c>
      <c r="X310" s="10" t="s">
        <v>2637</v>
      </c>
    </row>
    <row r="311">
      <c r="B311" s="43"/>
      <c r="G311" s="15"/>
      <c r="O311" s="15"/>
      <c r="P311" s="16"/>
      <c r="Q311" s="16"/>
      <c r="R311" s="16"/>
      <c r="S311" s="16"/>
      <c r="U311" s="10" t="s">
        <v>615</v>
      </c>
      <c r="V311" s="10" t="s">
        <v>6551</v>
      </c>
      <c r="W311" s="10" t="s">
        <v>51</v>
      </c>
      <c r="X311" s="10" t="s">
        <v>2637</v>
      </c>
    </row>
    <row r="312">
      <c r="B312" s="43"/>
      <c r="G312" s="15"/>
      <c r="O312" s="15"/>
      <c r="P312" s="16"/>
      <c r="Q312" s="16"/>
      <c r="R312" s="16"/>
      <c r="S312" s="16"/>
      <c r="U312" s="10" t="s">
        <v>84</v>
      </c>
      <c r="V312" s="10" t="s">
        <v>6552</v>
      </c>
      <c r="W312" s="10" t="s">
        <v>51</v>
      </c>
      <c r="X312" s="10" t="s">
        <v>2309</v>
      </c>
    </row>
    <row r="313">
      <c r="B313" s="43"/>
      <c r="G313" s="15"/>
      <c r="O313" s="15"/>
      <c r="P313" s="16"/>
      <c r="Q313" s="16"/>
      <c r="R313" s="16"/>
      <c r="S313" s="16"/>
      <c r="U313" s="10" t="s">
        <v>984</v>
      </c>
      <c r="V313" s="10" t="s">
        <v>5881</v>
      </c>
      <c r="W313" s="10" t="s">
        <v>51</v>
      </c>
      <c r="X313" s="10" t="s">
        <v>984</v>
      </c>
    </row>
    <row r="314">
      <c r="B314" s="43"/>
      <c r="G314" s="15"/>
      <c r="O314" s="15"/>
      <c r="P314" s="16"/>
      <c r="Q314" s="16"/>
      <c r="R314" s="16"/>
      <c r="S314" s="16"/>
      <c r="U314" s="10" t="s">
        <v>704</v>
      </c>
      <c r="V314" s="10" t="s">
        <v>6553</v>
      </c>
      <c r="W314" s="10" t="s">
        <v>51</v>
      </c>
      <c r="X314" s="10" t="s">
        <v>1885</v>
      </c>
    </row>
    <row r="315">
      <c r="B315" s="43"/>
      <c r="G315" s="15"/>
      <c r="O315" s="15"/>
      <c r="P315" s="16"/>
      <c r="Q315" s="16"/>
      <c r="R315" s="16"/>
      <c r="S315" s="16"/>
      <c r="U315" s="10" t="s">
        <v>49</v>
      </c>
      <c r="V315" s="10" t="s">
        <v>6554</v>
      </c>
      <c r="W315" s="10" t="s">
        <v>51</v>
      </c>
      <c r="X315" s="10" t="s">
        <v>3975</v>
      </c>
    </row>
    <row r="316">
      <c r="B316" s="43"/>
      <c r="G316" s="15"/>
      <c r="O316" s="15"/>
      <c r="P316" s="16"/>
      <c r="Q316" s="16"/>
      <c r="R316" s="16"/>
      <c r="S316" s="16"/>
      <c r="U316" s="10" t="s">
        <v>984</v>
      </c>
      <c r="V316" s="10" t="s">
        <v>5889</v>
      </c>
      <c r="W316" s="10" t="s">
        <v>51</v>
      </c>
      <c r="X316" s="10" t="s">
        <v>984</v>
      </c>
    </row>
    <row r="317">
      <c r="B317" s="43"/>
      <c r="G317" s="15"/>
      <c r="O317" s="15"/>
      <c r="P317" s="16"/>
      <c r="Q317" s="16"/>
      <c r="R317" s="16"/>
      <c r="S317" s="16"/>
      <c r="U317" s="10" t="s">
        <v>984</v>
      </c>
      <c r="V317" s="10" t="s">
        <v>5889</v>
      </c>
      <c r="W317" s="10" t="s">
        <v>51</v>
      </c>
      <c r="X317" s="10" t="s">
        <v>984</v>
      </c>
    </row>
    <row r="318">
      <c r="B318" s="43"/>
      <c r="G318" s="15"/>
      <c r="O318" s="15"/>
      <c r="P318" s="16"/>
      <c r="Q318" s="16"/>
      <c r="R318" s="16"/>
      <c r="S318" s="16"/>
      <c r="U318" s="10" t="s">
        <v>492</v>
      </c>
      <c r="V318" s="10" t="s">
        <v>6234</v>
      </c>
      <c r="W318" s="10" t="s">
        <v>51</v>
      </c>
      <c r="X318" s="10" t="s">
        <v>492</v>
      </c>
    </row>
    <row r="319">
      <c r="B319" s="43"/>
      <c r="G319" s="15"/>
      <c r="O319" s="15"/>
      <c r="P319" s="16"/>
      <c r="Q319" s="16"/>
      <c r="R319" s="16"/>
      <c r="S319" s="16"/>
      <c r="U319" s="10" t="s">
        <v>615</v>
      </c>
      <c r="V319" s="10" t="s">
        <v>6555</v>
      </c>
      <c r="W319" s="10" t="s">
        <v>51</v>
      </c>
      <c r="X319" s="10" t="s">
        <v>2637</v>
      </c>
    </row>
    <row r="320">
      <c r="B320" s="43"/>
      <c r="G320" s="15"/>
      <c r="O320" s="15"/>
      <c r="P320" s="16"/>
      <c r="Q320" s="16"/>
      <c r="R320" s="16"/>
      <c r="S320" s="16"/>
      <c r="U320" s="10" t="s">
        <v>984</v>
      </c>
      <c r="V320" s="10" t="s">
        <v>5889</v>
      </c>
      <c r="W320" s="10" t="s">
        <v>51</v>
      </c>
      <c r="X320" s="10" t="s">
        <v>984</v>
      </c>
    </row>
    <row r="321">
      <c r="B321" s="43"/>
      <c r="G321" s="15"/>
      <c r="O321" s="15"/>
      <c r="P321" s="16"/>
      <c r="Q321" s="16"/>
      <c r="R321" s="16"/>
      <c r="S321" s="16"/>
      <c r="U321" s="10" t="s">
        <v>984</v>
      </c>
      <c r="V321" s="10" t="s">
        <v>5889</v>
      </c>
      <c r="W321" s="10" t="s">
        <v>51</v>
      </c>
      <c r="X321" s="10" t="s">
        <v>984</v>
      </c>
    </row>
    <row r="322">
      <c r="B322" s="43"/>
      <c r="G322" s="15"/>
      <c r="O322" s="15"/>
      <c r="P322" s="16"/>
      <c r="Q322" s="16"/>
      <c r="R322" s="16"/>
      <c r="S322" s="16"/>
      <c r="U322" s="10" t="s">
        <v>507</v>
      </c>
      <c r="V322" s="10" t="s">
        <v>6556</v>
      </c>
      <c r="W322" s="10" t="s">
        <v>51</v>
      </c>
      <c r="X322" s="10" t="s">
        <v>2228</v>
      </c>
    </row>
    <row r="323">
      <c r="B323" s="43"/>
      <c r="G323" s="15"/>
      <c r="O323" s="15"/>
      <c r="P323" s="16"/>
      <c r="Q323" s="16"/>
      <c r="R323" s="16"/>
      <c r="S323" s="16"/>
      <c r="U323" s="10" t="s">
        <v>615</v>
      </c>
      <c r="V323" s="10" t="s">
        <v>6557</v>
      </c>
      <c r="W323" s="10" t="s">
        <v>51</v>
      </c>
      <c r="X323" s="10" t="s">
        <v>2637</v>
      </c>
    </row>
    <row r="324">
      <c r="B324" s="43"/>
      <c r="G324" s="15"/>
      <c r="O324" s="15"/>
      <c r="P324" s="16"/>
      <c r="Q324" s="16"/>
      <c r="R324" s="16"/>
      <c r="S324" s="16"/>
      <c r="U324" s="10" t="s">
        <v>984</v>
      </c>
      <c r="V324" s="10" t="s">
        <v>5889</v>
      </c>
      <c r="W324" s="10" t="s">
        <v>51</v>
      </c>
      <c r="X324" s="10" t="s">
        <v>984</v>
      </c>
    </row>
    <row r="325">
      <c r="B325" s="43"/>
      <c r="G325" s="15"/>
      <c r="O325" s="15"/>
      <c r="P325" s="16"/>
      <c r="Q325" s="16"/>
      <c r="R325" s="16"/>
      <c r="S325" s="16"/>
      <c r="U325" s="10" t="s">
        <v>240</v>
      </c>
      <c r="V325" s="10" t="s">
        <v>6558</v>
      </c>
      <c r="W325" s="10" t="s">
        <v>51</v>
      </c>
      <c r="X325" s="10" t="s">
        <v>1905</v>
      </c>
    </row>
    <row r="326">
      <c r="B326" s="43"/>
      <c r="G326" s="15"/>
      <c r="O326" s="15"/>
      <c r="P326" s="16"/>
      <c r="Q326" s="16"/>
      <c r="R326" s="16"/>
      <c r="S326" s="16"/>
      <c r="U326" s="10" t="s">
        <v>240</v>
      </c>
      <c r="V326" s="10" t="s">
        <v>6559</v>
      </c>
      <c r="W326" s="10" t="s">
        <v>51</v>
      </c>
      <c r="X326" s="10" t="s">
        <v>1905</v>
      </c>
    </row>
    <row r="327">
      <c r="B327" s="43"/>
      <c r="G327" s="15"/>
      <c r="O327" s="15"/>
      <c r="P327" s="16"/>
      <c r="Q327" s="16"/>
      <c r="R327" s="16"/>
      <c r="S327" s="16"/>
      <c r="U327" s="10" t="s">
        <v>507</v>
      </c>
      <c r="V327" s="10" t="s">
        <v>6560</v>
      </c>
      <c r="W327" s="10" t="s">
        <v>51</v>
      </c>
      <c r="X327" s="10" t="s">
        <v>2228</v>
      </c>
    </row>
    <row r="328">
      <c r="B328" s="43"/>
      <c r="G328" s="15"/>
      <c r="O328" s="15"/>
      <c r="P328" s="16"/>
      <c r="Q328" s="16"/>
      <c r="R328" s="16"/>
      <c r="S328" s="16"/>
      <c r="U328" s="10" t="s">
        <v>984</v>
      </c>
      <c r="V328" s="10" t="s">
        <v>5889</v>
      </c>
      <c r="W328" s="10" t="s">
        <v>51</v>
      </c>
      <c r="X328" s="10" t="s">
        <v>984</v>
      </c>
    </row>
    <row r="329">
      <c r="B329" s="43"/>
      <c r="G329" s="15"/>
      <c r="O329" s="15"/>
      <c r="P329" s="16"/>
      <c r="Q329" s="16"/>
      <c r="R329" s="16"/>
      <c r="S329" s="16"/>
      <c r="U329" s="10" t="s">
        <v>84</v>
      </c>
      <c r="V329" s="10" t="s">
        <v>6561</v>
      </c>
      <c r="W329" s="10" t="s">
        <v>51</v>
      </c>
      <c r="X329" s="10" t="s">
        <v>2309</v>
      </c>
    </row>
    <row r="330">
      <c r="B330" s="43"/>
      <c r="G330" s="15"/>
      <c r="O330" s="15"/>
      <c r="P330" s="16"/>
      <c r="Q330" s="16"/>
      <c r="R330" s="16"/>
      <c r="S330" s="16"/>
      <c r="U330" s="10" t="s">
        <v>507</v>
      </c>
      <c r="V330" s="10" t="s">
        <v>6562</v>
      </c>
      <c r="W330" s="10" t="s">
        <v>51</v>
      </c>
      <c r="X330" s="10" t="s">
        <v>2228</v>
      </c>
    </row>
    <row r="331">
      <c r="B331" s="43"/>
      <c r="G331" s="15"/>
      <c r="O331" s="15"/>
      <c r="P331" s="16"/>
      <c r="Q331" s="16"/>
      <c r="R331" s="16"/>
      <c r="S331" s="16"/>
      <c r="U331" s="10" t="s">
        <v>984</v>
      </c>
      <c r="V331" s="10" t="s">
        <v>5881</v>
      </c>
      <c r="W331" s="10" t="s">
        <v>51</v>
      </c>
      <c r="X331" s="10" t="s">
        <v>984</v>
      </c>
    </row>
    <row r="332">
      <c r="B332" s="43"/>
      <c r="G332" s="15"/>
      <c r="O332" s="15"/>
      <c r="P332" s="16"/>
      <c r="Q332" s="16"/>
      <c r="R332" s="16"/>
      <c r="S332" s="16"/>
      <c r="U332" s="10" t="s">
        <v>84</v>
      </c>
      <c r="V332" s="10" t="s">
        <v>6563</v>
      </c>
      <c r="W332" s="10" t="s">
        <v>51</v>
      </c>
      <c r="X332" s="10" t="s">
        <v>2309</v>
      </c>
    </row>
    <row r="333">
      <c r="B333" s="43"/>
      <c r="G333" s="15"/>
      <c r="O333" s="15"/>
      <c r="P333" s="16"/>
      <c r="Q333" s="16"/>
      <c r="R333" s="16"/>
      <c r="S333" s="16"/>
      <c r="U333" s="10" t="s">
        <v>240</v>
      </c>
      <c r="V333" s="10" t="s">
        <v>6564</v>
      </c>
      <c r="W333" s="10" t="s">
        <v>51</v>
      </c>
      <c r="X333" s="10" t="s">
        <v>1905</v>
      </c>
    </row>
    <row r="334">
      <c r="B334" s="43"/>
      <c r="G334" s="15"/>
      <c r="O334" s="15"/>
      <c r="P334" s="16"/>
      <c r="Q334" s="16"/>
      <c r="R334" s="16"/>
      <c r="S334" s="16"/>
      <c r="U334" s="10" t="s">
        <v>492</v>
      </c>
      <c r="V334" s="10" t="s">
        <v>5992</v>
      </c>
      <c r="W334" s="10" t="s">
        <v>51</v>
      </c>
      <c r="X334" s="10" t="s">
        <v>492</v>
      </c>
    </row>
    <row r="335">
      <c r="B335" s="43"/>
      <c r="G335" s="15"/>
      <c r="O335" s="15"/>
      <c r="P335" s="16"/>
      <c r="Q335" s="16"/>
      <c r="R335" s="16"/>
      <c r="S335" s="16"/>
      <c r="U335" s="10" t="s">
        <v>984</v>
      </c>
      <c r="V335" s="10" t="s">
        <v>5881</v>
      </c>
      <c r="W335" s="10" t="s">
        <v>51</v>
      </c>
      <c r="X335" s="10" t="s">
        <v>984</v>
      </c>
    </row>
    <row r="336">
      <c r="B336" s="43"/>
      <c r="G336" s="15"/>
      <c r="O336" s="15"/>
      <c r="P336" s="16"/>
      <c r="Q336" s="16"/>
      <c r="R336" s="16"/>
      <c r="S336" s="16"/>
      <c r="U336" s="10" t="s">
        <v>615</v>
      </c>
      <c r="V336" s="10" t="s">
        <v>6565</v>
      </c>
      <c r="W336" s="10" t="s">
        <v>51</v>
      </c>
      <c r="X336" s="10" t="s">
        <v>2637</v>
      </c>
    </row>
    <row r="337">
      <c r="B337" s="43"/>
      <c r="G337" s="15"/>
      <c r="O337" s="15"/>
      <c r="P337" s="16"/>
      <c r="Q337" s="16"/>
      <c r="R337" s="16"/>
      <c r="S337" s="16"/>
      <c r="U337" s="10" t="s">
        <v>507</v>
      </c>
      <c r="V337" s="10" t="s">
        <v>6566</v>
      </c>
      <c r="W337" s="10" t="s">
        <v>51</v>
      </c>
      <c r="X337" s="10" t="s">
        <v>2228</v>
      </c>
    </row>
    <row r="338">
      <c r="B338" s="43"/>
      <c r="G338" s="15"/>
      <c r="O338" s="15"/>
      <c r="P338" s="16"/>
      <c r="Q338" s="16"/>
      <c r="R338" s="16"/>
      <c r="S338" s="16"/>
      <c r="U338" s="10" t="s">
        <v>984</v>
      </c>
      <c r="V338" s="10" t="s">
        <v>5889</v>
      </c>
      <c r="W338" s="10" t="s">
        <v>51</v>
      </c>
      <c r="X338" s="10" t="s">
        <v>984</v>
      </c>
    </row>
    <row r="339">
      <c r="B339" s="43"/>
      <c r="G339" s="15"/>
      <c r="O339" s="15"/>
      <c r="P339" s="16"/>
      <c r="Q339" s="16"/>
      <c r="R339" s="16"/>
      <c r="S339" s="16"/>
      <c r="U339" s="10" t="s">
        <v>176</v>
      </c>
      <c r="V339" s="10" t="s">
        <v>6567</v>
      </c>
      <c r="W339" s="10" t="s">
        <v>51</v>
      </c>
      <c r="X339" s="10" t="s">
        <v>962</v>
      </c>
    </row>
    <row r="340">
      <c r="B340" s="43"/>
      <c r="G340" s="15"/>
      <c r="O340" s="15"/>
      <c r="P340" s="16"/>
      <c r="Q340" s="16"/>
      <c r="R340" s="16"/>
      <c r="S340" s="16"/>
      <c r="U340" s="10" t="s">
        <v>176</v>
      </c>
      <c r="V340" s="10" t="s">
        <v>6568</v>
      </c>
      <c r="W340" s="10" t="s">
        <v>51</v>
      </c>
      <c r="X340" s="10" t="s">
        <v>962</v>
      </c>
    </row>
    <row r="341">
      <c r="B341" s="43"/>
      <c r="G341" s="15"/>
      <c r="O341" s="15"/>
      <c r="P341" s="16"/>
      <c r="Q341" s="16"/>
      <c r="R341" s="16"/>
      <c r="S341" s="16"/>
      <c r="U341" s="10" t="s">
        <v>507</v>
      </c>
      <c r="V341" s="10" t="s">
        <v>6569</v>
      </c>
      <c r="W341" s="10" t="s">
        <v>51</v>
      </c>
      <c r="X341" s="10" t="s">
        <v>2228</v>
      </c>
    </row>
    <row r="342">
      <c r="B342" s="43"/>
      <c r="G342" s="15"/>
      <c r="O342" s="15"/>
      <c r="P342" s="16"/>
      <c r="Q342" s="16"/>
      <c r="R342" s="16"/>
      <c r="S342" s="16"/>
      <c r="U342" s="10" t="s">
        <v>704</v>
      </c>
      <c r="V342" s="10" t="s">
        <v>6570</v>
      </c>
      <c r="W342" s="10" t="s">
        <v>51</v>
      </c>
      <c r="X342" s="10" t="s">
        <v>1885</v>
      </c>
    </row>
    <row r="343">
      <c r="B343" s="43"/>
      <c r="G343" s="15"/>
      <c r="O343" s="15"/>
      <c r="P343" s="16"/>
      <c r="Q343" s="16"/>
      <c r="R343" s="16"/>
      <c r="S343" s="16"/>
      <c r="U343" s="10" t="s">
        <v>615</v>
      </c>
      <c r="V343" s="10" t="s">
        <v>6571</v>
      </c>
      <c r="W343" s="10" t="s">
        <v>51</v>
      </c>
      <c r="X343" s="10" t="s">
        <v>2637</v>
      </c>
    </row>
    <row r="344">
      <c r="B344" s="43"/>
      <c r="G344" s="15"/>
      <c r="O344" s="15"/>
      <c r="P344" s="16"/>
      <c r="Q344" s="16"/>
      <c r="R344" s="16"/>
      <c r="S344" s="16"/>
      <c r="U344" s="10" t="s">
        <v>984</v>
      </c>
      <c r="V344" s="10" t="s">
        <v>5889</v>
      </c>
      <c r="W344" s="10" t="s">
        <v>51</v>
      </c>
      <c r="X344" s="10" t="s">
        <v>984</v>
      </c>
    </row>
    <row r="345">
      <c r="B345" s="43"/>
      <c r="G345" s="15"/>
      <c r="O345" s="15"/>
      <c r="P345" s="16"/>
      <c r="Q345" s="16"/>
      <c r="R345" s="16"/>
      <c r="S345" s="16"/>
      <c r="U345" s="10" t="s">
        <v>984</v>
      </c>
      <c r="V345" s="10" t="s">
        <v>5881</v>
      </c>
      <c r="W345" s="10" t="s">
        <v>51</v>
      </c>
      <c r="X345" s="10" t="s">
        <v>984</v>
      </c>
    </row>
    <row r="346">
      <c r="B346" s="43"/>
      <c r="G346" s="15"/>
      <c r="O346" s="15"/>
      <c r="P346" s="16"/>
      <c r="Q346" s="16"/>
      <c r="R346" s="16"/>
      <c r="S346" s="16"/>
      <c r="U346" s="10" t="s">
        <v>492</v>
      </c>
      <c r="V346" s="10" t="s">
        <v>5992</v>
      </c>
      <c r="W346" s="10" t="s">
        <v>51</v>
      </c>
      <c r="X346" s="10" t="s">
        <v>492</v>
      </c>
    </row>
    <row r="347">
      <c r="B347" s="43"/>
      <c r="G347" s="15"/>
      <c r="O347" s="15"/>
      <c r="P347" s="16"/>
      <c r="Q347" s="16"/>
      <c r="R347" s="16"/>
      <c r="S347" s="16"/>
      <c r="U347" s="10" t="s">
        <v>176</v>
      </c>
      <c r="V347" s="10" t="s">
        <v>6572</v>
      </c>
      <c r="W347" s="10" t="s">
        <v>51</v>
      </c>
      <c r="X347" s="10" t="s">
        <v>962</v>
      </c>
    </row>
    <row r="348">
      <c r="B348" s="43"/>
      <c r="G348" s="15"/>
      <c r="O348" s="15"/>
      <c r="P348" s="16"/>
      <c r="Q348" s="16"/>
      <c r="R348" s="16"/>
      <c r="S348" s="16"/>
      <c r="U348" s="10" t="s">
        <v>984</v>
      </c>
      <c r="V348" s="10" t="s">
        <v>5889</v>
      </c>
      <c r="W348" s="10" t="s">
        <v>51</v>
      </c>
      <c r="X348" s="10" t="s">
        <v>984</v>
      </c>
    </row>
    <row r="349">
      <c r="B349" s="43"/>
      <c r="G349" s="15"/>
      <c r="O349" s="15"/>
      <c r="P349" s="16"/>
      <c r="Q349" s="16"/>
      <c r="R349" s="16"/>
      <c r="S349" s="16"/>
      <c r="U349" s="10" t="s">
        <v>704</v>
      </c>
      <c r="V349" s="10" t="s">
        <v>6573</v>
      </c>
      <c r="W349" s="10" t="s">
        <v>51</v>
      </c>
      <c r="X349" s="10" t="s">
        <v>1885</v>
      </c>
    </row>
    <row r="350">
      <c r="B350" s="43"/>
      <c r="G350" s="15"/>
      <c r="O350" s="15"/>
      <c r="P350" s="16"/>
      <c r="Q350" s="16"/>
      <c r="R350" s="16"/>
      <c r="S350" s="16"/>
      <c r="U350" s="10" t="s">
        <v>984</v>
      </c>
      <c r="V350" s="10" t="s">
        <v>5889</v>
      </c>
      <c r="W350" s="10" t="s">
        <v>51</v>
      </c>
      <c r="X350" s="10" t="s">
        <v>984</v>
      </c>
    </row>
    <row r="351">
      <c r="B351" s="43"/>
      <c r="G351" s="15"/>
      <c r="O351" s="15"/>
      <c r="P351" s="16"/>
      <c r="Q351" s="16"/>
      <c r="R351" s="16"/>
      <c r="S351" s="16"/>
      <c r="U351" s="10" t="s">
        <v>615</v>
      </c>
      <c r="V351" s="10" t="s">
        <v>6574</v>
      </c>
      <c r="W351" s="10" t="s">
        <v>51</v>
      </c>
      <c r="X351" s="10" t="s">
        <v>2637</v>
      </c>
    </row>
    <row r="352">
      <c r="B352" s="43"/>
      <c r="G352" s="15"/>
      <c r="O352" s="15"/>
      <c r="P352" s="16"/>
      <c r="Q352" s="16"/>
      <c r="R352" s="16"/>
      <c r="S352" s="16"/>
      <c r="U352" s="10" t="s">
        <v>240</v>
      </c>
      <c r="V352" s="10" t="s">
        <v>6575</v>
      </c>
      <c r="W352" s="10" t="s">
        <v>51</v>
      </c>
      <c r="X352" s="10" t="s">
        <v>1905</v>
      </c>
    </row>
    <row r="353">
      <c r="B353" s="43"/>
      <c r="G353" s="15"/>
      <c r="O353" s="15"/>
      <c r="P353" s="16"/>
      <c r="Q353" s="16"/>
      <c r="R353" s="16"/>
      <c r="S353" s="16"/>
      <c r="U353" s="10" t="s">
        <v>984</v>
      </c>
      <c r="V353" s="10" t="s">
        <v>5889</v>
      </c>
      <c r="W353" s="10" t="s">
        <v>51</v>
      </c>
      <c r="X353" s="10" t="s">
        <v>984</v>
      </c>
    </row>
    <row r="354">
      <c r="B354" s="43"/>
      <c r="G354" s="15"/>
      <c r="O354" s="15"/>
      <c r="P354" s="16"/>
      <c r="Q354" s="16"/>
      <c r="R354" s="16"/>
      <c r="S354" s="16"/>
      <c r="U354" s="10" t="s">
        <v>615</v>
      </c>
      <c r="V354" s="10" t="s">
        <v>6576</v>
      </c>
      <c r="W354" s="10" t="s">
        <v>51</v>
      </c>
      <c r="X354" s="10" t="s">
        <v>2637</v>
      </c>
    </row>
    <row r="355">
      <c r="B355" s="43"/>
      <c r="G355" s="15"/>
      <c r="O355" s="15"/>
      <c r="P355" s="16"/>
      <c r="Q355" s="16"/>
      <c r="R355" s="16"/>
      <c r="S355" s="16"/>
      <c r="U355" s="10" t="s">
        <v>84</v>
      </c>
      <c r="V355" s="10" t="s">
        <v>6577</v>
      </c>
      <c r="W355" s="10" t="s">
        <v>51</v>
      </c>
      <c r="X355" s="10" t="s">
        <v>2309</v>
      </c>
    </row>
    <row r="356">
      <c r="B356" s="43"/>
      <c r="G356" s="15"/>
      <c r="O356" s="15"/>
      <c r="P356" s="16"/>
      <c r="Q356" s="16"/>
      <c r="R356" s="16"/>
      <c r="S356" s="16"/>
      <c r="U356" s="10" t="s">
        <v>176</v>
      </c>
      <c r="V356" s="10" t="s">
        <v>6578</v>
      </c>
      <c r="W356" s="10" t="s">
        <v>51</v>
      </c>
      <c r="X356" s="10" t="s">
        <v>962</v>
      </c>
    </row>
    <row r="357">
      <c r="B357" s="43"/>
      <c r="G357" s="15"/>
      <c r="O357" s="15"/>
      <c r="P357" s="16"/>
      <c r="Q357" s="16"/>
      <c r="R357" s="16"/>
      <c r="S357" s="16"/>
      <c r="U357" s="10" t="s">
        <v>492</v>
      </c>
      <c r="V357" s="10" t="s">
        <v>493</v>
      </c>
      <c r="W357" s="10" t="s">
        <v>51</v>
      </c>
      <c r="X357" s="10" t="s">
        <v>492</v>
      </c>
    </row>
    <row r="358">
      <c r="B358" s="43"/>
      <c r="G358" s="15"/>
      <c r="O358" s="15"/>
      <c r="P358" s="16"/>
      <c r="Q358" s="16"/>
      <c r="R358" s="16"/>
      <c r="S358" s="16"/>
      <c r="U358" s="10" t="s">
        <v>240</v>
      </c>
      <c r="V358" s="10" t="s">
        <v>6579</v>
      </c>
      <c r="W358" s="10" t="s">
        <v>51</v>
      </c>
      <c r="X358" s="10" t="s">
        <v>1905</v>
      </c>
    </row>
    <row r="359">
      <c r="B359" s="43"/>
      <c r="G359" s="15"/>
      <c r="O359" s="15"/>
      <c r="P359" s="16"/>
      <c r="Q359" s="16"/>
      <c r="R359" s="16"/>
      <c r="S359" s="16"/>
      <c r="U359" s="10" t="s">
        <v>492</v>
      </c>
      <c r="V359" s="10" t="s">
        <v>6234</v>
      </c>
      <c r="W359" s="10" t="s">
        <v>51</v>
      </c>
      <c r="X359" s="10" t="s">
        <v>492</v>
      </c>
    </row>
    <row r="360">
      <c r="B360" s="43"/>
      <c r="G360" s="15"/>
      <c r="O360" s="15"/>
      <c r="P360" s="16"/>
      <c r="Q360" s="16"/>
      <c r="R360" s="16"/>
      <c r="S360" s="16"/>
      <c r="U360" s="10" t="s">
        <v>704</v>
      </c>
      <c r="V360" s="10" t="s">
        <v>6580</v>
      </c>
      <c r="W360" s="10" t="s">
        <v>51</v>
      </c>
      <c r="X360" s="10" t="s">
        <v>1885</v>
      </c>
    </row>
    <row r="361">
      <c r="B361" s="43"/>
      <c r="G361" s="15"/>
      <c r="O361" s="15"/>
      <c r="P361" s="16"/>
      <c r="Q361" s="16"/>
      <c r="R361" s="16"/>
      <c r="S361" s="16"/>
      <c r="U361" s="10" t="s">
        <v>615</v>
      </c>
      <c r="V361" s="10" t="s">
        <v>6581</v>
      </c>
      <c r="W361" s="10" t="s">
        <v>51</v>
      </c>
      <c r="X361" s="10" t="s">
        <v>2637</v>
      </c>
    </row>
    <row r="362">
      <c r="B362" s="43"/>
      <c r="G362" s="15"/>
      <c r="O362" s="15"/>
      <c r="P362" s="16"/>
      <c r="Q362" s="16"/>
      <c r="R362" s="16"/>
      <c r="S362" s="16"/>
      <c r="U362" s="10" t="s">
        <v>984</v>
      </c>
      <c r="V362" s="10" t="s">
        <v>5881</v>
      </c>
      <c r="W362" s="10" t="s">
        <v>51</v>
      </c>
      <c r="X362" s="10" t="s">
        <v>984</v>
      </c>
    </row>
    <row r="363">
      <c r="B363" s="43"/>
      <c r="G363" s="15"/>
      <c r="O363" s="15"/>
      <c r="P363" s="16"/>
      <c r="Q363" s="16"/>
      <c r="R363" s="16"/>
      <c r="S363" s="16"/>
      <c r="U363" s="10" t="s">
        <v>84</v>
      </c>
      <c r="V363" s="10" t="s">
        <v>6582</v>
      </c>
      <c r="W363" s="10" t="s">
        <v>51</v>
      </c>
      <c r="X363" s="10" t="s">
        <v>2309</v>
      </c>
    </row>
    <row r="364">
      <c r="B364" s="43"/>
      <c r="G364" s="15"/>
      <c r="O364" s="15"/>
      <c r="P364" s="16"/>
      <c r="Q364" s="16"/>
      <c r="R364" s="16"/>
      <c r="S364" s="16"/>
      <c r="U364" s="10" t="s">
        <v>507</v>
      </c>
      <c r="V364" s="10" t="s">
        <v>6583</v>
      </c>
      <c r="W364" s="10" t="s">
        <v>51</v>
      </c>
      <c r="X364" s="10" t="s">
        <v>2228</v>
      </c>
    </row>
    <row r="365">
      <c r="B365" s="43"/>
      <c r="G365" s="15"/>
      <c r="O365" s="15"/>
      <c r="P365" s="16"/>
      <c r="Q365" s="16"/>
      <c r="R365" s="16"/>
      <c r="S365" s="16"/>
      <c r="U365" s="10" t="s">
        <v>984</v>
      </c>
      <c r="V365" s="10" t="s">
        <v>5889</v>
      </c>
      <c r="W365" s="10" t="s">
        <v>51</v>
      </c>
      <c r="X365" s="10" t="s">
        <v>984</v>
      </c>
    </row>
    <row r="366">
      <c r="B366" s="43"/>
      <c r="G366" s="15"/>
      <c r="O366" s="15"/>
      <c r="P366" s="16"/>
      <c r="Q366" s="16"/>
      <c r="R366" s="16"/>
      <c r="S366" s="16"/>
      <c r="U366" s="10" t="s">
        <v>84</v>
      </c>
      <c r="V366" s="10" t="s">
        <v>6584</v>
      </c>
      <c r="W366" s="10" t="s">
        <v>51</v>
      </c>
      <c r="X366" s="10" t="s">
        <v>2309</v>
      </c>
    </row>
    <row r="367">
      <c r="B367" s="43"/>
      <c r="G367" s="15"/>
      <c r="O367" s="15"/>
      <c r="P367" s="16"/>
      <c r="Q367" s="16"/>
      <c r="R367" s="16"/>
      <c r="S367" s="16"/>
      <c r="U367" s="10" t="s">
        <v>492</v>
      </c>
      <c r="V367" s="10" t="s">
        <v>5992</v>
      </c>
      <c r="W367" s="10" t="s">
        <v>51</v>
      </c>
      <c r="X367" s="10" t="s">
        <v>492</v>
      </c>
    </row>
    <row r="368">
      <c r="B368" s="43"/>
      <c r="G368" s="15"/>
      <c r="O368" s="15"/>
      <c r="P368" s="16"/>
      <c r="Q368" s="16"/>
      <c r="R368" s="16"/>
      <c r="S368" s="16"/>
      <c r="U368" s="10" t="s">
        <v>176</v>
      </c>
      <c r="V368" s="10" t="s">
        <v>6585</v>
      </c>
      <c r="W368" s="10" t="s">
        <v>51</v>
      </c>
      <c r="X368" s="10" t="s">
        <v>962</v>
      </c>
    </row>
    <row r="369">
      <c r="B369" s="43"/>
      <c r="G369" s="15"/>
      <c r="O369" s="15"/>
      <c r="P369" s="16"/>
      <c r="Q369" s="16"/>
      <c r="R369" s="16"/>
      <c r="S369" s="16"/>
      <c r="U369" s="10" t="s">
        <v>219</v>
      </c>
      <c r="V369" s="10" t="s">
        <v>6586</v>
      </c>
      <c r="W369" s="10" t="s">
        <v>51</v>
      </c>
      <c r="X369" s="10" t="s">
        <v>974</v>
      </c>
    </row>
    <row r="370">
      <c r="B370" s="43"/>
      <c r="G370" s="15"/>
      <c r="O370" s="15"/>
      <c r="P370" s="16"/>
      <c r="Q370" s="16"/>
      <c r="R370" s="16"/>
      <c r="S370" s="16"/>
      <c r="U370" s="10" t="s">
        <v>984</v>
      </c>
      <c r="V370" s="10" t="s">
        <v>5881</v>
      </c>
      <c r="W370" s="10" t="s">
        <v>51</v>
      </c>
      <c r="X370" s="10" t="s">
        <v>984</v>
      </c>
    </row>
    <row r="371">
      <c r="B371" s="43"/>
      <c r="G371" s="15"/>
      <c r="O371" s="15"/>
      <c r="P371" s="16"/>
      <c r="Q371" s="16"/>
      <c r="R371" s="16"/>
      <c r="S371" s="16"/>
      <c r="U371" s="10" t="s">
        <v>984</v>
      </c>
      <c r="V371" s="10" t="s">
        <v>5889</v>
      </c>
      <c r="W371" s="10" t="s">
        <v>51</v>
      </c>
      <c r="X371" s="10" t="s">
        <v>984</v>
      </c>
    </row>
    <row r="372">
      <c r="B372" s="43"/>
      <c r="G372" s="15"/>
      <c r="O372" s="15"/>
      <c r="P372" s="16"/>
      <c r="Q372" s="16"/>
      <c r="R372" s="16"/>
      <c r="S372" s="16"/>
      <c r="U372" s="10" t="s">
        <v>240</v>
      </c>
      <c r="V372" s="10" t="s">
        <v>6587</v>
      </c>
      <c r="W372" s="10" t="s">
        <v>51</v>
      </c>
      <c r="X372" s="10" t="s">
        <v>1905</v>
      </c>
    </row>
    <row r="373">
      <c r="B373" s="43"/>
      <c r="G373" s="15"/>
      <c r="O373" s="15"/>
      <c r="P373" s="16"/>
      <c r="Q373" s="16"/>
      <c r="R373" s="16"/>
      <c r="S373" s="16"/>
      <c r="U373" s="10" t="s">
        <v>240</v>
      </c>
      <c r="V373" s="10" t="s">
        <v>6588</v>
      </c>
      <c r="W373" s="10" t="s">
        <v>51</v>
      </c>
      <c r="X373" s="10" t="s">
        <v>1905</v>
      </c>
    </row>
    <row r="374">
      <c r="B374" s="43"/>
      <c r="G374" s="15"/>
      <c r="O374" s="15"/>
      <c r="P374" s="16"/>
      <c r="Q374" s="16"/>
      <c r="R374" s="16"/>
      <c r="S374" s="16"/>
      <c r="U374" s="10" t="s">
        <v>984</v>
      </c>
      <c r="V374" s="10" t="s">
        <v>5889</v>
      </c>
      <c r="W374" s="10" t="s">
        <v>51</v>
      </c>
      <c r="X374" s="10" t="s">
        <v>984</v>
      </c>
    </row>
    <row r="375">
      <c r="B375" s="43"/>
      <c r="G375" s="15"/>
      <c r="O375" s="15"/>
      <c r="P375" s="16"/>
      <c r="Q375" s="16"/>
      <c r="R375" s="16"/>
      <c r="S375" s="16"/>
      <c r="U375" s="10" t="s">
        <v>545</v>
      </c>
      <c r="V375" s="10" t="s">
        <v>6589</v>
      </c>
      <c r="W375" s="10" t="s">
        <v>51</v>
      </c>
      <c r="X375" s="10" t="s">
        <v>3421</v>
      </c>
    </row>
    <row r="376">
      <c r="B376" s="43"/>
      <c r="G376" s="15"/>
      <c r="O376" s="15"/>
      <c r="P376" s="16"/>
      <c r="Q376" s="16"/>
      <c r="R376" s="16"/>
      <c r="S376" s="16"/>
      <c r="U376" s="10" t="s">
        <v>240</v>
      </c>
      <c r="V376" s="10" t="s">
        <v>6590</v>
      </c>
      <c r="W376" s="10" t="s">
        <v>51</v>
      </c>
      <c r="X376" s="10" t="s">
        <v>1905</v>
      </c>
    </row>
    <row r="377">
      <c r="B377" s="43"/>
      <c r="G377" s="15"/>
      <c r="O377" s="15"/>
      <c r="P377" s="16"/>
      <c r="Q377" s="16"/>
      <c r="R377" s="16"/>
      <c r="S377" s="16"/>
      <c r="U377" s="10" t="s">
        <v>984</v>
      </c>
      <c r="V377" s="10" t="s">
        <v>5889</v>
      </c>
      <c r="W377" s="10" t="s">
        <v>51</v>
      </c>
      <c r="X377" s="10" t="s">
        <v>984</v>
      </c>
    </row>
    <row r="378">
      <c r="B378" s="43"/>
      <c r="G378" s="15"/>
      <c r="O378" s="15"/>
      <c r="P378" s="16"/>
      <c r="Q378" s="16"/>
      <c r="R378" s="16"/>
      <c r="S378" s="16"/>
      <c r="U378" s="10" t="s">
        <v>240</v>
      </c>
      <c r="V378" s="10" t="s">
        <v>6591</v>
      </c>
      <c r="W378" s="10" t="s">
        <v>51</v>
      </c>
      <c r="X378" s="10" t="s">
        <v>1905</v>
      </c>
    </row>
    <row r="379">
      <c r="B379" s="43"/>
      <c r="G379" s="15"/>
      <c r="O379" s="15"/>
      <c r="P379" s="16"/>
      <c r="Q379" s="16"/>
      <c r="R379" s="16"/>
      <c r="S379" s="16"/>
      <c r="U379" s="10" t="s">
        <v>240</v>
      </c>
      <c r="V379" s="10" t="s">
        <v>6592</v>
      </c>
      <c r="W379" s="10" t="s">
        <v>51</v>
      </c>
      <c r="X379" s="10" t="s">
        <v>1905</v>
      </c>
    </row>
    <row r="380">
      <c r="B380" s="43"/>
      <c r="G380" s="15"/>
      <c r="O380" s="15"/>
      <c r="P380" s="16"/>
      <c r="Q380" s="16"/>
      <c r="R380" s="16"/>
      <c r="S380" s="16"/>
      <c r="U380" s="10" t="s">
        <v>984</v>
      </c>
      <c r="V380" s="10" t="s">
        <v>5881</v>
      </c>
      <c r="W380" s="10" t="s">
        <v>51</v>
      </c>
      <c r="X380" s="10" t="s">
        <v>984</v>
      </c>
    </row>
    <row r="381">
      <c r="B381" s="43"/>
      <c r="G381" s="15"/>
      <c r="O381" s="15"/>
      <c r="P381" s="16"/>
      <c r="Q381" s="16"/>
      <c r="R381" s="16"/>
      <c r="S381" s="16"/>
      <c r="U381" s="10" t="s">
        <v>492</v>
      </c>
      <c r="V381" s="10" t="s">
        <v>6234</v>
      </c>
      <c r="W381" s="10" t="s">
        <v>51</v>
      </c>
      <c r="X381" s="10" t="s">
        <v>492</v>
      </c>
    </row>
    <row r="382">
      <c r="B382" s="43"/>
      <c r="G382" s="15"/>
      <c r="O382" s="15"/>
      <c r="P382" s="16"/>
      <c r="Q382" s="16"/>
      <c r="R382" s="16"/>
      <c r="S382" s="16"/>
      <c r="U382" s="10" t="s">
        <v>240</v>
      </c>
      <c r="V382" s="10" t="s">
        <v>6593</v>
      </c>
      <c r="W382" s="10" t="s">
        <v>51</v>
      </c>
      <c r="X382" s="10" t="s">
        <v>1905</v>
      </c>
    </row>
    <row r="383">
      <c r="B383" s="43"/>
      <c r="G383" s="15"/>
      <c r="O383" s="15"/>
      <c r="P383" s="16"/>
      <c r="Q383" s="16"/>
      <c r="R383" s="16"/>
      <c r="S383" s="16"/>
      <c r="U383" s="10" t="s">
        <v>240</v>
      </c>
      <c r="V383" s="10" t="s">
        <v>6594</v>
      </c>
      <c r="W383" s="10" t="s">
        <v>51</v>
      </c>
      <c r="X383" s="10" t="s">
        <v>1905</v>
      </c>
    </row>
    <row r="384">
      <c r="B384" s="43"/>
      <c r="G384" s="15"/>
      <c r="O384" s="15"/>
      <c r="P384" s="16"/>
      <c r="Q384" s="16"/>
      <c r="R384" s="16"/>
      <c r="S384" s="16"/>
      <c r="U384" s="10" t="s">
        <v>84</v>
      </c>
      <c r="V384" s="10" t="s">
        <v>6595</v>
      </c>
      <c r="W384" s="10" t="s">
        <v>51</v>
      </c>
      <c r="X384" s="10" t="s">
        <v>2309</v>
      </c>
    </row>
    <row r="385">
      <c r="B385" s="43"/>
      <c r="G385" s="15"/>
      <c r="O385" s="15"/>
      <c r="P385" s="16"/>
      <c r="Q385" s="16"/>
      <c r="R385" s="16"/>
      <c r="S385" s="16"/>
      <c r="U385" s="10" t="s">
        <v>84</v>
      </c>
      <c r="V385" s="10" t="s">
        <v>6596</v>
      </c>
      <c r="W385" s="10" t="s">
        <v>51</v>
      </c>
      <c r="X385" s="10" t="s">
        <v>2309</v>
      </c>
    </row>
    <row r="386">
      <c r="B386" s="43"/>
      <c r="G386" s="15"/>
      <c r="O386" s="15"/>
      <c r="P386" s="16"/>
      <c r="Q386" s="16"/>
      <c r="R386" s="16"/>
      <c r="S386" s="16"/>
      <c r="U386" s="10" t="s">
        <v>240</v>
      </c>
      <c r="V386" s="10" t="s">
        <v>6597</v>
      </c>
      <c r="W386" s="10" t="s">
        <v>51</v>
      </c>
      <c r="X386" s="10" t="s">
        <v>1905</v>
      </c>
    </row>
    <row r="387">
      <c r="B387" s="43"/>
      <c r="G387" s="15"/>
      <c r="O387" s="15"/>
      <c r="P387" s="16"/>
      <c r="Q387" s="16"/>
      <c r="R387" s="16"/>
      <c r="S387" s="16"/>
      <c r="U387" s="10" t="s">
        <v>492</v>
      </c>
      <c r="V387" s="10" t="s">
        <v>493</v>
      </c>
      <c r="W387" s="10" t="s">
        <v>51</v>
      </c>
      <c r="X387" s="10" t="s">
        <v>492</v>
      </c>
    </row>
    <row r="388">
      <c r="B388" s="43"/>
      <c r="G388" s="15"/>
      <c r="O388" s="15"/>
      <c r="P388" s="16"/>
      <c r="Q388" s="16"/>
      <c r="R388" s="16"/>
      <c r="S388" s="16"/>
      <c r="U388" s="10" t="s">
        <v>984</v>
      </c>
      <c r="V388" s="10" t="s">
        <v>5889</v>
      </c>
      <c r="W388" s="10" t="s">
        <v>51</v>
      </c>
      <c r="X388" s="10" t="s">
        <v>984</v>
      </c>
    </row>
    <row r="389">
      <c r="B389" s="43"/>
      <c r="G389" s="15"/>
      <c r="O389" s="15"/>
      <c r="P389" s="16"/>
      <c r="Q389" s="16"/>
      <c r="R389" s="16"/>
      <c r="S389" s="16"/>
      <c r="U389" s="10" t="s">
        <v>176</v>
      </c>
      <c r="V389" s="10" t="s">
        <v>6598</v>
      </c>
      <c r="W389" s="10" t="s">
        <v>51</v>
      </c>
      <c r="X389" s="10" t="s">
        <v>962</v>
      </c>
    </row>
    <row r="390">
      <c r="B390" s="43"/>
      <c r="G390" s="15"/>
      <c r="O390" s="15"/>
      <c r="P390" s="16"/>
      <c r="Q390" s="16"/>
      <c r="R390" s="16"/>
      <c r="S390" s="16"/>
      <c r="U390" s="10" t="s">
        <v>984</v>
      </c>
      <c r="V390" s="10" t="s">
        <v>5881</v>
      </c>
      <c r="W390" s="10" t="s">
        <v>51</v>
      </c>
      <c r="X390" s="10" t="s">
        <v>984</v>
      </c>
    </row>
    <row r="391">
      <c r="B391" s="43"/>
      <c r="G391" s="15"/>
      <c r="O391" s="15"/>
      <c r="P391" s="16"/>
      <c r="Q391" s="16"/>
      <c r="R391" s="16"/>
      <c r="S391" s="16"/>
      <c r="U391" s="10" t="s">
        <v>984</v>
      </c>
      <c r="V391" s="10" t="s">
        <v>5889</v>
      </c>
      <c r="W391" s="10" t="s">
        <v>51</v>
      </c>
      <c r="X391" s="10" t="s">
        <v>984</v>
      </c>
    </row>
    <row r="392">
      <c r="B392" s="43"/>
      <c r="G392" s="15"/>
      <c r="O392" s="15"/>
      <c r="P392" s="16"/>
      <c r="Q392" s="16"/>
      <c r="R392" s="16"/>
      <c r="S392" s="16"/>
      <c r="U392" s="10" t="s">
        <v>984</v>
      </c>
      <c r="V392" s="10" t="s">
        <v>5889</v>
      </c>
      <c r="W392" s="10" t="s">
        <v>51</v>
      </c>
      <c r="X392" s="10" t="s">
        <v>984</v>
      </c>
    </row>
    <row r="393">
      <c r="B393" s="43"/>
      <c r="G393" s="15"/>
      <c r="O393" s="15"/>
      <c r="P393" s="16"/>
      <c r="Q393" s="16"/>
      <c r="R393" s="16"/>
      <c r="S393" s="16"/>
      <c r="U393" s="10" t="s">
        <v>240</v>
      </c>
      <c r="V393" s="10" t="s">
        <v>6599</v>
      </c>
      <c r="W393" s="10" t="s">
        <v>51</v>
      </c>
      <c r="X393" s="10" t="s">
        <v>1905</v>
      </c>
    </row>
    <row r="394">
      <c r="B394" s="43"/>
      <c r="G394" s="15"/>
      <c r="O394" s="15"/>
      <c r="P394" s="16"/>
      <c r="Q394" s="16"/>
      <c r="R394" s="16"/>
      <c r="S394" s="16"/>
      <c r="U394" s="10" t="s">
        <v>219</v>
      </c>
      <c r="V394" s="10" t="s">
        <v>6600</v>
      </c>
      <c r="W394" s="10" t="s">
        <v>51</v>
      </c>
      <c r="X394" s="10" t="s">
        <v>974</v>
      </c>
    </row>
    <row r="395">
      <c r="B395" s="43"/>
      <c r="G395" s="15"/>
      <c r="O395" s="15"/>
      <c r="P395" s="16"/>
      <c r="Q395" s="16"/>
      <c r="R395" s="16"/>
      <c r="S395" s="16"/>
      <c r="U395" s="10" t="s">
        <v>984</v>
      </c>
      <c r="V395" s="10" t="s">
        <v>5889</v>
      </c>
      <c r="W395" s="10" t="s">
        <v>51</v>
      </c>
      <c r="X395" s="10" t="s">
        <v>984</v>
      </c>
    </row>
    <row r="396">
      <c r="B396" s="43"/>
      <c r="G396" s="15"/>
      <c r="O396" s="15"/>
      <c r="P396" s="16"/>
      <c r="Q396" s="16"/>
      <c r="R396" s="16"/>
      <c r="S396" s="16"/>
      <c r="U396" s="10" t="s">
        <v>492</v>
      </c>
      <c r="V396" s="10" t="s">
        <v>6234</v>
      </c>
      <c r="W396" s="10" t="s">
        <v>51</v>
      </c>
      <c r="X396" s="10" t="s">
        <v>492</v>
      </c>
    </row>
    <row r="397">
      <c r="B397" s="43"/>
      <c r="G397" s="15"/>
      <c r="O397" s="15"/>
      <c r="P397" s="16"/>
      <c r="Q397" s="16"/>
      <c r="R397" s="16"/>
      <c r="S397" s="16"/>
      <c r="U397" s="10" t="s">
        <v>240</v>
      </c>
      <c r="V397" s="10" t="s">
        <v>6601</v>
      </c>
      <c r="W397" s="10" t="s">
        <v>51</v>
      </c>
      <c r="X397" s="10" t="s">
        <v>1905</v>
      </c>
    </row>
    <row r="398">
      <c r="B398" s="43"/>
      <c r="G398" s="15"/>
      <c r="O398" s="15"/>
      <c r="P398" s="16"/>
      <c r="Q398" s="16"/>
      <c r="R398" s="16"/>
      <c r="S398" s="16"/>
      <c r="U398" s="10" t="s">
        <v>84</v>
      </c>
      <c r="V398" s="10" t="s">
        <v>6602</v>
      </c>
      <c r="W398" s="10" t="s">
        <v>51</v>
      </c>
      <c r="X398" s="10" t="s">
        <v>2309</v>
      </c>
    </row>
    <row r="399">
      <c r="B399" s="43"/>
      <c r="G399" s="15"/>
      <c r="O399" s="15"/>
      <c r="P399" s="16"/>
      <c r="Q399" s="16"/>
      <c r="R399" s="16"/>
      <c r="S399" s="16"/>
      <c r="U399" s="10" t="s">
        <v>984</v>
      </c>
      <c r="V399" s="10" t="s">
        <v>5889</v>
      </c>
      <c r="W399" s="10" t="s">
        <v>51</v>
      </c>
      <c r="X399" s="10" t="s">
        <v>984</v>
      </c>
    </row>
    <row r="400">
      <c r="B400" s="43"/>
      <c r="G400" s="15"/>
      <c r="O400" s="15"/>
      <c r="P400" s="16"/>
      <c r="Q400" s="16"/>
      <c r="R400" s="16"/>
      <c r="S400" s="16"/>
      <c r="U400" s="10" t="s">
        <v>984</v>
      </c>
      <c r="V400" s="10" t="s">
        <v>5889</v>
      </c>
      <c r="W400" s="10" t="s">
        <v>51</v>
      </c>
      <c r="X400" s="10" t="s">
        <v>984</v>
      </c>
    </row>
    <row r="401">
      <c r="B401" s="43"/>
      <c r="G401" s="15"/>
      <c r="O401" s="15"/>
      <c r="P401" s="16"/>
      <c r="Q401" s="16"/>
      <c r="R401" s="16"/>
      <c r="S401" s="16"/>
      <c r="U401" s="10" t="s">
        <v>507</v>
      </c>
      <c r="V401" s="10" t="s">
        <v>6603</v>
      </c>
      <c r="W401" s="10" t="s">
        <v>51</v>
      </c>
      <c r="X401" s="10" t="s">
        <v>2228</v>
      </c>
    </row>
    <row r="402">
      <c r="B402" s="43"/>
      <c r="G402" s="15"/>
      <c r="O402" s="15"/>
      <c r="P402" s="16"/>
      <c r="Q402" s="16"/>
      <c r="R402" s="16"/>
      <c r="S402" s="16"/>
      <c r="U402" s="10" t="s">
        <v>722</v>
      </c>
      <c r="V402" s="10" t="s">
        <v>6604</v>
      </c>
      <c r="W402" s="10" t="s">
        <v>51</v>
      </c>
      <c r="X402" s="10" t="s">
        <v>3433</v>
      </c>
    </row>
    <row r="403">
      <c r="B403" s="43"/>
      <c r="G403" s="15"/>
      <c r="O403" s="15"/>
      <c r="P403" s="16"/>
      <c r="Q403" s="16"/>
      <c r="R403" s="16"/>
      <c r="S403" s="16"/>
      <c r="U403" s="10" t="s">
        <v>240</v>
      </c>
      <c r="V403" s="10" t="s">
        <v>6605</v>
      </c>
      <c r="W403" s="10" t="s">
        <v>51</v>
      </c>
      <c r="X403" s="10" t="s">
        <v>1905</v>
      </c>
    </row>
    <row r="404">
      <c r="B404" s="43"/>
      <c r="G404" s="15"/>
      <c r="O404" s="15"/>
      <c r="P404" s="16"/>
      <c r="Q404" s="16"/>
      <c r="R404" s="16"/>
      <c r="S404" s="16"/>
      <c r="U404" s="10" t="s">
        <v>84</v>
      </c>
      <c r="V404" s="10" t="s">
        <v>6606</v>
      </c>
      <c r="W404" s="10" t="s">
        <v>51</v>
      </c>
      <c r="X404" s="10" t="s">
        <v>2309</v>
      </c>
    </row>
    <row r="405">
      <c r="B405" s="43"/>
      <c r="G405" s="15"/>
      <c r="O405" s="15"/>
      <c r="P405" s="16"/>
      <c r="Q405" s="16"/>
      <c r="R405" s="16"/>
      <c r="S405" s="16"/>
      <c r="U405" s="10" t="s">
        <v>984</v>
      </c>
      <c r="V405" s="10" t="s">
        <v>5889</v>
      </c>
      <c r="W405" s="10" t="s">
        <v>51</v>
      </c>
      <c r="X405" s="10" t="s">
        <v>984</v>
      </c>
    </row>
    <row r="406">
      <c r="B406" s="43"/>
      <c r="G406" s="15"/>
      <c r="O406" s="15"/>
      <c r="P406" s="16"/>
      <c r="Q406" s="16"/>
      <c r="R406" s="16"/>
      <c r="S406" s="16"/>
      <c r="U406" s="10" t="s">
        <v>984</v>
      </c>
      <c r="V406" s="10" t="s">
        <v>5889</v>
      </c>
      <c r="W406" s="10" t="s">
        <v>51</v>
      </c>
      <c r="X406" s="10" t="s">
        <v>984</v>
      </c>
    </row>
    <row r="407">
      <c r="B407" s="43"/>
      <c r="G407" s="15"/>
      <c r="O407" s="15"/>
      <c r="P407" s="16"/>
      <c r="Q407" s="16"/>
      <c r="R407" s="16"/>
      <c r="S407" s="16"/>
      <c r="U407" s="10" t="s">
        <v>615</v>
      </c>
      <c r="V407" s="10" t="s">
        <v>6607</v>
      </c>
      <c r="W407" s="10" t="s">
        <v>51</v>
      </c>
      <c r="X407" s="10" t="s">
        <v>2637</v>
      </c>
    </row>
    <row r="408">
      <c r="B408" s="43"/>
      <c r="G408" s="15"/>
      <c r="O408" s="15"/>
      <c r="P408" s="16"/>
      <c r="Q408" s="16"/>
      <c r="R408" s="16"/>
      <c r="S408" s="16"/>
      <c r="U408" s="10" t="s">
        <v>84</v>
      </c>
      <c r="V408" s="10" t="s">
        <v>6608</v>
      </c>
      <c r="W408" s="10" t="s">
        <v>51</v>
      </c>
      <c r="X408" s="10" t="s">
        <v>2309</v>
      </c>
    </row>
    <row r="409">
      <c r="B409" s="43"/>
      <c r="G409" s="15"/>
      <c r="O409" s="15"/>
      <c r="P409" s="16"/>
      <c r="Q409" s="16"/>
      <c r="R409" s="16"/>
      <c r="S409" s="16"/>
      <c r="U409" s="10" t="s">
        <v>49</v>
      </c>
      <c r="V409" s="10" t="s">
        <v>6609</v>
      </c>
      <c r="W409" s="10" t="s">
        <v>51</v>
      </c>
      <c r="X409" s="10" t="s">
        <v>3975</v>
      </c>
    </row>
    <row r="410">
      <c r="B410" s="43"/>
      <c r="G410" s="15"/>
      <c r="O410" s="15"/>
      <c r="P410" s="16"/>
      <c r="Q410" s="16"/>
      <c r="R410" s="16"/>
      <c r="S410" s="16"/>
      <c r="U410" s="10" t="s">
        <v>984</v>
      </c>
      <c r="V410" s="10" t="s">
        <v>5889</v>
      </c>
      <c r="W410" s="10" t="s">
        <v>51</v>
      </c>
      <c r="X410" s="10" t="s">
        <v>984</v>
      </c>
    </row>
    <row r="411">
      <c r="B411" s="43"/>
      <c r="G411" s="15"/>
      <c r="O411" s="15"/>
      <c r="P411" s="16"/>
      <c r="Q411" s="16"/>
      <c r="R411" s="16"/>
      <c r="S411" s="16"/>
      <c r="U411" s="10" t="s">
        <v>984</v>
      </c>
      <c r="V411" s="10" t="s">
        <v>5889</v>
      </c>
      <c r="W411" s="10" t="s">
        <v>51</v>
      </c>
      <c r="X411" s="10" t="s">
        <v>984</v>
      </c>
    </row>
    <row r="412">
      <c r="B412" s="43"/>
      <c r="G412" s="15"/>
      <c r="O412" s="15"/>
      <c r="P412" s="16"/>
      <c r="Q412" s="16"/>
      <c r="R412" s="16"/>
      <c r="S412" s="16"/>
      <c r="U412" s="10" t="s">
        <v>492</v>
      </c>
      <c r="V412" s="10" t="s">
        <v>6234</v>
      </c>
      <c r="W412" s="10" t="s">
        <v>51</v>
      </c>
      <c r="X412" s="10" t="s">
        <v>492</v>
      </c>
    </row>
    <row r="413">
      <c r="B413" s="43"/>
      <c r="G413" s="15"/>
      <c r="O413" s="15"/>
      <c r="P413" s="16"/>
      <c r="Q413" s="16"/>
      <c r="R413" s="16"/>
      <c r="S413" s="16"/>
      <c r="U413" s="10" t="s">
        <v>507</v>
      </c>
      <c r="V413" s="10" t="s">
        <v>6610</v>
      </c>
      <c r="W413" s="10" t="s">
        <v>51</v>
      </c>
      <c r="X413" s="10" t="s">
        <v>2228</v>
      </c>
    </row>
    <row r="414">
      <c r="B414" s="43"/>
      <c r="G414" s="15"/>
      <c r="O414" s="15"/>
      <c r="P414" s="16"/>
      <c r="Q414" s="16"/>
      <c r="R414" s="16"/>
      <c r="S414" s="16"/>
      <c r="U414" s="10" t="s">
        <v>49</v>
      </c>
      <c r="V414" s="10" t="s">
        <v>6611</v>
      </c>
      <c r="W414" s="10" t="s">
        <v>51</v>
      </c>
      <c r="X414" s="10" t="s">
        <v>3975</v>
      </c>
    </row>
    <row r="415">
      <c r="B415" s="43"/>
      <c r="G415" s="15"/>
      <c r="O415" s="15"/>
      <c r="P415" s="16"/>
      <c r="Q415" s="16"/>
      <c r="R415" s="16"/>
      <c r="S415" s="16"/>
      <c r="U415" s="10" t="s">
        <v>84</v>
      </c>
      <c r="V415" s="10" t="s">
        <v>6612</v>
      </c>
      <c r="W415" s="10" t="s">
        <v>51</v>
      </c>
      <c r="X415" s="10" t="s">
        <v>2309</v>
      </c>
    </row>
    <row r="416">
      <c r="B416" s="43"/>
      <c r="G416" s="15"/>
      <c r="O416" s="15"/>
      <c r="P416" s="16"/>
      <c r="Q416" s="16"/>
      <c r="R416" s="16"/>
      <c r="S416" s="16"/>
      <c r="U416" s="10" t="s">
        <v>984</v>
      </c>
      <c r="V416" s="10" t="s">
        <v>5881</v>
      </c>
      <c r="W416" s="10" t="s">
        <v>51</v>
      </c>
      <c r="X416" s="10" t="s">
        <v>984</v>
      </c>
    </row>
    <row r="417">
      <c r="B417" s="43"/>
      <c r="G417" s="15"/>
      <c r="O417" s="15"/>
      <c r="P417" s="16"/>
      <c r="Q417" s="16"/>
      <c r="R417" s="16"/>
      <c r="S417" s="16"/>
      <c r="U417" s="10" t="s">
        <v>176</v>
      </c>
      <c r="V417" s="10" t="s">
        <v>6613</v>
      </c>
      <c r="W417" s="10" t="s">
        <v>51</v>
      </c>
      <c r="X417" s="10" t="s">
        <v>962</v>
      </c>
    </row>
    <row r="418">
      <c r="B418" s="43"/>
      <c r="G418" s="15"/>
      <c r="O418" s="15"/>
      <c r="P418" s="16"/>
      <c r="Q418" s="16"/>
      <c r="R418" s="16"/>
      <c r="S418" s="16"/>
      <c r="U418" s="10" t="s">
        <v>984</v>
      </c>
      <c r="V418" s="10" t="s">
        <v>5881</v>
      </c>
      <c r="W418" s="10" t="s">
        <v>51</v>
      </c>
      <c r="X418" s="10" t="s">
        <v>984</v>
      </c>
    </row>
    <row r="419">
      <c r="B419" s="43"/>
      <c r="G419" s="15"/>
      <c r="O419" s="15"/>
      <c r="P419" s="16"/>
      <c r="Q419" s="16"/>
      <c r="R419" s="16"/>
      <c r="S419" s="16"/>
      <c r="U419" s="10" t="s">
        <v>615</v>
      </c>
      <c r="V419" s="10" t="s">
        <v>6614</v>
      </c>
      <c r="W419" s="10" t="s">
        <v>51</v>
      </c>
      <c r="X419" s="10" t="s">
        <v>2637</v>
      </c>
    </row>
    <row r="420">
      <c r="B420" s="43"/>
      <c r="G420" s="15"/>
      <c r="O420" s="15"/>
      <c r="P420" s="16"/>
      <c r="Q420" s="16"/>
      <c r="R420" s="16"/>
      <c r="S420" s="16"/>
      <c r="U420" s="10" t="s">
        <v>176</v>
      </c>
      <c r="V420" s="10" t="s">
        <v>6615</v>
      </c>
      <c r="W420" s="10" t="s">
        <v>51</v>
      </c>
      <c r="X420" s="10" t="s">
        <v>962</v>
      </c>
    </row>
    <row r="421">
      <c r="B421" s="43"/>
      <c r="G421" s="15"/>
      <c r="O421" s="15"/>
      <c r="P421" s="16"/>
      <c r="Q421" s="16"/>
      <c r="R421" s="16"/>
      <c r="S421" s="16"/>
      <c r="U421" s="10" t="s">
        <v>984</v>
      </c>
      <c r="V421" s="10" t="s">
        <v>5881</v>
      </c>
      <c r="W421" s="10" t="s">
        <v>51</v>
      </c>
      <c r="X421" s="10" t="s">
        <v>984</v>
      </c>
    </row>
    <row r="422">
      <c r="B422" s="43"/>
      <c r="G422" s="15"/>
      <c r="O422" s="15"/>
      <c r="P422" s="16"/>
      <c r="Q422" s="16"/>
      <c r="R422" s="16"/>
      <c r="S422" s="16"/>
      <c r="U422" s="10" t="s">
        <v>240</v>
      </c>
      <c r="V422" s="10" t="s">
        <v>6616</v>
      </c>
      <c r="W422" s="10" t="s">
        <v>51</v>
      </c>
      <c r="X422" s="10" t="s">
        <v>1905</v>
      </c>
    </row>
    <row r="423">
      <c r="B423" s="43"/>
      <c r="G423" s="15"/>
      <c r="O423" s="15"/>
      <c r="P423" s="16"/>
      <c r="Q423" s="16"/>
      <c r="R423" s="16"/>
      <c r="S423" s="16"/>
      <c r="U423" s="10" t="s">
        <v>240</v>
      </c>
      <c r="V423" s="10" t="s">
        <v>6617</v>
      </c>
      <c r="W423" s="10" t="s">
        <v>51</v>
      </c>
      <c r="X423" s="10" t="s">
        <v>1905</v>
      </c>
    </row>
    <row r="424">
      <c r="B424" s="43"/>
      <c r="G424" s="15"/>
      <c r="O424" s="15"/>
      <c r="P424" s="16"/>
      <c r="Q424" s="16"/>
      <c r="R424" s="16"/>
      <c r="S424" s="16"/>
      <c r="U424" s="10" t="s">
        <v>49</v>
      </c>
      <c r="V424" s="10" t="s">
        <v>6618</v>
      </c>
      <c r="W424" s="10" t="s">
        <v>51</v>
      </c>
      <c r="X424" s="10" t="s">
        <v>3975</v>
      </c>
    </row>
    <row r="425">
      <c r="B425" s="43"/>
      <c r="G425" s="15"/>
      <c r="O425" s="15"/>
      <c r="P425" s="16"/>
      <c r="Q425" s="16"/>
      <c r="R425" s="16"/>
      <c r="S425" s="16"/>
      <c r="U425" s="10" t="s">
        <v>984</v>
      </c>
      <c r="V425" s="10" t="s">
        <v>5889</v>
      </c>
      <c r="W425" s="10" t="s">
        <v>51</v>
      </c>
      <c r="X425" s="10" t="s">
        <v>984</v>
      </c>
    </row>
    <row r="426">
      <c r="B426" s="43"/>
      <c r="G426" s="15"/>
      <c r="O426" s="15"/>
      <c r="P426" s="16"/>
      <c r="Q426" s="16"/>
      <c r="R426" s="16"/>
      <c r="S426" s="16"/>
      <c r="U426" s="10" t="s">
        <v>615</v>
      </c>
      <c r="V426" s="10" t="s">
        <v>6619</v>
      </c>
      <c r="W426" s="10" t="s">
        <v>51</v>
      </c>
      <c r="X426" s="10" t="s">
        <v>2637</v>
      </c>
    </row>
    <row r="427">
      <c r="B427" s="43"/>
      <c r="G427" s="15"/>
      <c r="O427" s="15"/>
      <c r="P427" s="16"/>
      <c r="Q427" s="16"/>
      <c r="R427" s="16"/>
      <c r="S427" s="16"/>
      <c r="U427" s="10" t="s">
        <v>615</v>
      </c>
      <c r="V427" s="10" t="s">
        <v>6620</v>
      </c>
      <c r="W427" s="10" t="s">
        <v>51</v>
      </c>
      <c r="X427" s="10" t="s">
        <v>2637</v>
      </c>
    </row>
    <row r="428">
      <c r="B428" s="43"/>
      <c r="G428" s="15"/>
      <c r="O428" s="15"/>
      <c r="P428" s="16"/>
      <c r="Q428" s="16"/>
      <c r="R428" s="16"/>
      <c r="S428" s="16"/>
      <c r="U428" s="10" t="s">
        <v>240</v>
      </c>
      <c r="V428" s="10" t="s">
        <v>6621</v>
      </c>
      <c r="W428" s="10" t="s">
        <v>51</v>
      </c>
      <c r="X428" s="10" t="s">
        <v>1905</v>
      </c>
    </row>
    <row r="429">
      <c r="B429" s="43"/>
      <c r="G429" s="15"/>
      <c r="O429" s="15"/>
      <c r="P429" s="16"/>
      <c r="Q429" s="16"/>
      <c r="R429" s="16"/>
      <c r="S429" s="16"/>
      <c r="U429" s="10" t="s">
        <v>84</v>
      </c>
      <c r="V429" s="10" t="s">
        <v>6622</v>
      </c>
      <c r="W429" s="10" t="s">
        <v>51</v>
      </c>
      <c r="X429" s="10" t="s">
        <v>2309</v>
      </c>
    </row>
    <row r="430">
      <c r="B430" s="43"/>
      <c r="G430" s="15"/>
      <c r="O430" s="15"/>
      <c r="P430" s="16"/>
      <c r="Q430" s="16"/>
      <c r="R430" s="16"/>
      <c r="S430" s="16"/>
      <c r="U430" s="10" t="s">
        <v>704</v>
      </c>
      <c r="V430" s="10" t="s">
        <v>6623</v>
      </c>
      <c r="W430" s="10" t="s">
        <v>51</v>
      </c>
      <c r="X430" s="10" t="s">
        <v>1885</v>
      </c>
    </row>
    <row r="431">
      <c r="B431" s="43"/>
      <c r="G431" s="15"/>
      <c r="O431" s="15"/>
      <c r="P431" s="16"/>
      <c r="Q431" s="16"/>
      <c r="R431" s="16"/>
      <c r="S431" s="16"/>
      <c r="U431" s="10" t="s">
        <v>84</v>
      </c>
      <c r="V431" s="10" t="s">
        <v>6624</v>
      </c>
      <c r="W431" s="10" t="s">
        <v>51</v>
      </c>
      <c r="X431" s="10" t="s">
        <v>2309</v>
      </c>
    </row>
    <row r="432">
      <c r="B432" s="43"/>
      <c r="G432" s="15"/>
      <c r="O432" s="15"/>
      <c r="P432" s="16"/>
      <c r="Q432" s="16"/>
      <c r="R432" s="16"/>
      <c r="S432" s="16"/>
      <c r="U432" s="10" t="s">
        <v>615</v>
      </c>
      <c r="V432" s="10" t="s">
        <v>6625</v>
      </c>
      <c r="W432" s="10" t="s">
        <v>51</v>
      </c>
      <c r="X432" s="10" t="s">
        <v>2637</v>
      </c>
    </row>
    <row r="433">
      <c r="B433" s="43"/>
      <c r="G433" s="15"/>
      <c r="O433" s="15"/>
      <c r="P433" s="16"/>
      <c r="Q433" s="16"/>
      <c r="R433" s="16"/>
      <c r="S433" s="16"/>
      <c r="U433" s="10" t="s">
        <v>984</v>
      </c>
      <c r="V433" s="10" t="s">
        <v>5889</v>
      </c>
      <c r="W433" s="10" t="s">
        <v>51</v>
      </c>
      <c r="X433" s="10" t="s">
        <v>984</v>
      </c>
    </row>
    <row r="434">
      <c r="B434" s="43"/>
      <c r="G434" s="15"/>
      <c r="O434" s="15"/>
      <c r="P434" s="16"/>
      <c r="Q434" s="16"/>
      <c r="R434" s="16"/>
      <c r="S434" s="16"/>
      <c r="U434" s="10" t="s">
        <v>492</v>
      </c>
      <c r="V434" s="10" t="s">
        <v>5992</v>
      </c>
      <c r="W434" s="10" t="s">
        <v>51</v>
      </c>
      <c r="X434" s="10" t="s">
        <v>492</v>
      </c>
    </row>
    <row r="435">
      <c r="B435" s="43"/>
      <c r="G435" s="15"/>
      <c r="O435" s="15"/>
      <c r="P435" s="16"/>
      <c r="Q435" s="16"/>
      <c r="R435" s="16"/>
      <c r="S435" s="16"/>
      <c r="U435" s="10" t="s">
        <v>984</v>
      </c>
      <c r="V435" s="10" t="s">
        <v>5889</v>
      </c>
      <c r="W435" s="10" t="s">
        <v>51</v>
      </c>
      <c r="X435" s="10" t="s">
        <v>984</v>
      </c>
    </row>
    <row r="436">
      <c r="B436" s="43"/>
      <c r="G436" s="15"/>
      <c r="O436" s="15"/>
      <c r="P436" s="16"/>
      <c r="Q436" s="16"/>
      <c r="R436" s="16"/>
      <c r="S436" s="16"/>
      <c r="U436" s="10" t="s">
        <v>219</v>
      </c>
      <c r="V436" s="10" t="s">
        <v>6626</v>
      </c>
      <c r="W436" s="10" t="s">
        <v>51</v>
      </c>
      <c r="X436" s="10" t="s">
        <v>974</v>
      </c>
    </row>
    <row r="437">
      <c r="B437" s="43"/>
      <c r="G437" s="15"/>
      <c r="O437" s="15"/>
      <c r="P437" s="16"/>
      <c r="Q437" s="16"/>
      <c r="R437" s="16"/>
      <c r="S437" s="16"/>
      <c r="U437" s="10" t="s">
        <v>176</v>
      </c>
      <c r="V437" s="10" t="s">
        <v>6627</v>
      </c>
      <c r="W437" s="10" t="s">
        <v>51</v>
      </c>
      <c r="X437" s="10" t="s">
        <v>962</v>
      </c>
    </row>
    <row r="438">
      <c r="B438" s="43"/>
      <c r="G438" s="15"/>
      <c r="O438" s="15"/>
      <c r="P438" s="16"/>
      <c r="Q438" s="16"/>
      <c r="R438" s="16"/>
      <c r="S438" s="16"/>
      <c r="U438" s="10" t="s">
        <v>176</v>
      </c>
      <c r="V438" s="10" t="s">
        <v>6628</v>
      </c>
      <c r="W438" s="10" t="s">
        <v>51</v>
      </c>
      <c r="X438" s="10" t="s">
        <v>962</v>
      </c>
    </row>
    <row r="439">
      <c r="B439" s="43"/>
      <c r="G439" s="15"/>
      <c r="O439" s="15"/>
      <c r="P439" s="16"/>
      <c r="Q439" s="16"/>
      <c r="R439" s="16"/>
      <c r="S439" s="16"/>
      <c r="U439" s="10" t="s">
        <v>984</v>
      </c>
      <c r="V439" s="10" t="s">
        <v>5889</v>
      </c>
      <c r="W439" s="10" t="s">
        <v>51</v>
      </c>
      <c r="X439" s="10" t="s">
        <v>984</v>
      </c>
    </row>
    <row r="440">
      <c r="B440" s="43"/>
      <c r="G440" s="15"/>
      <c r="O440" s="15"/>
      <c r="P440" s="16"/>
      <c r="Q440" s="16"/>
      <c r="R440" s="16"/>
      <c r="S440" s="16"/>
      <c r="U440" s="10" t="s">
        <v>984</v>
      </c>
      <c r="V440" s="10" t="s">
        <v>5889</v>
      </c>
      <c r="W440" s="10" t="s">
        <v>51</v>
      </c>
      <c r="X440" s="10" t="s">
        <v>984</v>
      </c>
    </row>
    <row r="441">
      <c r="B441" s="43"/>
      <c r="G441" s="15"/>
      <c r="O441" s="15"/>
      <c r="P441" s="16"/>
      <c r="Q441" s="16"/>
      <c r="R441" s="16"/>
      <c r="S441" s="16"/>
      <c r="U441" s="10" t="s">
        <v>507</v>
      </c>
      <c r="V441" s="10" t="s">
        <v>6629</v>
      </c>
      <c r="W441" s="10" t="s">
        <v>51</v>
      </c>
      <c r="X441" s="10" t="s">
        <v>2228</v>
      </c>
    </row>
    <row r="442">
      <c r="B442" s="43"/>
      <c r="G442" s="15"/>
      <c r="O442" s="15"/>
      <c r="P442" s="16"/>
      <c r="Q442" s="16"/>
      <c r="R442" s="16"/>
      <c r="S442" s="16"/>
      <c r="U442" s="10" t="s">
        <v>984</v>
      </c>
      <c r="V442" s="10" t="s">
        <v>5889</v>
      </c>
      <c r="W442" s="10" t="s">
        <v>51</v>
      </c>
      <c r="X442" s="10" t="s">
        <v>984</v>
      </c>
    </row>
    <row r="443">
      <c r="B443" s="43"/>
      <c r="G443" s="15"/>
      <c r="O443" s="15"/>
      <c r="P443" s="16"/>
      <c r="Q443" s="16"/>
      <c r="R443" s="16"/>
      <c r="S443" s="16"/>
      <c r="U443" s="10" t="s">
        <v>49</v>
      </c>
      <c r="V443" s="10" t="s">
        <v>6630</v>
      </c>
      <c r="W443" s="10" t="s">
        <v>51</v>
      </c>
      <c r="X443" s="10" t="s">
        <v>3975</v>
      </c>
    </row>
    <row r="444">
      <c r="B444" s="43"/>
      <c r="G444" s="15"/>
      <c r="O444" s="15"/>
      <c r="P444" s="16"/>
      <c r="Q444" s="16"/>
      <c r="R444" s="16"/>
      <c r="S444" s="16"/>
      <c r="U444" s="10" t="s">
        <v>240</v>
      </c>
      <c r="V444" s="10" t="s">
        <v>6631</v>
      </c>
      <c r="W444" s="10" t="s">
        <v>51</v>
      </c>
      <c r="X444" s="10" t="s">
        <v>1905</v>
      </c>
    </row>
    <row r="445">
      <c r="B445" s="43"/>
      <c r="G445" s="15"/>
      <c r="O445" s="15"/>
      <c r="P445" s="16"/>
      <c r="Q445" s="16"/>
      <c r="R445" s="16"/>
      <c r="S445" s="16"/>
      <c r="U445" s="10" t="s">
        <v>49</v>
      </c>
      <c r="V445" s="10" t="s">
        <v>6632</v>
      </c>
      <c r="W445" s="10" t="s">
        <v>51</v>
      </c>
      <c r="X445" s="10" t="s">
        <v>3975</v>
      </c>
    </row>
    <row r="446">
      <c r="B446" s="43"/>
      <c r="G446" s="15"/>
      <c r="O446" s="15"/>
      <c r="P446" s="16"/>
      <c r="Q446" s="16"/>
      <c r="R446" s="16"/>
      <c r="S446" s="16"/>
      <c r="U446" s="10" t="s">
        <v>615</v>
      </c>
      <c r="V446" s="10" t="s">
        <v>6633</v>
      </c>
      <c r="W446" s="10" t="s">
        <v>51</v>
      </c>
      <c r="X446" s="10" t="s">
        <v>2637</v>
      </c>
    </row>
    <row r="447">
      <c r="B447" s="43"/>
      <c r="G447" s="15"/>
      <c r="O447" s="15"/>
      <c r="P447" s="16"/>
      <c r="Q447" s="16"/>
      <c r="R447" s="16"/>
      <c r="S447" s="16"/>
      <c r="U447" s="10" t="s">
        <v>984</v>
      </c>
      <c r="V447" s="10" t="s">
        <v>5889</v>
      </c>
      <c r="W447" s="10" t="s">
        <v>51</v>
      </c>
      <c r="X447" s="10" t="s">
        <v>984</v>
      </c>
    </row>
    <row r="448">
      <c r="B448" s="43"/>
      <c r="G448" s="15"/>
      <c r="O448" s="15"/>
      <c r="P448" s="16"/>
      <c r="Q448" s="16"/>
      <c r="R448" s="16"/>
      <c r="S448" s="16"/>
      <c r="U448" s="10" t="s">
        <v>507</v>
      </c>
      <c r="V448" s="10" t="s">
        <v>6634</v>
      </c>
      <c r="W448" s="10" t="s">
        <v>51</v>
      </c>
      <c r="X448" s="10" t="s">
        <v>2228</v>
      </c>
    </row>
    <row r="449">
      <c r="B449" s="43"/>
      <c r="G449" s="15"/>
      <c r="O449" s="15"/>
      <c r="P449" s="16"/>
      <c r="Q449" s="16"/>
      <c r="R449" s="16"/>
      <c r="S449" s="16"/>
      <c r="U449" s="10" t="s">
        <v>49</v>
      </c>
      <c r="V449" s="10" t="s">
        <v>6635</v>
      </c>
      <c r="W449" s="10" t="s">
        <v>51</v>
      </c>
      <c r="X449" s="10" t="s">
        <v>3975</v>
      </c>
    </row>
    <row r="450">
      <c r="B450" s="43"/>
      <c r="G450" s="15"/>
      <c r="O450" s="15"/>
      <c r="P450" s="16"/>
      <c r="Q450" s="16"/>
      <c r="R450" s="16"/>
      <c r="S450" s="16"/>
      <c r="U450" s="10" t="s">
        <v>615</v>
      </c>
      <c r="V450" s="10" t="s">
        <v>6636</v>
      </c>
      <c r="W450" s="10" t="s">
        <v>51</v>
      </c>
      <c r="X450" s="10" t="s">
        <v>2637</v>
      </c>
    </row>
    <row r="451">
      <c r="B451" s="43"/>
      <c r="G451" s="15"/>
      <c r="O451" s="15"/>
      <c r="P451" s="16"/>
      <c r="Q451" s="16"/>
      <c r="R451" s="16"/>
      <c r="S451" s="16"/>
      <c r="U451" s="10" t="s">
        <v>984</v>
      </c>
      <c r="V451" s="10" t="s">
        <v>5881</v>
      </c>
      <c r="W451" s="10" t="s">
        <v>51</v>
      </c>
      <c r="X451" s="10" t="s">
        <v>984</v>
      </c>
    </row>
    <row r="452">
      <c r="B452" s="43"/>
      <c r="G452" s="15"/>
      <c r="O452" s="15"/>
      <c r="P452" s="16"/>
      <c r="Q452" s="16"/>
      <c r="R452" s="16"/>
      <c r="S452" s="16"/>
      <c r="U452" s="10" t="s">
        <v>984</v>
      </c>
      <c r="V452" s="10" t="s">
        <v>5889</v>
      </c>
      <c r="W452" s="10" t="s">
        <v>51</v>
      </c>
      <c r="X452" s="10" t="s">
        <v>984</v>
      </c>
    </row>
    <row r="453">
      <c r="B453" s="43"/>
      <c r="G453" s="15"/>
      <c r="O453" s="15"/>
      <c r="P453" s="16"/>
      <c r="Q453" s="16"/>
      <c r="R453" s="16"/>
      <c r="S453" s="16"/>
      <c r="U453" s="10" t="s">
        <v>176</v>
      </c>
      <c r="V453" s="10" t="s">
        <v>6637</v>
      </c>
      <c r="W453" s="10" t="s">
        <v>51</v>
      </c>
      <c r="X453" s="10" t="s">
        <v>962</v>
      </c>
    </row>
    <row r="454">
      <c r="B454" s="43"/>
      <c r="G454" s="15"/>
      <c r="O454" s="15"/>
      <c r="P454" s="16"/>
      <c r="Q454" s="16"/>
      <c r="R454" s="16"/>
      <c r="S454" s="16"/>
      <c r="U454" s="10" t="s">
        <v>615</v>
      </c>
      <c r="V454" s="10" t="s">
        <v>6638</v>
      </c>
      <c r="W454" s="10" t="s">
        <v>51</v>
      </c>
      <c r="X454" s="10" t="s">
        <v>2637</v>
      </c>
    </row>
    <row r="455">
      <c r="B455" s="43"/>
      <c r="G455" s="15"/>
      <c r="O455" s="15"/>
      <c r="P455" s="16"/>
      <c r="Q455" s="16"/>
      <c r="R455" s="16"/>
      <c r="S455" s="16"/>
      <c r="U455" s="10" t="s">
        <v>49</v>
      </c>
      <c r="V455" s="10" t="s">
        <v>6639</v>
      </c>
      <c r="W455" s="10" t="s">
        <v>51</v>
      </c>
      <c r="X455" s="10" t="s">
        <v>3975</v>
      </c>
    </row>
    <row r="456">
      <c r="B456" s="43"/>
      <c r="G456" s="15"/>
      <c r="O456" s="15"/>
      <c r="P456" s="16"/>
      <c r="Q456" s="16"/>
      <c r="R456" s="16"/>
      <c r="S456" s="16"/>
      <c r="U456" s="10" t="s">
        <v>240</v>
      </c>
      <c r="V456" s="10" t="s">
        <v>6640</v>
      </c>
      <c r="W456" s="10" t="s">
        <v>51</v>
      </c>
      <c r="X456" s="10" t="s">
        <v>1905</v>
      </c>
    </row>
    <row r="457">
      <c r="B457" s="43"/>
      <c r="G457" s="15"/>
      <c r="O457" s="15"/>
      <c r="P457" s="16"/>
      <c r="Q457" s="16"/>
      <c r="R457" s="16"/>
      <c r="S457" s="16"/>
      <c r="U457" s="10" t="s">
        <v>984</v>
      </c>
      <c r="V457" s="10" t="s">
        <v>5889</v>
      </c>
      <c r="W457" s="10" t="s">
        <v>51</v>
      </c>
      <c r="X457" s="10" t="s">
        <v>984</v>
      </c>
    </row>
    <row r="458">
      <c r="B458" s="43"/>
      <c r="G458" s="15"/>
      <c r="O458" s="15"/>
      <c r="P458" s="16"/>
      <c r="Q458" s="16"/>
      <c r="R458" s="16"/>
      <c r="S458" s="16"/>
      <c r="U458" s="10" t="s">
        <v>84</v>
      </c>
      <c r="V458" s="10" t="s">
        <v>6641</v>
      </c>
      <c r="W458" s="10" t="s">
        <v>51</v>
      </c>
      <c r="X458" s="10" t="s">
        <v>2309</v>
      </c>
    </row>
    <row r="459">
      <c r="B459" s="43"/>
      <c r="G459" s="15"/>
      <c r="O459" s="15"/>
      <c r="P459" s="16"/>
      <c r="Q459" s="16"/>
      <c r="R459" s="16"/>
      <c r="S459" s="16"/>
      <c r="U459" s="10" t="s">
        <v>507</v>
      </c>
      <c r="V459" s="10" t="s">
        <v>6642</v>
      </c>
      <c r="W459" s="10" t="s">
        <v>51</v>
      </c>
      <c r="X459" s="10" t="s">
        <v>2228</v>
      </c>
    </row>
    <row r="460">
      <c r="B460" s="43"/>
      <c r="G460" s="15"/>
      <c r="O460" s="15"/>
      <c r="P460" s="16"/>
      <c r="Q460" s="16"/>
      <c r="R460" s="16"/>
      <c r="S460" s="16"/>
      <c r="U460" s="10" t="s">
        <v>240</v>
      </c>
      <c r="V460" s="10" t="s">
        <v>6643</v>
      </c>
      <c r="W460" s="10" t="s">
        <v>51</v>
      </c>
      <c r="X460" s="10" t="s">
        <v>1905</v>
      </c>
    </row>
    <row r="461">
      <c r="B461" s="43"/>
      <c r="G461" s="15"/>
      <c r="O461" s="15"/>
      <c r="P461" s="16"/>
      <c r="Q461" s="16"/>
      <c r="R461" s="16"/>
      <c r="S461" s="16"/>
      <c r="U461" s="10" t="s">
        <v>240</v>
      </c>
      <c r="V461" s="10" t="s">
        <v>6644</v>
      </c>
      <c r="W461" s="10" t="s">
        <v>51</v>
      </c>
      <c r="X461" s="10" t="s">
        <v>1905</v>
      </c>
    </row>
    <row r="462">
      <c r="B462" s="43"/>
      <c r="G462" s="15"/>
      <c r="O462" s="15"/>
      <c r="P462" s="16"/>
      <c r="Q462" s="16"/>
      <c r="R462" s="16"/>
      <c r="S462" s="16"/>
      <c r="U462" s="10" t="s">
        <v>176</v>
      </c>
      <c r="V462" s="10" t="s">
        <v>6645</v>
      </c>
      <c r="W462" s="10" t="s">
        <v>51</v>
      </c>
      <c r="X462" s="10" t="s">
        <v>962</v>
      </c>
    </row>
    <row r="463">
      <c r="B463" s="43"/>
      <c r="G463" s="15"/>
      <c r="O463" s="15"/>
      <c r="P463" s="16"/>
      <c r="Q463" s="16"/>
      <c r="R463" s="16"/>
      <c r="S463" s="16"/>
      <c r="U463" s="10" t="s">
        <v>240</v>
      </c>
      <c r="V463" s="10" t="s">
        <v>6646</v>
      </c>
      <c r="W463" s="10" t="s">
        <v>51</v>
      </c>
      <c r="X463" s="10" t="s">
        <v>1905</v>
      </c>
    </row>
    <row r="464">
      <c r="B464" s="43"/>
      <c r="G464" s="15"/>
      <c r="O464" s="15"/>
      <c r="P464" s="16"/>
      <c r="Q464" s="16"/>
      <c r="R464" s="16"/>
      <c r="S464" s="16"/>
      <c r="U464" s="10" t="s">
        <v>49</v>
      </c>
      <c r="V464" s="10" t="s">
        <v>6647</v>
      </c>
      <c r="W464" s="10" t="s">
        <v>51</v>
      </c>
      <c r="X464" s="10" t="s">
        <v>3975</v>
      </c>
    </row>
    <row r="465">
      <c r="B465" s="43"/>
      <c r="G465" s="15"/>
      <c r="O465" s="15"/>
      <c r="P465" s="16"/>
      <c r="Q465" s="16"/>
      <c r="R465" s="16"/>
      <c r="S465" s="16"/>
      <c r="U465" s="10" t="s">
        <v>492</v>
      </c>
      <c r="V465" s="10" t="s">
        <v>5992</v>
      </c>
      <c r="W465" s="10" t="s">
        <v>51</v>
      </c>
      <c r="X465" s="10" t="s">
        <v>492</v>
      </c>
    </row>
    <row r="466">
      <c r="B466" s="43"/>
      <c r="G466" s="15"/>
      <c r="O466" s="15"/>
      <c r="P466" s="16"/>
      <c r="Q466" s="16"/>
      <c r="R466" s="16"/>
      <c r="S466" s="16"/>
      <c r="U466" s="10" t="s">
        <v>240</v>
      </c>
      <c r="V466" s="10" t="s">
        <v>6648</v>
      </c>
      <c r="W466" s="10" t="s">
        <v>51</v>
      </c>
      <c r="X466" s="10" t="s">
        <v>1905</v>
      </c>
    </row>
    <row r="467">
      <c r="B467" s="43"/>
      <c r="G467" s="15"/>
      <c r="O467" s="15"/>
      <c r="P467" s="16"/>
      <c r="Q467" s="16"/>
      <c r="R467" s="16"/>
      <c r="S467" s="16"/>
      <c r="U467" s="10" t="s">
        <v>704</v>
      </c>
      <c r="V467" s="10" t="s">
        <v>6649</v>
      </c>
      <c r="W467" s="10" t="s">
        <v>51</v>
      </c>
      <c r="X467" s="10" t="s">
        <v>1885</v>
      </c>
    </row>
    <row r="468">
      <c r="B468" s="43"/>
      <c r="G468" s="15"/>
      <c r="O468" s="15"/>
      <c r="P468" s="16"/>
      <c r="Q468" s="16"/>
      <c r="R468" s="16"/>
      <c r="S468" s="16"/>
      <c r="U468" s="10" t="s">
        <v>176</v>
      </c>
      <c r="V468" s="10" t="s">
        <v>6650</v>
      </c>
      <c r="W468" s="10" t="s">
        <v>51</v>
      </c>
      <c r="X468" s="10" t="s">
        <v>962</v>
      </c>
    </row>
    <row r="469">
      <c r="B469" s="43"/>
      <c r="G469" s="15"/>
      <c r="O469" s="15"/>
      <c r="P469" s="16"/>
      <c r="Q469" s="16"/>
      <c r="R469" s="16"/>
      <c r="S469" s="16"/>
      <c r="U469" s="10" t="s">
        <v>240</v>
      </c>
      <c r="V469" s="10" t="s">
        <v>6651</v>
      </c>
      <c r="W469" s="10" t="s">
        <v>51</v>
      </c>
      <c r="X469" s="10" t="s">
        <v>1905</v>
      </c>
    </row>
    <row r="470">
      <c r="B470" s="43"/>
      <c r="G470" s="15"/>
      <c r="O470" s="15"/>
      <c r="P470" s="16"/>
      <c r="Q470" s="16"/>
      <c r="R470" s="16"/>
      <c r="S470" s="16"/>
      <c r="U470" s="10" t="s">
        <v>507</v>
      </c>
      <c r="V470" s="10" t="s">
        <v>6652</v>
      </c>
      <c r="W470" s="10" t="s">
        <v>51</v>
      </c>
      <c r="X470" s="10" t="s">
        <v>2228</v>
      </c>
    </row>
    <row r="471">
      <c r="B471" s="43"/>
      <c r="G471" s="15"/>
      <c r="O471" s="15"/>
      <c r="P471" s="16"/>
      <c r="Q471" s="16"/>
      <c r="R471" s="16"/>
      <c r="S471" s="16"/>
      <c r="U471" s="10" t="s">
        <v>492</v>
      </c>
      <c r="V471" s="10" t="s">
        <v>6480</v>
      </c>
      <c r="W471" s="10" t="s">
        <v>51</v>
      </c>
      <c r="X471" s="10" t="s">
        <v>492</v>
      </c>
    </row>
    <row r="472">
      <c r="B472" s="43"/>
      <c r="G472" s="15"/>
      <c r="O472" s="15"/>
      <c r="P472" s="16"/>
      <c r="Q472" s="16"/>
      <c r="R472" s="16"/>
      <c r="S472" s="16"/>
      <c r="U472" s="10" t="s">
        <v>507</v>
      </c>
      <c r="V472" s="10" t="s">
        <v>6653</v>
      </c>
      <c r="W472" s="10" t="s">
        <v>51</v>
      </c>
      <c r="X472" s="10" t="s">
        <v>2228</v>
      </c>
    </row>
    <row r="473">
      <c r="B473" s="43"/>
      <c r="G473" s="15"/>
      <c r="O473" s="15"/>
      <c r="P473" s="16"/>
      <c r="Q473" s="16"/>
      <c r="R473" s="16"/>
      <c r="S473" s="16"/>
      <c r="U473" s="10" t="s">
        <v>240</v>
      </c>
      <c r="V473" s="10" t="s">
        <v>6654</v>
      </c>
      <c r="W473" s="10" t="s">
        <v>51</v>
      </c>
      <c r="X473" s="10" t="s">
        <v>1905</v>
      </c>
    </row>
    <row r="474">
      <c r="B474" s="43"/>
      <c r="G474" s="15"/>
      <c r="O474" s="15"/>
      <c r="P474" s="16"/>
      <c r="Q474" s="16"/>
      <c r="R474" s="16"/>
      <c r="S474" s="16"/>
      <c r="U474" s="10" t="s">
        <v>984</v>
      </c>
      <c r="V474" s="10" t="s">
        <v>5889</v>
      </c>
      <c r="W474" s="10" t="s">
        <v>51</v>
      </c>
      <c r="X474" s="10" t="s">
        <v>984</v>
      </c>
    </row>
    <row r="475">
      <c r="B475" s="43"/>
      <c r="G475" s="15"/>
      <c r="O475" s="15"/>
      <c r="P475" s="16"/>
      <c r="Q475" s="16"/>
      <c r="R475" s="16"/>
      <c r="S475" s="16"/>
      <c r="U475" s="10" t="s">
        <v>984</v>
      </c>
      <c r="V475" s="10" t="s">
        <v>5889</v>
      </c>
      <c r="W475" s="10" t="s">
        <v>51</v>
      </c>
      <c r="X475" s="10" t="s">
        <v>984</v>
      </c>
    </row>
    <row r="476">
      <c r="B476" s="43"/>
      <c r="G476" s="15"/>
      <c r="O476" s="15"/>
      <c r="P476" s="16"/>
      <c r="Q476" s="16"/>
      <c r="R476" s="16"/>
      <c r="S476" s="16"/>
      <c r="U476" s="10" t="s">
        <v>49</v>
      </c>
      <c r="V476" s="10" t="s">
        <v>6655</v>
      </c>
      <c r="W476" s="10" t="s">
        <v>51</v>
      </c>
      <c r="X476" s="10" t="s">
        <v>3975</v>
      </c>
    </row>
    <row r="477">
      <c r="B477" s="43"/>
      <c r="G477" s="15"/>
      <c r="O477" s="15"/>
      <c r="P477" s="16"/>
      <c r="Q477" s="16"/>
      <c r="R477" s="16"/>
      <c r="S477" s="16"/>
      <c r="U477" s="10" t="s">
        <v>240</v>
      </c>
      <c r="V477" s="10" t="s">
        <v>6656</v>
      </c>
      <c r="W477" s="10" t="s">
        <v>51</v>
      </c>
      <c r="X477" s="10" t="s">
        <v>1905</v>
      </c>
    </row>
    <row r="478">
      <c r="B478" s="43"/>
      <c r="G478" s="15"/>
      <c r="O478" s="15"/>
      <c r="P478" s="16"/>
      <c r="Q478" s="16"/>
      <c r="R478" s="16"/>
      <c r="S478" s="16"/>
      <c r="U478" s="10" t="s">
        <v>984</v>
      </c>
      <c r="V478" s="10" t="s">
        <v>5889</v>
      </c>
      <c r="W478" s="10" t="s">
        <v>51</v>
      </c>
      <c r="X478" s="10" t="s">
        <v>984</v>
      </c>
    </row>
    <row r="479">
      <c r="B479" s="43"/>
      <c r="G479" s="15"/>
      <c r="O479" s="15"/>
      <c r="P479" s="16"/>
      <c r="Q479" s="16"/>
      <c r="R479" s="16"/>
      <c r="S479" s="16"/>
      <c r="U479" s="10" t="s">
        <v>84</v>
      </c>
      <c r="V479" s="10" t="s">
        <v>6657</v>
      </c>
      <c r="W479" s="10" t="s">
        <v>51</v>
      </c>
      <c r="X479" s="10" t="s">
        <v>2309</v>
      </c>
    </row>
    <row r="480">
      <c r="B480" s="43"/>
      <c r="G480" s="15"/>
      <c r="O480" s="15"/>
      <c r="P480" s="16"/>
      <c r="Q480" s="16"/>
      <c r="R480" s="16"/>
      <c r="S480" s="16"/>
      <c r="U480" s="10" t="s">
        <v>240</v>
      </c>
      <c r="V480" s="10" t="s">
        <v>6658</v>
      </c>
      <c r="W480" s="10" t="s">
        <v>51</v>
      </c>
      <c r="X480" s="10" t="s">
        <v>1905</v>
      </c>
    </row>
    <row r="481">
      <c r="B481" s="43"/>
      <c r="G481" s="15"/>
      <c r="O481" s="15"/>
      <c r="P481" s="16"/>
      <c r="Q481" s="16"/>
      <c r="R481" s="16"/>
      <c r="S481" s="16"/>
      <c r="U481" s="10" t="s">
        <v>984</v>
      </c>
      <c r="V481" s="10" t="s">
        <v>5889</v>
      </c>
      <c r="W481" s="10" t="s">
        <v>51</v>
      </c>
      <c r="X481" s="10" t="s">
        <v>984</v>
      </c>
    </row>
    <row r="482">
      <c r="B482" s="43"/>
      <c r="G482" s="15"/>
      <c r="O482" s="15"/>
      <c r="P482" s="16"/>
      <c r="Q482" s="16"/>
      <c r="R482" s="16"/>
      <c r="S482" s="16"/>
      <c r="U482" s="10" t="s">
        <v>176</v>
      </c>
      <c r="V482" s="10" t="s">
        <v>6659</v>
      </c>
      <c r="W482" s="10" t="s">
        <v>51</v>
      </c>
      <c r="X482" s="10" t="s">
        <v>962</v>
      </c>
    </row>
    <row r="483">
      <c r="B483" s="43"/>
      <c r="G483" s="15"/>
      <c r="O483" s="15"/>
      <c r="P483" s="16"/>
      <c r="Q483" s="16"/>
      <c r="R483" s="16"/>
      <c r="S483" s="16"/>
      <c r="U483" s="10" t="s">
        <v>615</v>
      </c>
      <c r="V483" s="10" t="s">
        <v>6660</v>
      </c>
      <c r="W483" s="10" t="s">
        <v>51</v>
      </c>
      <c r="X483" s="10" t="s">
        <v>2637</v>
      </c>
    </row>
    <row r="484">
      <c r="B484" s="43"/>
      <c r="G484" s="15"/>
      <c r="O484" s="15"/>
      <c r="P484" s="16"/>
      <c r="Q484" s="16"/>
      <c r="R484" s="16"/>
      <c r="S484" s="16"/>
      <c r="U484" s="10" t="s">
        <v>984</v>
      </c>
      <c r="V484" s="10" t="s">
        <v>5889</v>
      </c>
      <c r="W484" s="10" t="s">
        <v>51</v>
      </c>
      <c r="X484" s="10" t="s">
        <v>984</v>
      </c>
    </row>
    <row r="485">
      <c r="B485" s="43"/>
      <c r="G485" s="15"/>
      <c r="O485" s="15"/>
      <c r="P485" s="16"/>
      <c r="Q485" s="16"/>
      <c r="R485" s="16"/>
      <c r="S485" s="16"/>
      <c r="U485" s="10" t="s">
        <v>984</v>
      </c>
      <c r="V485" s="10" t="s">
        <v>5889</v>
      </c>
      <c r="W485" s="10" t="s">
        <v>51</v>
      </c>
      <c r="X485" s="10" t="s">
        <v>984</v>
      </c>
    </row>
    <row r="486">
      <c r="B486" s="43"/>
      <c r="G486" s="15"/>
      <c r="O486" s="15"/>
      <c r="P486" s="16"/>
      <c r="Q486" s="16"/>
      <c r="R486" s="16"/>
      <c r="S486" s="16"/>
      <c r="U486" s="10" t="s">
        <v>984</v>
      </c>
      <c r="V486" s="10" t="s">
        <v>5889</v>
      </c>
      <c r="W486" s="10" t="s">
        <v>51</v>
      </c>
      <c r="X486" s="10" t="s">
        <v>984</v>
      </c>
    </row>
    <row r="487">
      <c r="B487" s="43"/>
      <c r="G487" s="15"/>
      <c r="O487" s="15"/>
      <c r="P487" s="16"/>
      <c r="Q487" s="16"/>
      <c r="R487" s="16"/>
      <c r="S487" s="16"/>
      <c r="U487" s="10" t="s">
        <v>492</v>
      </c>
      <c r="V487" s="10" t="s">
        <v>5992</v>
      </c>
      <c r="W487" s="10" t="s">
        <v>51</v>
      </c>
      <c r="X487" s="10" t="s">
        <v>492</v>
      </c>
    </row>
    <row r="488">
      <c r="B488" s="43"/>
      <c r="G488" s="15"/>
      <c r="O488" s="15"/>
      <c r="P488" s="16"/>
      <c r="Q488" s="16"/>
      <c r="R488" s="16"/>
      <c r="S488" s="16"/>
      <c r="U488" s="10" t="s">
        <v>984</v>
      </c>
      <c r="V488" s="10" t="s">
        <v>5889</v>
      </c>
      <c r="W488" s="10" t="s">
        <v>51</v>
      </c>
      <c r="X488" s="10" t="s">
        <v>984</v>
      </c>
    </row>
    <row r="489">
      <c r="B489" s="43"/>
      <c r="G489" s="15"/>
      <c r="O489" s="15"/>
      <c r="P489" s="16"/>
      <c r="Q489" s="16"/>
      <c r="R489" s="16"/>
      <c r="S489" s="16"/>
      <c r="U489" s="10" t="s">
        <v>240</v>
      </c>
      <c r="V489" s="10" t="s">
        <v>6661</v>
      </c>
      <c r="W489" s="10" t="s">
        <v>51</v>
      </c>
      <c r="X489" s="10" t="s">
        <v>1905</v>
      </c>
    </row>
    <row r="490">
      <c r="B490" s="43"/>
      <c r="G490" s="15"/>
      <c r="O490" s="15"/>
      <c r="P490" s="16"/>
      <c r="Q490" s="16"/>
      <c r="R490" s="16"/>
      <c r="S490" s="16"/>
      <c r="U490" s="10" t="s">
        <v>240</v>
      </c>
      <c r="V490" s="10" t="s">
        <v>6662</v>
      </c>
      <c r="W490" s="10" t="s">
        <v>51</v>
      </c>
      <c r="X490" s="10" t="s">
        <v>1905</v>
      </c>
    </row>
    <row r="491">
      <c r="B491" s="43"/>
      <c r="G491" s="15"/>
      <c r="O491" s="15"/>
      <c r="P491" s="16"/>
      <c r="Q491" s="16"/>
      <c r="R491" s="16"/>
      <c r="S491" s="16"/>
      <c r="U491" s="10" t="s">
        <v>507</v>
      </c>
      <c r="V491" s="10" t="s">
        <v>6663</v>
      </c>
      <c r="W491" s="10" t="s">
        <v>51</v>
      </c>
      <c r="X491" s="10" t="s">
        <v>2228</v>
      </c>
    </row>
    <row r="492">
      <c r="B492" s="43"/>
      <c r="G492" s="15"/>
      <c r="O492" s="15"/>
      <c r="P492" s="16"/>
      <c r="Q492" s="16"/>
      <c r="R492" s="16"/>
      <c r="S492" s="16"/>
      <c r="U492" s="10" t="s">
        <v>984</v>
      </c>
      <c r="V492" s="10" t="s">
        <v>5889</v>
      </c>
      <c r="W492" s="10" t="s">
        <v>51</v>
      </c>
      <c r="X492" s="10" t="s">
        <v>984</v>
      </c>
    </row>
    <row r="493">
      <c r="B493" s="43"/>
      <c r="G493" s="15"/>
      <c r="O493" s="15"/>
      <c r="P493" s="16"/>
      <c r="Q493" s="16"/>
      <c r="R493" s="16"/>
      <c r="S493" s="16"/>
      <c r="U493" s="10" t="s">
        <v>492</v>
      </c>
      <c r="V493" s="10" t="s">
        <v>5992</v>
      </c>
      <c r="W493" s="10" t="s">
        <v>51</v>
      </c>
      <c r="X493" s="10" t="s">
        <v>492</v>
      </c>
    </row>
    <row r="494">
      <c r="B494" s="43"/>
      <c r="G494" s="15"/>
      <c r="O494" s="15"/>
      <c r="P494" s="16"/>
      <c r="Q494" s="16"/>
      <c r="R494" s="16"/>
      <c r="S494" s="16"/>
      <c r="U494" s="10" t="s">
        <v>984</v>
      </c>
      <c r="V494" s="10" t="s">
        <v>5881</v>
      </c>
      <c r="W494" s="10" t="s">
        <v>51</v>
      </c>
      <c r="X494" s="10" t="s">
        <v>984</v>
      </c>
    </row>
    <row r="495">
      <c r="B495" s="43"/>
      <c r="G495" s="15"/>
      <c r="O495" s="15"/>
      <c r="P495" s="16"/>
      <c r="Q495" s="16"/>
      <c r="R495" s="16"/>
      <c r="S495" s="16"/>
      <c r="U495" s="10" t="s">
        <v>615</v>
      </c>
      <c r="V495" s="10" t="s">
        <v>6664</v>
      </c>
      <c r="W495" s="10" t="s">
        <v>51</v>
      </c>
      <c r="X495" s="10" t="s">
        <v>2637</v>
      </c>
    </row>
    <row r="496">
      <c r="B496" s="43"/>
      <c r="G496" s="15"/>
      <c r="O496" s="15"/>
      <c r="P496" s="16"/>
      <c r="Q496" s="16"/>
      <c r="R496" s="16"/>
      <c r="S496" s="16"/>
      <c r="U496" s="10" t="s">
        <v>704</v>
      </c>
      <c r="V496" s="10" t="s">
        <v>6665</v>
      </c>
      <c r="W496" s="10" t="s">
        <v>51</v>
      </c>
      <c r="X496" s="10" t="s">
        <v>1885</v>
      </c>
    </row>
    <row r="497">
      <c r="B497" s="43"/>
      <c r="G497" s="15"/>
      <c r="O497" s="15"/>
      <c r="P497" s="16"/>
      <c r="Q497" s="16"/>
      <c r="R497" s="16"/>
      <c r="S497" s="16"/>
      <c r="U497" s="10" t="s">
        <v>507</v>
      </c>
      <c r="V497" s="10" t="s">
        <v>6666</v>
      </c>
      <c r="W497" s="10" t="s">
        <v>51</v>
      </c>
      <c r="X497" s="10" t="s">
        <v>2228</v>
      </c>
    </row>
    <row r="498">
      <c r="B498" s="43"/>
      <c r="G498" s="15"/>
      <c r="O498" s="15"/>
      <c r="P498" s="16"/>
      <c r="Q498" s="16"/>
      <c r="R498" s="16"/>
      <c r="S498" s="16"/>
      <c r="U498" s="10" t="s">
        <v>507</v>
      </c>
      <c r="V498" s="10" t="s">
        <v>6667</v>
      </c>
      <c r="W498" s="10" t="s">
        <v>51</v>
      </c>
      <c r="X498" s="10" t="s">
        <v>2228</v>
      </c>
    </row>
    <row r="499">
      <c r="B499" s="43"/>
      <c r="G499" s="15"/>
      <c r="O499" s="15"/>
      <c r="P499" s="16"/>
      <c r="Q499" s="16"/>
      <c r="R499" s="16"/>
      <c r="S499" s="16"/>
      <c r="U499" s="10" t="s">
        <v>49</v>
      </c>
      <c r="V499" s="10" t="s">
        <v>6668</v>
      </c>
      <c r="W499" s="10" t="s">
        <v>51</v>
      </c>
      <c r="X499" s="10" t="s">
        <v>3975</v>
      </c>
    </row>
    <row r="500">
      <c r="B500" s="43"/>
      <c r="G500" s="15"/>
      <c r="O500" s="15"/>
      <c r="P500" s="16"/>
      <c r="Q500" s="16"/>
      <c r="R500" s="16"/>
      <c r="S500" s="16"/>
      <c r="U500" s="10" t="s">
        <v>176</v>
      </c>
      <c r="V500" s="10" t="s">
        <v>6669</v>
      </c>
      <c r="W500" s="10" t="s">
        <v>51</v>
      </c>
      <c r="X500" s="10" t="s">
        <v>962</v>
      </c>
    </row>
    <row r="501">
      <c r="B501" s="43"/>
      <c r="G501" s="15"/>
      <c r="O501" s="15"/>
      <c r="P501" s="16"/>
      <c r="Q501" s="16"/>
      <c r="R501" s="16"/>
      <c r="S501" s="16"/>
      <c r="U501" s="10" t="s">
        <v>615</v>
      </c>
      <c r="V501" s="10" t="s">
        <v>6670</v>
      </c>
      <c r="W501" s="10" t="s">
        <v>51</v>
      </c>
      <c r="X501" s="10" t="s">
        <v>2637</v>
      </c>
    </row>
    <row r="502">
      <c r="B502" s="43"/>
      <c r="G502" s="15"/>
      <c r="O502" s="15"/>
      <c r="P502" s="16"/>
      <c r="Q502" s="16"/>
      <c r="R502" s="16"/>
      <c r="S502" s="16"/>
      <c r="U502" s="10" t="s">
        <v>492</v>
      </c>
      <c r="V502" s="10" t="s">
        <v>6234</v>
      </c>
      <c r="W502" s="10" t="s">
        <v>51</v>
      </c>
      <c r="X502" s="10" t="s">
        <v>492</v>
      </c>
    </row>
    <row r="503">
      <c r="B503" s="43"/>
      <c r="G503" s="15"/>
      <c r="O503" s="15"/>
      <c r="P503" s="16"/>
      <c r="Q503" s="16"/>
      <c r="R503" s="16"/>
      <c r="S503" s="16"/>
      <c r="U503" s="10" t="s">
        <v>984</v>
      </c>
      <c r="V503" s="10" t="s">
        <v>5889</v>
      </c>
      <c r="W503" s="10" t="s">
        <v>51</v>
      </c>
      <c r="X503" s="10" t="s">
        <v>984</v>
      </c>
    </row>
    <row r="504">
      <c r="B504" s="43"/>
      <c r="G504" s="15"/>
      <c r="O504" s="15"/>
      <c r="P504" s="16"/>
      <c r="Q504" s="16"/>
      <c r="R504" s="16"/>
      <c r="S504" s="16"/>
      <c r="U504" s="10" t="s">
        <v>984</v>
      </c>
      <c r="V504" s="10" t="s">
        <v>5889</v>
      </c>
      <c r="W504" s="10" t="s">
        <v>51</v>
      </c>
      <c r="X504" s="10" t="s">
        <v>984</v>
      </c>
    </row>
    <row r="505">
      <c r="B505" s="43"/>
      <c r="G505" s="15"/>
      <c r="O505" s="15"/>
      <c r="P505" s="16"/>
      <c r="Q505" s="16"/>
      <c r="R505" s="16"/>
      <c r="S505" s="16"/>
    </row>
    <row r="506">
      <c r="B506" s="43"/>
      <c r="G506" s="15"/>
      <c r="O506" s="15"/>
      <c r="P506" s="16"/>
      <c r="Q506" s="16"/>
      <c r="R506" s="16"/>
      <c r="S506" s="16"/>
    </row>
    <row r="507">
      <c r="B507" s="43"/>
      <c r="G507" s="15"/>
      <c r="O507" s="15"/>
      <c r="P507" s="16"/>
      <c r="Q507" s="16"/>
      <c r="R507" s="16"/>
      <c r="S507" s="16"/>
    </row>
    <row r="508">
      <c r="B508" s="43"/>
      <c r="G508" s="15"/>
      <c r="O508" s="15"/>
      <c r="P508" s="16"/>
      <c r="Q508" s="16"/>
      <c r="R508" s="16"/>
      <c r="S508" s="16"/>
    </row>
    <row r="509">
      <c r="B509" s="43"/>
      <c r="G509" s="15"/>
      <c r="O509" s="15"/>
      <c r="P509" s="16"/>
      <c r="Q509" s="16"/>
      <c r="R509" s="16"/>
      <c r="S509" s="16"/>
    </row>
    <row r="510">
      <c r="B510" s="43"/>
      <c r="G510" s="15"/>
      <c r="O510" s="15"/>
      <c r="P510" s="16"/>
      <c r="Q510" s="16"/>
      <c r="R510" s="16"/>
      <c r="S510" s="16"/>
    </row>
    <row r="511">
      <c r="B511" s="43"/>
      <c r="G511" s="15"/>
      <c r="O511" s="15"/>
      <c r="P511" s="16"/>
      <c r="Q511" s="16"/>
      <c r="R511" s="16"/>
      <c r="S511" s="16"/>
    </row>
    <row r="512">
      <c r="B512" s="43"/>
      <c r="G512" s="15"/>
      <c r="O512" s="15"/>
      <c r="P512" s="16"/>
      <c r="Q512" s="16"/>
      <c r="R512" s="16"/>
      <c r="S512" s="16"/>
    </row>
    <row r="513">
      <c r="B513" s="43"/>
      <c r="G513" s="15"/>
      <c r="O513" s="15"/>
      <c r="P513" s="16"/>
      <c r="Q513" s="16"/>
      <c r="R513" s="16"/>
      <c r="S513" s="16"/>
    </row>
    <row r="514">
      <c r="B514" s="43"/>
      <c r="G514" s="15"/>
      <c r="O514" s="15"/>
      <c r="P514" s="16"/>
      <c r="Q514" s="16"/>
      <c r="R514" s="16"/>
      <c r="S514" s="16"/>
    </row>
    <row r="515">
      <c r="B515" s="43"/>
      <c r="G515" s="15"/>
      <c r="O515" s="15"/>
      <c r="P515" s="16"/>
      <c r="Q515" s="16"/>
      <c r="R515" s="16"/>
      <c r="S515" s="16"/>
    </row>
    <row r="516">
      <c r="B516" s="43"/>
      <c r="G516" s="15"/>
      <c r="O516" s="15"/>
      <c r="P516" s="16"/>
      <c r="Q516" s="16"/>
      <c r="R516" s="16"/>
      <c r="S516" s="16"/>
    </row>
    <row r="517">
      <c r="B517" s="43"/>
      <c r="G517" s="15"/>
      <c r="O517" s="15"/>
      <c r="P517" s="16"/>
      <c r="Q517" s="16"/>
      <c r="R517" s="16"/>
      <c r="S517" s="16"/>
    </row>
    <row r="518">
      <c r="B518" s="43"/>
      <c r="G518" s="15"/>
      <c r="O518" s="15"/>
      <c r="P518" s="16"/>
      <c r="Q518" s="16"/>
      <c r="R518" s="16"/>
      <c r="S518" s="16"/>
    </row>
    <row r="519">
      <c r="B519" s="43"/>
      <c r="G519" s="15"/>
      <c r="O519" s="15"/>
      <c r="P519" s="16"/>
      <c r="Q519" s="16"/>
      <c r="R519" s="16"/>
      <c r="S519" s="16"/>
    </row>
    <row r="520">
      <c r="B520" s="43"/>
      <c r="G520" s="15"/>
      <c r="O520" s="15"/>
      <c r="P520" s="16"/>
      <c r="Q520" s="16"/>
      <c r="R520" s="16"/>
      <c r="S520" s="16"/>
    </row>
    <row r="521">
      <c r="B521" s="43"/>
      <c r="G521" s="15"/>
      <c r="O521" s="15"/>
      <c r="P521" s="16"/>
      <c r="Q521" s="16"/>
      <c r="R521" s="16"/>
      <c r="S521" s="16"/>
    </row>
    <row r="522">
      <c r="B522" s="43"/>
      <c r="G522" s="15"/>
      <c r="O522" s="15"/>
      <c r="P522" s="16"/>
      <c r="Q522" s="16"/>
      <c r="R522" s="16"/>
      <c r="S522" s="16"/>
    </row>
    <row r="523">
      <c r="B523" s="43"/>
      <c r="G523" s="15"/>
      <c r="O523" s="15"/>
      <c r="P523" s="16"/>
      <c r="Q523" s="16"/>
      <c r="R523" s="16"/>
      <c r="S523" s="16"/>
    </row>
    <row r="524">
      <c r="B524" s="43"/>
      <c r="G524" s="15"/>
      <c r="O524" s="15"/>
      <c r="P524" s="16"/>
      <c r="Q524" s="16"/>
      <c r="R524" s="16"/>
      <c r="S524" s="16"/>
    </row>
    <row r="525">
      <c r="B525" s="43"/>
      <c r="G525" s="15"/>
      <c r="O525" s="15"/>
      <c r="P525" s="16"/>
      <c r="Q525" s="16"/>
      <c r="R525" s="16"/>
      <c r="S525" s="16"/>
    </row>
    <row r="526">
      <c r="B526" s="43"/>
      <c r="G526" s="15"/>
      <c r="O526" s="15"/>
      <c r="P526" s="16"/>
      <c r="Q526" s="16"/>
      <c r="R526" s="16"/>
      <c r="S526" s="16"/>
    </row>
    <row r="527">
      <c r="B527" s="43"/>
      <c r="G527" s="15"/>
      <c r="O527" s="15"/>
      <c r="P527" s="16"/>
      <c r="Q527" s="16"/>
      <c r="R527" s="16"/>
      <c r="S527" s="16"/>
    </row>
    <row r="528">
      <c r="B528" s="43"/>
      <c r="G528" s="15"/>
      <c r="O528" s="15"/>
      <c r="P528" s="16"/>
      <c r="Q528" s="16"/>
      <c r="R528" s="16"/>
      <c r="S528" s="16"/>
    </row>
    <row r="529">
      <c r="B529" s="43"/>
      <c r="G529" s="15"/>
      <c r="O529" s="15"/>
      <c r="P529" s="16"/>
      <c r="Q529" s="16"/>
      <c r="R529" s="16"/>
      <c r="S529" s="16"/>
    </row>
    <row r="530">
      <c r="B530" s="43"/>
      <c r="G530" s="15"/>
      <c r="O530" s="15"/>
      <c r="P530" s="16"/>
      <c r="Q530" s="16"/>
      <c r="R530" s="16"/>
      <c r="S530" s="16"/>
    </row>
    <row r="531">
      <c r="B531" s="43"/>
      <c r="G531" s="15"/>
      <c r="O531" s="15"/>
      <c r="P531" s="16"/>
      <c r="Q531" s="16"/>
      <c r="R531" s="16"/>
      <c r="S531" s="16"/>
    </row>
    <row r="532">
      <c r="B532" s="43"/>
      <c r="G532" s="15"/>
      <c r="O532" s="15"/>
      <c r="P532" s="16"/>
      <c r="Q532" s="16"/>
      <c r="R532" s="16"/>
      <c r="S532" s="16"/>
    </row>
    <row r="533">
      <c r="B533" s="43"/>
      <c r="G533" s="15"/>
      <c r="O533" s="15"/>
      <c r="P533" s="16"/>
      <c r="Q533" s="16"/>
      <c r="R533" s="16"/>
      <c r="S533" s="16"/>
    </row>
    <row r="534">
      <c r="B534" s="43"/>
      <c r="G534" s="15"/>
      <c r="O534" s="15"/>
      <c r="P534" s="16"/>
      <c r="Q534" s="16"/>
      <c r="R534" s="16"/>
      <c r="S534" s="16"/>
    </row>
    <row r="535">
      <c r="B535" s="43"/>
      <c r="G535" s="15"/>
      <c r="O535" s="15"/>
      <c r="P535" s="16"/>
      <c r="Q535" s="16"/>
      <c r="R535" s="16"/>
      <c r="S535" s="16"/>
    </row>
    <row r="536">
      <c r="B536" s="43"/>
      <c r="G536" s="15"/>
      <c r="O536" s="15"/>
      <c r="P536" s="16"/>
      <c r="Q536" s="16"/>
      <c r="R536" s="16"/>
      <c r="S536" s="16"/>
    </row>
    <row r="537">
      <c r="B537" s="43"/>
      <c r="G537" s="15"/>
      <c r="O537" s="15"/>
      <c r="P537" s="16"/>
      <c r="Q537" s="16"/>
      <c r="R537" s="16"/>
      <c r="S537" s="16"/>
    </row>
    <row r="538">
      <c r="B538" s="43"/>
      <c r="G538" s="15"/>
      <c r="O538" s="15"/>
      <c r="P538" s="16"/>
      <c r="Q538" s="16"/>
      <c r="R538" s="16"/>
      <c r="S538" s="16"/>
    </row>
    <row r="539">
      <c r="B539" s="43"/>
      <c r="G539" s="15"/>
      <c r="O539" s="15"/>
      <c r="P539" s="16"/>
      <c r="Q539" s="16"/>
      <c r="R539" s="16"/>
      <c r="S539" s="16"/>
    </row>
    <row r="540">
      <c r="B540" s="43"/>
      <c r="G540" s="15"/>
      <c r="O540" s="15"/>
      <c r="P540" s="16"/>
      <c r="Q540" s="16"/>
      <c r="R540" s="16"/>
      <c r="S540" s="16"/>
    </row>
    <row r="541">
      <c r="B541" s="43"/>
      <c r="G541" s="15"/>
      <c r="O541" s="15"/>
      <c r="P541" s="16"/>
      <c r="Q541" s="16"/>
      <c r="R541" s="16"/>
      <c r="S541" s="16"/>
    </row>
    <row r="542">
      <c r="B542" s="43"/>
      <c r="G542" s="15"/>
      <c r="O542" s="15"/>
      <c r="P542" s="16"/>
      <c r="Q542" s="16"/>
      <c r="R542" s="16"/>
      <c r="S542" s="16"/>
    </row>
    <row r="543">
      <c r="B543" s="43"/>
      <c r="G543" s="15"/>
      <c r="O543" s="15"/>
      <c r="P543" s="16"/>
      <c r="Q543" s="16"/>
      <c r="R543" s="16"/>
      <c r="S543" s="16"/>
    </row>
    <row r="544">
      <c r="B544" s="43"/>
      <c r="G544" s="15"/>
      <c r="O544" s="15"/>
      <c r="P544" s="16"/>
      <c r="Q544" s="16"/>
      <c r="R544" s="16"/>
      <c r="S544" s="16"/>
    </row>
    <row r="545">
      <c r="B545" s="43"/>
      <c r="G545" s="15"/>
      <c r="O545" s="15"/>
      <c r="P545" s="16"/>
      <c r="Q545" s="16"/>
      <c r="R545" s="16"/>
      <c r="S545" s="16"/>
    </row>
    <row r="546">
      <c r="B546" s="43"/>
      <c r="G546" s="15"/>
      <c r="O546" s="15"/>
      <c r="P546" s="16"/>
      <c r="Q546" s="16"/>
      <c r="R546" s="16"/>
      <c r="S546" s="16"/>
    </row>
    <row r="547">
      <c r="B547" s="43"/>
      <c r="G547" s="15"/>
      <c r="O547" s="15"/>
      <c r="P547" s="16"/>
      <c r="Q547" s="16"/>
      <c r="R547" s="16"/>
      <c r="S547" s="16"/>
    </row>
    <row r="548">
      <c r="B548" s="43"/>
      <c r="G548" s="15"/>
      <c r="O548" s="15"/>
      <c r="P548" s="16"/>
      <c r="Q548" s="16"/>
      <c r="R548" s="16"/>
      <c r="S548" s="16"/>
    </row>
    <row r="549">
      <c r="B549" s="43"/>
      <c r="G549" s="15"/>
      <c r="O549" s="15"/>
      <c r="P549" s="16"/>
      <c r="Q549" s="16"/>
      <c r="R549" s="16"/>
      <c r="S549" s="16"/>
    </row>
    <row r="550">
      <c r="B550" s="43"/>
      <c r="G550" s="15"/>
      <c r="O550" s="15"/>
      <c r="P550" s="16"/>
      <c r="Q550" s="16"/>
      <c r="R550" s="16"/>
      <c r="S550" s="16"/>
    </row>
    <row r="551">
      <c r="B551" s="43"/>
      <c r="G551" s="15"/>
      <c r="O551" s="15"/>
      <c r="P551" s="16"/>
      <c r="Q551" s="16"/>
      <c r="R551" s="16"/>
      <c r="S551" s="16"/>
    </row>
    <row r="552">
      <c r="B552" s="43"/>
      <c r="G552" s="15"/>
      <c r="O552" s="15"/>
      <c r="P552" s="16"/>
      <c r="Q552" s="16"/>
      <c r="R552" s="16"/>
      <c r="S552" s="16"/>
    </row>
    <row r="553">
      <c r="B553" s="43"/>
      <c r="G553" s="15"/>
      <c r="O553" s="15"/>
      <c r="P553" s="16"/>
      <c r="Q553" s="16"/>
      <c r="R553" s="16"/>
      <c r="S553" s="16"/>
    </row>
    <row r="554">
      <c r="B554" s="43"/>
      <c r="G554" s="15"/>
      <c r="O554" s="15"/>
      <c r="P554" s="16"/>
      <c r="Q554" s="16"/>
      <c r="R554" s="16"/>
      <c r="S554" s="16"/>
    </row>
    <row r="555">
      <c r="B555" s="43"/>
      <c r="G555" s="15"/>
      <c r="O555" s="15"/>
      <c r="P555" s="16"/>
      <c r="Q555" s="16"/>
      <c r="R555" s="16"/>
      <c r="S555" s="16"/>
    </row>
    <row r="556">
      <c r="B556" s="43"/>
      <c r="G556" s="15"/>
      <c r="O556" s="15"/>
      <c r="P556" s="16"/>
      <c r="Q556" s="16"/>
      <c r="R556" s="16"/>
      <c r="S556" s="16"/>
    </row>
    <row r="557">
      <c r="B557" s="43"/>
      <c r="G557" s="15"/>
      <c r="O557" s="15"/>
      <c r="P557" s="16"/>
      <c r="Q557" s="16"/>
      <c r="R557" s="16"/>
      <c r="S557" s="16"/>
    </row>
    <row r="558">
      <c r="B558" s="43"/>
      <c r="G558" s="15"/>
      <c r="O558" s="15"/>
      <c r="P558" s="16"/>
      <c r="Q558" s="16"/>
      <c r="R558" s="16"/>
      <c r="S558" s="16"/>
    </row>
    <row r="559">
      <c r="B559" s="43"/>
      <c r="G559" s="15"/>
      <c r="O559" s="15"/>
      <c r="P559" s="16"/>
      <c r="Q559" s="16"/>
      <c r="R559" s="16"/>
      <c r="S559" s="16"/>
    </row>
    <row r="560">
      <c r="B560" s="43"/>
      <c r="G560" s="15"/>
      <c r="O560" s="15"/>
      <c r="P560" s="16"/>
      <c r="Q560" s="16"/>
      <c r="R560" s="16"/>
      <c r="S560" s="16"/>
    </row>
    <row r="561">
      <c r="B561" s="43"/>
      <c r="G561" s="15"/>
      <c r="O561" s="15"/>
      <c r="P561" s="16"/>
      <c r="Q561" s="16"/>
      <c r="R561" s="16"/>
      <c r="S561" s="16"/>
    </row>
    <row r="562">
      <c r="B562" s="43"/>
      <c r="G562" s="15"/>
      <c r="O562" s="15"/>
      <c r="P562" s="16"/>
      <c r="Q562" s="16"/>
      <c r="R562" s="16"/>
      <c r="S562" s="16"/>
    </row>
    <row r="563">
      <c r="B563" s="43"/>
      <c r="G563" s="15"/>
      <c r="O563" s="15"/>
      <c r="P563" s="16"/>
      <c r="Q563" s="16"/>
      <c r="R563" s="16"/>
      <c r="S563" s="16"/>
    </row>
    <row r="564">
      <c r="B564" s="43"/>
      <c r="G564" s="15"/>
      <c r="O564" s="15"/>
      <c r="P564" s="16"/>
      <c r="Q564" s="16"/>
      <c r="R564" s="16"/>
      <c r="S564" s="16"/>
    </row>
    <row r="565">
      <c r="B565" s="43"/>
      <c r="G565" s="15"/>
      <c r="O565" s="15"/>
      <c r="P565" s="16"/>
      <c r="Q565" s="16"/>
      <c r="R565" s="16"/>
      <c r="S565" s="16"/>
    </row>
    <row r="566">
      <c r="B566" s="43"/>
      <c r="G566" s="15"/>
      <c r="O566" s="15"/>
      <c r="P566" s="16"/>
      <c r="Q566" s="16"/>
      <c r="R566" s="16"/>
      <c r="S566" s="16"/>
    </row>
    <row r="567">
      <c r="B567" s="43"/>
      <c r="G567" s="15"/>
      <c r="O567" s="15"/>
      <c r="P567" s="16"/>
      <c r="Q567" s="16"/>
      <c r="R567" s="16"/>
      <c r="S567" s="16"/>
    </row>
    <row r="568">
      <c r="B568" s="43"/>
      <c r="G568" s="15"/>
      <c r="O568" s="15"/>
      <c r="P568" s="16"/>
      <c r="Q568" s="16"/>
      <c r="R568" s="16"/>
      <c r="S568" s="16"/>
    </row>
    <row r="569">
      <c r="B569" s="43"/>
      <c r="G569" s="15"/>
      <c r="O569" s="15"/>
      <c r="P569" s="16"/>
      <c r="Q569" s="16"/>
      <c r="R569" s="16"/>
      <c r="S569" s="16"/>
    </row>
    <row r="570">
      <c r="B570" s="43"/>
      <c r="G570" s="15"/>
      <c r="O570" s="15"/>
      <c r="P570" s="16"/>
      <c r="Q570" s="16"/>
      <c r="R570" s="16"/>
      <c r="S570" s="16"/>
    </row>
    <row r="571">
      <c r="B571" s="43"/>
      <c r="G571" s="15"/>
      <c r="O571" s="15"/>
      <c r="P571" s="16"/>
      <c r="Q571" s="16"/>
      <c r="R571" s="16"/>
      <c r="S571" s="16"/>
    </row>
    <row r="572">
      <c r="B572" s="43"/>
      <c r="G572" s="15"/>
      <c r="O572" s="15"/>
      <c r="P572" s="16"/>
      <c r="Q572" s="16"/>
      <c r="R572" s="16"/>
      <c r="S572" s="16"/>
    </row>
    <row r="573">
      <c r="B573" s="43"/>
      <c r="G573" s="15"/>
      <c r="O573" s="15"/>
      <c r="P573" s="16"/>
      <c r="Q573" s="16"/>
      <c r="R573" s="16"/>
      <c r="S573" s="16"/>
    </row>
    <row r="574">
      <c r="B574" s="43"/>
      <c r="G574" s="15"/>
      <c r="O574" s="15"/>
      <c r="P574" s="16"/>
      <c r="Q574" s="16"/>
      <c r="R574" s="16"/>
      <c r="S574" s="16"/>
    </row>
    <row r="575">
      <c r="B575" s="43"/>
      <c r="G575" s="15"/>
      <c r="O575" s="15"/>
      <c r="P575" s="16"/>
      <c r="Q575" s="16"/>
      <c r="R575" s="16"/>
      <c r="S575" s="16"/>
    </row>
    <row r="576">
      <c r="B576" s="43"/>
      <c r="G576" s="15"/>
      <c r="O576" s="15"/>
      <c r="P576" s="16"/>
      <c r="Q576" s="16"/>
      <c r="R576" s="16"/>
      <c r="S576" s="16"/>
    </row>
    <row r="577">
      <c r="B577" s="43"/>
      <c r="G577" s="15"/>
      <c r="O577" s="15"/>
      <c r="P577" s="16"/>
      <c r="Q577" s="16"/>
      <c r="R577" s="16"/>
      <c r="S577" s="16"/>
    </row>
    <row r="578">
      <c r="B578" s="43"/>
      <c r="G578" s="15"/>
      <c r="O578" s="15"/>
      <c r="P578" s="16"/>
      <c r="Q578" s="16"/>
      <c r="R578" s="16"/>
      <c r="S578" s="16"/>
    </row>
    <row r="579">
      <c r="B579" s="43"/>
      <c r="G579" s="15"/>
      <c r="O579" s="15"/>
      <c r="P579" s="16"/>
      <c r="Q579" s="16"/>
      <c r="R579" s="16"/>
      <c r="S579" s="16"/>
    </row>
    <row r="580">
      <c r="B580" s="43"/>
      <c r="G580" s="15"/>
      <c r="O580" s="15"/>
      <c r="P580" s="16"/>
      <c r="Q580" s="16"/>
      <c r="R580" s="16"/>
      <c r="S580" s="16"/>
    </row>
    <row r="581">
      <c r="B581" s="43"/>
      <c r="G581" s="15"/>
      <c r="O581" s="15"/>
      <c r="P581" s="16"/>
      <c r="Q581" s="16"/>
      <c r="R581" s="16"/>
      <c r="S581" s="16"/>
    </row>
    <row r="582">
      <c r="B582" s="43"/>
      <c r="G582" s="15"/>
      <c r="O582" s="15"/>
      <c r="P582" s="16"/>
      <c r="Q582" s="16"/>
      <c r="R582" s="16"/>
      <c r="S582" s="16"/>
    </row>
    <row r="583">
      <c r="B583" s="43"/>
      <c r="G583" s="15"/>
      <c r="O583" s="15"/>
      <c r="P583" s="16"/>
      <c r="Q583" s="16"/>
      <c r="R583" s="16"/>
      <c r="S583" s="16"/>
    </row>
    <row r="584">
      <c r="B584" s="43"/>
      <c r="G584" s="15"/>
      <c r="O584" s="15"/>
      <c r="P584" s="16"/>
      <c r="Q584" s="16"/>
      <c r="R584" s="16"/>
      <c r="S584" s="16"/>
    </row>
    <row r="585">
      <c r="B585" s="43"/>
      <c r="G585" s="15"/>
      <c r="O585" s="15"/>
      <c r="P585" s="16"/>
      <c r="Q585" s="16"/>
      <c r="R585" s="16"/>
      <c r="S585" s="16"/>
    </row>
    <row r="586">
      <c r="B586" s="43"/>
      <c r="G586" s="15"/>
      <c r="O586" s="15"/>
      <c r="P586" s="16"/>
      <c r="Q586" s="16"/>
      <c r="R586" s="16"/>
      <c r="S586" s="16"/>
    </row>
    <row r="587">
      <c r="B587" s="43"/>
      <c r="G587" s="15"/>
      <c r="O587" s="15"/>
      <c r="P587" s="16"/>
      <c r="Q587" s="16"/>
      <c r="R587" s="16"/>
      <c r="S587" s="16"/>
    </row>
    <row r="588">
      <c r="B588" s="43"/>
      <c r="G588" s="15"/>
      <c r="O588" s="15"/>
      <c r="P588" s="16"/>
      <c r="Q588" s="16"/>
      <c r="R588" s="16"/>
      <c r="S588" s="16"/>
    </row>
    <row r="589">
      <c r="B589" s="43"/>
      <c r="G589" s="15"/>
      <c r="O589" s="15"/>
      <c r="P589" s="16"/>
      <c r="Q589" s="16"/>
      <c r="R589" s="16"/>
      <c r="S589" s="16"/>
    </row>
    <row r="590">
      <c r="B590" s="43"/>
      <c r="G590" s="15"/>
      <c r="O590" s="15"/>
      <c r="P590" s="16"/>
      <c r="Q590" s="16"/>
      <c r="R590" s="16"/>
      <c r="S590" s="16"/>
    </row>
    <row r="591">
      <c r="B591" s="43"/>
      <c r="G591" s="15"/>
      <c r="O591" s="15"/>
      <c r="P591" s="16"/>
      <c r="Q591" s="16"/>
      <c r="R591" s="16"/>
      <c r="S591" s="16"/>
    </row>
    <row r="592">
      <c r="B592" s="43"/>
      <c r="G592" s="15"/>
      <c r="O592" s="15"/>
      <c r="P592" s="16"/>
      <c r="Q592" s="16"/>
      <c r="R592" s="16"/>
      <c r="S592" s="16"/>
    </row>
    <row r="593">
      <c r="B593" s="43"/>
      <c r="G593" s="15"/>
      <c r="O593" s="15"/>
      <c r="P593" s="16"/>
      <c r="Q593" s="16"/>
      <c r="R593" s="16"/>
      <c r="S593" s="16"/>
    </row>
    <row r="594">
      <c r="B594" s="43"/>
      <c r="G594" s="15"/>
      <c r="O594" s="15"/>
      <c r="P594" s="16"/>
      <c r="Q594" s="16"/>
      <c r="R594" s="16"/>
      <c r="S594" s="16"/>
    </row>
    <row r="595">
      <c r="B595" s="43"/>
      <c r="G595" s="15"/>
      <c r="O595" s="15"/>
      <c r="P595" s="16"/>
      <c r="Q595" s="16"/>
      <c r="R595" s="16"/>
      <c r="S595" s="16"/>
    </row>
    <row r="596">
      <c r="B596" s="43"/>
      <c r="G596" s="15"/>
      <c r="O596" s="15"/>
      <c r="P596" s="16"/>
      <c r="Q596" s="16"/>
      <c r="R596" s="16"/>
      <c r="S596" s="16"/>
    </row>
    <row r="597">
      <c r="B597" s="43"/>
      <c r="G597" s="15"/>
      <c r="O597" s="15"/>
      <c r="P597" s="16"/>
      <c r="Q597" s="16"/>
      <c r="R597" s="16"/>
      <c r="S597" s="16"/>
    </row>
    <row r="598">
      <c r="B598" s="43"/>
      <c r="G598" s="15"/>
      <c r="O598" s="15"/>
      <c r="P598" s="16"/>
      <c r="Q598" s="16"/>
      <c r="R598" s="16"/>
      <c r="S598" s="16"/>
    </row>
    <row r="599">
      <c r="B599" s="43"/>
      <c r="G599" s="15"/>
      <c r="O599" s="15"/>
      <c r="P599" s="16"/>
      <c r="Q599" s="16"/>
      <c r="R599" s="16"/>
      <c r="S599" s="16"/>
    </row>
    <row r="600">
      <c r="B600" s="43"/>
      <c r="G600" s="15"/>
      <c r="O600" s="15"/>
      <c r="P600" s="16"/>
      <c r="Q600" s="16"/>
      <c r="R600" s="16"/>
      <c r="S600" s="16"/>
    </row>
    <row r="601">
      <c r="B601" s="43"/>
      <c r="G601" s="15"/>
      <c r="O601" s="15"/>
      <c r="P601" s="16"/>
      <c r="Q601" s="16"/>
      <c r="R601" s="16"/>
      <c r="S601" s="16"/>
    </row>
    <row r="602">
      <c r="B602" s="43"/>
      <c r="G602" s="15"/>
      <c r="O602" s="15"/>
      <c r="P602" s="16"/>
      <c r="Q602" s="16"/>
      <c r="R602" s="16"/>
      <c r="S602" s="16"/>
    </row>
    <row r="603">
      <c r="B603" s="43"/>
      <c r="G603" s="15"/>
      <c r="O603" s="15"/>
      <c r="P603" s="16"/>
      <c r="Q603" s="16"/>
      <c r="R603" s="16"/>
      <c r="S603" s="16"/>
    </row>
    <row r="604">
      <c r="B604" s="43"/>
      <c r="G604" s="15"/>
      <c r="O604" s="15"/>
      <c r="P604" s="16"/>
      <c r="Q604" s="16"/>
      <c r="R604" s="16"/>
      <c r="S604" s="16"/>
    </row>
    <row r="605">
      <c r="B605" s="43"/>
      <c r="G605" s="15"/>
      <c r="O605" s="15"/>
      <c r="P605" s="16"/>
      <c r="Q605" s="16"/>
      <c r="R605" s="16"/>
      <c r="S605" s="16"/>
    </row>
    <row r="606">
      <c r="B606" s="43"/>
      <c r="G606" s="15"/>
      <c r="O606" s="15"/>
      <c r="P606" s="16"/>
      <c r="Q606" s="16"/>
      <c r="R606" s="16"/>
      <c r="S606" s="16"/>
    </row>
    <row r="607">
      <c r="B607" s="43"/>
      <c r="G607" s="15"/>
      <c r="O607" s="15"/>
      <c r="P607" s="16"/>
      <c r="Q607" s="16"/>
      <c r="R607" s="16"/>
      <c r="S607" s="16"/>
    </row>
    <row r="608">
      <c r="B608" s="43"/>
      <c r="G608" s="15"/>
      <c r="O608" s="15"/>
      <c r="P608" s="16"/>
      <c r="Q608" s="16"/>
      <c r="R608" s="16"/>
      <c r="S608" s="16"/>
    </row>
    <row r="609">
      <c r="B609" s="43"/>
      <c r="G609" s="15"/>
      <c r="O609" s="15"/>
      <c r="P609" s="16"/>
      <c r="Q609" s="16"/>
      <c r="R609" s="16"/>
      <c r="S609" s="16"/>
    </row>
    <row r="610">
      <c r="B610" s="43"/>
      <c r="G610" s="15"/>
      <c r="O610" s="15"/>
      <c r="P610" s="16"/>
      <c r="Q610" s="16"/>
      <c r="R610" s="16"/>
      <c r="S610" s="16"/>
    </row>
    <row r="611">
      <c r="B611" s="43"/>
      <c r="G611" s="15"/>
      <c r="O611" s="15"/>
      <c r="P611" s="16"/>
      <c r="Q611" s="16"/>
      <c r="R611" s="16"/>
      <c r="S611" s="16"/>
    </row>
    <row r="612">
      <c r="B612" s="43"/>
      <c r="G612" s="15"/>
      <c r="O612" s="15"/>
      <c r="P612" s="16"/>
      <c r="Q612" s="16"/>
      <c r="R612" s="16"/>
      <c r="S612" s="16"/>
    </row>
    <row r="613">
      <c r="B613" s="43"/>
      <c r="G613" s="15"/>
      <c r="O613" s="15"/>
      <c r="P613" s="16"/>
      <c r="Q613" s="16"/>
      <c r="R613" s="16"/>
      <c r="S613" s="16"/>
    </row>
    <row r="614">
      <c r="B614" s="43"/>
      <c r="G614" s="15"/>
      <c r="O614" s="15"/>
      <c r="P614" s="16"/>
      <c r="Q614" s="16"/>
      <c r="R614" s="16"/>
      <c r="S614" s="16"/>
    </row>
    <row r="615">
      <c r="B615" s="43"/>
      <c r="G615" s="15"/>
      <c r="O615" s="15"/>
      <c r="P615" s="16"/>
      <c r="Q615" s="16"/>
      <c r="R615" s="16"/>
      <c r="S615" s="16"/>
    </row>
    <row r="616">
      <c r="B616" s="43"/>
      <c r="G616" s="15"/>
      <c r="O616" s="15"/>
      <c r="P616" s="16"/>
      <c r="Q616" s="16"/>
      <c r="R616" s="16"/>
      <c r="S616" s="16"/>
    </row>
    <row r="617">
      <c r="B617" s="43"/>
      <c r="G617" s="15"/>
      <c r="O617" s="15"/>
      <c r="P617" s="16"/>
      <c r="Q617" s="16"/>
      <c r="R617" s="16"/>
      <c r="S617" s="16"/>
    </row>
    <row r="618">
      <c r="B618" s="43"/>
      <c r="G618" s="15"/>
      <c r="O618" s="15"/>
      <c r="P618" s="16"/>
      <c r="Q618" s="16"/>
      <c r="R618" s="16"/>
      <c r="S618" s="16"/>
    </row>
    <row r="619">
      <c r="B619" s="43"/>
      <c r="G619" s="15"/>
      <c r="O619" s="15"/>
      <c r="P619" s="16"/>
      <c r="Q619" s="16"/>
      <c r="R619" s="16"/>
      <c r="S619" s="16"/>
    </row>
    <row r="620">
      <c r="B620" s="43"/>
      <c r="G620" s="15"/>
      <c r="O620" s="15"/>
      <c r="P620" s="16"/>
      <c r="Q620" s="16"/>
      <c r="R620" s="16"/>
      <c r="S620" s="16"/>
    </row>
    <row r="621">
      <c r="B621" s="43"/>
      <c r="G621" s="15"/>
      <c r="O621" s="15"/>
      <c r="P621" s="16"/>
      <c r="Q621" s="16"/>
      <c r="R621" s="16"/>
      <c r="S621" s="16"/>
    </row>
    <row r="622">
      <c r="B622" s="43"/>
      <c r="G622" s="15"/>
      <c r="O622" s="15"/>
      <c r="P622" s="16"/>
      <c r="Q622" s="16"/>
      <c r="R622" s="16"/>
      <c r="S622" s="16"/>
    </row>
    <row r="623">
      <c r="B623" s="43"/>
      <c r="G623" s="15"/>
      <c r="O623" s="15"/>
      <c r="P623" s="16"/>
      <c r="Q623" s="16"/>
      <c r="R623" s="16"/>
      <c r="S623" s="16"/>
    </row>
    <row r="624">
      <c r="B624" s="43"/>
      <c r="G624" s="15"/>
      <c r="O624" s="15"/>
      <c r="P624" s="16"/>
      <c r="Q624" s="16"/>
      <c r="R624" s="16"/>
      <c r="S624" s="16"/>
    </row>
    <row r="625">
      <c r="B625" s="43"/>
      <c r="G625" s="15"/>
      <c r="O625" s="15"/>
      <c r="P625" s="16"/>
      <c r="Q625" s="16"/>
      <c r="R625" s="16"/>
      <c r="S625" s="16"/>
    </row>
    <row r="626">
      <c r="B626" s="43"/>
      <c r="G626" s="15"/>
      <c r="O626" s="15"/>
      <c r="P626" s="16"/>
      <c r="Q626" s="16"/>
      <c r="R626" s="16"/>
      <c r="S626" s="16"/>
    </row>
    <row r="627">
      <c r="B627" s="43"/>
      <c r="G627" s="15"/>
      <c r="O627" s="15"/>
      <c r="P627" s="16"/>
      <c r="Q627" s="16"/>
      <c r="R627" s="16"/>
      <c r="S627" s="16"/>
    </row>
    <row r="628">
      <c r="B628" s="43"/>
      <c r="G628" s="15"/>
      <c r="O628" s="15"/>
      <c r="P628" s="16"/>
      <c r="Q628" s="16"/>
      <c r="R628" s="16"/>
      <c r="S628" s="16"/>
    </row>
    <row r="629">
      <c r="B629" s="43"/>
      <c r="G629" s="15"/>
      <c r="O629" s="15"/>
      <c r="P629" s="16"/>
      <c r="Q629" s="16"/>
      <c r="R629" s="16"/>
      <c r="S629" s="16"/>
    </row>
    <row r="630">
      <c r="B630" s="43"/>
      <c r="G630" s="15"/>
      <c r="O630" s="15"/>
      <c r="P630" s="16"/>
      <c r="Q630" s="16"/>
      <c r="R630" s="16"/>
      <c r="S630" s="16"/>
    </row>
    <row r="631">
      <c r="B631" s="43"/>
      <c r="G631" s="15"/>
      <c r="O631" s="15"/>
      <c r="P631" s="16"/>
      <c r="Q631" s="16"/>
      <c r="R631" s="16"/>
      <c r="S631" s="16"/>
    </row>
    <row r="632">
      <c r="B632" s="43"/>
      <c r="G632" s="15"/>
      <c r="O632" s="15"/>
      <c r="P632" s="16"/>
      <c r="Q632" s="16"/>
      <c r="R632" s="16"/>
      <c r="S632" s="16"/>
    </row>
    <row r="633">
      <c r="B633" s="43"/>
      <c r="G633" s="15"/>
      <c r="O633" s="15"/>
      <c r="P633" s="16"/>
      <c r="Q633" s="16"/>
      <c r="R633" s="16"/>
      <c r="S633" s="16"/>
    </row>
    <row r="634">
      <c r="B634" s="43"/>
      <c r="G634" s="15"/>
      <c r="O634" s="15"/>
      <c r="P634" s="16"/>
      <c r="Q634" s="16"/>
      <c r="R634" s="16"/>
      <c r="S634" s="16"/>
    </row>
    <row r="635">
      <c r="B635" s="43"/>
      <c r="G635" s="15"/>
      <c r="O635" s="15"/>
      <c r="P635" s="16"/>
      <c r="Q635" s="16"/>
      <c r="R635" s="16"/>
      <c r="S635" s="16"/>
    </row>
    <row r="636">
      <c r="B636" s="43"/>
      <c r="G636" s="15"/>
      <c r="O636" s="15"/>
      <c r="P636" s="16"/>
      <c r="Q636" s="16"/>
      <c r="R636" s="16"/>
      <c r="S636" s="16"/>
    </row>
    <row r="637">
      <c r="B637" s="43"/>
      <c r="G637" s="15"/>
      <c r="O637" s="15"/>
      <c r="P637" s="16"/>
      <c r="Q637" s="16"/>
      <c r="R637" s="16"/>
      <c r="S637" s="16"/>
    </row>
    <row r="638">
      <c r="B638" s="43"/>
      <c r="G638" s="15"/>
      <c r="O638" s="15"/>
      <c r="P638" s="16"/>
      <c r="Q638" s="16"/>
      <c r="R638" s="16"/>
      <c r="S638" s="16"/>
    </row>
    <row r="639">
      <c r="B639" s="43"/>
      <c r="G639" s="15"/>
      <c r="O639" s="15"/>
      <c r="P639" s="16"/>
      <c r="Q639" s="16"/>
      <c r="R639" s="16"/>
      <c r="S639" s="16"/>
    </row>
    <row r="640">
      <c r="B640" s="43"/>
      <c r="G640" s="15"/>
      <c r="O640" s="15"/>
      <c r="P640" s="16"/>
      <c r="Q640" s="16"/>
      <c r="R640" s="16"/>
      <c r="S640" s="16"/>
    </row>
    <row r="641">
      <c r="B641" s="43"/>
      <c r="G641" s="15"/>
      <c r="O641" s="15"/>
      <c r="P641" s="16"/>
      <c r="Q641" s="16"/>
      <c r="R641" s="16"/>
      <c r="S641" s="16"/>
    </row>
    <row r="642">
      <c r="B642" s="43"/>
      <c r="G642" s="15"/>
      <c r="O642" s="15"/>
      <c r="P642" s="16"/>
      <c r="Q642" s="16"/>
      <c r="R642" s="16"/>
      <c r="S642" s="16"/>
    </row>
    <row r="643">
      <c r="B643" s="43"/>
      <c r="G643" s="15"/>
      <c r="O643" s="15"/>
      <c r="P643" s="16"/>
      <c r="Q643" s="16"/>
      <c r="R643" s="16"/>
      <c r="S643" s="16"/>
    </row>
    <row r="644">
      <c r="B644" s="43"/>
      <c r="G644" s="15"/>
      <c r="O644" s="15"/>
      <c r="P644" s="16"/>
      <c r="Q644" s="16"/>
      <c r="R644" s="16"/>
      <c r="S644" s="16"/>
    </row>
    <row r="645">
      <c r="B645" s="43"/>
      <c r="G645" s="15"/>
      <c r="O645" s="15"/>
      <c r="P645" s="16"/>
      <c r="Q645" s="16"/>
      <c r="R645" s="16"/>
      <c r="S645" s="16"/>
    </row>
    <row r="646">
      <c r="B646" s="43"/>
      <c r="G646" s="15"/>
      <c r="O646" s="15"/>
      <c r="P646" s="16"/>
      <c r="Q646" s="16"/>
      <c r="R646" s="16"/>
      <c r="S646" s="16"/>
    </row>
    <row r="647">
      <c r="B647" s="43"/>
      <c r="G647" s="15"/>
      <c r="O647" s="15"/>
      <c r="P647" s="16"/>
      <c r="Q647" s="16"/>
      <c r="R647" s="16"/>
      <c r="S647" s="16"/>
    </row>
    <row r="648">
      <c r="B648" s="43"/>
      <c r="G648" s="15"/>
      <c r="O648" s="15"/>
      <c r="P648" s="16"/>
      <c r="Q648" s="16"/>
      <c r="R648" s="16"/>
      <c r="S648" s="16"/>
    </row>
    <row r="649">
      <c r="B649" s="43"/>
      <c r="G649" s="15"/>
      <c r="O649" s="15"/>
      <c r="P649" s="16"/>
      <c r="Q649" s="16"/>
      <c r="R649" s="16"/>
      <c r="S649" s="16"/>
    </row>
    <row r="650">
      <c r="B650" s="43"/>
      <c r="G650" s="15"/>
      <c r="O650" s="15"/>
      <c r="P650" s="16"/>
      <c r="Q650" s="16"/>
      <c r="R650" s="16"/>
      <c r="S650" s="16"/>
    </row>
    <row r="651">
      <c r="B651" s="43"/>
      <c r="G651" s="15"/>
      <c r="O651" s="15"/>
      <c r="P651" s="16"/>
      <c r="Q651" s="16"/>
      <c r="R651" s="16"/>
      <c r="S651" s="16"/>
    </row>
    <row r="652">
      <c r="B652" s="43"/>
      <c r="G652" s="15"/>
      <c r="O652" s="15"/>
      <c r="P652" s="16"/>
      <c r="Q652" s="16"/>
      <c r="R652" s="16"/>
      <c r="S652" s="16"/>
    </row>
    <row r="653">
      <c r="B653" s="43"/>
      <c r="G653" s="15"/>
      <c r="O653" s="15"/>
      <c r="P653" s="16"/>
      <c r="Q653" s="16"/>
      <c r="R653" s="16"/>
      <c r="S653" s="16"/>
    </row>
    <row r="654">
      <c r="B654" s="43"/>
      <c r="G654" s="15"/>
      <c r="O654" s="15"/>
      <c r="P654" s="16"/>
      <c r="Q654" s="16"/>
      <c r="R654" s="16"/>
      <c r="S654" s="16"/>
    </row>
    <row r="655">
      <c r="B655" s="43"/>
      <c r="G655" s="15"/>
      <c r="O655" s="15"/>
      <c r="P655" s="16"/>
      <c r="Q655" s="16"/>
      <c r="R655" s="16"/>
      <c r="S655" s="16"/>
    </row>
    <row r="656">
      <c r="B656" s="43"/>
      <c r="G656" s="15"/>
      <c r="O656" s="15"/>
      <c r="P656" s="16"/>
      <c r="Q656" s="16"/>
      <c r="R656" s="16"/>
      <c r="S656" s="16"/>
    </row>
    <row r="657">
      <c r="B657" s="43"/>
      <c r="G657" s="15"/>
      <c r="O657" s="15"/>
      <c r="P657" s="16"/>
      <c r="Q657" s="16"/>
      <c r="R657" s="16"/>
      <c r="S657" s="16"/>
    </row>
    <row r="658">
      <c r="B658" s="43"/>
      <c r="G658" s="15"/>
      <c r="O658" s="15"/>
      <c r="P658" s="16"/>
      <c r="Q658" s="16"/>
      <c r="R658" s="16"/>
      <c r="S658" s="16"/>
    </row>
    <row r="659">
      <c r="B659" s="43"/>
      <c r="G659" s="15"/>
      <c r="O659" s="15"/>
      <c r="P659" s="16"/>
      <c r="Q659" s="16"/>
      <c r="R659" s="16"/>
      <c r="S659" s="16"/>
    </row>
    <row r="660">
      <c r="B660" s="43"/>
      <c r="G660" s="15"/>
      <c r="O660" s="15"/>
      <c r="P660" s="16"/>
      <c r="Q660" s="16"/>
      <c r="R660" s="16"/>
      <c r="S660" s="16"/>
    </row>
    <row r="661">
      <c r="B661" s="43"/>
      <c r="G661" s="15"/>
      <c r="O661" s="15"/>
      <c r="P661" s="16"/>
      <c r="Q661" s="16"/>
      <c r="R661" s="16"/>
      <c r="S661" s="16"/>
    </row>
    <row r="662">
      <c r="B662" s="43"/>
      <c r="G662" s="15"/>
      <c r="O662" s="15"/>
      <c r="P662" s="16"/>
      <c r="Q662" s="16"/>
      <c r="R662" s="16"/>
      <c r="S662" s="16"/>
    </row>
    <row r="663">
      <c r="B663" s="43"/>
      <c r="G663" s="15"/>
      <c r="O663" s="15"/>
      <c r="P663" s="16"/>
      <c r="Q663" s="16"/>
      <c r="R663" s="16"/>
      <c r="S663" s="16"/>
    </row>
    <row r="664">
      <c r="B664" s="43"/>
      <c r="G664" s="15"/>
      <c r="O664" s="15"/>
      <c r="P664" s="16"/>
      <c r="Q664" s="16"/>
      <c r="R664" s="16"/>
      <c r="S664" s="16"/>
    </row>
    <row r="665">
      <c r="B665" s="43"/>
      <c r="G665" s="15"/>
      <c r="O665" s="15"/>
      <c r="P665" s="16"/>
      <c r="Q665" s="16"/>
      <c r="R665" s="16"/>
      <c r="S665" s="16"/>
    </row>
    <row r="666">
      <c r="B666" s="43"/>
      <c r="G666" s="15"/>
      <c r="O666" s="15"/>
      <c r="P666" s="16"/>
      <c r="Q666" s="16"/>
      <c r="R666" s="16"/>
      <c r="S666" s="16"/>
    </row>
    <row r="667">
      <c r="B667" s="43"/>
      <c r="G667" s="15"/>
      <c r="O667" s="15"/>
      <c r="P667" s="16"/>
      <c r="Q667" s="16"/>
      <c r="R667" s="16"/>
      <c r="S667" s="16"/>
    </row>
    <row r="668">
      <c r="B668" s="43"/>
      <c r="G668" s="15"/>
      <c r="O668" s="15"/>
      <c r="P668" s="16"/>
      <c r="Q668" s="16"/>
      <c r="R668" s="16"/>
      <c r="S668" s="16"/>
    </row>
    <row r="669">
      <c r="B669" s="43"/>
      <c r="G669" s="15"/>
      <c r="O669" s="15"/>
      <c r="P669" s="16"/>
      <c r="Q669" s="16"/>
      <c r="R669" s="16"/>
      <c r="S669" s="16"/>
    </row>
    <row r="670">
      <c r="B670" s="43"/>
      <c r="G670" s="15"/>
      <c r="O670" s="15"/>
      <c r="P670" s="16"/>
      <c r="Q670" s="16"/>
      <c r="R670" s="16"/>
      <c r="S670" s="16"/>
    </row>
    <row r="671">
      <c r="B671" s="43"/>
      <c r="G671" s="15"/>
      <c r="O671" s="15"/>
      <c r="P671" s="16"/>
      <c r="Q671" s="16"/>
      <c r="R671" s="16"/>
      <c r="S671" s="16"/>
    </row>
    <row r="672">
      <c r="B672" s="43"/>
      <c r="G672" s="15"/>
      <c r="O672" s="15"/>
      <c r="P672" s="16"/>
      <c r="Q672" s="16"/>
      <c r="R672" s="16"/>
      <c r="S672" s="16"/>
    </row>
    <row r="673">
      <c r="B673" s="43"/>
      <c r="G673" s="15"/>
      <c r="O673" s="15"/>
      <c r="P673" s="16"/>
      <c r="Q673" s="16"/>
      <c r="R673" s="16"/>
      <c r="S673" s="16"/>
    </row>
    <row r="674">
      <c r="B674" s="43"/>
      <c r="G674" s="15"/>
      <c r="O674" s="15"/>
      <c r="P674" s="16"/>
      <c r="Q674" s="16"/>
      <c r="R674" s="16"/>
      <c r="S674" s="16"/>
    </row>
    <row r="675">
      <c r="B675" s="43"/>
      <c r="G675" s="15"/>
      <c r="O675" s="15"/>
      <c r="P675" s="16"/>
      <c r="Q675" s="16"/>
      <c r="R675" s="16"/>
      <c r="S675" s="16"/>
    </row>
    <row r="676">
      <c r="B676" s="43"/>
      <c r="G676" s="15"/>
      <c r="O676" s="15"/>
      <c r="P676" s="16"/>
      <c r="Q676" s="16"/>
      <c r="R676" s="16"/>
      <c r="S676" s="16"/>
    </row>
    <row r="677">
      <c r="B677" s="43"/>
      <c r="G677" s="15"/>
      <c r="O677" s="15"/>
      <c r="P677" s="16"/>
      <c r="Q677" s="16"/>
      <c r="R677" s="16"/>
      <c r="S677" s="16"/>
    </row>
    <row r="678">
      <c r="B678" s="43"/>
      <c r="G678" s="15"/>
      <c r="O678" s="15"/>
      <c r="P678" s="16"/>
      <c r="Q678" s="16"/>
      <c r="R678" s="16"/>
      <c r="S678" s="16"/>
    </row>
    <row r="679">
      <c r="B679" s="43"/>
      <c r="G679" s="15"/>
      <c r="O679" s="15"/>
      <c r="P679" s="16"/>
      <c r="Q679" s="16"/>
      <c r="R679" s="16"/>
      <c r="S679" s="16"/>
    </row>
    <row r="680">
      <c r="B680" s="43"/>
      <c r="G680" s="15"/>
      <c r="O680" s="15"/>
      <c r="P680" s="16"/>
      <c r="Q680" s="16"/>
      <c r="R680" s="16"/>
      <c r="S680" s="16"/>
    </row>
    <row r="681">
      <c r="B681" s="43"/>
      <c r="G681" s="15"/>
      <c r="O681" s="15"/>
      <c r="P681" s="16"/>
      <c r="Q681" s="16"/>
      <c r="R681" s="16"/>
      <c r="S681" s="16"/>
    </row>
    <row r="682">
      <c r="B682" s="43"/>
      <c r="G682" s="15"/>
      <c r="O682" s="15"/>
      <c r="P682" s="16"/>
      <c r="Q682" s="16"/>
      <c r="R682" s="16"/>
      <c r="S682" s="16"/>
    </row>
    <row r="683">
      <c r="B683" s="43"/>
      <c r="G683" s="15"/>
      <c r="O683" s="15"/>
      <c r="P683" s="16"/>
      <c r="Q683" s="16"/>
      <c r="R683" s="16"/>
      <c r="S683" s="16"/>
    </row>
    <row r="684">
      <c r="B684" s="43"/>
      <c r="G684" s="15"/>
      <c r="O684" s="15"/>
      <c r="P684" s="16"/>
      <c r="Q684" s="16"/>
      <c r="R684" s="16"/>
      <c r="S684" s="16"/>
    </row>
    <row r="685">
      <c r="B685" s="43"/>
      <c r="G685" s="15"/>
      <c r="O685" s="15"/>
      <c r="P685" s="16"/>
      <c r="Q685" s="16"/>
      <c r="R685" s="16"/>
      <c r="S685" s="16"/>
    </row>
    <row r="686">
      <c r="B686" s="43"/>
      <c r="G686" s="15"/>
      <c r="O686" s="15"/>
      <c r="P686" s="16"/>
      <c r="Q686" s="16"/>
      <c r="R686" s="16"/>
      <c r="S686" s="16"/>
    </row>
    <row r="687">
      <c r="B687" s="43"/>
      <c r="G687" s="15"/>
      <c r="O687" s="15"/>
      <c r="P687" s="16"/>
      <c r="Q687" s="16"/>
      <c r="R687" s="16"/>
      <c r="S687" s="16"/>
    </row>
    <row r="688">
      <c r="B688" s="43"/>
      <c r="G688" s="15"/>
      <c r="O688" s="15"/>
      <c r="P688" s="16"/>
      <c r="Q688" s="16"/>
      <c r="R688" s="16"/>
      <c r="S688" s="16"/>
    </row>
    <row r="689">
      <c r="B689" s="43"/>
      <c r="G689" s="15"/>
      <c r="O689" s="15"/>
      <c r="P689" s="16"/>
      <c r="Q689" s="16"/>
      <c r="R689" s="16"/>
      <c r="S689" s="16"/>
    </row>
    <row r="690">
      <c r="B690" s="43"/>
      <c r="G690" s="15"/>
      <c r="O690" s="15"/>
      <c r="P690" s="16"/>
      <c r="Q690" s="16"/>
      <c r="R690" s="16"/>
      <c r="S690" s="16"/>
    </row>
    <row r="691">
      <c r="B691" s="43"/>
      <c r="G691" s="15"/>
      <c r="O691" s="15"/>
      <c r="P691" s="16"/>
      <c r="Q691" s="16"/>
      <c r="R691" s="16"/>
      <c r="S691" s="16"/>
    </row>
    <row r="692">
      <c r="B692" s="43"/>
      <c r="G692" s="15"/>
      <c r="O692" s="15"/>
      <c r="P692" s="16"/>
      <c r="Q692" s="16"/>
      <c r="R692" s="16"/>
      <c r="S692" s="16"/>
    </row>
    <row r="693">
      <c r="B693" s="43"/>
      <c r="G693" s="15"/>
      <c r="O693" s="15"/>
      <c r="P693" s="16"/>
      <c r="Q693" s="16"/>
      <c r="R693" s="16"/>
      <c r="S693" s="16"/>
    </row>
    <row r="694">
      <c r="B694" s="43"/>
      <c r="G694" s="15"/>
      <c r="O694" s="15"/>
      <c r="P694" s="16"/>
      <c r="Q694" s="16"/>
      <c r="R694" s="16"/>
      <c r="S694" s="16"/>
    </row>
    <row r="695">
      <c r="B695" s="43"/>
      <c r="G695" s="15"/>
      <c r="O695" s="15"/>
      <c r="P695" s="16"/>
      <c r="Q695" s="16"/>
      <c r="R695" s="16"/>
      <c r="S695" s="16"/>
    </row>
    <row r="696">
      <c r="B696" s="43"/>
      <c r="G696" s="15"/>
      <c r="O696" s="15"/>
      <c r="P696" s="16"/>
      <c r="Q696" s="16"/>
      <c r="R696" s="16"/>
      <c r="S696" s="16"/>
    </row>
    <row r="697">
      <c r="B697" s="43"/>
      <c r="G697" s="15"/>
      <c r="O697" s="15"/>
      <c r="P697" s="16"/>
      <c r="Q697" s="16"/>
      <c r="R697" s="16"/>
      <c r="S697" s="16"/>
    </row>
    <row r="698">
      <c r="B698" s="43"/>
      <c r="G698" s="15"/>
      <c r="O698" s="15"/>
      <c r="P698" s="16"/>
      <c r="Q698" s="16"/>
      <c r="R698" s="16"/>
      <c r="S698" s="16"/>
    </row>
    <row r="699">
      <c r="B699" s="43"/>
      <c r="G699" s="15"/>
      <c r="O699" s="15"/>
      <c r="P699" s="16"/>
      <c r="Q699" s="16"/>
      <c r="R699" s="16"/>
      <c r="S699" s="16"/>
    </row>
    <row r="700">
      <c r="B700" s="43"/>
      <c r="G700" s="15"/>
      <c r="O700" s="15"/>
      <c r="P700" s="16"/>
      <c r="Q700" s="16"/>
      <c r="R700" s="16"/>
      <c r="S700" s="16"/>
    </row>
    <row r="701">
      <c r="B701" s="43"/>
      <c r="G701" s="15"/>
      <c r="O701" s="15"/>
      <c r="P701" s="16"/>
      <c r="Q701" s="16"/>
      <c r="R701" s="16"/>
      <c r="S701" s="16"/>
    </row>
    <row r="702">
      <c r="B702" s="43"/>
      <c r="G702" s="15"/>
      <c r="O702" s="15"/>
      <c r="P702" s="16"/>
      <c r="Q702" s="16"/>
      <c r="R702" s="16"/>
      <c r="S702" s="16"/>
    </row>
    <row r="703">
      <c r="B703" s="43"/>
      <c r="G703" s="15"/>
      <c r="O703" s="15"/>
      <c r="P703" s="16"/>
      <c r="Q703" s="16"/>
      <c r="R703" s="16"/>
      <c r="S703" s="16"/>
    </row>
    <row r="704">
      <c r="B704" s="43"/>
      <c r="G704" s="15"/>
      <c r="O704" s="15"/>
      <c r="P704" s="16"/>
      <c r="Q704" s="16"/>
      <c r="R704" s="16"/>
      <c r="S704" s="16"/>
    </row>
    <row r="705">
      <c r="B705" s="43"/>
      <c r="G705" s="15"/>
      <c r="O705" s="15"/>
      <c r="P705" s="16"/>
      <c r="Q705" s="16"/>
      <c r="R705" s="16"/>
      <c r="S705" s="16"/>
    </row>
    <row r="706">
      <c r="B706" s="43"/>
      <c r="G706" s="15"/>
      <c r="O706" s="15"/>
      <c r="P706" s="16"/>
      <c r="Q706" s="16"/>
      <c r="R706" s="16"/>
      <c r="S706" s="16"/>
    </row>
    <row r="707">
      <c r="B707" s="43"/>
      <c r="G707" s="15"/>
      <c r="O707" s="15"/>
      <c r="P707" s="16"/>
      <c r="Q707" s="16"/>
      <c r="R707" s="16"/>
      <c r="S707" s="16"/>
    </row>
    <row r="708">
      <c r="B708" s="43"/>
      <c r="G708" s="15"/>
      <c r="O708" s="15"/>
      <c r="P708" s="16"/>
      <c r="Q708" s="16"/>
      <c r="R708" s="16"/>
      <c r="S708" s="16"/>
    </row>
    <row r="709">
      <c r="B709" s="43"/>
      <c r="G709" s="15"/>
      <c r="O709" s="15"/>
      <c r="P709" s="16"/>
      <c r="Q709" s="16"/>
      <c r="R709" s="16"/>
      <c r="S709" s="16"/>
    </row>
    <row r="710">
      <c r="B710" s="43"/>
      <c r="G710" s="15"/>
      <c r="O710" s="15"/>
      <c r="P710" s="16"/>
      <c r="Q710" s="16"/>
      <c r="R710" s="16"/>
      <c r="S710" s="16"/>
    </row>
    <row r="711">
      <c r="B711" s="43"/>
      <c r="G711" s="15"/>
      <c r="O711" s="15"/>
      <c r="P711" s="16"/>
      <c r="Q711" s="16"/>
      <c r="R711" s="16"/>
      <c r="S711" s="16"/>
    </row>
    <row r="712">
      <c r="B712" s="43"/>
      <c r="G712" s="15"/>
      <c r="O712" s="15"/>
      <c r="P712" s="16"/>
      <c r="Q712" s="16"/>
      <c r="R712" s="16"/>
      <c r="S712" s="16"/>
    </row>
    <row r="713">
      <c r="B713" s="43"/>
      <c r="G713" s="15"/>
      <c r="O713" s="15"/>
      <c r="P713" s="16"/>
      <c r="Q713" s="16"/>
      <c r="R713" s="16"/>
      <c r="S713" s="16"/>
    </row>
    <row r="714">
      <c r="B714" s="43"/>
      <c r="G714" s="15"/>
      <c r="O714" s="15"/>
      <c r="P714" s="16"/>
      <c r="Q714" s="16"/>
      <c r="R714" s="16"/>
      <c r="S714" s="16"/>
    </row>
    <row r="715">
      <c r="B715" s="43"/>
      <c r="G715" s="15"/>
      <c r="O715" s="15"/>
      <c r="P715" s="16"/>
      <c r="Q715" s="16"/>
      <c r="R715" s="16"/>
      <c r="S715" s="16"/>
    </row>
    <row r="716">
      <c r="B716" s="43"/>
      <c r="G716" s="15"/>
      <c r="O716" s="15"/>
      <c r="P716" s="16"/>
      <c r="Q716" s="16"/>
      <c r="R716" s="16"/>
      <c r="S716" s="16"/>
    </row>
    <row r="717">
      <c r="B717" s="43"/>
      <c r="G717" s="15"/>
      <c r="O717" s="15"/>
      <c r="P717" s="16"/>
      <c r="Q717" s="16"/>
      <c r="R717" s="16"/>
      <c r="S717" s="16"/>
    </row>
    <row r="718">
      <c r="B718" s="43"/>
      <c r="G718" s="15"/>
      <c r="O718" s="15"/>
      <c r="P718" s="16"/>
      <c r="Q718" s="16"/>
      <c r="R718" s="16"/>
      <c r="S718" s="16"/>
    </row>
    <row r="719">
      <c r="B719" s="43"/>
      <c r="G719" s="15"/>
      <c r="O719" s="15"/>
      <c r="P719" s="16"/>
      <c r="Q719" s="16"/>
      <c r="R719" s="16"/>
      <c r="S719" s="16"/>
    </row>
    <row r="720">
      <c r="B720" s="43"/>
      <c r="G720" s="15"/>
      <c r="O720" s="15"/>
      <c r="P720" s="16"/>
      <c r="Q720" s="16"/>
      <c r="R720" s="16"/>
      <c r="S720" s="16"/>
    </row>
    <row r="721">
      <c r="B721" s="43"/>
      <c r="G721" s="15"/>
      <c r="O721" s="15"/>
      <c r="P721" s="16"/>
      <c r="Q721" s="16"/>
      <c r="R721" s="16"/>
      <c r="S721" s="16"/>
    </row>
    <row r="722">
      <c r="B722" s="43"/>
      <c r="G722" s="15"/>
      <c r="O722" s="15"/>
      <c r="P722" s="16"/>
      <c r="Q722" s="16"/>
      <c r="R722" s="16"/>
      <c r="S722" s="16"/>
    </row>
    <row r="723">
      <c r="B723" s="43"/>
      <c r="G723" s="15"/>
      <c r="O723" s="15"/>
      <c r="P723" s="16"/>
      <c r="Q723" s="16"/>
      <c r="R723" s="16"/>
      <c r="S723" s="16"/>
    </row>
    <row r="724">
      <c r="B724" s="43"/>
      <c r="G724" s="15"/>
      <c r="O724" s="15"/>
      <c r="P724" s="16"/>
      <c r="Q724" s="16"/>
      <c r="R724" s="16"/>
      <c r="S724" s="16"/>
    </row>
    <row r="725">
      <c r="B725" s="43"/>
      <c r="G725" s="15"/>
      <c r="O725" s="15"/>
      <c r="P725" s="16"/>
      <c r="Q725" s="16"/>
      <c r="R725" s="16"/>
      <c r="S725" s="16"/>
    </row>
    <row r="726">
      <c r="B726" s="43"/>
      <c r="G726" s="15"/>
      <c r="O726" s="15"/>
      <c r="P726" s="16"/>
      <c r="Q726" s="16"/>
      <c r="R726" s="16"/>
      <c r="S726" s="16"/>
    </row>
    <row r="727">
      <c r="B727" s="43"/>
      <c r="G727" s="15"/>
      <c r="O727" s="15"/>
      <c r="P727" s="16"/>
      <c r="Q727" s="16"/>
      <c r="R727" s="16"/>
      <c r="S727" s="16"/>
    </row>
    <row r="728">
      <c r="B728" s="43"/>
      <c r="G728" s="15"/>
      <c r="O728" s="15"/>
      <c r="P728" s="16"/>
      <c r="Q728" s="16"/>
      <c r="R728" s="16"/>
      <c r="S728" s="16"/>
    </row>
    <row r="729">
      <c r="B729" s="43"/>
      <c r="G729" s="15"/>
      <c r="O729" s="15"/>
      <c r="P729" s="16"/>
      <c r="Q729" s="16"/>
      <c r="R729" s="16"/>
      <c r="S729" s="16"/>
    </row>
    <row r="730">
      <c r="B730" s="43"/>
      <c r="G730" s="15"/>
      <c r="O730" s="15"/>
      <c r="P730" s="16"/>
      <c r="Q730" s="16"/>
      <c r="R730" s="16"/>
      <c r="S730" s="16"/>
    </row>
    <row r="731">
      <c r="B731" s="43"/>
      <c r="G731" s="15"/>
      <c r="O731" s="15"/>
      <c r="P731" s="16"/>
      <c r="Q731" s="16"/>
      <c r="R731" s="16"/>
      <c r="S731" s="16"/>
    </row>
    <row r="732">
      <c r="B732" s="43"/>
      <c r="G732" s="15"/>
      <c r="O732" s="15"/>
      <c r="P732" s="16"/>
      <c r="Q732" s="16"/>
      <c r="R732" s="16"/>
      <c r="S732" s="16"/>
    </row>
    <row r="733">
      <c r="B733" s="43"/>
      <c r="G733" s="15"/>
      <c r="O733" s="15"/>
      <c r="P733" s="16"/>
      <c r="Q733" s="16"/>
      <c r="R733" s="16"/>
      <c r="S733" s="16"/>
    </row>
    <row r="734">
      <c r="B734" s="43"/>
      <c r="G734" s="15"/>
      <c r="O734" s="15"/>
      <c r="P734" s="16"/>
      <c r="Q734" s="16"/>
      <c r="R734" s="16"/>
      <c r="S734" s="16"/>
    </row>
    <row r="735">
      <c r="B735" s="43"/>
      <c r="G735" s="15"/>
      <c r="O735" s="15"/>
      <c r="P735" s="16"/>
      <c r="Q735" s="16"/>
      <c r="R735" s="16"/>
      <c r="S735" s="16"/>
    </row>
    <row r="736">
      <c r="B736" s="43"/>
      <c r="G736" s="15"/>
      <c r="O736" s="15"/>
      <c r="P736" s="16"/>
      <c r="Q736" s="16"/>
      <c r="R736" s="16"/>
      <c r="S736" s="16"/>
    </row>
    <row r="737">
      <c r="B737" s="43"/>
      <c r="G737" s="15"/>
      <c r="O737" s="15"/>
      <c r="P737" s="16"/>
      <c r="Q737" s="16"/>
      <c r="R737" s="16"/>
      <c r="S737" s="16"/>
    </row>
    <row r="738">
      <c r="B738" s="43"/>
      <c r="G738" s="15"/>
      <c r="O738" s="15"/>
      <c r="P738" s="16"/>
      <c r="Q738" s="16"/>
      <c r="R738" s="16"/>
      <c r="S738" s="16"/>
    </row>
    <row r="739">
      <c r="B739" s="43"/>
      <c r="G739" s="15"/>
      <c r="O739" s="15"/>
      <c r="P739" s="16"/>
      <c r="Q739" s="16"/>
      <c r="R739" s="16"/>
      <c r="S739" s="16"/>
    </row>
    <row r="740">
      <c r="B740" s="43"/>
      <c r="G740" s="15"/>
      <c r="O740" s="15"/>
      <c r="P740" s="16"/>
      <c r="Q740" s="16"/>
      <c r="R740" s="16"/>
      <c r="S740" s="16"/>
    </row>
    <row r="741">
      <c r="B741" s="43"/>
      <c r="G741" s="15"/>
      <c r="O741" s="15"/>
      <c r="P741" s="16"/>
      <c r="Q741" s="16"/>
      <c r="R741" s="16"/>
      <c r="S741" s="16"/>
    </row>
    <row r="742">
      <c r="B742" s="43"/>
      <c r="G742" s="15"/>
      <c r="O742" s="15"/>
      <c r="P742" s="16"/>
      <c r="Q742" s="16"/>
      <c r="R742" s="16"/>
      <c r="S742" s="16"/>
    </row>
    <row r="743">
      <c r="B743" s="43"/>
      <c r="G743" s="15"/>
      <c r="O743" s="15"/>
      <c r="P743" s="16"/>
      <c r="Q743" s="16"/>
      <c r="R743" s="16"/>
      <c r="S743" s="16"/>
    </row>
    <row r="744">
      <c r="B744" s="43"/>
      <c r="G744" s="15"/>
      <c r="O744" s="15"/>
      <c r="P744" s="16"/>
      <c r="Q744" s="16"/>
      <c r="R744" s="16"/>
      <c r="S744" s="16"/>
    </row>
    <row r="745">
      <c r="B745" s="43"/>
      <c r="G745" s="15"/>
      <c r="O745" s="15"/>
      <c r="P745" s="16"/>
      <c r="Q745" s="16"/>
      <c r="R745" s="16"/>
      <c r="S745" s="16"/>
    </row>
    <row r="746">
      <c r="B746" s="43"/>
      <c r="G746" s="15"/>
      <c r="O746" s="15"/>
      <c r="P746" s="16"/>
      <c r="Q746" s="16"/>
      <c r="R746" s="16"/>
      <c r="S746" s="16"/>
    </row>
    <row r="747">
      <c r="B747" s="43"/>
      <c r="G747" s="15"/>
      <c r="O747" s="15"/>
      <c r="P747" s="16"/>
      <c r="Q747" s="16"/>
      <c r="R747" s="16"/>
      <c r="S747" s="16"/>
    </row>
    <row r="748">
      <c r="B748" s="43"/>
      <c r="G748" s="15"/>
      <c r="O748" s="15"/>
      <c r="P748" s="16"/>
      <c r="Q748" s="16"/>
      <c r="R748" s="16"/>
      <c r="S748" s="16"/>
    </row>
    <row r="749">
      <c r="B749" s="43"/>
      <c r="G749" s="15"/>
      <c r="O749" s="15"/>
      <c r="P749" s="16"/>
      <c r="Q749" s="16"/>
      <c r="R749" s="16"/>
      <c r="S749" s="16"/>
    </row>
    <row r="750">
      <c r="B750" s="43"/>
      <c r="G750" s="15"/>
      <c r="O750" s="15"/>
      <c r="P750" s="16"/>
      <c r="Q750" s="16"/>
      <c r="R750" s="16"/>
      <c r="S750" s="16"/>
    </row>
    <row r="751">
      <c r="B751" s="43"/>
      <c r="G751" s="15"/>
      <c r="O751" s="15"/>
      <c r="P751" s="16"/>
      <c r="Q751" s="16"/>
      <c r="R751" s="16"/>
      <c r="S751" s="16"/>
    </row>
    <row r="752">
      <c r="B752" s="43"/>
      <c r="G752" s="15"/>
      <c r="O752" s="15"/>
      <c r="P752" s="16"/>
      <c r="Q752" s="16"/>
      <c r="R752" s="16"/>
      <c r="S752" s="16"/>
    </row>
    <row r="753">
      <c r="B753" s="43"/>
      <c r="G753" s="15"/>
      <c r="O753" s="15"/>
      <c r="P753" s="16"/>
      <c r="Q753" s="16"/>
      <c r="R753" s="16"/>
      <c r="S753" s="16"/>
    </row>
    <row r="754">
      <c r="B754" s="43"/>
      <c r="G754" s="15"/>
      <c r="O754" s="15"/>
      <c r="P754" s="16"/>
      <c r="Q754" s="16"/>
      <c r="R754" s="16"/>
      <c r="S754" s="16"/>
    </row>
    <row r="755">
      <c r="B755" s="43"/>
      <c r="G755" s="15"/>
      <c r="O755" s="15"/>
      <c r="P755" s="16"/>
      <c r="Q755" s="16"/>
      <c r="R755" s="16"/>
      <c r="S755" s="16"/>
    </row>
    <row r="756">
      <c r="B756" s="43"/>
      <c r="G756" s="15"/>
      <c r="O756" s="15"/>
      <c r="P756" s="16"/>
      <c r="Q756" s="16"/>
      <c r="R756" s="16"/>
      <c r="S756" s="16"/>
    </row>
    <row r="757">
      <c r="B757" s="43"/>
      <c r="G757" s="15"/>
      <c r="O757" s="15"/>
      <c r="P757" s="16"/>
      <c r="Q757" s="16"/>
      <c r="R757" s="16"/>
      <c r="S757" s="16"/>
    </row>
    <row r="758">
      <c r="B758" s="43"/>
      <c r="G758" s="15"/>
      <c r="O758" s="15"/>
      <c r="P758" s="16"/>
      <c r="Q758" s="16"/>
      <c r="R758" s="16"/>
      <c r="S758" s="16"/>
    </row>
    <row r="759">
      <c r="B759" s="43"/>
      <c r="G759" s="15"/>
      <c r="O759" s="15"/>
      <c r="P759" s="16"/>
      <c r="Q759" s="16"/>
      <c r="R759" s="16"/>
      <c r="S759" s="16"/>
    </row>
    <row r="760">
      <c r="B760" s="43"/>
      <c r="G760" s="15"/>
      <c r="O760" s="15"/>
      <c r="P760" s="16"/>
      <c r="Q760" s="16"/>
      <c r="R760" s="16"/>
      <c r="S760" s="16"/>
    </row>
    <row r="761">
      <c r="B761" s="43"/>
      <c r="G761" s="15"/>
      <c r="O761" s="15"/>
      <c r="P761" s="16"/>
      <c r="Q761" s="16"/>
      <c r="R761" s="16"/>
      <c r="S761" s="16"/>
    </row>
    <row r="762">
      <c r="B762" s="43"/>
      <c r="G762" s="15"/>
      <c r="O762" s="15"/>
      <c r="P762" s="16"/>
      <c r="Q762" s="16"/>
      <c r="R762" s="16"/>
      <c r="S762" s="16"/>
    </row>
    <row r="763">
      <c r="B763" s="43"/>
      <c r="G763" s="15"/>
      <c r="O763" s="15"/>
      <c r="P763" s="16"/>
      <c r="Q763" s="16"/>
      <c r="R763" s="16"/>
      <c r="S763" s="16"/>
    </row>
    <row r="764">
      <c r="B764" s="43"/>
      <c r="G764" s="15"/>
      <c r="O764" s="15"/>
      <c r="P764" s="16"/>
      <c r="Q764" s="16"/>
      <c r="R764" s="16"/>
      <c r="S764" s="16"/>
    </row>
    <row r="765">
      <c r="B765" s="43"/>
      <c r="G765" s="15"/>
      <c r="O765" s="15"/>
      <c r="P765" s="16"/>
      <c r="Q765" s="16"/>
      <c r="R765" s="16"/>
      <c r="S765" s="16"/>
    </row>
    <row r="766">
      <c r="B766" s="43"/>
      <c r="G766" s="15"/>
      <c r="O766" s="15"/>
      <c r="P766" s="16"/>
      <c r="Q766" s="16"/>
      <c r="R766" s="16"/>
      <c r="S766" s="16"/>
    </row>
    <row r="767">
      <c r="B767" s="43"/>
      <c r="G767" s="15"/>
      <c r="O767" s="15"/>
      <c r="P767" s="16"/>
      <c r="Q767" s="16"/>
      <c r="R767" s="16"/>
      <c r="S767" s="16"/>
    </row>
    <row r="768">
      <c r="B768" s="43"/>
      <c r="G768" s="15"/>
      <c r="O768" s="15"/>
      <c r="P768" s="16"/>
      <c r="Q768" s="16"/>
      <c r="R768" s="16"/>
      <c r="S768" s="16"/>
    </row>
    <row r="769">
      <c r="B769" s="43"/>
      <c r="G769" s="15"/>
      <c r="O769" s="15"/>
      <c r="P769" s="16"/>
      <c r="Q769" s="16"/>
      <c r="R769" s="16"/>
      <c r="S769" s="16"/>
    </row>
    <row r="770">
      <c r="B770" s="43"/>
      <c r="G770" s="15"/>
      <c r="O770" s="15"/>
      <c r="P770" s="16"/>
      <c r="Q770" s="16"/>
      <c r="R770" s="16"/>
      <c r="S770" s="16"/>
    </row>
    <row r="771">
      <c r="B771" s="43"/>
      <c r="G771" s="15"/>
      <c r="O771" s="15"/>
      <c r="P771" s="16"/>
      <c r="Q771" s="16"/>
      <c r="R771" s="16"/>
      <c r="S771" s="16"/>
    </row>
    <row r="772">
      <c r="B772" s="43"/>
      <c r="G772" s="15"/>
      <c r="O772" s="15"/>
      <c r="P772" s="16"/>
      <c r="Q772" s="16"/>
      <c r="R772" s="16"/>
      <c r="S772" s="16"/>
    </row>
    <row r="773">
      <c r="B773" s="43"/>
      <c r="G773" s="15"/>
      <c r="O773" s="15"/>
      <c r="P773" s="16"/>
      <c r="Q773" s="16"/>
      <c r="R773" s="16"/>
      <c r="S773" s="16"/>
    </row>
    <row r="774">
      <c r="B774" s="43"/>
      <c r="G774" s="15"/>
      <c r="O774" s="15"/>
      <c r="P774" s="16"/>
      <c r="Q774" s="16"/>
      <c r="R774" s="16"/>
      <c r="S774" s="16"/>
    </row>
    <row r="775">
      <c r="B775" s="43"/>
      <c r="G775" s="15"/>
      <c r="O775" s="15"/>
      <c r="P775" s="16"/>
      <c r="Q775" s="16"/>
      <c r="R775" s="16"/>
      <c r="S775" s="16"/>
    </row>
    <row r="776">
      <c r="B776" s="43"/>
      <c r="G776" s="15"/>
      <c r="O776" s="15"/>
      <c r="P776" s="16"/>
      <c r="Q776" s="16"/>
      <c r="R776" s="16"/>
      <c r="S776" s="16"/>
    </row>
    <row r="777">
      <c r="B777" s="43"/>
      <c r="G777" s="15"/>
      <c r="O777" s="15"/>
      <c r="P777" s="16"/>
      <c r="Q777" s="16"/>
      <c r="R777" s="16"/>
      <c r="S777" s="16"/>
    </row>
    <row r="778">
      <c r="B778" s="43"/>
      <c r="G778" s="15"/>
      <c r="O778" s="15"/>
      <c r="P778" s="16"/>
      <c r="Q778" s="16"/>
      <c r="R778" s="16"/>
      <c r="S778" s="16"/>
    </row>
    <row r="779">
      <c r="B779" s="43"/>
      <c r="G779" s="15"/>
      <c r="O779" s="15"/>
      <c r="P779" s="16"/>
      <c r="Q779" s="16"/>
      <c r="R779" s="16"/>
      <c r="S779" s="16"/>
    </row>
    <row r="780">
      <c r="B780" s="43"/>
      <c r="G780" s="15"/>
      <c r="O780" s="15"/>
      <c r="P780" s="16"/>
      <c r="Q780" s="16"/>
      <c r="R780" s="16"/>
      <c r="S780" s="16"/>
    </row>
    <row r="781">
      <c r="B781" s="43"/>
      <c r="G781" s="15"/>
      <c r="O781" s="15"/>
      <c r="P781" s="16"/>
      <c r="Q781" s="16"/>
      <c r="R781" s="16"/>
      <c r="S781" s="16"/>
    </row>
    <row r="782">
      <c r="B782" s="43"/>
      <c r="G782" s="15"/>
      <c r="O782" s="15"/>
      <c r="P782" s="16"/>
      <c r="Q782" s="16"/>
      <c r="R782" s="16"/>
      <c r="S782" s="16"/>
    </row>
    <row r="783">
      <c r="B783" s="43"/>
      <c r="G783" s="15"/>
      <c r="O783" s="15"/>
      <c r="P783" s="16"/>
      <c r="Q783" s="16"/>
      <c r="R783" s="16"/>
      <c r="S783" s="16"/>
    </row>
    <row r="784">
      <c r="B784" s="43"/>
      <c r="G784" s="15"/>
      <c r="O784" s="15"/>
      <c r="P784" s="16"/>
      <c r="Q784" s="16"/>
      <c r="R784" s="16"/>
      <c r="S784" s="16"/>
    </row>
    <row r="785">
      <c r="B785" s="43"/>
      <c r="G785" s="15"/>
      <c r="O785" s="15"/>
      <c r="P785" s="16"/>
      <c r="Q785" s="16"/>
      <c r="R785" s="16"/>
      <c r="S785" s="16"/>
    </row>
    <row r="786">
      <c r="B786" s="43"/>
      <c r="G786" s="15"/>
      <c r="O786" s="15"/>
      <c r="P786" s="16"/>
      <c r="Q786" s="16"/>
      <c r="R786" s="16"/>
      <c r="S786" s="16"/>
    </row>
    <row r="787">
      <c r="B787" s="43"/>
      <c r="G787" s="15"/>
      <c r="O787" s="15"/>
      <c r="P787" s="16"/>
      <c r="Q787" s="16"/>
      <c r="R787" s="16"/>
      <c r="S787" s="16"/>
    </row>
    <row r="788">
      <c r="B788" s="43"/>
      <c r="G788" s="15"/>
      <c r="O788" s="15"/>
      <c r="P788" s="16"/>
      <c r="Q788" s="16"/>
      <c r="R788" s="16"/>
      <c r="S788" s="16"/>
    </row>
    <row r="789">
      <c r="B789" s="43"/>
      <c r="G789" s="15"/>
      <c r="O789" s="15"/>
      <c r="P789" s="16"/>
      <c r="Q789" s="16"/>
      <c r="R789" s="16"/>
      <c r="S789" s="16"/>
    </row>
    <row r="790">
      <c r="B790" s="43"/>
      <c r="G790" s="15"/>
      <c r="O790" s="15"/>
      <c r="P790" s="16"/>
      <c r="Q790" s="16"/>
      <c r="R790" s="16"/>
      <c r="S790" s="16"/>
    </row>
    <row r="791">
      <c r="B791" s="43"/>
      <c r="G791" s="15"/>
      <c r="O791" s="15"/>
      <c r="P791" s="16"/>
      <c r="Q791" s="16"/>
      <c r="R791" s="16"/>
      <c r="S791" s="16"/>
    </row>
    <row r="792">
      <c r="B792" s="43"/>
      <c r="G792" s="15"/>
      <c r="O792" s="15"/>
      <c r="P792" s="16"/>
      <c r="Q792" s="16"/>
      <c r="R792" s="16"/>
      <c r="S792" s="16"/>
    </row>
    <row r="793">
      <c r="B793" s="43"/>
      <c r="G793" s="15"/>
      <c r="O793" s="15"/>
      <c r="P793" s="16"/>
      <c r="Q793" s="16"/>
      <c r="R793" s="16"/>
      <c r="S793" s="16"/>
    </row>
    <row r="794">
      <c r="B794" s="43"/>
      <c r="G794" s="15"/>
      <c r="O794" s="15"/>
      <c r="P794" s="16"/>
      <c r="Q794" s="16"/>
      <c r="R794" s="16"/>
      <c r="S794" s="16"/>
    </row>
    <row r="795">
      <c r="B795" s="43"/>
      <c r="G795" s="15"/>
      <c r="O795" s="15"/>
      <c r="P795" s="16"/>
      <c r="Q795" s="16"/>
      <c r="R795" s="16"/>
      <c r="S795" s="16"/>
    </row>
    <row r="796">
      <c r="B796" s="43"/>
      <c r="G796" s="15"/>
      <c r="O796" s="15"/>
      <c r="P796" s="16"/>
      <c r="Q796" s="16"/>
      <c r="R796" s="16"/>
      <c r="S796" s="16"/>
    </row>
    <row r="797">
      <c r="B797" s="43"/>
      <c r="G797" s="15"/>
      <c r="O797" s="15"/>
      <c r="P797" s="16"/>
      <c r="Q797" s="16"/>
      <c r="R797" s="16"/>
      <c r="S797" s="16"/>
    </row>
    <row r="798">
      <c r="B798" s="43"/>
      <c r="G798" s="15"/>
      <c r="O798" s="15"/>
      <c r="P798" s="16"/>
      <c r="Q798" s="16"/>
      <c r="R798" s="16"/>
      <c r="S798" s="16"/>
    </row>
    <row r="799">
      <c r="B799" s="43"/>
      <c r="G799" s="15"/>
      <c r="O799" s="15"/>
      <c r="P799" s="16"/>
      <c r="Q799" s="16"/>
      <c r="R799" s="16"/>
      <c r="S799" s="16"/>
    </row>
    <row r="800">
      <c r="B800" s="43"/>
      <c r="G800" s="15"/>
      <c r="O800" s="15"/>
      <c r="P800" s="16"/>
      <c r="Q800" s="16"/>
      <c r="R800" s="16"/>
      <c r="S800" s="16"/>
    </row>
    <row r="801">
      <c r="B801" s="43"/>
      <c r="G801" s="15"/>
      <c r="O801" s="15"/>
      <c r="P801" s="16"/>
      <c r="Q801" s="16"/>
      <c r="R801" s="16"/>
      <c r="S801" s="16"/>
    </row>
    <row r="802">
      <c r="B802" s="43"/>
      <c r="G802" s="15"/>
      <c r="O802" s="15"/>
      <c r="P802" s="16"/>
      <c r="Q802" s="16"/>
      <c r="R802" s="16"/>
      <c r="S802" s="16"/>
    </row>
    <row r="803">
      <c r="B803" s="43"/>
      <c r="G803" s="15"/>
      <c r="O803" s="15"/>
      <c r="P803" s="16"/>
      <c r="Q803" s="16"/>
      <c r="R803" s="16"/>
      <c r="S803" s="16"/>
    </row>
    <row r="804">
      <c r="B804" s="43"/>
      <c r="G804" s="15"/>
      <c r="O804" s="15"/>
      <c r="P804" s="16"/>
      <c r="Q804" s="16"/>
      <c r="R804" s="16"/>
      <c r="S804" s="16"/>
    </row>
    <row r="805">
      <c r="B805" s="43"/>
      <c r="G805" s="15"/>
      <c r="O805" s="15"/>
      <c r="P805" s="16"/>
      <c r="Q805" s="16"/>
      <c r="R805" s="16"/>
      <c r="S805" s="16"/>
    </row>
    <row r="806">
      <c r="B806" s="43"/>
      <c r="G806" s="15"/>
      <c r="O806" s="15"/>
      <c r="P806" s="16"/>
      <c r="Q806" s="16"/>
      <c r="R806" s="16"/>
      <c r="S806" s="16"/>
    </row>
    <row r="807">
      <c r="B807" s="43"/>
      <c r="G807" s="15"/>
      <c r="O807" s="15"/>
      <c r="P807" s="16"/>
      <c r="Q807" s="16"/>
      <c r="R807" s="16"/>
      <c r="S807" s="16"/>
    </row>
    <row r="808">
      <c r="B808" s="43"/>
      <c r="G808" s="15"/>
      <c r="O808" s="15"/>
      <c r="P808" s="16"/>
      <c r="Q808" s="16"/>
      <c r="R808" s="16"/>
      <c r="S808" s="16"/>
    </row>
    <row r="809">
      <c r="B809" s="43"/>
      <c r="G809" s="15"/>
      <c r="O809" s="15"/>
      <c r="P809" s="16"/>
      <c r="Q809" s="16"/>
      <c r="R809" s="16"/>
      <c r="S809" s="16"/>
    </row>
    <row r="810">
      <c r="B810" s="43"/>
      <c r="G810" s="15"/>
      <c r="O810" s="15"/>
      <c r="P810" s="16"/>
      <c r="Q810" s="16"/>
      <c r="R810" s="16"/>
      <c r="S810" s="16"/>
    </row>
    <row r="811">
      <c r="B811" s="43"/>
      <c r="G811" s="15"/>
      <c r="O811" s="15"/>
      <c r="P811" s="16"/>
      <c r="Q811" s="16"/>
      <c r="R811" s="16"/>
      <c r="S811" s="16"/>
    </row>
    <row r="812">
      <c r="B812" s="43"/>
      <c r="G812" s="15"/>
      <c r="O812" s="15"/>
      <c r="P812" s="16"/>
      <c r="Q812" s="16"/>
      <c r="R812" s="16"/>
      <c r="S812" s="16"/>
    </row>
    <row r="813">
      <c r="B813" s="43"/>
      <c r="G813" s="15"/>
      <c r="O813" s="15"/>
      <c r="P813" s="16"/>
      <c r="Q813" s="16"/>
      <c r="R813" s="16"/>
      <c r="S813" s="16"/>
    </row>
    <row r="814">
      <c r="B814" s="43"/>
      <c r="G814" s="15"/>
      <c r="O814" s="15"/>
      <c r="P814" s="16"/>
      <c r="Q814" s="16"/>
      <c r="R814" s="16"/>
      <c r="S814" s="16"/>
    </row>
    <row r="815">
      <c r="B815" s="43"/>
      <c r="G815" s="15"/>
      <c r="O815" s="15"/>
      <c r="P815" s="16"/>
      <c r="Q815" s="16"/>
      <c r="R815" s="16"/>
      <c r="S815" s="16"/>
    </row>
    <row r="816">
      <c r="B816" s="43"/>
      <c r="G816" s="15"/>
      <c r="O816" s="15"/>
      <c r="P816" s="16"/>
      <c r="Q816" s="16"/>
      <c r="R816" s="16"/>
      <c r="S816" s="16"/>
    </row>
    <row r="817">
      <c r="B817" s="43"/>
      <c r="G817" s="15"/>
      <c r="O817" s="15"/>
      <c r="P817" s="16"/>
      <c r="Q817" s="16"/>
      <c r="R817" s="16"/>
      <c r="S817" s="16"/>
    </row>
    <row r="818">
      <c r="B818" s="43"/>
      <c r="G818" s="15"/>
      <c r="O818" s="15"/>
      <c r="P818" s="16"/>
      <c r="Q818" s="16"/>
      <c r="R818" s="16"/>
      <c r="S818" s="16"/>
    </row>
    <row r="819">
      <c r="B819" s="43"/>
      <c r="G819" s="15"/>
      <c r="O819" s="15"/>
      <c r="P819" s="16"/>
      <c r="Q819" s="16"/>
      <c r="R819" s="16"/>
      <c r="S819" s="16"/>
    </row>
    <row r="820">
      <c r="B820" s="43"/>
      <c r="G820" s="15"/>
      <c r="O820" s="15"/>
      <c r="P820" s="16"/>
      <c r="Q820" s="16"/>
      <c r="R820" s="16"/>
      <c r="S820" s="16"/>
    </row>
    <row r="821">
      <c r="B821" s="43"/>
      <c r="G821" s="15"/>
      <c r="O821" s="15"/>
      <c r="P821" s="16"/>
      <c r="Q821" s="16"/>
      <c r="R821" s="16"/>
      <c r="S821" s="16"/>
    </row>
    <row r="822">
      <c r="B822" s="43"/>
      <c r="G822" s="15"/>
      <c r="O822" s="15"/>
      <c r="P822" s="16"/>
      <c r="Q822" s="16"/>
      <c r="R822" s="16"/>
      <c r="S822" s="16"/>
    </row>
    <row r="823">
      <c r="B823" s="43"/>
      <c r="G823" s="15"/>
      <c r="O823" s="15"/>
      <c r="P823" s="16"/>
      <c r="Q823" s="16"/>
      <c r="R823" s="16"/>
      <c r="S823" s="16"/>
    </row>
    <row r="824">
      <c r="B824" s="43"/>
      <c r="G824" s="15"/>
      <c r="O824" s="15"/>
      <c r="P824" s="16"/>
      <c r="Q824" s="16"/>
      <c r="R824" s="16"/>
      <c r="S824" s="16"/>
    </row>
    <row r="825">
      <c r="B825" s="43"/>
      <c r="G825" s="15"/>
      <c r="O825" s="15"/>
      <c r="P825" s="16"/>
      <c r="Q825" s="16"/>
      <c r="R825" s="16"/>
      <c r="S825" s="16"/>
    </row>
    <row r="826">
      <c r="B826" s="43"/>
      <c r="G826" s="15"/>
      <c r="O826" s="15"/>
      <c r="P826" s="16"/>
      <c r="Q826" s="16"/>
      <c r="R826" s="16"/>
      <c r="S826" s="16"/>
    </row>
    <row r="827">
      <c r="B827" s="43"/>
      <c r="G827" s="15"/>
      <c r="O827" s="15"/>
      <c r="P827" s="16"/>
      <c r="Q827" s="16"/>
      <c r="R827" s="16"/>
      <c r="S827" s="16"/>
    </row>
    <row r="828">
      <c r="B828" s="43"/>
      <c r="G828" s="15"/>
      <c r="O828" s="15"/>
      <c r="P828" s="16"/>
      <c r="Q828" s="16"/>
      <c r="R828" s="16"/>
      <c r="S828" s="16"/>
    </row>
    <row r="829">
      <c r="B829" s="43"/>
      <c r="G829" s="15"/>
      <c r="O829" s="15"/>
      <c r="P829" s="16"/>
      <c r="Q829" s="16"/>
      <c r="R829" s="16"/>
      <c r="S829" s="16"/>
    </row>
    <row r="830">
      <c r="B830" s="43"/>
      <c r="G830" s="15"/>
      <c r="O830" s="15"/>
      <c r="P830" s="16"/>
      <c r="Q830" s="16"/>
      <c r="R830" s="16"/>
      <c r="S830" s="16"/>
    </row>
    <row r="831">
      <c r="B831" s="43"/>
      <c r="G831" s="15"/>
      <c r="O831" s="15"/>
      <c r="P831" s="16"/>
      <c r="Q831" s="16"/>
      <c r="R831" s="16"/>
      <c r="S831" s="16"/>
    </row>
    <row r="832">
      <c r="B832" s="43"/>
      <c r="G832" s="15"/>
      <c r="O832" s="15"/>
      <c r="P832" s="16"/>
      <c r="Q832" s="16"/>
      <c r="R832" s="16"/>
      <c r="S832" s="16"/>
    </row>
    <row r="833">
      <c r="B833" s="43"/>
      <c r="G833" s="15"/>
      <c r="O833" s="15"/>
      <c r="P833" s="16"/>
      <c r="Q833" s="16"/>
      <c r="R833" s="16"/>
      <c r="S833" s="16"/>
    </row>
    <row r="834">
      <c r="B834" s="43"/>
      <c r="G834" s="15"/>
      <c r="O834" s="15"/>
      <c r="P834" s="16"/>
      <c r="Q834" s="16"/>
      <c r="R834" s="16"/>
      <c r="S834" s="16"/>
    </row>
    <row r="835">
      <c r="B835" s="43"/>
      <c r="G835" s="15"/>
      <c r="O835" s="15"/>
      <c r="P835" s="16"/>
      <c r="Q835" s="16"/>
      <c r="R835" s="16"/>
      <c r="S835" s="16"/>
    </row>
    <row r="836">
      <c r="B836" s="43"/>
      <c r="G836" s="15"/>
      <c r="O836" s="15"/>
      <c r="P836" s="16"/>
      <c r="Q836" s="16"/>
      <c r="R836" s="16"/>
      <c r="S836" s="16"/>
    </row>
    <row r="837">
      <c r="B837" s="43"/>
      <c r="G837" s="15"/>
      <c r="O837" s="15"/>
      <c r="P837" s="16"/>
      <c r="Q837" s="16"/>
      <c r="R837" s="16"/>
      <c r="S837" s="16"/>
    </row>
    <row r="838">
      <c r="B838" s="43"/>
      <c r="G838" s="15"/>
      <c r="O838" s="15"/>
      <c r="P838" s="16"/>
      <c r="Q838" s="16"/>
      <c r="R838" s="16"/>
      <c r="S838" s="16"/>
    </row>
    <row r="839">
      <c r="B839" s="43"/>
      <c r="G839" s="15"/>
      <c r="O839" s="15"/>
      <c r="P839" s="16"/>
      <c r="Q839" s="16"/>
      <c r="R839" s="16"/>
      <c r="S839" s="16"/>
    </row>
    <row r="840">
      <c r="B840" s="43"/>
      <c r="G840" s="15"/>
      <c r="O840" s="15"/>
      <c r="P840" s="16"/>
      <c r="Q840" s="16"/>
      <c r="R840" s="16"/>
      <c r="S840" s="16"/>
    </row>
    <row r="841">
      <c r="B841" s="43"/>
      <c r="G841" s="15"/>
      <c r="O841" s="15"/>
      <c r="P841" s="16"/>
      <c r="Q841" s="16"/>
      <c r="R841" s="16"/>
      <c r="S841" s="16"/>
    </row>
    <row r="842">
      <c r="B842" s="43"/>
      <c r="G842" s="15"/>
      <c r="O842" s="15"/>
      <c r="P842" s="16"/>
      <c r="Q842" s="16"/>
      <c r="R842" s="16"/>
      <c r="S842" s="16"/>
    </row>
    <row r="843">
      <c r="B843" s="43"/>
      <c r="G843" s="15"/>
      <c r="O843" s="15"/>
      <c r="P843" s="16"/>
      <c r="Q843" s="16"/>
      <c r="R843" s="16"/>
      <c r="S843" s="16"/>
    </row>
    <row r="844">
      <c r="B844" s="43"/>
      <c r="G844" s="15"/>
      <c r="O844" s="15"/>
      <c r="P844" s="16"/>
      <c r="Q844" s="16"/>
      <c r="R844" s="16"/>
      <c r="S844" s="16"/>
    </row>
    <row r="845">
      <c r="B845" s="43"/>
      <c r="G845" s="15"/>
      <c r="O845" s="15"/>
      <c r="P845" s="16"/>
      <c r="Q845" s="16"/>
      <c r="R845" s="16"/>
      <c r="S845" s="16"/>
    </row>
    <row r="846">
      <c r="B846" s="43"/>
      <c r="G846" s="15"/>
      <c r="O846" s="15"/>
      <c r="P846" s="16"/>
      <c r="Q846" s="16"/>
      <c r="R846" s="16"/>
      <c r="S846" s="16"/>
    </row>
    <row r="847">
      <c r="B847" s="43"/>
      <c r="G847" s="15"/>
      <c r="O847" s="15"/>
      <c r="P847" s="16"/>
      <c r="Q847" s="16"/>
      <c r="R847" s="16"/>
      <c r="S847" s="16"/>
    </row>
    <row r="848">
      <c r="B848" s="43"/>
      <c r="G848" s="15"/>
      <c r="O848" s="15"/>
      <c r="P848" s="16"/>
      <c r="Q848" s="16"/>
      <c r="R848" s="16"/>
      <c r="S848" s="16"/>
    </row>
    <row r="849">
      <c r="B849" s="43"/>
      <c r="G849" s="15"/>
      <c r="O849" s="15"/>
      <c r="P849" s="16"/>
      <c r="Q849" s="16"/>
      <c r="R849" s="16"/>
      <c r="S849" s="16"/>
    </row>
    <row r="850">
      <c r="B850" s="43"/>
      <c r="G850" s="15"/>
      <c r="O850" s="15"/>
      <c r="P850" s="16"/>
      <c r="Q850" s="16"/>
      <c r="R850" s="16"/>
      <c r="S850" s="16"/>
    </row>
    <row r="851">
      <c r="B851" s="43"/>
      <c r="G851" s="15"/>
      <c r="O851" s="15"/>
      <c r="P851" s="16"/>
      <c r="Q851" s="16"/>
      <c r="R851" s="16"/>
      <c r="S851" s="16"/>
    </row>
    <row r="852">
      <c r="B852" s="43"/>
      <c r="G852" s="15"/>
      <c r="O852" s="15"/>
      <c r="P852" s="16"/>
      <c r="Q852" s="16"/>
      <c r="R852" s="16"/>
      <c r="S852" s="16"/>
    </row>
    <row r="853">
      <c r="B853" s="43"/>
      <c r="G853" s="15"/>
      <c r="O853" s="15"/>
      <c r="P853" s="16"/>
      <c r="Q853" s="16"/>
      <c r="R853" s="16"/>
      <c r="S853" s="16"/>
    </row>
    <row r="854">
      <c r="B854" s="43"/>
      <c r="G854" s="15"/>
      <c r="O854" s="15"/>
      <c r="P854" s="16"/>
      <c r="Q854" s="16"/>
      <c r="R854" s="16"/>
      <c r="S854" s="16"/>
    </row>
    <row r="855">
      <c r="B855" s="43"/>
      <c r="G855" s="15"/>
      <c r="O855" s="15"/>
      <c r="P855" s="16"/>
      <c r="Q855" s="16"/>
      <c r="R855" s="16"/>
      <c r="S855" s="16"/>
    </row>
    <row r="856">
      <c r="B856" s="43"/>
      <c r="G856" s="15"/>
      <c r="O856" s="15"/>
      <c r="P856" s="16"/>
      <c r="Q856" s="16"/>
      <c r="R856" s="16"/>
      <c r="S856" s="16"/>
    </row>
    <row r="857">
      <c r="B857" s="43"/>
      <c r="G857" s="15"/>
      <c r="O857" s="15"/>
      <c r="P857" s="16"/>
      <c r="Q857" s="16"/>
      <c r="R857" s="16"/>
      <c r="S857" s="16"/>
    </row>
    <row r="858">
      <c r="B858" s="43"/>
      <c r="G858" s="15"/>
      <c r="O858" s="15"/>
      <c r="P858" s="16"/>
      <c r="Q858" s="16"/>
      <c r="R858" s="16"/>
      <c r="S858" s="16"/>
    </row>
    <row r="859">
      <c r="B859" s="43"/>
      <c r="G859" s="15"/>
      <c r="O859" s="15"/>
      <c r="P859" s="16"/>
      <c r="Q859" s="16"/>
      <c r="R859" s="16"/>
      <c r="S859" s="16"/>
    </row>
    <row r="860">
      <c r="B860" s="43"/>
      <c r="G860" s="15"/>
      <c r="O860" s="15"/>
      <c r="P860" s="16"/>
      <c r="Q860" s="16"/>
      <c r="R860" s="16"/>
      <c r="S860" s="16"/>
    </row>
    <row r="861">
      <c r="B861" s="43"/>
      <c r="G861" s="15"/>
      <c r="O861" s="15"/>
      <c r="P861" s="16"/>
      <c r="Q861" s="16"/>
      <c r="R861" s="16"/>
      <c r="S861" s="16"/>
    </row>
    <row r="862">
      <c r="B862" s="43"/>
      <c r="G862" s="15"/>
      <c r="O862" s="15"/>
      <c r="P862" s="16"/>
      <c r="Q862" s="16"/>
      <c r="R862" s="16"/>
      <c r="S862" s="16"/>
    </row>
    <row r="863">
      <c r="B863" s="43"/>
      <c r="G863" s="15"/>
      <c r="O863" s="15"/>
      <c r="P863" s="16"/>
      <c r="Q863" s="16"/>
      <c r="R863" s="16"/>
      <c r="S863" s="16"/>
    </row>
    <row r="864">
      <c r="B864" s="43"/>
      <c r="G864" s="15"/>
      <c r="O864" s="15"/>
      <c r="P864" s="16"/>
      <c r="Q864" s="16"/>
      <c r="R864" s="16"/>
      <c r="S864" s="16"/>
    </row>
    <row r="865">
      <c r="B865" s="43"/>
      <c r="G865" s="15"/>
      <c r="O865" s="15"/>
      <c r="P865" s="16"/>
      <c r="Q865" s="16"/>
      <c r="R865" s="16"/>
      <c r="S865" s="16"/>
    </row>
    <row r="866">
      <c r="B866" s="43"/>
      <c r="G866" s="15"/>
      <c r="O866" s="15"/>
      <c r="P866" s="16"/>
      <c r="Q866" s="16"/>
      <c r="R866" s="16"/>
      <c r="S866" s="16"/>
    </row>
    <row r="867">
      <c r="B867" s="43"/>
      <c r="G867" s="15"/>
      <c r="O867" s="15"/>
      <c r="P867" s="16"/>
      <c r="Q867" s="16"/>
      <c r="R867" s="16"/>
      <c r="S867" s="16"/>
    </row>
    <row r="868">
      <c r="B868" s="43"/>
      <c r="G868" s="15"/>
      <c r="O868" s="15"/>
      <c r="P868" s="16"/>
      <c r="Q868" s="16"/>
      <c r="R868" s="16"/>
      <c r="S868" s="16"/>
    </row>
    <row r="869">
      <c r="B869" s="43"/>
      <c r="G869" s="15"/>
      <c r="O869" s="15"/>
      <c r="P869" s="16"/>
      <c r="Q869" s="16"/>
      <c r="R869" s="16"/>
      <c r="S869" s="16"/>
    </row>
    <row r="870">
      <c r="B870" s="43"/>
      <c r="G870" s="15"/>
      <c r="O870" s="15"/>
      <c r="P870" s="16"/>
      <c r="Q870" s="16"/>
      <c r="R870" s="16"/>
      <c r="S870" s="16"/>
    </row>
    <row r="871">
      <c r="B871" s="43"/>
      <c r="G871" s="15"/>
      <c r="O871" s="15"/>
      <c r="P871" s="16"/>
      <c r="Q871" s="16"/>
      <c r="R871" s="16"/>
      <c r="S871" s="16"/>
    </row>
    <row r="872">
      <c r="B872" s="43"/>
      <c r="G872" s="15"/>
      <c r="O872" s="15"/>
      <c r="P872" s="16"/>
      <c r="Q872" s="16"/>
      <c r="R872" s="16"/>
      <c r="S872" s="16"/>
    </row>
    <row r="873">
      <c r="B873" s="43"/>
      <c r="G873" s="15"/>
      <c r="O873" s="15"/>
      <c r="P873" s="16"/>
      <c r="Q873" s="16"/>
      <c r="R873" s="16"/>
      <c r="S873" s="16"/>
    </row>
    <row r="874">
      <c r="B874" s="43"/>
      <c r="G874" s="15"/>
      <c r="O874" s="15"/>
      <c r="P874" s="16"/>
      <c r="Q874" s="16"/>
      <c r="R874" s="16"/>
      <c r="S874" s="16"/>
    </row>
    <row r="875">
      <c r="B875" s="43"/>
      <c r="G875" s="15"/>
      <c r="O875" s="15"/>
      <c r="P875" s="16"/>
      <c r="Q875" s="16"/>
      <c r="R875" s="16"/>
      <c r="S875" s="16"/>
    </row>
    <row r="876">
      <c r="B876" s="43"/>
      <c r="G876" s="15"/>
      <c r="O876" s="15"/>
      <c r="P876" s="16"/>
      <c r="Q876" s="16"/>
      <c r="R876" s="16"/>
      <c r="S876" s="16"/>
    </row>
    <row r="877">
      <c r="B877" s="43"/>
      <c r="G877" s="15"/>
      <c r="O877" s="15"/>
      <c r="P877" s="16"/>
      <c r="Q877" s="16"/>
      <c r="R877" s="16"/>
      <c r="S877" s="16"/>
    </row>
    <row r="878">
      <c r="B878" s="43"/>
      <c r="G878" s="15"/>
      <c r="O878" s="15"/>
      <c r="P878" s="16"/>
      <c r="Q878" s="16"/>
      <c r="R878" s="16"/>
      <c r="S878" s="16"/>
    </row>
    <row r="879">
      <c r="B879" s="43"/>
      <c r="G879" s="15"/>
      <c r="O879" s="15"/>
      <c r="P879" s="16"/>
      <c r="Q879" s="16"/>
      <c r="R879" s="16"/>
      <c r="S879" s="16"/>
    </row>
    <row r="880">
      <c r="B880" s="43"/>
      <c r="G880" s="15"/>
      <c r="O880" s="15"/>
      <c r="P880" s="16"/>
      <c r="Q880" s="16"/>
      <c r="R880" s="16"/>
      <c r="S880" s="16"/>
    </row>
    <row r="881">
      <c r="B881" s="43"/>
      <c r="G881" s="15"/>
      <c r="O881" s="15"/>
      <c r="P881" s="16"/>
      <c r="Q881" s="16"/>
      <c r="R881" s="16"/>
      <c r="S881" s="16"/>
    </row>
    <row r="882">
      <c r="B882" s="43"/>
      <c r="G882" s="15"/>
      <c r="O882" s="15"/>
      <c r="P882" s="16"/>
      <c r="Q882" s="16"/>
      <c r="R882" s="16"/>
      <c r="S882" s="16"/>
    </row>
    <row r="883">
      <c r="B883" s="43"/>
      <c r="G883" s="15"/>
      <c r="O883" s="15"/>
      <c r="P883" s="16"/>
      <c r="Q883" s="16"/>
      <c r="R883" s="16"/>
      <c r="S883" s="16"/>
    </row>
    <row r="884">
      <c r="B884" s="43"/>
      <c r="G884" s="15"/>
      <c r="O884" s="15"/>
      <c r="P884" s="16"/>
      <c r="Q884" s="16"/>
      <c r="R884" s="16"/>
      <c r="S884" s="16"/>
    </row>
    <row r="885">
      <c r="B885" s="43"/>
      <c r="G885" s="15"/>
      <c r="O885" s="15"/>
      <c r="P885" s="16"/>
      <c r="Q885" s="16"/>
      <c r="R885" s="16"/>
      <c r="S885" s="16"/>
    </row>
    <row r="886">
      <c r="B886" s="43"/>
      <c r="G886" s="15"/>
      <c r="O886" s="15"/>
      <c r="P886" s="16"/>
      <c r="Q886" s="16"/>
      <c r="R886" s="16"/>
      <c r="S886" s="16"/>
    </row>
    <row r="887">
      <c r="B887" s="43"/>
      <c r="G887" s="15"/>
      <c r="O887" s="15"/>
      <c r="P887" s="16"/>
      <c r="Q887" s="16"/>
      <c r="R887" s="16"/>
      <c r="S887" s="16"/>
    </row>
    <row r="888">
      <c r="B888" s="43"/>
      <c r="G888" s="15"/>
      <c r="O888" s="15"/>
      <c r="P888" s="16"/>
      <c r="Q888" s="16"/>
      <c r="R888" s="16"/>
      <c r="S888" s="16"/>
    </row>
    <row r="889">
      <c r="B889" s="43"/>
      <c r="G889" s="15"/>
      <c r="O889" s="15"/>
      <c r="P889" s="16"/>
      <c r="Q889" s="16"/>
      <c r="R889" s="16"/>
      <c r="S889" s="16"/>
    </row>
    <row r="890">
      <c r="B890" s="43"/>
      <c r="G890" s="15"/>
      <c r="O890" s="15"/>
      <c r="P890" s="16"/>
      <c r="Q890" s="16"/>
      <c r="R890" s="16"/>
      <c r="S890" s="16"/>
    </row>
    <row r="891">
      <c r="B891" s="43"/>
      <c r="G891" s="15"/>
      <c r="O891" s="15"/>
      <c r="P891" s="16"/>
      <c r="Q891" s="16"/>
      <c r="R891" s="16"/>
      <c r="S891" s="16"/>
    </row>
    <row r="892">
      <c r="B892" s="43"/>
      <c r="G892" s="15"/>
      <c r="O892" s="15"/>
      <c r="P892" s="16"/>
      <c r="Q892" s="16"/>
      <c r="R892" s="16"/>
      <c r="S892" s="16"/>
    </row>
    <row r="893">
      <c r="B893" s="43"/>
      <c r="G893" s="15"/>
      <c r="O893" s="15"/>
      <c r="P893" s="16"/>
      <c r="Q893" s="16"/>
      <c r="R893" s="16"/>
      <c r="S893" s="16"/>
    </row>
    <row r="894">
      <c r="B894" s="43"/>
      <c r="G894" s="15"/>
      <c r="O894" s="15"/>
      <c r="P894" s="16"/>
      <c r="Q894" s="16"/>
      <c r="R894" s="16"/>
      <c r="S894" s="16"/>
    </row>
    <row r="895">
      <c r="B895" s="43"/>
      <c r="G895" s="15"/>
      <c r="O895" s="15"/>
      <c r="P895" s="16"/>
      <c r="Q895" s="16"/>
      <c r="R895" s="16"/>
      <c r="S895" s="16"/>
    </row>
    <row r="896">
      <c r="B896" s="43"/>
      <c r="G896" s="15"/>
      <c r="O896" s="15"/>
      <c r="P896" s="16"/>
      <c r="Q896" s="16"/>
      <c r="R896" s="16"/>
      <c r="S896" s="16"/>
    </row>
    <row r="897">
      <c r="B897" s="43"/>
      <c r="G897" s="15"/>
      <c r="O897" s="15"/>
      <c r="P897" s="16"/>
      <c r="Q897" s="16"/>
      <c r="R897" s="16"/>
      <c r="S897" s="16"/>
    </row>
    <row r="898">
      <c r="B898" s="43"/>
      <c r="G898" s="15"/>
      <c r="O898" s="15"/>
      <c r="P898" s="16"/>
      <c r="Q898" s="16"/>
      <c r="R898" s="16"/>
      <c r="S898" s="16"/>
    </row>
    <row r="899">
      <c r="B899" s="43"/>
      <c r="G899" s="15"/>
      <c r="O899" s="15"/>
      <c r="P899" s="16"/>
      <c r="Q899" s="16"/>
      <c r="R899" s="16"/>
      <c r="S899" s="16"/>
    </row>
    <row r="900">
      <c r="B900" s="43"/>
      <c r="G900" s="15"/>
      <c r="O900" s="15"/>
      <c r="P900" s="16"/>
      <c r="Q900" s="16"/>
      <c r="R900" s="16"/>
      <c r="S900" s="16"/>
    </row>
    <row r="901">
      <c r="B901" s="43"/>
      <c r="G901" s="15"/>
      <c r="O901" s="15"/>
      <c r="P901" s="16"/>
      <c r="Q901" s="16"/>
      <c r="R901" s="16"/>
      <c r="S901" s="16"/>
    </row>
    <row r="902">
      <c r="B902" s="43"/>
      <c r="G902" s="15"/>
      <c r="O902" s="15"/>
      <c r="P902" s="16"/>
      <c r="Q902" s="16"/>
      <c r="R902" s="16"/>
      <c r="S902" s="16"/>
    </row>
    <row r="903">
      <c r="B903" s="43"/>
      <c r="G903" s="15"/>
      <c r="O903" s="15"/>
      <c r="P903" s="16"/>
      <c r="Q903" s="16"/>
      <c r="R903" s="16"/>
      <c r="S903" s="16"/>
    </row>
    <row r="904">
      <c r="B904" s="43"/>
      <c r="G904" s="15"/>
      <c r="O904" s="15"/>
      <c r="P904" s="16"/>
      <c r="Q904" s="16"/>
      <c r="R904" s="16"/>
      <c r="S904" s="16"/>
    </row>
    <row r="905">
      <c r="B905" s="43"/>
      <c r="G905" s="15"/>
      <c r="O905" s="15"/>
      <c r="P905" s="16"/>
      <c r="Q905" s="16"/>
      <c r="R905" s="16"/>
      <c r="S905" s="16"/>
    </row>
    <row r="906">
      <c r="B906" s="43"/>
      <c r="G906" s="15"/>
      <c r="O906" s="15"/>
      <c r="P906" s="16"/>
      <c r="Q906" s="16"/>
      <c r="R906" s="16"/>
      <c r="S906" s="16"/>
    </row>
    <row r="907">
      <c r="B907" s="43"/>
      <c r="G907" s="15"/>
      <c r="O907" s="15"/>
      <c r="P907" s="16"/>
      <c r="Q907" s="16"/>
      <c r="R907" s="16"/>
      <c r="S907" s="16"/>
    </row>
    <row r="908">
      <c r="B908" s="43"/>
      <c r="G908" s="15"/>
      <c r="O908" s="15"/>
      <c r="P908" s="16"/>
      <c r="Q908" s="16"/>
      <c r="R908" s="16"/>
      <c r="S908" s="16"/>
    </row>
    <row r="909">
      <c r="B909" s="43"/>
      <c r="G909" s="15"/>
      <c r="O909" s="15"/>
      <c r="P909" s="16"/>
      <c r="Q909" s="16"/>
      <c r="R909" s="16"/>
      <c r="S909" s="16"/>
    </row>
    <row r="910">
      <c r="B910" s="43"/>
      <c r="G910" s="15"/>
      <c r="O910" s="15"/>
      <c r="P910" s="16"/>
      <c r="Q910" s="16"/>
      <c r="R910" s="16"/>
      <c r="S910" s="16"/>
    </row>
    <row r="911">
      <c r="B911" s="43"/>
      <c r="G911" s="15"/>
      <c r="O911" s="15"/>
      <c r="P911" s="16"/>
      <c r="Q911" s="16"/>
      <c r="R911" s="16"/>
      <c r="S911" s="16"/>
    </row>
    <row r="912">
      <c r="B912" s="43"/>
      <c r="G912" s="15"/>
      <c r="O912" s="15"/>
      <c r="P912" s="16"/>
      <c r="Q912" s="16"/>
      <c r="R912" s="16"/>
      <c r="S912" s="16"/>
    </row>
    <row r="913">
      <c r="B913" s="43"/>
      <c r="G913" s="15"/>
      <c r="O913" s="15"/>
      <c r="P913" s="16"/>
      <c r="Q913" s="16"/>
      <c r="R913" s="16"/>
      <c r="S913" s="16"/>
    </row>
    <row r="914">
      <c r="B914" s="43"/>
      <c r="G914" s="15"/>
      <c r="O914" s="15"/>
      <c r="P914" s="16"/>
      <c r="Q914" s="16"/>
      <c r="R914" s="16"/>
      <c r="S914" s="16"/>
    </row>
    <row r="915">
      <c r="B915" s="43"/>
      <c r="G915" s="15"/>
      <c r="O915" s="15"/>
      <c r="P915" s="16"/>
      <c r="Q915" s="16"/>
      <c r="R915" s="16"/>
      <c r="S915" s="16"/>
    </row>
    <row r="916">
      <c r="B916" s="43"/>
      <c r="G916" s="15"/>
      <c r="O916" s="15"/>
      <c r="P916" s="16"/>
      <c r="Q916" s="16"/>
      <c r="R916" s="16"/>
      <c r="S916" s="16"/>
    </row>
    <row r="917">
      <c r="B917" s="43"/>
      <c r="G917" s="15"/>
      <c r="O917" s="15"/>
      <c r="P917" s="16"/>
      <c r="Q917" s="16"/>
      <c r="R917" s="16"/>
      <c r="S917" s="16"/>
    </row>
    <row r="918">
      <c r="B918" s="43"/>
      <c r="G918" s="15"/>
      <c r="O918" s="15"/>
      <c r="P918" s="16"/>
      <c r="Q918" s="16"/>
      <c r="R918" s="16"/>
      <c r="S918" s="16"/>
    </row>
    <row r="919">
      <c r="B919" s="43"/>
      <c r="G919" s="15"/>
      <c r="O919" s="15"/>
      <c r="P919" s="16"/>
      <c r="Q919" s="16"/>
      <c r="R919" s="16"/>
      <c r="S919" s="16"/>
    </row>
    <row r="920">
      <c r="B920" s="43"/>
      <c r="G920" s="15"/>
      <c r="O920" s="15"/>
      <c r="P920" s="16"/>
      <c r="Q920" s="16"/>
      <c r="R920" s="16"/>
      <c r="S920" s="16"/>
    </row>
    <row r="921">
      <c r="B921" s="43"/>
      <c r="G921" s="15"/>
      <c r="O921" s="15"/>
      <c r="P921" s="16"/>
      <c r="Q921" s="16"/>
      <c r="R921" s="16"/>
      <c r="S921" s="16"/>
    </row>
    <row r="922">
      <c r="B922" s="43"/>
      <c r="G922" s="15"/>
      <c r="O922" s="15"/>
      <c r="P922" s="16"/>
      <c r="Q922" s="16"/>
      <c r="R922" s="16"/>
      <c r="S922" s="16"/>
    </row>
    <row r="923">
      <c r="B923" s="43"/>
      <c r="G923" s="15"/>
      <c r="O923" s="15"/>
      <c r="P923" s="16"/>
      <c r="Q923" s="16"/>
      <c r="R923" s="16"/>
      <c r="S923" s="16"/>
    </row>
    <row r="924">
      <c r="B924" s="43"/>
      <c r="G924" s="15"/>
      <c r="O924" s="15"/>
      <c r="P924" s="16"/>
      <c r="Q924" s="16"/>
      <c r="R924" s="16"/>
      <c r="S924" s="16"/>
    </row>
    <row r="925">
      <c r="B925" s="43"/>
      <c r="G925" s="15"/>
      <c r="O925" s="15"/>
      <c r="P925" s="16"/>
      <c r="Q925" s="16"/>
      <c r="R925" s="16"/>
      <c r="S925" s="16"/>
    </row>
    <row r="926">
      <c r="B926" s="43"/>
      <c r="G926" s="15"/>
      <c r="O926" s="15"/>
      <c r="P926" s="16"/>
      <c r="Q926" s="16"/>
      <c r="R926" s="16"/>
      <c r="S926" s="16"/>
    </row>
    <row r="927">
      <c r="B927" s="43"/>
      <c r="G927" s="15"/>
      <c r="O927" s="15"/>
      <c r="P927" s="16"/>
      <c r="Q927" s="16"/>
      <c r="R927" s="16"/>
      <c r="S927" s="16"/>
    </row>
    <row r="928">
      <c r="B928" s="43"/>
      <c r="G928" s="15"/>
      <c r="O928" s="15"/>
      <c r="P928" s="16"/>
      <c r="Q928" s="16"/>
      <c r="R928" s="16"/>
      <c r="S928" s="16"/>
    </row>
    <row r="929">
      <c r="B929" s="43"/>
      <c r="G929" s="15"/>
      <c r="O929" s="15"/>
      <c r="P929" s="16"/>
      <c r="Q929" s="16"/>
      <c r="R929" s="16"/>
      <c r="S929" s="16"/>
    </row>
    <row r="930">
      <c r="B930" s="43"/>
      <c r="G930" s="15"/>
      <c r="O930" s="15"/>
      <c r="P930" s="16"/>
      <c r="Q930" s="16"/>
      <c r="R930" s="16"/>
      <c r="S930" s="16"/>
    </row>
    <row r="931">
      <c r="B931" s="43"/>
      <c r="G931" s="15"/>
      <c r="O931" s="15"/>
      <c r="P931" s="16"/>
      <c r="Q931" s="16"/>
      <c r="R931" s="16"/>
      <c r="S931" s="16"/>
    </row>
    <row r="932">
      <c r="B932" s="43"/>
      <c r="G932" s="15"/>
      <c r="O932" s="15"/>
      <c r="P932" s="16"/>
      <c r="Q932" s="16"/>
      <c r="R932" s="16"/>
      <c r="S932" s="16"/>
    </row>
    <row r="933">
      <c r="B933" s="43"/>
      <c r="G933" s="15"/>
      <c r="O933" s="15"/>
      <c r="P933" s="16"/>
      <c r="Q933" s="16"/>
      <c r="R933" s="16"/>
      <c r="S933" s="16"/>
    </row>
    <row r="934">
      <c r="B934" s="43"/>
      <c r="G934" s="15"/>
      <c r="O934" s="15"/>
      <c r="P934" s="16"/>
      <c r="Q934" s="16"/>
      <c r="R934" s="16"/>
      <c r="S934" s="16"/>
    </row>
    <row r="935">
      <c r="B935" s="43"/>
      <c r="G935" s="15"/>
      <c r="O935" s="15"/>
      <c r="P935" s="16"/>
      <c r="Q935" s="16"/>
      <c r="R935" s="16"/>
      <c r="S935" s="16"/>
    </row>
    <row r="936">
      <c r="B936" s="43"/>
      <c r="G936" s="15"/>
      <c r="O936" s="15"/>
      <c r="P936" s="16"/>
      <c r="Q936" s="16"/>
      <c r="R936" s="16"/>
      <c r="S936" s="16"/>
    </row>
    <row r="937">
      <c r="B937" s="43"/>
      <c r="G937" s="15"/>
      <c r="O937" s="15"/>
      <c r="P937" s="16"/>
      <c r="Q937" s="16"/>
      <c r="R937" s="16"/>
      <c r="S937" s="16"/>
    </row>
    <row r="938">
      <c r="B938" s="43"/>
      <c r="G938" s="15"/>
      <c r="O938" s="15"/>
      <c r="P938" s="16"/>
      <c r="Q938" s="16"/>
      <c r="R938" s="16"/>
      <c r="S938" s="16"/>
    </row>
    <row r="939">
      <c r="B939" s="43"/>
      <c r="G939" s="15"/>
      <c r="O939" s="15"/>
      <c r="P939" s="16"/>
      <c r="Q939" s="16"/>
      <c r="R939" s="16"/>
      <c r="S939" s="16"/>
    </row>
    <row r="940">
      <c r="B940" s="43"/>
      <c r="G940" s="15"/>
      <c r="O940" s="15"/>
      <c r="P940" s="16"/>
      <c r="Q940" s="16"/>
      <c r="R940" s="16"/>
      <c r="S940" s="16"/>
    </row>
    <row r="941">
      <c r="B941" s="43"/>
      <c r="G941" s="15"/>
      <c r="O941" s="15"/>
      <c r="P941" s="16"/>
      <c r="Q941" s="16"/>
      <c r="R941" s="16"/>
      <c r="S941" s="16"/>
    </row>
    <row r="942">
      <c r="B942" s="43"/>
      <c r="G942" s="15"/>
      <c r="O942" s="15"/>
      <c r="P942" s="16"/>
      <c r="Q942" s="16"/>
      <c r="R942" s="16"/>
      <c r="S942" s="16"/>
    </row>
    <row r="943">
      <c r="B943" s="43"/>
      <c r="G943" s="15"/>
      <c r="O943" s="15"/>
      <c r="P943" s="16"/>
      <c r="Q943" s="16"/>
      <c r="R943" s="16"/>
      <c r="S943" s="16"/>
    </row>
    <row r="944">
      <c r="B944" s="43"/>
      <c r="G944" s="15"/>
      <c r="O944" s="15"/>
      <c r="P944" s="16"/>
      <c r="Q944" s="16"/>
      <c r="R944" s="16"/>
      <c r="S944" s="16"/>
    </row>
    <row r="945">
      <c r="B945" s="43"/>
      <c r="G945" s="15"/>
      <c r="O945" s="15"/>
      <c r="P945" s="16"/>
      <c r="Q945" s="16"/>
      <c r="R945" s="16"/>
      <c r="S945" s="16"/>
    </row>
    <row r="946">
      <c r="B946" s="43"/>
      <c r="G946" s="15"/>
      <c r="O946" s="15"/>
      <c r="P946" s="16"/>
      <c r="Q946" s="16"/>
      <c r="R946" s="16"/>
      <c r="S946" s="16"/>
    </row>
    <row r="947">
      <c r="B947" s="43"/>
      <c r="G947" s="15"/>
      <c r="O947" s="15"/>
      <c r="P947" s="16"/>
      <c r="Q947" s="16"/>
      <c r="R947" s="16"/>
      <c r="S947" s="16"/>
    </row>
    <row r="948">
      <c r="B948" s="43"/>
      <c r="G948" s="15"/>
      <c r="O948" s="15"/>
      <c r="P948" s="16"/>
      <c r="Q948" s="16"/>
      <c r="R948" s="16"/>
      <c r="S948" s="16"/>
    </row>
    <row r="949">
      <c r="B949" s="43"/>
      <c r="G949" s="15"/>
      <c r="O949" s="15"/>
      <c r="P949" s="16"/>
      <c r="Q949" s="16"/>
      <c r="R949" s="16"/>
      <c r="S949" s="16"/>
    </row>
    <row r="950">
      <c r="B950" s="43"/>
      <c r="G950" s="15"/>
      <c r="O950" s="15"/>
      <c r="P950" s="16"/>
      <c r="Q950" s="16"/>
      <c r="R950" s="16"/>
      <c r="S950" s="16"/>
    </row>
    <row r="951">
      <c r="B951" s="43"/>
      <c r="G951" s="15"/>
      <c r="O951" s="15"/>
      <c r="P951" s="16"/>
      <c r="Q951" s="16"/>
      <c r="R951" s="16"/>
      <c r="S951" s="16"/>
    </row>
    <row r="952">
      <c r="B952" s="43"/>
      <c r="G952" s="15"/>
      <c r="O952" s="15"/>
      <c r="P952" s="16"/>
      <c r="Q952" s="16"/>
      <c r="R952" s="16"/>
      <c r="S952" s="16"/>
    </row>
    <row r="953">
      <c r="B953" s="43"/>
      <c r="G953" s="15"/>
      <c r="O953" s="15"/>
      <c r="P953" s="16"/>
      <c r="Q953" s="16"/>
      <c r="R953" s="16"/>
      <c r="S953" s="16"/>
    </row>
    <row r="954">
      <c r="B954" s="43"/>
      <c r="G954" s="15"/>
      <c r="O954" s="15"/>
      <c r="P954" s="16"/>
      <c r="Q954" s="16"/>
      <c r="R954" s="16"/>
      <c r="S954" s="16"/>
    </row>
    <row r="955">
      <c r="B955" s="43"/>
      <c r="G955" s="15"/>
      <c r="O955" s="15"/>
      <c r="P955" s="16"/>
      <c r="Q955" s="16"/>
      <c r="R955" s="16"/>
      <c r="S955" s="16"/>
    </row>
    <row r="956">
      <c r="B956" s="43"/>
      <c r="G956" s="15"/>
      <c r="O956" s="15"/>
      <c r="P956" s="16"/>
      <c r="Q956" s="16"/>
      <c r="R956" s="16"/>
      <c r="S956" s="16"/>
    </row>
    <row r="957">
      <c r="B957" s="43"/>
      <c r="G957" s="15"/>
      <c r="O957" s="15"/>
      <c r="P957" s="16"/>
      <c r="Q957" s="16"/>
      <c r="R957" s="16"/>
      <c r="S957" s="16"/>
    </row>
    <row r="958">
      <c r="B958" s="43"/>
      <c r="G958" s="15"/>
      <c r="O958" s="15"/>
      <c r="P958" s="16"/>
      <c r="Q958" s="16"/>
      <c r="R958" s="16"/>
      <c r="S958" s="16"/>
    </row>
    <row r="959">
      <c r="B959" s="43"/>
      <c r="G959" s="15"/>
      <c r="O959" s="15"/>
      <c r="P959" s="16"/>
      <c r="Q959" s="16"/>
      <c r="R959" s="16"/>
      <c r="S959" s="16"/>
    </row>
    <row r="960">
      <c r="B960" s="43"/>
      <c r="G960" s="15"/>
      <c r="O960" s="15"/>
      <c r="P960" s="16"/>
      <c r="Q960" s="16"/>
      <c r="R960" s="16"/>
      <c r="S960" s="16"/>
    </row>
    <row r="961">
      <c r="B961" s="43"/>
      <c r="G961" s="15"/>
      <c r="O961" s="15"/>
      <c r="P961" s="16"/>
      <c r="Q961" s="16"/>
      <c r="R961" s="16"/>
      <c r="S961" s="16"/>
    </row>
    <row r="962">
      <c r="B962" s="43"/>
      <c r="G962" s="15"/>
      <c r="O962" s="15"/>
      <c r="P962" s="16"/>
      <c r="Q962" s="16"/>
      <c r="R962" s="16"/>
      <c r="S962" s="16"/>
    </row>
    <row r="963">
      <c r="B963" s="43"/>
      <c r="G963" s="15"/>
      <c r="O963" s="15"/>
      <c r="P963" s="16"/>
      <c r="Q963" s="16"/>
      <c r="R963" s="16"/>
      <c r="S963" s="16"/>
    </row>
    <row r="964">
      <c r="B964" s="43"/>
      <c r="G964" s="15"/>
      <c r="O964" s="15"/>
      <c r="P964" s="16"/>
      <c r="Q964" s="16"/>
      <c r="R964" s="16"/>
      <c r="S964" s="16"/>
    </row>
    <row r="965">
      <c r="B965" s="43"/>
      <c r="G965" s="15"/>
      <c r="O965" s="15"/>
      <c r="P965" s="16"/>
      <c r="Q965" s="16"/>
      <c r="R965" s="16"/>
      <c r="S965" s="16"/>
    </row>
    <row r="966">
      <c r="B966" s="43"/>
      <c r="G966" s="15"/>
      <c r="O966" s="15"/>
      <c r="P966" s="16"/>
      <c r="Q966" s="16"/>
      <c r="R966" s="16"/>
      <c r="S966" s="16"/>
    </row>
    <row r="967">
      <c r="B967" s="43"/>
      <c r="G967" s="15"/>
      <c r="O967" s="15"/>
      <c r="P967" s="16"/>
      <c r="Q967" s="16"/>
      <c r="R967" s="16"/>
      <c r="S967" s="16"/>
    </row>
    <row r="968">
      <c r="B968" s="43"/>
      <c r="G968" s="15"/>
      <c r="O968" s="15"/>
      <c r="P968" s="16"/>
      <c r="Q968" s="16"/>
      <c r="R968" s="16"/>
      <c r="S968" s="16"/>
    </row>
    <row r="969">
      <c r="B969" s="43"/>
      <c r="G969" s="15"/>
      <c r="O969" s="15"/>
      <c r="P969" s="16"/>
      <c r="Q969" s="16"/>
      <c r="R969" s="16"/>
      <c r="S969" s="16"/>
    </row>
    <row r="970">
      <c r="B970" s="43"/>
      <c r="G970" s="15"/>
      <c r="O970" s="15"/>
      <c r="P970" s="16"/>
      <c r="Q970" s="16"/>
      <c r="R970" s="16"/>
      <c r="S970" s="16"/>
    </row>
    <row r="971">
      <c r="B971" s="43"/>
      <c r="G971" s="15"/>
      <c r="O971" s="15"/>
      <c r="P971" s="16"/>
      <c r="Q971" s="16"/>
      <c r="R971" s="16"/>
      <c r="S971" s="16"/>
    </row>
    <row r="972">
      <c r="B972" s="43"/>
      <c r="G972" s="15"/>
      <c r="O972" s="15"/>
      <c r="P972" s="16"/>
      <c r="Q972" s="16"/>
      <c r="R972" s="16"/>
      <c r="S972" s="16"/>
    </row>
    <row r="973">
      <c r="B973" s="43"/>
      <c r="G973" s="15"/>
      <c r="O973" s="15"/>
      <c r="P973" s="16"/>
      <c r="Q973" s="16"/>
      <c r="R973" s="16"/>
      <c r="S973" s="16"/>
    </row>
    <row r="974">
      <c r="B974" s="43"/>
      <c r="G974" s="15"/>
      <c r="O974" s="15"/>
      <c r="P974" s="16"/>
      <c r="Q974" s="16"/>
      <c r="R974" s="16"/>
      <c r="S974" s="16"/>
    </row>
    <row r="975">
      <c r="B975" s="43"/>
      <c r="G975" s="15"/>
      <c r="O975" s="15"/>
      <c r="P975" s="16"/>
      <c r="Q975" s="16"/>
      <c r="R975" s="16"/>
      <c r="S975" s="16"/>
    </row>
    <row r="976">
      <c r="B976" s="43"/>
      <c r="G976" s="15"/>
      <c r="O976" s="15"/>
      <c r="P976" s="16"/>
      <c r="Q976" s="16"/>
      <c r="R976" s="16"/>
      <c r="S976" s="16"/>
    </row>
    <row r="977">
      <c r="B977" s="43"/>
      <c r="G977" s="15"/>
      <c r="O977" s="15"/>
      <c r="P977" s="16"/>
      <c r="Q977" s="16"/>
      <c r="R977" s="16"/>
      <c r="S977" s="16"/>
    </row>
    <row r="978">
      <c r="B978" s="43"/>
      <c r="G978" s="15"/>
      <c r="O978" s="15"/>
      <c r="P978" s="16"/>
      <c r="Q978" s="16"/>
      <c r="R978" s="16"/>
      <c r="S978" s="16"/>
    </row>
    <row r="979">
      <c r="B979" s="43"/>
      <c r="G979" s="15"/>
      <c r="O979" s="15"/>
      <c r="P979" s="16"/>
      <c r="Q979" s="16"/>
      <c r="R979" s="16"/>
      <c r="S979" s="16"/>
    </row>
    <row r="980">
      <c r="B980" s="43"/>
      <c r="G980" s="15"/>
      <c r="O980" s="15"/>
      <c r="P980" s="16"/>
      <c r="Q980" s="16"/>
      <c r="R980" s="16"/>
      <c r="S980" s="16"/>
    </row>
    <row r="981">
      <c r="B981" s="43"/>
      <c r="G981" s="15"/>
      <c r="O981" s="15"/>
      <c r="P981" s="16"/>
      <c r="Q981" s="16"/>
      <c r="R981" s="16"/>
      <c r="S981" s="16"/>
    </row>
    <row r="982">
      <c r="B982" s="43"/>
      <c r="G982" s="15"/>
      <c r="O982" s="15"/>
      <c r="P982" s="16"/>
      <c r="Q982" s="16"/>
      <c r="R982" s="16"/>
      <c r="S982" s="16"/>
    </row>
    <row r="983">
      <c r="B983" s="43"/>
      <c r="G983" s="15"/>
      <c r="O983" s="15"/>
      <c r="P983" s="16"/>
      <c r="Q983" s="16"/>
      <c r="R983" s="16"/>
      <c r="S983" s="16"/>
    </row>
    <row r="984">
      <c r="B984" s="43"/>
      <c r="G984" s="15"/>
      <c r="O984" s="15"/>
      <c r="P984" s="16"/>
      <c r="Q984" s="16"/>
      <c r="R984" s="16"/>
      <c r="S984" s="16"/>
    </row>
    <row r="985">
      <c r="B985" s="43"/>
      <c r="G985" s="15"/>
      <c r="O985" s="15"/>
      <c r="P985" s="16"/>
      <c r="Q985" s="16"/>
      <c r="R985" s="16"/>
      <c r="S985" s="16"/>
    </row>
    <row r="986">
      <c r="B986" s="43"/>
      <c r="G986" s="15"/>
      <c r="O986" s="15"/>
      <c r="P986" s="16"/>
      <c r="Q986" s="16"/>
      <c r="R986" s="16"/>
      <c r="S986" s="16"/>
    </row>
    <row r="987">
      <c r="B987" s="43"/>
      <c r="G987" s="15"/>
      <c r="O987" s="15"/>
      <c r="P987" s="16"/>
      <c r="Q987" s="16"/>
      <c r="R987" s="16"/>
      <c r="S987" s="16"/>
    </row>
    <row r="988">
      <c r="B988" s="43"/>
      <c r="G988" s="15"/>
      <c r="O988" s="15"/>
      <c r="P988" s="16"/>
      <c r="Q988" s="16"/>
      <c r="R988" s="16"/>
      <c r="S988" s="16"/>
    </row>
    <row r="989">
      <c r="B989" s="43"/>
      <c r="G989" s="15"/>
      <c r="O989" s="15"/>
      <c r="P989" s="16"/>
      <c r="Q989" s="16"/>
      <c r="R989" s="16"/>
      <c r="S989" s="16"/>
    </row>
    <row r="990">
      <c r="B990" s="43"/>
      <c r="G990" s="15"/>
      <c r="O990" s="15"/>
      <c r="P990" s="16"/>
      <c r="Q990" s="16"/>
      <c r="R990" s="16"/>
      <c r="S990" s="16"/>
    </row>
    <row r="991">
      <c r="B991" s="43"/>
      <c r="G991" s="15"/>
      <c r="O991" s="15"/>
      <c r="P991" s="16"/>
      <c r="Q991" s="16"/>
      <c r="R991" s="16"/>
      <c r="S991" s="16"/>
    </row>
    <row r="992">
      <c r="B992" s="43"/>
      <c r="G992" s="15"/>
      <c r="O992" s="15"/>
      <c r="P992" s="16"/>
      <c r="Q992" s="16"/>
      <c r="R992" s="16"/>
      <c r="S992" s="16"/>
    </row>
    <row r="993">
      <c r="B993" s="43"/>
      <c r="G993" s="15"/>
      <c r="O993" s="15"/>
      <c r="P993" s="16"/>
      <c r="Q993" s="16"/>
      <c r="R993" s="16"/>
      <c r="S993" s="16"/>
    </row>
    <row r="994">
      <c r="B994" s="43"/>
      <c r="G994" s="15"/>
      <c r="O994" s="15"/>
      <c r="P994" s="16"/>
      <c r="Q994" s="16"/>
      <c r="R994" s="16"/>
      <c r="S994" s="16"/>
    </row>
    <row r="995">
      <c r="B995" s="43"/>
      <c r="G995" s="15"/>
      <c r="O995" s="15"/>
      <c r="P995" s="16"/>
      <c r="Q995" s="16"/>
      <c r="R995" s="16"/>
      <c r="S995" s="16"/>
    </row>
    <row r="996">
      <c r="B996" s="43"/>
      <c r="G996" s="15"/>
      <c r="O996" s="15"/>
      <c r="P996" s="16"/>
      <c r="Q996" s="16"/>
      <c r="R996" s="16"/>
      <c r="S996" s="16"/>
    </row>
    <row r="997">
      <c r="B997" s="43"/>
      <c r="G997" s="15"/>
      <c r="O997" s="15"/>
      <c r="P997" s="16"/>
      <c r="Q997" s="16"/>
      <c r="R997" s="16"/>
      <c r="S997" s="16"/>
    </row>
    <row r="998">
      <c r="B998" s="43"/>
      <c r="G998" s="15"/>
      <c r="O998" s="15"/>
      <c r="P998" s="16"/>
      <c r="Q998" s="16"/>
      <c r="R998" s="16"/>
      <c r="S998" s="16"/>
    </row>
    <row r="999">
      <c r="B999" s="43"/>
      <c r="G999" s="15"/>
      <c r="O999" s="15"/>
      <c r="P999" s="16"/>
      <c r="Q999" s="16"/>
      <c r="R999" s="16"/>
      <c r="S999" s="16"/>
    </row>
    <row r="1000">
      <c r="B1000" s="43"/>
      <c r="G1000" s="15"/>
      <c r="O1000" s="15"/>
      <c r="P1000" s="16"/>
      <c r="Q1000" s="16"/>
      <c r="R1000" s="16"/>
      <c r="S1000" s="16"/>
    </row>
  </sheetData>
  <drawing r:id="rId1"/>
</worksheet>
</file>